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comments/comment5.xml" ContentType="application/vnd.openxmlformats-officedocument.spreadsheetml.comments+xml"/>
  <Override PartName="/xl/worksheets/sheet10.xml" ContentType="application/vnd.openxmlformats-officedocument.spreadsheetml.worksheet+xml"/>
  <Override PartName="/xl/comments/comment6.xml" ContentType="application/vnd.openxmlformats-officedocument.spreadsheetml.comments+xml"/>
  <Override PartName="/xl/worksheets/sheet11.xml" ContentType="application/vnd.openxmlformats-officedocument.spreadsheetml.worksheet+xml"/>
  <Override PartName="/xl/comments/comment7.xml" ContentType="application/vnd.openxmlformats-officedocument.spreadsheetml.comments+xml"/>
  <Override PartName="/xl/worksheets/sheet12.xml" ContentType="application/vnd.openxmlformats-officedocument.spreadsheetml.worksheet+xml"/>
  <Override PartName="/xl/comments/comment8.xml" ContentType="application/vnd.openxmlformats-officedocument.spreadsheetml.comments+xml"/>
  <Override PartName="/xl/worksheets/sheet13.xml" ContentType="application/vnd.openxmlformats-officedocument.spreadsheetml.worksheet+xml"/>
  <Override PartName="/xl/comments/comment9.xml" ContentType="application/vnd.openxmlformats-officedocument.spreadsheetml.comments+xml"/>
  <Override PartName="/xl/worksheets/sheet14.xml" ContentType="application/vnd.openxmlformats-officedocument.spreadsheetml.worksheet+xml"/>
  <Override PartName="/xl/comments/comment10.xml" ContentType="application/vnd.openxmlformats-officedocument.spreadsheetml.comments+xml"/>
  <Override PartName="/xl/worksheets/sheet15.xml" ContentType="application/vnd.openxmlformats-officedocument.spreadsheetml.worksheet+xml"/>
  <Override PartName="/xl/comments/comment11.xml" ContentType="application/vnd.openxmlformats-officedocument.spreadsheetml.comments+xml"/>
  <Override PartName="/xl/worksheets/sheet16.xml" ContentType="application/vnd.openxmlformats-officedocument.spreadsheetml.worksheet+xml"/>
  <Override PartName="/xl/comments/comment12.xml" ContentType="application/vnd.openxmlformats-officedocument.spreadsheetml.comments+xml"/>
  <Override PartName="/xl/worksheets/sheet17.xml" ContentType="application/vnd.openxmlformats-officedocument.spreadsheetml.worksheet+xml"/>
  <Override PartName="/xl/comments/comment13.xml" ContentType="application/vnd.openxmlformats-officedocument.spreadsheetml.comments+xml"/>
  <Override PartName="/xl/worksheets/sheet18.xml" ContentType="application/vnd.openxmlformats-officedocument.spreadsheetml.worksheet+xml"/>
  <Override PartName="/xl/comments/comment14.xml" ContentType="application/vnd.openxmlformats-officedocument.spreadsheetml.comments+xml"/>
  <Override PartName="/xl/worksheets/sheet19.xml" ContentType="application/vnd.openxmlformats-officedocument.spreadsheetml.worksheet+xml"/>
  <Override PartName="/xl/comments/comment15.xml" ContentType="application/vnd.openxmlformats-officedocument.spreadsheetml.comments+xml"/>
  <Override PartName="/xl/worksheets/sheet20.xml" ContentType="application/vnd.openxmlformats-officedocument.spreadsheetml.worksheet+xml"/>
  <Override PartName="/xl/comments/comment16.xml" ContentType="application/vnd.openxmlformats-officedocument.spreadsheetml.comments+xml"/>
  <Override PartName="/xl/worksheets/sheet21.xml" ContentType="application/vnd.openxmlformats-officedocument.spreadsheetml.worksheet+xml"/>
  <Override PartName="/xl/comments/comment17.xml" ContentType="application/vnd.openxmlformats-officedocument.spreadsheetml.comments+xml"/>
  <Override PartName="/xl/worksheets/sheet22.xml" ContentType="application/vnd.openxmlformats-officedocument.spreadsheetml.worksheet+xml"/>
  <Override PartName="/xl/comments/comment18.xml" ContentType="application/vnd.openxmlformats-officedocument.spreadsheetml.comments+xml"/>
  <Override PartName="/xl/worksheets/sheet23.xml" ContentType="application/vnd.openxmlformats-officedocument.spreadsheetml.worksheet+xml"/>
  <Override PartName="/xl/comments/comment19.xml" ContentType="application/vnd.openxmlformats-officedocument.spreadsheetml.comments+xml"/>
  <Override PartName="/xl/worksheets/sheet24.xml" ContentType="application/vnd.openxmlformats-officedocument.spreadsheetml.worksheet+xml"/>
  <Override PartName="/xl/comments/comment20.xml" ContentType="application/vnd.openxmlformats-officedocument.spreadsheetml.comments+xml"/>
  <Override PartName="/xl/worksheets/sheet25.xml" ContentType="application/vnd.openxmlformats-officedocument.spreadsheetml.worksheet+xml"/>
  <Override PartName="/xl/comments/comment21.xml" ContentType="application/vnd.openxmlformats-officedocument.spreadsheetml.comments+xml"/>
  <Override PartName="/xl/worksheets/sheet26.xml" ContentType="application/vnd.openxmlformats-officedocument.spreadsheetml.worksheet+xml"/>
  <Override PartName="/xl/comments/comment22.xml" ContentType="application/vnd.openxmlformats-officedocument.spreadsheetml.comments+xml"/>
  <Override PartName="/xl/worksheets/sheet27.xml" ContentType="application/vnd.openxmlformats-officedocument.spreadsheetml.worksheet+xml"/>
  <Override PartName="/xl/comments/comment23.xml" ContentType="application/vnd.openxmlformats-officedocument.spreadsheetml.comments+xml"/>
  <Override PartName="/xl/worksheets/sheet28.xml" ContentType="application/vnd.openxmlformats-officedocument.spreadsheetml.worksheet+xml"/>
  <Override PartName="/xl/comments/comment24.xml" ContentType="application/vnd.openxmlformats-officedocument.spreadsheetml.comments+xml"/>
  <Override PartName="/xl/worksheets/sheet29.xml" ContentType="application/vnd.openxmlformats-officedocument.spreadsheetml.worksheet+xml"/>
  <Override PartName="/xl/comments/comment25.xml" ContentType="application/vnd.openxmlformats-officedocument.spreadsheetml.comments+xml"/>
  <Override PartName="/xl/worksheets/sheet30.xml" ContentType="application/vnd.openxmlformats-officedocument.spreadsheetml.worksheet+xml"/>
  <Override PartName="/xl/comments/comment26.xml" ContentType="application/vnd.openxmlformats-officedocument.spreadsheetml.comments+xml"/>
  <Override PartName="/xl/worksheets/sheet31.xml" ContentType="application/vnd.openxmlformats-officedocument.spreadsheetml.worksheet+xml"/>
  <Override PartName="/xl/comments/comment27.xml" ContentType="application/vnd.openxmlformats-officedocument.spreadsheetml.comments+xml"/>
  <Override PartName="/xl/worksheets/sheet32.xml" ContentType="application/vnd.openxmlformats-officedocument.spreadsheetml.worksheet+xml"/>
  <Override PartName="/xl/comments/comment28.xml" ContentType="application/vnd.openxmlformats-officedocument.spreadsheetml.comments+xml"/>
  <Override PartName="/xl/worksheets/sheet33.xml" ContentType="application/vnd.openxmlformats-officedocument.spreadsheetml.worksheet+xml"/>
  <Override PartName="/xl/comments/comment29.xml" ContentType="application/vnd.openxmlformats-officedocument.spreadsheetml.comments+xml"/>
  <Override PartName="/xl/worksheets/sheet34.xml" ContentType="application/vnd.openxmlformats-officedocument.spreadsheetml.worksheet+xml"/>
  <Override PartName="/xl/comments/comment30.xml" ContentType="application/vnd.openxmlformats-officedocument.spreadsheetml.comments+xml"/>
  <Override PartName="/xl/worksheets/sheet35.xml" ContentType="application/vnd.openxmlformats-officedocument.spreadsheetml.worksheet+xml"/>
  <Override PartName="/xl/comments/comment31.xml" ContentType="application/vnd.openxmlformats-officedocument.spreadsheetml.comments+xml"/>
  <Override PartName="/xl/worksheets/sheet36.xml" ContentType="application/vnd.openxmlformats-officedocument.spreadsheetml.worksheet+xml"/>
  <Override PartName="/xl/comments/comment32.xml" ContentType="application/vnd.openxmlformats-officedocument.spreadsheetml.comments+xml"/>
  <Override PartName="/xl/worksheets/sheet37.xml" ContentType="application/vnd.openxmlformats-officedocument.spreadsheetml.worksheet+xml"/>
  <Override PartName="/xl/comments/comment33.xml" ContentType="application/vnd.openxmlformats-officedocument.spreadsheetml.comments+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Dashboard" sheetId="2" state="visible" r:id="rId2"/>
    <sheet xmlns:r="http://schemas.openxmlformats.org/officeDocument/2006/relationships" name="Product Index" sheetId="3" state="visible" r:id="rId3"/>
    <sheet xmlns:r="http://schemas.openxmlformats.org/officeDocument/2006/relationships" name="Data Check" sheetId="4" state="visible" r:id="rId4"/>
    <sheet xmlns:r="http://schemas.openxmlformats.org/officeDocument/2006/relationships" name="US DC B4" sheetId="5" state="visible" r:id="rId5"/>
    <sheet xmlns:r="http://schemas.openxmlformats.org/officeDocument/2006/relationships" name="CA DC B4" sheetId="6" state="visible" r:id="rId6"/>
    <sheet xmlns:r="http://schemas.openxmlformats.org/officeDocument/2006/relationships" name="US DC B6" sheetId="7" state="visible" r:id="rId7"/>
    <sheet xmlns:r="http://schemas.openxmlformats.org/officeDocument/2006/relationships" name="CA DC B6" sheetId="8" state="visible" r:id="rId8"/>
    <sheet xmlns:r="http://schemas.openxmlformats.org/officeDocument/2006/relationships" name="US SL B6" sheetId="9" state="visible" r:id="rId9"/>
    <sheet xmlns:r="http://schemas.openxmlformats.org/officeDocument/2006/relationships" name="US SL B4" sheetId="10" state="visible" r:id="rId10"/>
    <sheet xmlns:r="http://schemas.openxmlformats.org/officeDocument/2006/relationships" name="US DC Bamboo Fitted" sheetId="11" state="visible" r:id="rId11"/>
    <sheet xmlns:r="http://schemas.openxmlformats.org/officeDocument/2006/relationships" name="US SL Bamboo Pillowcase" sheetId="12" state="visible" r:id="rId12"/>
    <sheet xmlns:r="http://schemas.openxmlformats.org/officeDocument/2006/relationships" name="US DC S4" sheetId="13" state="visible" r:id="rId13"/>
    <sheet xmlns:r="http://schemas.openxmlformats.org/officeDocument/2006/relationships" name="CA DC S4" sheetId="14" state="visible" r:id="rId14"/>
    <sheet xmlns:r="http://schemas.openxmlformats.org/officeDocument/2006/relationships" name="US DC S6" sheetId="15" state="visible" r:id="rId15"/>
    <sheet xmlns:r="http://schemas.openxmlformats.org/officeDocument/2006/relationships" name="CA DC S6" sheetId="16" state="visible" r:id="rId16"/>
    <sheet xmlns:r="http://schemas.openxmlformats.org/officeDocument/2006/relationships" name="US SSS4" sheetId="17" state="visible" r:id="rId17"/>
    <sheet xmlns:r="http://schemas.openxmlformats.org/officeDocument/2006/relationships" name="CA SSS4" sheetId="18" state="visible" r:id="rId18"/>
    <sheet xmlns:r="http://schemas.openxmlformats.org/officeDocument/2006/relationships" name="US SL Satin 6pc" sheetId="19" state="visible" r:id="rId19"/>
    <sheet xmlns:r="http://schemas.openxmlformats.org/officeDocument/2006/relationships" name="US DC Satin Fitted" sheetId="20" state="visible" r:id="rId20"/>
    <sheet xmlns:r="http://schemas.openxmlformats.org/officeDocument/2006/relationships" name="CA DC Satin Fitted" sheetId="21" state="visible" r:id="rId21"/>
    <sheet xmlns:r="http://schemas.openxmlformats.org/officeDocument/2006/relationships" name="US DC Silk Pillowcase" sheetId="22" state="visible" r:id="rId22"/>
    <sheet xmlns:r="http://schemas.openxmlformats.org/officeDocument/2006/relationships" name="US SL Mask Contoured" sheetId="23" state="visible" r:id="rId23"/>
    <sheet xmlns:r="http://schemas.openxmlformats.org/officeDocument/2006/relationships" name="US SL Mask Velcro" sheetId="24" state="visible" r:id="rId24"/>
    <sheet xmlns:r="http://schemas.openxmlformats.org/officeDocument/2006/relationships" name="US DC Cooling 4pc" sheetId="25" state="visible" r:id="rId25"/>
    <sheet xmlns:r="http://schemas.openxmlformats.org/officeDocument/2006/relationships" name="US SL Cooling 4pc" sheetId="26" state="visible" r:id="rId26"/>
    <sheet xmlns:r="http://schemas.openxmlformats.org/officeDocument/2006/relationships" name="US SL Cooling 6pc" sheetId="27" state="visible" r:id="rId27"/>
    <sheet xmlns:r="http://schemas.openxmlformats.org/officeDocument/2006/relationships" name="US CL Cooling Sheets" sheetId="28" state="visible" r:id="rId28"/>
    <sheet xmlns:r="http://schemas.openxmlformats.org/officeDocument/2006/relationships" name="US CL Pillowcases" sheetId="29" state="visible" r:id="rId29"/>
    <sheet xmlns:r="http://schemas.openxmlformats.org/officeDocument/2006/relationships" name="US SL Cooling Pillowcase" sheetId="30" state="visible" r:id="rId30"/>
    <sheet xmlns:r="http://schemas.openxmlformats.org/officeDocument/2006/relationships" name="US SL Cooling Comforter" sheetId="31" state="visible" r:id="rId31"/>
    <sheet xmlns:r="http://schemas.openxmlformats.org/officeDocument/2006/relationships" name="US SL Cooling Fitted" sheetId="32" state="visible" r:id="rId32"/>
    <sheet xmlns:r="http://schemas.openxmlformats.org/officeDocument/2006/relationships" name="US SL Quilt Set" sheetId="33" state="visible" r:id="rId33"/>
    <sheet xmlns:r="http://schemas.openxmlformats.org/officeDocument/2006/relationships" name="US DC Linen Curtains" sheetId="34" state="visible" r:id="rId34"/>
    <sheet xmlns:r="http://schemas.openxmlformats.org/officeDocument/2006/relationships" name="US DC Beach Towel" sheetId="35" state="visible" r:id="rId35"/>
    <sheet xmlns:r="http://schemas.openxmlformats.org/officeDocument/2006/relationships" name="US DC Welcome Sign" sheetId="36" state="visible" r:id="rId36"/>
    <sheet xmlns:r="http://schemas.openxmlformats.org/officeDocument/2006/relationships" name="US DC Chair Cover" sheetId="37" state="visible" r:id="rId37"/>
    <sheet xmlns:r="http://schemas.openxmlformats.org/officeDocument/2006/relationships" name="Data" sheetId="38" state="visible" r:id="rId38"/>
    <sheet xmlns:r="http://schemas.openxmlformats.org/officeDocument/2006/relationships" name="Data Gaps" sheetId="39" state="visible" r:id="rId39"/>
    <sheet xmlns:r="http://schemas.openxmlformats.org/officeDocument/2006/relationships" name="Lists" sheetId="40" state="hidden" r:id="rId40"/>
  </sheets>
  <definedNames>
    <definedName name="Products">Lists!$A$1:$A$28</definedName>
    <definedName name="Markets">Lists!$B$1:$B$3</definedName>
    <definedName name="Brands">Lists!$C$1:$C$244</definedName>
    <definedName name="Tiers">Lists!$D$1:$D$5</definedName>
    <definedName name="Families">Lists!$E$1:$E$6</definedName>
    <definedName name="_xlnm._FilterDatabase" localSheetId="4" hidden="1">'US DC B4'!$B$118:$BH$173</definedName>
    <definedName name="_xlnm._FilterDatabase" localSheetId="5" hidden="1">'CA DC B4'!$B$118:$BH$133</definedName>
    <definedName name="_xlnm._FilterDatabase" localSheetId="6" hidden="1">'US DC B6'!$B$123:$BH$169</definedName>
    <definedName name="_xlnm._FilterDatabase" localSheetId="7" hidden="1">'CA DC B6'!$B$119:$BH$127</definedName>
    <definedName name="_xlnm._FilterDatabase" localSheetId="8" hidden="1">'US SL B6'!$B$120:$BH$150</definedName>
    <definedName name="_xlnm._FilterDatabase" localSheetId="9" hidden="1">'US SL B4'!$B$118:$BH$146</definedName>
    <definedName name="_xlnm._FilterDatabase" localSheetId="10" hidden="1">'US DC Bamboo Fitted'!$B$51:$BH$66</definedName>
    <definedName name="_xlnm._FilterDatabase" localSheetId="11" hidden="1">'US SL Bamboo Pillowcase'!$B$84:$BH$90</definedName>
    <definedName name="_xlnm._FilterDatabase" localSheetId="12" hidden="1">'US DC S4'!$B$155:$BH$181</definedName>
    <definedName name="_xlnm._FilterDatabase" localSheetId="13" hidden="1">'CA DC S4'!$B$165:$BH$180</definedName>
    <definedName name="_xlnm._FilterDatabase" localSheetId="14" hidden="1">'US DC S6'!$B$156:$BH$182</definedName>
    <definedName name="_xlnm._FilterDatabase" localSheetId="15" hidden="1">'CA DC S6'!$B$156:$BH$171</definedName>
    <definedName name="_xlnm._FilterDatabase" localSheetId="16" hidden="1">'US SSS4'!$B$154:$BH$183</definedName>
    <definedName name="_xlnm._FilterDatabase" localSheetId="17" hidden="1">'CA SSS4'!$B$154:$BH$169</definedName>
    <definedName name="_xlnm._FilterDatabase" localSheetId="18" hidden="1">'US SL Satin 6pc'!$B$146:$BH$173</definedName>
    <definedName name="_xlnm._FilterDatabase" localSheetId="19" hidden="1">'US DC Satin Fitted'!$B$105:$BH$119</definedName>
    <definedName name="_xlnm._FilterDatabase" localSheetId="20" hidden="1">'CA DC Satin Fitted'!$B$106:$BH$121</definedName>
    <definedName name="_xlnm._FilterDatabase" localSheetId="21" hidden="1">'US DC Silk Pillowcase'!$B$55:$BH$84</definedName>
    <definedName name="_xlnm._FilterDatabase" localSheetId="22" hidden="1">'US SL Mask Contoured'!$B$40:$BH$67</definedName>
    <definedName name="_xlnm._FilterDatabase" localSheetId="23" hidden="1">'US SL Mask Velcro'!$B$40:$BH$55</definedName>
    <definedName name="_xlnm._FilterDatabase" localSheetId="24" hidden="1">'US DC Cooling 4pc'!$B$103:$BH$131</definedName>
    <definedName name="_xlnm._FilterDatabase" localSheetId="25" hidden="1">'US SL Cooling 4pc'!$B$98:$BH$134</definedName>
    <definedName name="_xlnm._FilterDatabase" localSheetId="26" hidden="1">'US SL Cooling 6pc'!$B$90:$BH$97</definedName>
    <definedName name="_xlnm._FilterDatabase" localSheetId="27" hidden="1">'US CL Cooling Sheets'!$B$90:$BH$104</definedName>
    <definedName name="_xlnm._FilterDatabase" localSheetId="28" hidden="1">'US CL Pillowcases'!$B$41:$BH$56</definedName>
    <definedName name="_xlnm._FilterDatabase" localSheetId="29" hidden="1">'US SL Cooling Pillowcase'!$B$48:$BH$69</definedName>
    <definedName name="_xlnm._FilterDatabase" localSheetId="30" hidden="1">'US SL Cooling Comforter'!$B$58:$BH$76</definedName>
    <definedName name="_xlnm._FilterDatabase" localSheetId="31" hidden="1">'US SL Cooling Fitted'!$B$101:$BH$112</definedName>
    <definedName name="_xlnm._FilterDatabase" localSheetId="32" hidden="1">'US SL Quilt Set'!$B$56:$BH$75</definedName>
    <definedName name="_xlnm._FilterDatabase" localSheetId="33" hidden="1">'US DC Linen Curtains'!$B$77:$BH$98</definedName>
    <definedName name="_xlnm._FilterDatabase" localSheetId="34" hidden="1">'US DC Beach Towel'!$B$49:$BH$62</definedName>
    <definedName name="_xlnm._FilterDatabase" localSheetId="35" hidden="1">'US DC Welcome Sign'!$B$43:$BH$60</definedName>
    <definedName name="_xlnm._FilterDatabase" localSheetId="36" hidden="1">'US DC Chair Cover'!$B$49:$BH$72</definedName>
  </definedNames>
  <calcPr calcId="124519" fullCalcOnLoad="1"/>
</workbook>
</file>

<file path=xl/styles.xml><?xml version="1.0" encoding="utf-8"?>
<styleSheet xmlns="http://schemas.openxmlformats.org/spreadsheetml/2006/main">
  <numFmts count="10">
    <numFmt numFmtId="164" formatCode="$#,##0.00"/>
    <numFmt numFmtId="165" formatCode="0.0"/>
    <numFmt numFmtId="166" formatCode="$#,##0"/>
    <numFmt numFmtId="167" formatCode="0.0&quot;%&quot;"/>
    <numFmt numFmtId="168" formatCode="0.00&quot;%&quot;"/>
    <numFmt numFmtId="169" formatCode="0.0%"/>
    <numFmt numFmtId="170" formatCode="+0%;-0%;0%"/>
    <numFmt numFmtId="171" formatCode="yyyy-mm-dd"/>
    <numFmt numFmtId="172" formatCode="0.00&quot;x&quot;"/>
    <numFmt numFmtId="173" formatCode="0.0&quot;x&quot;"/>
  </numFmts>
  <fonts count="36">
    <font>
      <name val="Calibri"/>
      <family val="2"/>
      <color theme="1"/>
      <sz val="11"/>
      <scheme val="minor"/>
    </font>
    <font>
      <name val="Arial"/>
      <b val="1"/>
      <color rgb="00FFFFFF"/>
      <sz val="14"/>
    </font>
    <font>
      <name val="Arial"/>
      <color rgb="000563C1"/>
      <sz val="9"/>
      <u val="single"/>
    </font>
    <font>
      <name val="Arial"/>
      <b val="1"/>
      <color rgb="001F3864"/>
      <sz val="11"/>
    </font>
    <font>
      <name val="Arial"/>
      <b val="1"/>
      <color rgb="005B6B82"/>
      <sz val="8"/>
    </font>
    <font>
      <name val="Arial"/>
      <b val="1"/>
      <sz val="9"/>
    </font>
    <font>
      <name val="Arial"/>
      <sz val="9"/>
    </font>
    <font>
      <name val="Arial"/>
      <b val="1"/>
      <color rgb="005B6B82"/>
      <sz val="7"/>
    </font>
    <font>
      <name val="Arial"/>
      <b val="1"/>
      <color rgb="001B2A41"/>
      <sz val="16"/>
    </font>
    <font>
      <name val="Arial"/>
      <color rgb="005B6B82"/>
      <sz val="7"/>
    </font>
    <font>
      <name val="Arial"/>
      <i val="1"/>
      <color rgb="005B6B82"/>
      <sz val="8"/>
    </font>
    <font>
      <name val="Arial"/>
      <b val="1"/>
      <color rgb="00FFFFFF"/>
      <sz val="8"/>
    </font>
    <font>
      <name val="Arial"/>
      <color rgb="00808080"/>
      <sz val="9"/>
    </font>
    <font>
      <name val="Arial"/>
      <b val="1"/>
      <color rgb="00C00000"/>
      <sz val="7"/>
    </font>
    <font>
      <name val="Arial"/>
      <b val="1"/>
      <color rgb="001B2A41"/>
      <sz val="8.5"/>
    </font>
    <font>
      <name val="Arial"/>
      <b val="1"/>
      <color rgb="001F3864"/>
      <sz val="8"/>
    </font>
    <font>
      <name val="Arial"/>
      <color rgb="000000FF"/>
      <sz val="9"/>
    </font>
    <font>
      <name val="Arial"/>
      <b val="1"/>
      <color rgb="007030A0"/>
      <sz val="8.5"/>
    </font>
    <font>
      <name val="Arial"/>
      <b val="1"/>
      <color rgb="00C00000"/>
      <sz val="9"/>
    </font>
    <font>
      <name val="Arial"/>
      <i val="1"/>
      <color rgb="00C00000"/>
      <sz val="9"/>
    </font>
    <font>
      <name val="Arial"/>
      <b val="1"/>
      <color rgb="00FFFFFF"/>
      <sz val="9"/>
    </font>
    <font>
      <name val="Arial"/>
      <sz val="8"/>
    </font>
    <font>
      <name val="Arial"/>
      <b val="1"/>
      <color rgb="00FFFFFF"/>
      <sz val="18"/>
    </font>
    <font>
      <name val="Arial"/>
      <i val="1"/>
      <color rgb="005B6B82"/>
      <sz val="9"/>
    </font>
    <font>
      <name val="Arial"/>
      <b val="1"/>
      <color rgb="005B6B82"/>
      <sz val="9"/>
    </font>
    <font>
      <name val="Arial"/>
      <b val="1"/>
      <color rgb="000000FF"/>
      <sz val="10"/>
    </font>
    <font>
      <name val="Arial"/>
      <b val="1"/>
      <color rgb="001B2A41"/>
      <sz val="15"/>
    </font>
    <font>
      <name val="Arial"/>
      <b val="1"/>
      <sz val="8"/>
    </font>
    <font>
      <name val="Arial"/>
      <b val="1"/>
      <sz val="16"/>
    </font>
    <font>
      <name val="Arial"/>
      <i val="1"/>
      <sz val="9"/>
    </font>
    <font>
      <name val="Arial"/>
      <b val="1"/>
      <sz val="11"/>
    </font>
    <font>
      <name val="Arial"/>
      <sz val="10"/>
    </font>
    <font>
      <name val="Arial"/>
      <color rgb="00000000"/>
      <sz val="9"/>
    </font>
    <font>
      <name val="Arial"/>
      <b val="1"/>
      <sz val="10"/>
    </font>
    <font>
      <name val="Arial"/>
      <b val="1"/>
      <sz val="14"/>
    </font>
    <font>
      <name val="Arial"/>
      <i val="1"/>
      <sz val="8"/>
    </font>
  </fonts>
  <fills count="17">
    <fill>
      <patternFill/>
    </fill>
    <fill>
      <patternFill patternType="gray125"/>
    </fill>
    <fill>
      <patternFill patternType="solid">
        <fgColor rgb="001F3864"/>
      </patternFill>
    </fill>
    <fill>
      <patternFill patternType="solid">
        <fgColor rgb="00E8EDF5"/>
      </patternFill>
    </fill>
    <fill>
      <patternFill patternType="solid">
        <fgColor rgb="00F7F9FC"/>
      </patternFill>
    </fill>
    <fill>
      <patternFill patternType="solid">
        <fgColor rgb="00F8CBAD"/>
      </patternFill>
    </fill>
    <fill>
      <patternFill patternType="solid">
        <fgColor rgb="00F2F2F2"/>
      </patternFill>
    </fill>
    <fill>
      <patternFill patternType="solid">
        <fgColor rgb="00DDEBF7"/>
      </patternFill>
    </fill>
    <fill>
      <patternFill patternType="solid">
        <fgColor rgb="00EDE7F6"/>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FF99"/>
      </patternFill>
    </fill>
    <fill>
      <patternFill patternType="solid">
        <fgColor rgb="00C6EFCE"/>
      </patternFill>
    </fill>
    <fill>
      <patternFill patternType="solid">
        <fgColor rgb="00D9D9D9"/>
      </patternFill>
    </fill>
    <fill>
      <patternFill patternType="solid">
        <fgColor rgb="00FFFFFF"/>
      </patternFill>
    </fill>
    <fill>
      <patternFill patternType="solid">
        <fgColor rgb="00FFEB9C"/>
      </patternFill>
    </fill>
  </fills>
  <borders count="6">
    <border>
      <left/>
      <right/>
      <top/>
      <bottom/>
      <diagonal/>
    </border>
    <border>
      <left style="thin">
        <color rgb="00C9D1DE"/>
      </left>
      <right style="thin">
        <color rgb="00C9D1DE"/>
      </right>
      <top style="thin">
        <color rgb="00C9D1DE"/>
      </top>
      <bottom style="thin">
        <color rgb="00C9D1DE"/>
      </bottom>
    </border>
    <border>
      <left/>
      <right/>
      <top style="thin">
        <color rgb="00C9D1DE"/>
      </top>
      <bottom/>
      <diagonal/>
    </border>
    <border>
      <left/>
      <right style="thin">
        <color rgb="00C9D1DE"/>
      </right>
      <top style="thin">
        <color rgb="00C9D1DE"/>
      </top>
      <bottom/>
      <diagonal/>
    </border>
    <border>
      <left/>
      <right/>
      <top style="thin">
        <color rgb="00C9D1DE"/>
      </top>
      <bottom style="thin">
        <color rgb="00C9D1DE"/>
      </bottom>
      <diagonal/>
    </border>
    <border>
      <left/>
      <right style="thin">
        <color rgb="00C9D1DE"/>
      </right>
      <top style="thin">
        <color rgb="00C9D1DE"/>
      </top>
      <bottom style="thin">
        <color rgb="00C9D1DE"/>
      </bottom>
      <diagonal/>
    </border>
  </borders>
  <cellStyleXfs count="1">
    <xf numFmtId="0" fontId="0" fillId="0" borderId="0"/>
  </cellStyleXfs>
  <cellXfs count="112">
    <xf numFmtId="0" fontId="0" fillId="0" borderId="0" pivotButton="0" quotePrefix="0" xfId="0"/>
    <xf numFmtId="0" fontId="28" fillId="0" borderId="0" applyAlignment="1" pivotButton="0" quotePrefix="0" xfId="0">
      <alignment vertical="top" wrapText="1"/>
    </xf>
    <xf numFmtId="0" fontId="29" fillId="0" borderId="0" applyAlignment="1" pivotButton="0" quotePrefix="0" xfId="0">
      <alignment vertical="top" wrapText="1"/>
    </xf>
    <xf numFmtId="0" fontId="0" fillId="0" borderId="0" applyAlignment="1" pivotButton="0" quotePrefix="0" xfId="0">
      <alignment vertical="top" wrapText="1"/>
    </xf>
    <xf numFmtId="0" fontId="30" fillId="0" borderId="0" applyAlignment="1" pivotButton="0" quotePrefix="0" xfId="0">
      <alignment vertical="top" wrapText="1"/>
    </xf>
    <xf numFmtId="0" fontId="31" fillId="0" borderId="0" applyAlignment="1" pivotButton="0" quotePrefix="0" xfId="0">
      <alignment vertical="top" wrapText="1"/>
    </xf>
    <xf numFmtId="0" fontId="22" fillId="2" borderId="0" applyAlignment="1" pivotButton="0" quotePrefix="0" xfId="0">
      <alignment vertical="center" indent="1"/>
    </xf>
    <xf numFmtId="0" fontId="23" fillId="0" borderId="0" pivotButton="0" quotePrefix="0" xfId="0"/>
    <xf numFmtId="0" fontId="24" fillId="0" borderId="0" pivotButton="0" quotePrefix="0" xfId="0"/>
    <xf numFmtId="0" fontId="25" fillId="12" borderId="1" pivotButton="0" quotePrefix="0" xfId="0"/>
    <xf numFmtId="0" fontId="0" fillId="0" borderId="1" applyAlignment="1" pivotButton="0" quotePrefix="0" xfId="0">
      <alignment horizontal="center" vertical="center" wrapText="1"/>
    </xf>
    <xf numFmtId="0" fontId="4" fillId="0" borderId="0" pivotButton="0" quotePrefix="0" xfId="0"/>
    <xf numFmtId="0" fontId="5" fillId="0" borderId="0" applyAlignment="1" pivotButton="0" quotePrefix="0" xfId="0">
      <alignment vertical="center" wrapText="1"/>
    </xf>
    <xf numFmtId="0" fontId="7" fillId="4" borderId="0" applyAlignment="1" pivotButton="0" quotePrefix="0" xfId="0">
      <alignment horizontal="center" vertical="center" wrapText="1"/>
    </xf>
    <xf numFmtId="0" fontId="6" fillId="0" borderId="0" applyAlignment="1" pivotButton="0" quotePrefix="0" xfId="0">
      <alignment vertical="center" wrapText="1"/>
    </xf>
    <xf numFmtId="3" fontId="26" fillId="4" borderId="0" applyAlignment="1" pivotButton="0" quotePrefix="0" xfId="0">
      <alignment horizontal="center" vertical="center" wrapText="1"/>
    </xf>
    <xf numFmtId="164" fontId="26" fillId="4" borderId="0" applyAlignment="1" pivotButton="0" quotePrefix="0" xfId="0">
      <alignment horizontal="center" vertical="center" wrapText="1"/>
    </xf>
    <xf numFmtId="3" fontId="6" fillId="0" borderId="0" applyAlignment="1" pivotButton="0" quotePrefix="0" xfId="0">
      <alignment vertical="center" wrapText="1"/>
    </xf>
    <xf numFmtId="164" fontId="6" fillId="0" borderId="0" applyAlignment="1" pivotButton="0" quotePrefix="0" xfId="0">
      <alignment vertical="center" wrapText="1"/>
    </xf>
    <xf numFmtId="169" fontId="26" fillId="4" borderId="0" applyAlignment="1" pivotButton="0" quotePrefix="0" xfId="0">
      <alignment horizontal="center" vertical="center" wrapText="1"/>
    </xf>
    <xf numFmtId="172" fontId="2" fillId="0" borderId="0" applyAlignment="1" pivotButton="0" quotePrefix="0" xfId="0">
      <alignment vertical="center" wrapText="1"/>
    </xf>
    <xf numFmtId="0" fontId="3" fillId="3" borderId="0" pivotButton="0" quotePrefix="0" xfId="0"/>
    <xf numFmtId="0" fontId="11" fillId="2" borderId="1" applyAlignment="1" pivotButton="0" quotePrefix="0" xfId="0">
      <alignment horizontal="center" vertical="center" wrapText="1"/>
    </xf>
    <xf numFmtId="0" fontId="21" fillId="0" borderId="1" applyAlignment="1" pivotButton="0" quotePrefix="0" xfId="0">
      <alignment vertical="top" wrapText="1"/>
    </xf>
    <xf numFmtId="0" fontId="21" fillId="0" borderId="1" applyAlignment="1" pivotButton="0" quotePrefix="0" xfId="0">
      <alignment horizontal="center" vertical="center" wrapText="1"/>
    </xf>
    <xf numFmtId="0" fontId="27" fillId="0" borderId="1" applyAlignment="1" pivotButton="0" quotePrefix="0" xfId="0">
      <alignment vertical="top" wrapText="1"/>
    </xf>
    <xf numFmtId="164" fontId="21" fillId="0" borderId="1" applyAlignment="1" pivotButton="0" quotePrefix="0" xfId="0">
      <alignment vertical="top" wrapText="1"/>
    </xf>
    <xf numFmtId="9" fontId="21" fillId="0" borderId="1" applyAlignment="1" pivotButton="0" quotePrefix="0" xfId="0">
      <alignment vertical="top" wrapText="1"/>
    </xf>
    <xf numFmtId="170" fontId="21" fillId="0" borderId="1" applyAlignment="1" pivotButton="0" quotePrefix="0" xfId="0">
      <alignment vertical="top" wrapText="1"/>
    </xf>
    <xf numFmtId="3" fontId="21" fillId="0" borderId="1" applyAlignment="1" pivotButton="0" quotePrefix="0" xfId="0">
      <alignment vertical="top" wrapText="1"/>
    </xf>
    <xf numFmtId="165" fontId="21" fillId="0" borderId="1" applyAlignment="1" pivotButton="0" quotePrefix="0" xfId="0">
      <alignment vertical="top" wrapText="1"/>
    </xf>
    <xf numFmtId="0" fontId="2" fillId="0" borderId="1" applyAlignment="1" pivotButton="0" quotePrefix="0" xfId="0">
      <alignment vertical="top" wrapText="1"/>
    </xf>
    <xf numFmtId="0" fontId="6" fillId="0" borderId="1" applyAlignment="1" pivotButton="0" quotePrefix="0" xfId="0">
      <alignment vertical="top" wrapText="1"/>
    </xf>
    <xf numFmtId="164" fontId="6" fillId="0" borderId="1" applyAlignment="1" pivotButton="0" quotePrefix="0" xfId="0">
      <alignment vertical="top" wrapText="1"/>
    </xf>
    <xf numFmtId="172" fontId="6" fillId="0" borderId="1" applyAlignment="1" pivotButton="0" quotePrefix="0" xfId="0">
      <alignment vertical="top" wrapText="1"/>
    </xf>
    <xf numFmtId="169" fontId="6" fillId="0" borderId="1" applyAlignment="1" pivotButton="0" quotePrefix="0" xfId="0">
      <alignment vertical="top" wrapText="1"/>
    </xf>
    <xf numFmtId="0" fontId="6" fillId="13" borderId="1" applyAlignment="1" pivotButton="0" quotePrefix="0" xfId="0">
      <alignment vertical="top" wrapText="1"/>
    </xf>
    <xf numFmtId="0" fontId="6" fillId="5" borderId="1" applyAlignment="1" pivotButton="0" quotePrefix="0" xfId="0">
      <alignment vertical="top" wrapText="1"/>
    </xf>
    <xf numFmtId="0" fontId="6" fillId="14" borderId="1" applyAlignment="1" pivotButton="0" quotePrefix="0" xfId="0">
      <alignment vertical="top" wrapText="1"/>
    </xf>
    <xf numFmtId="0" fontId="13" fillId="0" borderId="1" applyAlignment="1" pivotButton="0" quotePrefix="0" xfId="0">
      <alignment horizontal="center" vertical="center" wrapText="1"/>
    </xf>
    <xf numFmtId="0" fontId="6" fillId="15" borderId="1" applyAlignment="1" pivotButton="0" quotePrefix="0" xfId="0">
      <alignment vertical="top" wrapText="1"/>
    </xf>
    <xf numFmtId="0" fontId="6" fillId="16" borderId="1" applyAlignment="1" pivotButton="0" quotePrefix="0" xfId="0">
      <alignment vertical="top" wrapText="1"/>
    </xf>
    <xf numFmtId="0" fontId="34" fillId="0" borderId="0" pivotButton="0" quotePrefix="0" xfId="0"/>
    <xf numFmtId="0" fontId="29" fillId="0" borderId="0" pivotButton="0" quotePrefix="0" xfId="0"/>
    <xf numFmtId="0" fontId="20" fillId="2" borderId="1" applyAlignment="1" pivotButton="0" quotePrefix="0" xfId="0">
      <alignment vertical="top" wrapText="1"/>
    </xf>
    <xf numFmtId="0" fontId="32" fillId="0" borderId="1" applyAlignment="1" pivotButton="0" quotePrefix="0" xfId="0">
      <alignment vertical="top" wrapText="1"/>
    </xf>
    <xf numFmtId="0" fontId="32" fillId="13" borderId="1" applyAlignment="1" pivotButton="0" quotePrefix="0" xfId="0">
      <alignment vertical="top" wrapText="1"/>
    </xf>
    <xf numFmtId="0" fontId="32" fillId="16" borderId="1" applyAlignment="1" pivotButton="0" quotePrefix="0" xfId="0">
      <alignment vertical="top" wrapText="1"/>
    </xf>
    <xf numFmtId="0" fontId="32" fillId="5" borderId="1" applyAlignment="1" pivotButton="0" quotePrefix="0" xfId="0">
      <alignment vertical="top" wrapText="1"/>
    </xf>
    <xf numFmtId="0" fontId="30" fillId="0" borderId="0" pivotButton="0" quotePrefix="0" xfId="0"/>
    <xf numFmtId="164" fontId="32" fillId="0" borderId="1" applyAlignment="1" pivotButton="0" quotePrefix="0" xfId="0">
      <alignment vertical="top" wrapText="1"/>
    </xf>
    <xf numFmtId="0" fontId="35" fillId="0" borderId="0" pivotButton="0" quotePrefix="0" xfId="0"/>
    <xf numFmtId="0" fontId="1" fillId="2" borderId="0" applyAlignment="1" pivotButton="0" quotePrefix="0" xfId="0">
      <alignment vertical="center" indent="1"/>
    </xf>
    <xf numFmtId="0" fontId="2" fillId="0" borderId="0" pivotButton="0" quotePrefix="0" xfId="0"/>
    <xf numFmtId="0" fontId="3" fillId="3" borderId="0" applyAlignment="1" pivotButton="0" quotePrefix="0" xfId="0">
      <alignment vertical="center"/>
    </xf>
    <xf numFmtId="0" fontId="6" fillId="0" borderId="0" applyAlignment="1" pivotButton="0" quotePrefix="0" xfId="0">
      <alignment vertical="center"/>
    </xf>
    <xf numFmtId="0" fontId="7" fillId="4" borderId="0" pivotButton="0" quotePrefix="0" xfId="0"/>
    <xf numFmtId="0" fontId="8" fillId="4" borderId="0" pivotButton="0" quotePrefix="0" xfId="0"/>
    <xf numFmtId="0" fontId="9" fillId="4" borderId="0" pivotButton="0" quotePrefix="0" xfId="0"/>
    <xf numFmtId="0" fontId="10" fillId="0" borderId="0" pivotButton="0" quotePrefix="0" xfId="0"/>
    <xf numFmtId="164" fontId="5" fillId="0" borderId="1" applyAlignment="1" pivotButton="0" quotePrefix="0" xfId="0">
      <alignment vertical="top" wrapText="1"/>
    </xf>
    <xf numFmtId="164" fontId="12" fillId="0" borderId="1" applyAlignment="1" pivotButton="0" quotePrefix="0" xfId="0">
      <alignment vertical="top" wrapText="1"/>
    </xf>
    <xf numFmtId="0" fontId="12" fillId="0" borderId="1" applyAlignment="1" pivotButton="0" quotePrefix="0" xfId="0">
      <alignment vertical="top" wrapText="1"/>
    </xf>
    <xf numFmtId="9" fontId="6" fillId="0" borderId="1" applyAlignment="1" pivotButton="0" quotePrefix="0" xfId="0">
      <alignment vertical="top" wrapText="1"/>
    </xf>
    <xf numFmtId="3" fontId="6" fillId="0" borderId="1" applyAlignment="1" pivotButton="0" quotePrefix="0" xfId="0">
      <alignment vertical="top" wrapText="1"/>
    </xf>
    <xf numFmtId="165" fontId="6" fillId="0" borderId="1" applyAlignment="1" pivotButton="0" quotePrefix="0" xfId="0">
      <alignment vertical="top" wrapText="1"/>
    </xf>
    <xf numFmtId="0" fontId="5" fillId="5" borderId="1" applyAlignment="1" pivotButton="0" quotePrefix="0" xfId="0">
      <alignment vertical="top" wrapText="1"/>
    </xf>
    <xf numFmtId="0" fontId="11" fillId="2" borderId="1" pivotButton="0" quotePrefix="0" xfId="0"/>
    <xf numFmtId="0" fontId="0" fillId="0" borderId="4" pivotButton="0" quotePrefix="0" xfId="0"/>
    <xf numFmtId="0" fontId="0" fillId="0" borderId="5" pivotButton="0" quotePrefix="0" xfId="0"/>
    <xf numFmtId="49" fontId="6" fillId="0" borderId="1" pivotButton="0" quotePrefix="0" xfId="0"/>
    <xf numFmtId="166" fontId="6" fillId="0" borderId="1" pivotButton="0" quotePrefix="0" xfId="0"/>
    <xf numFmtId="167" fontId="6" fillId="0" borderId="1" pivotButton="0" quotePrefix="0" xfId="0"/>
    <xf numFmtId="3" fontId="6" fillId="0" borderId="1" pivotButton="0" quotePrefix="0" xfId="0"/>
    <xf numFmtId="168" fontId="6" fillId="0" borderId="1" pivotButton="0" quotePrefix="0" xfId="0"/>
    <xf numFmtId="169" fontId="6" fillId="0" borderId="1" pivotButton="0" quotePrefix="0" xfId="0"/>
    <xf numFmtId="164" fontId="6" fillId="0" borderId="1" pivotButton="0" quotePrefix="0" xfId="0"/>
    <xf numFmtId="0" fontId="14" fillId="0" borderId="0" applyAlignment="1" pivotButton="0" quotePrefix="0" xfId="0">
      <alignment vertical="top" wrapText="1"/>
    </xf>
    <xf numFmtId="0" fontId="15" fillId="6" borderId="0" applyAlignment="1" pivotButton="0" quotePrefix="0" xfId="0">
      <alignment horizontal="center" vertical="center" wrapText="1"/>
    </xf>
    <xf numFmtId="0" fontId="15" fillId="7" borderId="0" applyAlignment="1" pivotButton="0" quotePrefix="0" xfId="0">
      <alignment horizontal="center" vertical="center" wrapText="1"/>
    </xf>
    <xf numFmtId="0" fontId="15" fillId="8" borderId="0" applyAlignment="1" pivotButton="0" quotePrefix="0" xfId="0">
      <alignment horizontal="center" vertical="center" wrapText="1"/>
    </xf>
    <xf numFmtId="0" fontId="15" fillId="9" borderId="0" applyAlignment="1" pivotButton="0" quotePrefix="0" xfId="0">
      <alignment horizontal="center" vertical="center" wrapText="1"/>
    </xf>
    <xf numFmtId="0" fontId="15" fillId="10" borderId="0" applyAlignment="1" pivotButton="0" quotePrefix="0" xfId="0">
      <alignment horizontal="center" vertical="center" wrapText="1"/>
    </xf>
    <xf numFmtId="0" fontId="15" fillId="11" borderId="0" applyAlignment="1" pivotButton="0" quotePrefix="0" xfId="0">
      <alignment horizontal="center" vertical="center" wrapText="1"/>
    </xf>
    <xf numFmtId="0" fontId="6" fillId="0" borderId="1" applyAlignment="1" pivotButton="0" quotePrefix="0" xfId="0">
      <alignment vertical="top"/>
    </xf>
    <xf numFmtId="3" fontId="6" fillId="0" borderId="1" applyAlignment="1" pivotButton="0" quotePrefix="0" xfId="0">
      <alignment vertical="top"/>
    </xf>
    <xf numFmtId="164" fontId="6" fillId="0" borderId="1" applyAlignment="1" pivotButton="0" quotePrefix="0" xfId="0">
      <alignment vertical="top"/>
    </xf>
    <xf numFmtId="169" fontId="6" fillId="6" borderId="1" applyAlignment="1" pivotButton="0" quotePrefix="0" xfId="0">
      <alignment vertical="top"/>
    </xf>
    <xf numFmtId="0" fontId="6" fillId="6" borderId="1" applyAlignment="1" pivotButton="0" quotePrefix="0" xfId="0">
      <alignment vertical="top"/>
    </xf>
    <xf numFmtId="170" fontId="6" fillId="6" borderId="1" applyAlignment="1" pivotButton="0" quotePrefix="0" xfId="0">
      <alignment vertical="top"/>
    </xf>
    <xf numFmtId="166" fontId="6" fillId="6" borderId="1" applyAlignment="1" pivotButton="0" quotePrefix="0" xfId="0">
      <alignment vertical="top"/>
    </xf>
    <xf numFmtId="165" fontId="6" fillId="0" borderId="1" applyAlignment="1" pivotButton="0" quotePrefix="0" xfId="0">
      <alignment vertical="top"/>
    </xf>
    <xf numFmtId="171" fontId="6" fillId="0" borderId="1" applyAlignment="1" pivotButton="0" quotePrefix="0" xfId="0">
      <alignment vertical="top"/>
    </xf>
    <xf numFmtId="9" fontId="6" fillId="0" borderId="1" applyAlignment="1" pivotButton="0" quotePrefix="0" xfId="0">
      <alignment vertical="top"/>
    </xf>
    <xf numFmtId="172" fontId="6" fillId="6" borderId="1" applyAlignment="1" pivotButton="0" quotePrefix="0" xfId="0">
      <alignment vertical="top"/>
    </xf>
    <xf numFmtId="0" fontId="6" fillId="10" borderId="1" applyAlignment="1" pivotButton="0" quotePrefix="0" xfId="0">
      <alignment vertical="top"/>
    </xf>
    <xf numFmtId="164" fontId="6" fillId="10" borderId="1" applyAlignment="1" pivotButton="0" quotePrefix="0" xfId="0">
      <alignment vertical="top"/>
    </xf>
    <xf numFmtId="0" fontId="6" fillId="11" borderId="1" applyAlignment="1" pivotButton="0" quotePrefix="0" xfId="0">
      <alignment vertical="top"/>
    </xf>
    <xf numFmtId="164" fontId="6" fillId="11" borderId="1" applyAlignment="1" pivotButton="0" quotePrefix="0" xfId="0">
      <alignment vertical="top"/>
    </xf>
    <xf numFmtId="3" fontId="6" fillId="11" borderId="1" applyAlignment="1" pivotButton="0" quotePrefix="0" xfId="0">
      <alignment vertical="top"/>
    </xf>
    <xf numFmtId="173" fontId="6" fillId="6" borderId="1" applyAlignment="1" pivotButton="0" quotePrefix="0" xfId="0">
      <alignment vertical="top"/>
    </xf>
    <xf numFmtId="164" fontId="16" fillId="12" borderId="1" applyAlignment="1" pivotButton="0" quotePrefix="0" xfId="0">
      <alignment vertical="top"/>
    </xf>
    <xf numFmtId="0" fontId="16" fillId="12" borderId="1" applyAlignment="1" pivotButton="0" quotePrefix="0" xfId="0">
      <alignment vertical="top"/>
    </xf>
    <xf numFmtId="3" fontId="16" fillId="12" borderId="1" applyAlignment="1" pivotButton="0" quotePrefix="0" xfId="0">
      <alignment vertical="top"/>
    </xf>
    <xf numFmtId="0" fontId="6" fillId="0" borderId="0" applyAlignment="1" pivotButton="0" quotePrefix="0" xfId="0">
      <alignment vertical="top" wrapText="1"/>
    </xf>
    <xf numFmtId="0" fontId="17" fillId="0" borderId="0" applyAlignment="1" pivotButton="0" quotePrefix="0" xfId="0">
      <alignment vertical="top" wrapText="1"/>
    </xf>
    <xf numFmtId="0" fontId="18" fillId="5" borderId="0" pivotButton="0" quotePrefix="0" xfId="0"/>
    <xf numFmtId="0" fontId="19" fillId="0" borderId="0" pivotButton="0" quotePrefix="0" xfId="0"/>
    <xf numFmtId="0" fontId="20" fillId="2" borderId="0" pivotButton="0" quotePrefix="0" xfId="0"/>
    <xf numFmtId="0" fontId="21" fillId="0" borderId="0" pivotButton="0" quotePrefix="0" xfId="0"/>
    <xf numFmtId="0" fontId="33" fillId="0" borderId="0" pivotButton="0" quotePrefix="0" xfId="0"/>
    <xf numFmtId="0" fontId="6" fillId="0" borderId="0" pivotButton="0" quotePrefix="0" xfId="0"/>
  </cellXfs>
  <cellStyles count="1">
    <cellStyle name="Normal" xfId="0" builtinId="0" hidden="0"/>
  </cellStyles>
  <dxfs count="3">
    <dxf>
      <fill>
        <patternFill patternType="solid">
          <fgColor rgb="00F8CBAD"/>
        </patternFill>
      </fill>
    </dxf>
    <dxf>
      <fill>
        <patternFill patternType="solid">
          <fgColor rgb="00C6EFCE"/>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comments/comment1.xml><?xml version="1.0" encoding="utf-8"?>
<comments xmlns="http://schemas.openxmlformats.org/spreadsheetml/2006/main">
  <authors>
    <author>Tracker</author>
  </authors>
  <commentList>
    <comment ref="A118" authorId="0" shapeId="0">
      <text>
        <t>Live product image (Excel 365 / Google Sheets IMAGE). 'IMAGE MISSING' = no verified image URL; see Data Gaps.</t>
      </text>
    </comment>
    <comment ref="D118" authorId="0" shapeId="0">
      <text>
        <t>Command Center mapping tier against this product.</t>
      </text>
    </comment>
    <comment ref="I118" authorId="0" shapeId="0">
      <text>
        <t>Variation count: Data Dive family count, else ASINsight child-ASIN count.</t>
      </text>
    </comment>
    <comment ref="J118" authorId="0" shapeId="0">
      <text>
        <t>The fewest child ASINs carrying 80% of this competitor's ASINsight impressions.</t>
      </text>
    </comment>
    <comment ref="N118" authorId="0" shapeId="0">
      <text>
        <t>How far List Price sits above price. Oct 13 page check of 154 core rivals: strikethrough shown on 2 of 3 at &lt;=12%, 13 of 13 at 12-25%, 11 of 13 above 25% - the size of the gap does not stop Amazon showing it.</t>
      </text>
    </comment>
    <comment ref="W118" authorId="0" shapeId="0">
      <text>
        <t>Date the Command Center last captured this competitor's price, BSR and reviews. Orange = older than 7 days before the build.</t>
      </text>
    </comment>
    <comment ref="AA118" authorId="0" shapeId="0">
      <text>
        <t>Impression-like 7-day figure, not clicks or sales. Blank = unmeasured.</t>
      </text>
    </comment>
    <comment ref="AF118" authorId="0" shapeId="0">
      <text>
        <t>Share of their traffic on keywords where they hold a Sponsored Products placement.</t>
      </text>
    </comment>
    <comment ref="AJ118" authorId="0" shapeId="0">
      <text>
        <t>Keywords both they and we rank on (our latest ASINsight export).</t>
      </text>
    </comment>
    <comment ref="AP118" authorId="0" shapeId="0">
      <text>
        <t>Organic visibility score Jun 23-26 vs Jun 1-20, 2026 (baseline score 5+).</t>
      </text>
    </comment>
    <comment ref="AR118" authorId="0" shapeId="0">
      <text>
        <t>From the Amazon page check (str_check_&lt;date&gt;.csv). Blank = not checked yet (P2 rows).</t>
      </text>
    </comment>
    <comment ref="BA118" authorId="0" shapeId="0">
      <text>
        <t>Keepa: median daily lowest price (Buy Box, Lightning Deal or Prime Exclusive), Nov 1-19, 2025, end-of-day state - same basis as the BFCM low.</t>
      </text>
    </comment>
    <comment ref="BB118" authorId="0" shapeId="0">
      <text>
        <t>Keepa: lowest of Buy Box, Lightning Deal and Prime Exclusive price, Nov 20 - Dec 1, 2025. Coupons not netted (see Notes).</t>
      </text>
    </comment>
    <comment ref="BD118" authorId="0" shapeId="0">
      <text>
        <t>Keepa: median daily sales rank, Nov 1-19, 2025.</t>
      </text>
    </comment>
    <comment ref="BE118" authorId="0" shapeId="0">
      <text>
        <t>Keepa: median daily sales rank, Nov 20 - Dec 1, 2025. BSR lift = pre / BFCM (above 1 = sold faster).</t>
      </text>
    </comment>
  </commentList>
</comments>
</file>

<file path=xl/comments/comment2.xml><?xml version="1.0" encoding="utf-8"?>
<comments xmlns="http://schemas.openxmlformats.org/spreadsheetml/2006/main">
  <authors>
    <author>Tracker</author>
  </authors>
  <commentList>
    <comment ref="A118" authorId="0" shapeId="0">
      <text>
        <t>Live product image (Excel 365 / Google Sheets IMAGE). 'IMAGE MISSING' = no verified image URL; see Data Gaps.</t>
      </text>
    </comment>
    <comment ref="D118" authorId="0" shapeId="0">
      <text>
        <t>Command Center mapping tier against this product.</t>
      </text>
    </comment>
    <comment ref="I118" authorId="0" shapeId="0">
      <text>
        <t>Variation count: Data Dive family count, else ASINsight child-ASIN count.</t>
      </text>
    </comment>
    <comment ref="J118" authorId="0" shapeId="0">
      <text>
        <t>The fewest child ASINs carrying 80% of this competitor's ASINsight impressions.</t>
      </text>
    </comment>
    <comment ref="N118" authorId="0" shapeId="0">
      <text>
        <t>How far List Price sits above price. Oct 13 page check of 154 core rivals: strikethrough shown on 2 of 3 at &lt;=12%, 13 of 13 at 12-25%, 11 of 13 above 25% - the size of the gap does not stop Amazon showing it.</t>
      </text>
    </comment>
    <comment ref="W118" authorId="0" shapeId="0">
      <text>
        <t>Date the Command Center last captured this competitor's price, BSR and reviews. Orange = older than 7 days before the build.</t>
      </text>
    </comment>
    <comment ref="AA118" authorId="0" shapeId="0">
      <text>
        <t>Impression-like 7-day figure, not clicks or sales. Blank = unmeasured.</t>
      </text>
    </comment>
    <comment ref="AF118" authorId="0" shapeId="0">
      <text>
        <t>Share of their traffic on keywords where they hold a Sponsored Products placement.</t>
      </text>
    </comment>
    <comment ref="AJ118" authorId="0" shapeId="0">
      <text>
        <t>Keywords both they and we rank on (our latest ASINsight export).</t>
      </text>
    </comment>
    <comment ref="AP118" authorId="0" shapeId="0">
      <text>
        <t>Organic visibility score Jun 23-26 vs Jun 1-20, 2026 (baseline score 5+).</t>
      </text>
    </comment>
    <comment ref="AR118" authorId="0" shapeId="0">
      <text>
        <t>From the Amazon page check (str_check_&lt;date&gt;.csv). Blank = not checked yet (P2 rows).</t>
      </text>
    </comment>
    <comment ref="BA118" authorId="0" shapeId="0">
      <text>
        <t>Keepa: median daily lowest price (Buy Box, Lightning Deal or Prime Exclusive), Nov 1-19, 2025, end-of-day state - same basis as the BFCM low.</t>
      </text>
    </comment>
    <comment ref="BB118" authorId="0" shapeId="0">
      <text>
        <t>Keepa: lowest of Buy Box, Lightning Deal and Prime Exclusive price, Nov 20 - Dec 1, 2025. Coupons not netted (see Notes).</t>
      </text>
    </comment>
    <comment ref="BD118" authorId="0" shapeId="0">
      <text>
        <t>Keepa: median daily sales rank, Nov 1-19, 2025.</t>
      </text>
    </comment>
    <comment ref="BE118" authorId="0" shapeId="0">
      <text>
        <t>Keepa: median daily sales rank, Nov 20 - Dec 1, 2025. BSR lift = pre / BFCM (above 1 = sold faster).</t>
      </text>
    </comment>
  </commentList>
</comments>
</file>

<file path=xl/comments/comment3.xml><?xml version="1.0" encoding="utf-8"?>
<comments xmlns="http://schemas.openxmlformats.org/spreadsheetml/2006/main">
  <authors>
    <author>Tracker</author>
  </authors>
  <commentList>
    <comment ref="A123" authorId="0" shapeId="0">
      <text>
        <t>Live product image (Excel 365 / Google Sheets IMAGE). 'IMAGE MISSING' = no verified image URL; see Data Gaps.</t>
      </text>
    </comment>
    <comment ref="D123" authorId="0" shapeId="0">
      <text>
        <t>Command Center mapping tier against this product.</t>
      </text>
    </comment>
    <comment ref="I123" authorId="0" shapeId="0">
      <text>
        <t>Variation count: Data Dive family count, else ASINsight child-ASIN count.</t>
      </text>
    </comment>
    <comment ref="J123" authorId="0" shapeId="0">
      <text>
        <t>The fewest child ASINs carrying 80% of this competitor's ASINsight impressions.</t>
      </text>
    </comment>
    <comment ref="N123" authorId="0" shapeId="0">
      <text>
        <t>How far List Price sits above price. Oct 13 page check of 154 core rivals: strikethrough shown on 2 of 3 at &lt;=12%, 13 of 13 at 12-25%, 11 of 13 above 25% - the size of the gap does not stop Amazon showing it.</t>
      </text>
    </comment>
    <comment ref="W123" authorId="0" shapeId="0">
      <text>
        <t>Date the Command Center last captured this competitor's price, BSR and reviews. Orange = older than 7 days before the build.</t>
      </text>
    </comment>
    <comment ref="AA123" authorId="0" shapeId="0">
      <text>
        <t>Impression-like 7-day figure, not clicks or sales. Blank = unmeasured.</t>
      </text>
    </comment>
    <comment ref="AF123" authorId="0" shapeId="0">
      <text>
        <t>Share of their traffic on keywords where they hold a Sponsored Products placement.</t>
      </text>
    </comment>
    <comment ref="AJ123" authorId="0" shapeId="0">
      <text>
        <t>Keywords both they and we rank on (our latest ASINsight export).</t>
      </text>
    </comment>
    <comment ref="AP123" authorId="0" shapeId="0">
      <text>
        <t>Organic visibility score Jun 23-26 vs Jun 1-20, 2026 (baseline score 5+).</t>
      </text>
    </comment>
    <comment ref="AR123" authorId="0" shapeId="0">
      <text>
        <t>From the Amazon page check (str_check_&lt;date&gt;.csv). Blank = not checked yet (P2 rows).</t>
      </text>
    </comment>
    <comment ref="BA123" authorId="0" shapeId="0">
      <text>
        <t>Keepa: median daily lowest price (Buy Box, Lightning Deal or Prime Exclusive), Nov 1-19, 2025, end-of-day state - same basis as the BFCM low.</t>
      </text>
    </comment>
    <comment ref="BB123" authorId="0" shapeId="0">
      <text>
        <t>Keepa: lowest of Buy Box, Lightning Deal and Prime Exclusive price, Nov 20 - Dec 1, 2025. Coupons not netted (see Notes).</t>
      </text>
    </comment>
    <comment ref="BD123" authorId="0" shapeId="0">
      <text>
        <t>Keepa: median daily sales rank, Nov 1-19, 2025.</t>
      </text>
    </comment>
    <comment ref="BE123" authorId="0" shapeId="0">
      <text>
        <t>Keepa: median daily sales rank, Nov 20 - Dec 1, 2025. BSR lift = pre / BFCM (above 1 = sold faster).</t>
      </text>
    </comment>
  </commentList>
</comments>
</file>

<file path=xl/comments/comment4.xml><?xml version="1.0" encoding="utf-8"?>
<comments xmlns="http://schemas.openxmlformats.org/spreadsheetml/2006/main">
  <authors>
    <author>Tracker</author>
  </authors>
  <commentList>
    <comment ref="A119" authorId="0" shapeId="0">
      <text>
        <t>Live product image (Excel 365 / Google Sheets IMAGE). 'IMAGE MISSING' = no verified image URL; see Data Gaps.</t>
      </text>
    </comment>
    <comment ref="D119" authorId="0" shapeId="0">
      <text>
        <t>Command Center mapping tier against this product.</t>
      </text>
    </comment>
    <comment ref="I119" authorId="0" shapeId="0">
      <text>
        <t>Variation count: Data Dive family count, else ASINsight child-ASIN count.</t>
      </text>
    </comment>
    <comment ref="J119" authorId="0" shapeId="0">
      <text>
        <t>The fewest child ASINs carrying 80% of this competitor's ASINsight impressions.</t>
      </text>
    </comment>
    <comment ref="N119" authorId="0" shapeId="0">
      <text>
        <t>How far List Price sits above price. Oct 13 page check of 154 core rivals: strikethrough shown on 2 of 3 at &lt;=12%, 13 of 13 at 12-25%, 11 of 13 above 25% - the size of the gap does not stop Amazon showing it.</t>
      </text>
    </comment>
    <comment ref="W119" authorId="0" shapeId="0">
      <text>
        <t>Date the Command Center last captured this competitor's price, BSR and reviews. Orange = older than 7 days before the build.</t>
      </text>
    </comment>
    <comment ref="AA119" authorId="0" shapeId="0">
      <text>
        <t>Impression-like 7-day figure, not clicks or sales. Blank = unmeasured.</t>
      </text>
    </comment>
    <comment ref="AF119" authorId="0" shapeId="0">
      <text>
        <t>Share of their traffic on keywords where they hold a Sponsored Products placement.</t>
      </text>
    </comment>
    <comment ref="AJ119" authorId="0" shapeId="0">
      <text>
        <t>Keywords both they and we rank on (our latest ASINsight export).</t>
      </text>
    </comment>
    <comment ref="AP119" authorId="0" shapeId="0">
      <text>
        <t>Organic visibility score Jun 23-26 vs Jun 1-20, 2026 (baseline score 5+).</t>
      </text>
    </comment>
    <comment ref="AR119" authorId="0" shapeId="0">
      <text>
        <t>From the Amazon page check (str_check_&lt;date&gt;.csv). Blank = not checked yet (P2 rows).</t>
      </text>
    </comment>
    <comment ref="BA119" authorId="0" shapeId="0">
      <text>
        <t>Keepa: median daily lowest price (Buy Box, Lightning Deal or Prime Exclusive), Nov 1-19, 2025, end-of-day state - same basis as the BFCM low.</t>
      </text>
    </comment>
    <comment ref="BB119" authorId="0" shapeId="0">
      <text>
        <t>Keepa: lowest of Buy Box, Lightning Deal and Prime Exclusive price, Nov 20 - Dec 1, 2025. Coupons not netted (see Notes).</t>
      </text>
    </comment>
    <comment ref="BD119" authorId="0" shapeId="0">
      <text>
        <t>Keepa: median daily sales rank, Nov 1-19, 2025.</t>
      </text>
    </comment>
    <comment ref="BE119" authorId="0" shapeId="0">
      <text>
        <t>Keepa: median daily sales rank, Nov 20 - Dec 1, 2025. BSR lift = pre / BFCM (above 1 = sold faster).</t>
      </text>
    </comment>
  </commentList>
</comments>
</file>

<file path=xl/comments/comment5.xml><?xml version="1.0" encoding="utf-8"?>
<comments xmlns="http://schemas.openxmlformats.org/spreadsheetml/2006/main">
  <authors>
    <author>Tracker</author>
  </authors>
  <commentList>
    <comment ref="A120" authorId="0" shapeId="0">
      <text>
        <t>Live product image (Excel 365 / Google Sheets IMAGE). 'IMAGE MISSING' = no verified image URL; see Data Gaps.</t>
      </text>
    </comment>
    <comment ref="D120" authorId="0" shapeId="0">
      <text>
        <t>Command Center mapping tier against this product.</t>
      </text>
    </comment>
    <comment ref="I120" authorId="0" shapeId="0">
      <text>
        <t>Variation count: Data Dive family count, else ASINsight child-ASIN count.</t>
      </text>
    </comment>
    <comment ref="J120" authorId="0" shapeId="0">
      <text>
        <t>The fewest child ASINs carrying 80% of this competitor's ASINsight impressions.</t>
      </text>
    </comment>
    <comment ref="N120" authorId="0" shapeId="0">
      <text>
        <t>How far List Price sits above price. Oct 13 page check of 154 core rivals: strikethrough shown on 2 of 3 at &lt;=12%, 13 of 13 at 12-25%, 11 of 13 above 25% - the size of the gap does not stop Amazon showing it.</t>
      </text>
    </comment>
    <comment ref="W120" authorId="0" shapeId="0">
      <text>
        <t>Date the Command Center last captured this competitor's price, BSR and reviews. Orange = older than 7 days before the build.</t>
      </text>
    </comment>
    <comment ref="AA120" authorId="0" shapeId="0">
      <text>
        <t>Impression-like 7-day figure, not clicks or sales. Blank = unmeasured.</t>
      </text>
    </comment>
    <comment ref="AF120" authorId="0" shapeId="0">
      <text>
        <t>Share of their traffic on keywords where they hold a Sponsored Products placement.</t>
      </text>
    </comment>
    <comment ref="AJ120" authorId="0" shapeId="0">
      <text>
        <t>Keywords both they and we rank on (our latest ASINsight export).</t>
      </text>
    </comment>
    <comment ref="AP120" authorId="0" shapeId="0">
      <text>
        <t>Organic visibility score Jun 23-26 vs Jun 1-20, 2026 (baseline score 5+).</t>
      </text>
    </comment>
    <comment ref="AR120" authorId="0" shapeId="0">
      <text>
        <t>From the Amazon page check (str_check_&lt;date&gt;.csv). Blank = not checked yet (P2 rows).</t>
      </text>
    </comment>
    <comment ref="BA120" authorId="0" shapeId="0">
      <text>
        <t>Keepa: median daily lowest price (Buy Box, Lightning Deal or Prime Exclusive), Nov 1-19, 2025, end-of-day state - same basis as the BFCM low.</t>
      </text>
    </comment>
    <comment ref="BB120" authorId="0" shapeId="0">
      <text>
        <t>Keepa: lowest of Buy Box, Lightning Deal and Prime Exclusive price, Nov 20 - Dec 1, 2025. Coupons not netted (see Notes).</t>
      </text>
    </comment>
    <comment ref="BD120" authorId="0" shapeId="0">
      <text>
        <t>Keepa: median daily sales rank, Nov 1-19, 2025.</t>
      </text>
    </comment>
    <comment ref="BE120" authorId="0" shapeId="0">
      <text>
        <t>Keepa: median daily sales rank, Nov 20 - Dec 1, 2025. BSR lift = pre / BFCM (above 1 = sold faster).</t>
      </text>
    </comment>
  </commentList>
</comments>
</file>

<file path=xl/comments/comment6.xml><?xml version="1.0" encoding="utf-8"?>
<comments xmlns="http://schemas.openxmlformats.org/spreadsheetml/2006/main">
  <authors>
    <author>Tracker</author>
  </authors>
  <commentList>
    <comment ref="A118" authorId="0" shapeId="0">
      <text>
        <t>Live product image (Excel 365 / Google Sheets IMAGE). 'IMAGE MISSING' = no verified image URL; see Data Gaps.</t>
      </text>
    </comment>
    <comment ref="D118" authorId="0" shapeId="0">
      <text>
        <t>Command Center mapping tier against this product.</t>
      </text>
    </comment>
    <comment ref="I118" authorId="0" shapeId="0">
      <text>
        <t>Variation count: Data Dive family count, else ASINsight child-ASIN count.</t>
      </text>
    </comment>
    <comment ref="J118" authorId="0" shapeId="0">
      <text>
        <t>The fewest child ASINs carrying 80% of this competitor's ASINsight impressions.</t>
      </text>
    </comment>
    <comment ref="N118" authorId="0" shapeId="0">
      <text>
        <t>How far List Price sits above price. Oct 13 page check of 154 core rivals: strikethrough shown on 2 of 3 at &lt;=12%, 13 of 13 at 12-25%, 11 of 13 above 25% - the size of the gap does not stop Amazon showing it.</t>
      </text>
    </comment>
    <comment ref="W118" authorId="0" shapeId="0">
      <text>
        <t>Date the Command Center last captured this competitor's price, BSR and reviews. Orange = older than 7 days before the build.</t>
      </text>
    </comment>
    <comment ref="AA118" authorId="0" shapeId="0">
      <text>
        <t>Impression-like 7-day figure, not clicks or sales. Blank = unmeasured.</t>
      </text>
    </comment>
    <comment ref="AF118" authorId="0" shapeId="0">
      <text>
        <t>Share of their traffic on keywords where they hold a Sponsored Products placement.</t>
      </text>
    </comment>
    <comment ref="AJ118" authorId="0" shapeId="0">
      <text>
        <t>Keywords both they and we rank on (our latest ASINsight export).</t>
      </text>
    </comment>
    <comment ref="AP118" authorId="0" shapeId="0">
      <text>
        <t>Organic visibility score Jun 23-26 vs Jun 1-20, 2026 (baseline score 5+).</t>
      </text>
    </comment>
    <comment ref="AR118" authorId="0" shapeId="0">
      <text>
        <t>From the Amazon page check (str_check_&lt;date&gt;.csv). Blank = not checked yet (P2 rows).</t>
      </text>
    </comment>
    <comment ref="BA118" authorId="0" shapeId="0">
      <text>
        <t>Keepa: median daily lowest price (Buy Box, Lightning Deal or Prime Exclusive), Nov 1-19, 2025, end-of-day state - same basis as the BFCM low.</t>
      </text>
    </comment>
    <comment ref="BB118" authorId="0" shapeId="0">
      <text>
        <t>Keepa: lowest of Buy Box, Lightning Deal and Prime Exclusive price, Nov 20 - Dec 1, 2025. Coupons not netted (see Notes).</t>
      </text>
    </comment>
    <comment ref="BD118" authorId="0" shapeId="0">
      <text>
        <t>Keepa: median daily sales rank, Nov 1-19, 2025.</t>
      </text>
    </comment>
    <comment ref="BE118" authorId="0" shapeId="0">
      <text>
        <t>Keepa: median daily sales rank, Nov 20 - Dec 1, 2025. BSR lift = pre / BFCM (above 1 = sold faster).</t>
      </text>
    </comment>
  </commentList>
</comments>
</file>

<file path=xl/comments/comment7.xml><?xml version="1.0" encoding="utf-8"?>
<comments xmlns="http://schemas.openxmlformats.org/spreadsheetml/2006/main">
  <authors>
    <author>Tracker</author>
  </authors>
  <commentList>
    <comment ref="A51" authorId="0" shapeId="0">
      <text>
        <t>Live product image (Excel 365 / Google Sheets IMAGE). 'IMAGE MISSING' = no verified image URL; see Data Gaps.</t>
      </text>
    </comment>
    <comment ref="D51" authorId="0" shapeId="0">
      <text>
        <t>Command Center mapping tier against this product.</t>
      </text>
    </comment>
    <comment ref="I51" authorId="0" shapeId="0">
      <text>
        <t>Variation count: Data Dive family count, else ASINsight child-ASIN count.</t>
      </text>
    </comment>
    <comment ref="J51" authorId="0" shapeId="0">
      <text>
        <t>The fewest child ASINs carrying 80% of this competitor's ASINsight impressions.</t>
      </text>
    </comment>
    <comment ref="N51" authorId="0" shapeId="0">
      <text>
        <t>How far List Price sits above price. Oct 13 page check of 154 core rivals: strikethrough shown on 2 of 3 at &lt;=12%, 13 of 13 at 12-25%, 11 of 13 above 25% - the size of the gap does not stop Amazon showing it.</t>
      </text>
    </comment>
    <comment ref="W51" authorId="0" shapeId="0">
      <text>
        <t>Date the Command Center last captured this competitor's price, BSR and reviews. Orange = older than 7 days before the build.</t>
      </text>
    </comment>
    <comment ref="AA51" authorId="0" shapeId="0">
      <text>
        <t>Impression-like 7-day figure, not clicks or sales. Blank = unmeasured.</t>
      </text>
    </comment>
    <comment ref="AF51" authorId="0" shapeId="0">
      <text>
        <t>Share of their traffic on keywords where they hold a Sponsored Products placement.</t>
      </text>
    </comment>
    <comment ref="AJ51" authorId="0" shapeId="0">
      <text>
        <t>Keywords both they and we rank on (our latest ASINsight export).</t>
      </text>
    </comment>
    <comment ref="AP51" authorId="0" shapeId="0">
      <text>
        <t>Organic visibility score Jun 23-26 vs Jun 1-20, 2026 (baseline score 5+).</t>
      </text>
    </comment>
    <comment ref="AR51" authorId="0" shapeId="0">
      <text>
        <t>From the Amazon page check (str_check_&lt;date&gt;.csv). Blank = not checked yet (P2 rows).</t>
      </text>
    </comment>
    <comment ref="BA51" authorId="0" shapeId="0">
      <text>
        <t>Keepa: median daily lowest price (Buy Box, Lightning Deal or Prime Exclusive), Nov 1-19, 2025, end-of-day state - same basis as the BFCM low.</t>
      </text>
    </comment>
    <comment ref="BB51" authorId="0" shapeId="0">
      <text>
        <t>Keepa: lowest of Buy Box, Lightning Deal and Prime Exclusive price, Nov 20 - Dec 1, 2025. Coupons not netted (see Notes).</t>
      </text>
    </comment>
    <comment ref="BD51" authorId="0" shapeId="0">
      <text>
        <t>Keepa: median daily sales rank, Nov 1-19, 2025.</t>
      </text>
    </comment>
    <comment ref="BE51" authorId="0" shapeId="0">
      <text>
        <t>Keepa: median daily sales rank, Nov 20 - Dec 1, 2025. BSR lift = pre / BFCM (above 1 = sold faster).</t>
      </text>
    </comment>
  </commentList>
</comments>
</file>

<file path=xl/comments/comment8.xml><?xml version="1.0" encoding="utf-8"?>
<comments xmlns="http://schemas.openxmlformats.org/spreadsheetml/2006/main">
  <authors>
    <author>Tracker</author>
  </authors>
  <commentList>
    <comment ref="A84" authorId="0" shapeId="0">
      <text>
        <t>Live product image (Excel 365 / Google Sheets IMAGE). 'IMAGE MISSING' = no verified image URL; see Data Gaps.</t>
      </text>
    </comment>
    <comment ref="D84" authorId="0" shapeId="0">
      <text>
        <t>Command Center mapping tier against this product.</t>
      </text>
    </comment>
    <comment ref="I84" authorId="0" shapeId="0">
      <text>
        <t>Variation count: Data Dive family count, else ASINsight child-ASIN count.</t>
      </text>
    </comment>
    <comment ref="J84" authorId="0" shapeId="0">
      <text>
        <t>The fewest child ASINs carrying 80% of this competitor's ASINsight impressions.</t>
      </text>
    </comment>
    <comment ref="N84" authorId="0" shapeId="0">
      <text>
        <t>How far List Price sits above price. Oct 13 page check of 154 core rivals: strikethrough shown on 2 of 3 at &lt;=12%, 13 of 13 at 12-25%, 11 of 13 above 25% - the size of the gap does not stop Amazon showing it.</t>
      </text>
    </comment>
    <comment ref="W84" authorId="0" shapeId="0">
      <text>
        <t>Date the Command Center last captured this competitor's price, BSR and reviews. Orange = older than 7 days before the build.</t>
      </text>
    </comment>
    <comment ref="AA84" authorId="0" shapeId="0">
      <text>
        <t>Impression-like 7-day figure, not clicks or sales. Blank = unmeasured.</t>
      </text>
    </comment>
    <comment ref="AF84" authorId="0" shapeId="0">
      <text>
        <t>Share of their traffic on keywords where they hold a Sponsored Products placement.</t>
      </text>
    </comment>
    <comment ref="AJ84" authorId="0" shapeId="0">
      <text>
        <t>Keywords both they and we rank on (our latest ASINsight export).</t>
      </text>
    </comment>
    <comment ref="AP84" authorId="0" shapeId="0">
      <text>
        <t>Organic visibility score Jun 23-26 vs Jun 1-20, 2026 (baseline score 5+).</t>
      </text>
    </comment>
    <comment ref="AR84" authorId="0" shapeId="0">
      <text>
        <t>From the Amazon page check (str_check_&lt;date&gt;.csv). Blank = not checked yet (P2 rows).</t>
      </text>
    </comment>
    <comment ref="BA84" authorId="0" shapeId="0">
      <text>
        <t>Keepa: median daily lowest price (Buy Box, Lightning Deal or Prime Exclusive), Nov 1-19, 2025, end-of-day state - same basis as the BFCM low.</t>
      </text>
    </comment>
    <comment ref="BB84" authorId="0" shapeId="0">
      <text>
        <t>Keepa: lowest of Buy Box, Lightning Deal and Prime Exclusive price, Nov 20 - Dec 1, 2025. Coupons not netted (see Notes).</t>
      </text>
    </comment>
    <comment ref="BD84" authorId="0" shapeId="0">
      <text>
        <t>Keepa: median daily sales rank, Nov 1-19, 2025.</t>
      </text>
    </comment>
    <comment ref="BE84" authorId="0" shapeId="0">
      <text>
        <t>Keepa: median daily sales rank, Nov 20 - Dec 1, 2025. BSR lift = pre / BFCM (above 1 = sold faster).</t>
      </text>
    </comment>
  </commentList>
</comments>
</file>

<file path=xl/comments/comment9.xml><?xml version="1.0" encoding="utf-8"?>
<comments xmlns="http://schemas.openxmlformats.org/spreadsheetml/2006/main">
  <authors>
    <author>Tracker</author>
  </authors>
  <commentList>
    <comment ref="A155" authorId="0" shapeId="0">
      <text>
        <t>Live product image (Excel 365 / Google Sheets IMAGE). 'IMAGE MISSING' = no verified image URL; see Data Gaps.</t>
      </text>
    </comment>
    <comment ref="D155" authorId="0" shapeId="0">
      <text>
        <t>Command Center mapping tier against this product.</t>
      </text>
    </comment>
    <comment ref="I155" authorId="0" shapeId="0">
      <text>
        <t>Variation count: Data Dive family count, else ASINsight child-ASIN count.</t>
      </text>
    </comment>
    <comment ref="J155" authorId="0" shapeId="0">
      <text>
        <t>The fewest child ASINs carrying 80% of this competitor's ASINsight impressions.</t>
      </text>
    </comment>
    <comment ref="N155" authorId="0" shapeId="0">
      <text>
        <t>How far List Price sits above price. Oct 13 page check of 154 core rivals: strikethrough shown on 2 of 3 at &lt;=12%, 13 of 13 at 12-25%, 11 of 13 above 25% - the size of the gap does not stop Amazon showing it.</t>
      </text>
    </comment>
    <comment ref="W155" authorId="0" shapeId="0">
      <text>
        <t>Date the Command Center last captured this competitor's price, BSR and reviews. Orange = older than 7 days before the build.</t>
      </text>
    </comment>
    <comment ref="AA155" authorId="0" shapeId="0">
      <text>
        <t>Impression-like 7-day figure, not clicks or sales. Blank = unmeasured.</t>
      </text>
    </comment>
    <comment ref="AF155" authorId="0" shapeId="0">
      <text>
        <t>Share of their traffic on keywords where they hold a Sponsored Products placement.</t>
      </text>
    </comment>
    <comment ref="AJ155" authorId="0" shapeId="0">
      <text>
        <t>Keywords both they and we rank on (our latest ASINsight export).</t>
      </text>
    </comment>
    <comment ref="AP155" authorId="0" shapeId="0">
      <text>
        <t>Organic visibility score Jun 23-26 vs Jun 1-20, 2026 (baseline score 5+).</t>
      </text>
    </comment>
    <comment ref="AR155" authorId="0" shapeId="0">
      <text>
        <t>From the Amazon page check (str_check_&lt;date&gt;.csv). Blank = not checked yet (P2 rows).</t>
      </text>
    </comment>
    <comment ref="BA155" authorId="0" shapeId="0">
      <text>
        <t>Keepa: median daily lowest price (Buy Box, Lightning Deal or Prime Exclusive), Nov 1-19, 2025, end-of-day state - same basis as the BFCM low.</t>
      </text>
    </comment>
    <comment ref="BB155" authorId="0" shapeId="0">
      <text>
        <t>Keepa: lowest of Buy Box, Lightning Deal and Prime Exclusive price, Nov 20 - Dec 1, 2025. Coupons not netted (see Notes).</t>
      </text>
    </comment>
    <comment ref="BD155" authorId="0" shapeId="0">
      <text>
        <t>Keepa: median daily sales rank, Nov 1-19, 2025.</t>
      </text>
    </comment>
    <comment ref="BE155" authorId="0" shapeId="0">
      <text>
        <t>Keepa: median daily sales rank, Nov 20 - Dec 1, 2025. BSR lift = pre / BFCM (above 1 = sold faster).</t>
      </text>
    </comment>
  </commentList>
</comments>
</file>

<file path=xl/comments/comment10.xml><?xml version="1.0" encoding="utf-8"?>
<comments xmlns="http://schemas.openxmlformats.org/spreadsheetml/2006/main">
  <authors>
    <author>Tracker</author>
  </authors>
  <commentList>
    <comment ref="A165" authorId="0" shapeId="0">
      <text>
        <t>Live product image (Excel 365 / Google Sheets IMAGE). 'IMAGE MISSING' = no verified image URL; see Data Gaps.</t>
      </text>
    </comment>
    <comment ref="D165" authorId="0" shapeId="0">
      <text>
        <t>Command Center mapping tier against this product.</t>
      </text>
    </comment>
    <comment ref="I165" authorId="0" shapeId="0">
      <text>
        <t>Variation count: Data Dive family count, else ASINsight child-ASIN count.</t>
      </text>
    </comment>
    <comment ref="J165" authorId="0" shapeId="0">
      <text>
        <t>The fewest child ASINs carrying 80% of this competitor's ASINsight impressions.</t>
      </text>
    </comment>
    <comment ref="N165" authorId="0" shapeId="0">
      <text>
        <t>How far List Price sits above price. Oct 13 page check of 154 core rivals: strikethrough shown on 2 of 3 at &lt;=12%, 13 of 13 at 12-25%, 11 of 13 above 25% - the size of the gap does not stop Amazon showing it.</t>
      </text>
    </comment>
    <comment ref="W165" authorId="0" shapeId="0">
      <text>
        <t>Date the Command Center last captured this competitor's price, BSR and reviews. Orange = older than 7 days before the build.</t>
      </text>
    </comment>
    <comment ref="AA165" authorId="0" shapeId="0">
      <text>
        <t>Impression-like 7-day figure, not clicks or sales. Blank = unmeasured.</t>
      </text>
    </comment>
    <comment ref="AF165" authorId="0" shapeId="0">
      <text>
        <t>Share of their traffic on keywords where they hold a Sponsored Products placement.</t>
      </text>
    </comment>
    <comment ref="AJ165" authorId="0" shapeId="0">
      <text>
        <t>Keywords both they and we rank on (our latest ASINsight export).</t>
      </text>
    </comment>
    <comment ref="AP165" authorId="0" shapeId="0">
      <text>
        <t>Organic visibility score Jun 23-26 vs Jun 1-20, 2026 (baseline score 5+).</t>
      </text>
    </comment>
    <comment ref="AR165" authorId="0" shapeId="0">
      <text>
        <t>From the Amazon page check (str_check_&lt;date&gt;.csv). Blank = not checked yet (P2 rows).</t>
      </text>
    </comment>
    <comment ref="BA165" authorId="0" shapeId="0">
      <text>
        <t>Keepa: median daily lowest price (Buy Box, Lightning Deal or Prime Exclusive), Nov 1-19, 2025, end-of-day state - same basis as the BFCM low.</t>
      </text>
    </comment>
    <comment ref="BB165" authorId="0" shapeId="0">
      <text>
        <t>Keepa: lowest of Buy Box, Lightning Deal and Prime Exclusive price, Nov 20 - Dec 1, 2025. Coupons not netted (see Notes).</t>
      </text>
    </comment>
    <comment ref="BD165" authorId="0" shapeId="0">
      <text>
        <t>Keepa: median daily sales rank, Nov 1-19, 2025.</t>
      </text>
    </comment>
    <comment ref="BE165" authorId="0" shapeId="0">
      <text>
        <t>Keepa: median daily sales rank, Nov 20 - Dec 1, 2025. BSR lift = pre / BFCM (above 1 = sold faster).</t>
      </text>
    </comment>
  </commentList>
</comments>
</file>

<file path=xl/comments/comment11.xml><?xml version="1.0" encoding="utf-8"?>
<comments xmlns="http://schemas.openxmlformats.org/spreadsheetml/2006/main">
  <authors>
    <author>Tracker</author>
  </authors>
  <commentList>
    <comment ref="A156" authorId="0" shapeId="0">
      <text>
        <t>Live product image (Excel 365 / Google Sheets IMAGE). 'IMAGE MISSING' = no verified image URL; see Data Gaps.</t>
      </text>
    </comment>
    <comment ref="D156" authorId="0" shapeId="0">
      <text>
        <t>Command Center mapping tier against this product.</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N156" authorId="0" shapeId="0">
      <text>
        <t>How far List Price sits above price. Oct 13 page check of 154 core rivals: strikethrough shown on 2 of 3 at &lt;=12%, 13 of 13 at 12-25%, 11 of 13 above 25% - the size of the gap does not stop Amazon showing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List>
</comments>
</file>

<file path=xl/comments/comment12.xml><?xml version="1.0" encoding="utf-8"?>
<comments xmlns="http://schemas.openxmlformats.org/spreadsheetml/2006/main">
  <authors>
    <author>Tracker</author>
  </authors>
  <commentList>
    <comment ref="A156" authorId="0" shapeId="0">
      <text>
        <t>Live product image (Excel 365 / Google Sheets IMAGE). 'IMAGE MISSING' = no verified image URL; see Data Gaps.</t>
      </text>
    </comment>
    <comment ref="D156" authorId="0" shapeId="0">
      <text>
        <t>Command Center mapping tier against this product.</t>
      </text>
    </comment>
    <comment ref="I156" authorId="0" shapeId="0">
      <text>
        <t>Variation count: Data Dive family count, else ASINsight child-ASIN count.</t>
      </text>
    </comment>
    <comment ref="J156" authorId="0" shapeId="0">
      <text>
        <t>The fewest child ASINs carrying 80% of this competitor's ASINsight impressions.</t>
      </text>
    </comment>
    <comment ref="N156" authorId="0" shapeId="0">
      <text>
        <t>How far List Price sits above price. Oct 13 page check of 154 core rivals: strikethrough shown on 2 of 3 at &lt;=12%, 13 of 13 at 12-25%, 11 of 13 above 25% - the size of the gap does not stop Amazon showing it.</t>
      </text>
    </comment>
    <comment ref="W156" authorId="0" shapeId="0">
      <text>
        <t>Date the Command Center last captured this competitor's price, BSR and reviews. Orange = older than 7 days before the build.</t>
      </text>
    </comment>
    <comment ref="AA156" authorId="0" shapeId="0">
      <text>
        <t>Impression-like 7-day figure, not clicks or sales. Blank = unmeasured.</t>
      </text>
    </comment>
    <comment ref="AF156" authorId="0" shapeId="0">
      <text>
        <t>Share of their traffic on keywords where they hold a Sponsored Products placement.</t>
      </text>
    </comment>
    <comment ref="AJ156" authorId="0" shapeId="0">
      <text>
        <t>Keywords both they and we rank on (our latest ASINsight export).</t>
      </text>
    </comment>
    <comment ref="AP156" authorId="0" shapeId="0">
      <text>
        <t>Organic visibility score Jun 23-26 vs Jun 1-20, 2026 (baseline score 5+).</t>
      </text>
    </comment>
    <comment ref="AR156" authorId="0" shapeId="0">
      <text>
        <t>From the Amazon page check (str_check_&lt;date&gt;.csv). Blank = not checked yet (P2 rows).</t>
      </text>
    </comment>
    <comment ref="BA156" authorId="0" shapeId="0">
      <text>
        <t>Keepa: median daily lowest price (Buy Box, Lightning Deal or Prime Exclusive), Nov 1-19, 2025, end-of-day state - same basis as the BFCM low.</t>
      </text>
    </comment>
    <comment ref="BB156" authorId="0" shapeId="0">
      <text>
        <t>Keepa: lowest of Buy Box, Lightning Deal and Prime Exclusive price, Nov 20 - Dec 1, 2025. Coupons not netted (see Notes).</t>
      </text>
    </comment>
    <comment ref="BD156" authorId="0" shapeId="0">
      <text>
        <t>Keepa: median daily sales rank, Nov 1-19, 2025.</t>
      </text>
    </comment>
    <comment ref="BE156" authorId="0" shapeId="0">
      <text>
        <t>Keepa: median daily sales rank, Nov 20 - Dec 1, 2025. BSR lift = pre / BFCM (above 1 = sold faster).</t>
      </text>
    </comment>
  </commentList>
</comments>
</file>

<file path=xl/comments/comment13.xml><?xml version="1.0" encoding="utf-8"?>
<comments xmlns="http://schemas.openxmlformats.org/spreadsheetml/2006/main">
  <authors>
    <author>Tracker</author>
  </authors>
  <commentList>
    <comment ref="A154" authorId="0" shapeId="0">
      <text>
        <t>Live product image (Excel 365 / Google Sheets IMAGE). 'IMAGE MISSING' = no verified image URL; see Data Gaps.</t>
      </text>
    </comment>
    <comment ref="D154" authorId="0" shapeId="0">
      <text>
        <t>Command Center mapping tier against this product.</t>
      </text>
    </comment>
    <comment ref="I154" authorId="0" shapeId="0">
      <text>
        <t>Variation count: Data Dive family count, else ASINsight child-ASIN count.</t>
      </text>
    </comment>
    <comment ref="J154" authorId="0" shapeId="0">
      <text>
        <t>The fewest child ASINs carrying 80% of this competitor's ASINsight impressions.</t>
      </text>
    </comment>
    <comment ref="N154" authorId="0" shapeId="0">
      <text>
        <t>How far List Price sits above price. Oct 13 page check of 154 core rivals: strikethrough shown on 2 of 3 at &lt;=12%, 13 of 13 at 12-25%, 11 of 13 above 25% - the size of the gap does not stop Amazon showing it.</t>
      </text>
    </comment>
    <comment ref="W154" authorId="0" shapeId="0">
      <text>
        <t>Date the Command Center last captured this competitor's price, BSR and reviews. Orange = older than 7 days before the build.</t>
      </text>
    </comment>
    <comment ref="AA154" authorId="0" shapeId="0">
      <text>
        <t>Impression-like 7-day figure, not clicks or sales. Blank = unmeasured.</t>
      </text>
    </comment>
    <comment ref="AF154" authorId="0" shapeId="0">
      <text>
        <t>Share of their traffic on keywords where they hold a Sponsored Products placement.</t>
      </text>
    </comment>
    <comment ref="AJ154" authorId="0" shapeId="0">
      <text>
        <t>Keywords both they and we rank on (our latest ASINsight export).</t>
      </text>
    </comment>
    <comment ref="AP154" authorId="0" shapeId="0">
      <text>
        <t>Organic visibility score Jun 23-26 vs Jun 1-20, 2026 (baseline score 5+).</t>
      </text>
    </comment>
    <comment ref="AR154" authorId="0" shapeId="0">
      <text>
        <t>From the Amazon page check (str_check_&lt;date&gt;.csv). Blank = not checked yet (P2 rows).</t>
      </text>
    </comment>
    <comment ref="BA154" authorId="0" shapeId="0">
      <text>
        <t>Keepa: median daily lowest price (Buy Box, Lightning Deal or Prime Exclusive), Nov 1-19, 2025, end-of-day state - same basis as the BFCM low.</t>
      </text>
    </comment>
    <comment ref="BB154" authorId="0" shapeId="0">
      <text>
        <t>Keepa: lowest of Buy Box, Lightning Deal and Prime Exclusive price, Nov 20 - Dec 1, 2025. Coupons not netted (see Notes).</t>
      </text>
    </comment>
    <comment ref="BD154" authorId="0" shapeId="0">
      <text>
        <t>Keepa: median daily sales rank, Nov 1-19, 2025.</t>
      </text>
    </comment>
    <comment ref="BE154" authorId="0" shapeId="0">
      <text>
        <t>Keepa: median daily sales rank, Nov 20 - Dec 1, 2025. BSR lift = pre / BFCM (above 1 = sold faster).</t>
      </text>
    </comment>
  </commentList>
</comments>
</file>

<file path=xl/comments/comment14.xml><?xml version="1.0" encoding="utf-8"?>
<comments xmlns="http://schemas.openxmlformats.org/spreadsheetml/2006/main">
  <authors>
    <author>Tracker</author>
  </authors>
  <commentList>
    <comment ref="A154" authorId="0" shapeId="0">
      <text>
        <t>Live product image (Excel 365 / Google Sheets IMAGE). 'IMAGE MISSING' = no verified image URL; see Data Gaps.</t>
      </text>
    </comment>
    <comment ref="D154" authorId="0" shapeId="0">
      <text>
        <t>Command Center mapping tier against this product.</t>
      </text>
    </comment>
    <comment ref="I154" authorId="0" shapeId="0">
      <text>
        <t>Variation count: Data Dive family count, else ASINsight child-ASIN count.</t>
      </text>
    </comment>
    <comment ref="J154" authorId="0" shapeId="0">
      <text>
        <t>The fewest child ASINs carrying 80% of this competitor's ASINsight impressions.</t>
      </text>
    </comment>
    <comment ref="N154" authorId="0" shapeId="0">
      <text>
        <t>How far List Price sits above price. Oct 13 page check of 154 core rivals: strikethrough shown on 2 of 3 at &lt;=12%, 13 of 13 at 12-25%, 11 of 13 above 25% - the size of the gap does not stop Amazon showing it.</t>
      </text>
    </comment>
    <comment ref="W154" authorId="0" shapeId="0">
      <text>
        <t>Date the Command Center last captured this competitor's price, BSR and reviews. Orange = older than 7 days before the build.</t>
      </text>
    </comment>
    <comment ref="AA154" authorId="0" shapeId="0">
      <text>
        <t>Impression-like 7-day figure, not clicks or sales. Blank = unmeasured.</t>
      </text>
    </comment>
    <comment ref="AF154" authorId="0" shapeId="0">
      <text>
        <t>Share of their traffic on keywords where they hold a Sponsored Products placement.</t>
      </text>
    </comment>
    <comment ref="AJ154" authorId="0" shapeId="0">
      <text>
        <t>Keywords both they and we rank on (our latest ASINsight export).</t>
      </text>
    </comment>
    <comment ref="AP154" authorId="0" shapeId="0">
      <text>
        <t>Organic visibility score Jun 23-26 vs Jun 1-20, 2026 (baseline score 5+).</t>
      </text>
    </comment>
    <comment ref="AR154" authorId="0" shapeId="0">
      <text>
        <t>From the Amazon page check (str_check_&lt;date&gt;.csv). Blank = not checked yet (P2 rows).</t>
      </text>
    </comment>
    <comment ref="BA154" authorId="0" shapeId="0">
      <text>
        <t>Keepa: median daily lowest price (Buy Box, Lightning Deal or Prime Exclusive), Nov 1-19, 2025, end-of-day state - same basis as the BFCM low.</t>
      </text>
    </comment>
    <comment ref="BB154" authorId="0" shapeId="0">
      <text>
        <t>Keepa: lowest of Buy Box, Lightning Deal and Prime Exclusive price, Nov 20 - Dec 1, 2025. Coupons not netted (see Notes).</t>
      </text>
    </comment>
    <comment ref="BD154" authorId="0" shapeId="0">
      <text>
        <t>Keepa: median daily sales rank, Nov 1-19, 2025.</t>
      </text>
    </comment>
    <comment ref="BE154" authorId="0" shapeId="0">
      <text>
        <t>Keepa: median daily sales rank, Nov 20 - Dec 1, 2025. BSR lift = pre / BFCM (above 1 = sold faster).</t>
      </text>
    </comment>
  </commentList>
</comments>
</file>

<file path=xl/comments/comment15.xml><?xml version="1.0" encoding="utf-8"?>
<comments xmlns="http://schemas.openxmlformats.org/spreadsheetml/2006/main">
  <authors>
    <author>Tracker</author>
  </authors>
  <commentList>
    <comment ref="A146" authorId="0" shapeId="0">
      <text>
        <t>Live product image (Excel 365 / Google Sheets IMAGE). 'IMAGE MISSING' = no verified image URL; see Data Gaps.</t>
      </text>
    </comment>
    <comment ref="D146" authorId="0" shapeId="0">
      <text>
        <t>Command Center mapping tier against this product.</t>
      </text>
    </comment>
    <comment ref="I146" authorId="0" shapeId="0">
      <text>
        <t>Variation count: Data Dive family count, else ASINsight child-ASIN count.</t>
      </text>
    </comment>
    <comment ref="J146" authorId="0" shapeId="0">
      <text>
        <t>The fewest child ASINs carrying 80% of this competitor's ASINsight impressions.</t>
      </text>
    </comment>
    <comment ref="N146" authorId="0" shapeId="0">
      <text>
        <t>How far List Price sits above price. Oct 13 page check of 154 core rivals: strikethrough shown on 2 of 3 at &lt;=12%, 13 of 13 at 12-25%, 11 of 13 above 25% - the size of the gap does not stop Amazon showing it.</t>
      </text>
    </comment>
    <comment ref="W146" authorId="0" shapeId="0">
      <text>
        <t>Date the Command Center last captured this competitor's price, BSR and reviews. Orange = older than 7 days before the build.</t>
      </text>
    </comment>
    <comment ref="AA146" authorId="0" shapeId="0">
      <text>
        <t>Impression-like 7-day figure, not clicks or sales. Blank = unmeasured.</t>
      </text>
    </comment>
    <comment ref="AF146" authorId="0" shapeId="0">
      <text>
        <t>Share of their traffic on keywords where they hold a Sponsored Products placement.</t>
      </text>
    </comment>
    <comment ref="AJ146" authorId="0" shapeId="0">
      <text>
        <t>Keywords both they and we rank on (our latest ASINsight export).</t>
      </text>
    </comment>
    <comment ref="AP146" authorId="0" shapeId="0">
      <text>
        <t>Organic visibility score Jun 23-26 vs Jun 1-20, 2026 (baseline score 5+).</t>
      </text>
    </comment>
    <comment ref="AR146" authorId="0" shapeId="0">
      <text>
        <t>From the Amazon page check (str_check_&lt;date&gt;.csv). Blank = not checked yet (P2 rows).</t>
      </text>
    </comment>
    <comment ref="BA146" authorId="0" shapeId="0">
      <text>
        <t>Keepa: median daily lowest price (Buy Box, Lightning Deal or Prime Exclusive), Nov 1-19, 2025, end-of-day state - same basis as the BFCM low.</t>
      </text>
    </comment>
    <comment ref="BB146" authorId="0" shapeId="0">
      <text>
        <t>Keepa: lowest of Buy Box, Lightning Deal and Prime Exclusive price, Nov 20 - Dec 1, 2025. Coupons not netted (see Notes).</t>
      </text>
    </comment>
    <comment ref="BD146" authorId="0" shapeId="0">
      <text>
        <t>Keepa: median daily sales rank, Nov 1-19, 2025.</t>
      </text>
    </comment>
    <comment ref="BE146" authorId="0" shapeId="0">
      <text>
        <t>Keepa: median daily sales rank, Nov 20 - Dec 1, 2025. BSR lift = pre / BFCM (above 1 = sold faster).</t>
      </text>
    </comment>
  </commentList>
</comments>
</file>

<file path=xl/comments/comment16.xml><?xml version="1.0" encoding="utf-8"?>
<comments xmlns="http://schemas.openxmlformats.org/spreadsheetml/2006/main">
  <authors>
    <author>Tracker</author>
  </authors>
  <commentList>
    <comment ref="A105" authorId="0" shapeId="0">
      <text>
        <t>Live product image (Excel 365 / Google Sheets IMAGE). 'IMAGE MISSING' = no verified image URL; see Data Gaps.</t>
      </text>
    </comment>
    <comment ref="D105" authorId="0" shapeId="0">
      <text>
        <t>Command Center mapping tier against this product.</t>
      </text>
    </comment>
    <comment ref="I105" authorId="0" shapeId="0">
      <text>
        <t>Variation count: Data Dive family count, else ASINsight child-ASIN count.</t>
      </text>
    </comment>
    <comment ref="J105" authorId="0" shapeId="0">
      <text>
        <t>The fewest child ASINs carrying 80% of this competitor's ASINsight impressions.</t>
      </text>
    </comment>
    <comment ref="N105" authorId="0" shapeId="0">
      <text>
        <t>How far List Price sits above price. Oct 13 page check of 154 core rivals: strikethrough shown on 2 of 3 at &lt;=12%, 13 of 13 at 12-25%, 11 of 13 above 25% - the size of the gap does not stop Amazon showing it.</t>
      </text>
    </comment>
    <comment ref="W105" authorId="0" shapeId="0">
      <text>
        <t>Date the Command Center last captured this competitor's price, BSR and reviews. Orange = older than 7 days before the build.</t>
      </text>
    </comment>
    <comment ref="AA105" authorId="0" shapeId="0">
      <text>
        <t>Impression-like 7-day figure, not clicks or sales. Blank = unmeasured.</t>
      </text>
    </comment>
    <comment ref="AF105" authorId="0" shapeId="0">
      <text>
        <t>Share of their traffic on keywords where they hold a Sponsored Products placement.</t>
      </text>
    </comment>
    <comment ref="AJ105" authorId="0" shapeId="0">
      <text>
        <t>Keywords both they and we rank on (our latest ASINsight export).</t>
      </text>
    </comment>
    <comment ref="AP105" authorId="0" shapeId="0">
      <text>
        <t>Organic visibility score Jun 23-26 vs Jun 1-20, 2026 (baseline score 5+).</t>
      </text>
    </comment>
    <comment ref="AR105" authorId="0" shapeId="0">
      <text>
        <t>From the Amazon page check (str_check_&lt;date&gt;.csv). Blank = not checked yet (P2 rows).</t>
      </text>
    </comment>
    <comment ref="BA105" authorId="0" shapeId="0">
      <text>
        <t>Keepa: median daily lowest price (Buy Box, Lightning Deal or Prime Exclusive), Nov 1-19, 2025, end-of-day state - same basis as the BFCM low.</t>
      </text>
    </comment>
    <comment ref="BB105" authorId="0" shapeId="0">
      <text>
        <t>Keepa: lowest of Buy Box, Lightning Deal and Prime Exclusive price, Nov 20 - Dec 1, 2025. Coupons not netted (see Notes).</t>
      </text>
    </comment>
    <comment ref="BD105" authorId="0" shapeId="0">
      <text>
        <t>Keepa: median daily sales rank, Nov 1-19, 2025.</t>
      </text>
    </comment>
    <comment ref="BE105" authorId="0" shapeId="0">
      <text>
        <t>Keepa: median daily sales rank, Nov 20 - Dec 1, 2025. BSR lift = pre / BFCM (above 1 = sold faster).</t>
      </text>
    </comment>
  </commentList>
</comments>
</file>

<file path=xl/comments/comment17.xml><?xml version="1.0" encoding="utf-8"?>
<comments xmlns="http://schemas.openxmlformats.org/spreadsheetml/2006/main">
  <authors>
    <author>Tracker</author>
  </authors>
  <commentList>
    <comment ref="A106" authorId="0" shapeId="0">
      <text>
        <t>Live product image (Excel 365 / Google Sheets IMAGE). 'IMAGE MISSING' = no verified image URL; see Data Gaps.</t>
      </text>
    </comment>
    <comment ref="D106" authorId="0" shapeId="0">
      <text>
        <t>Command Center mapping tier against this product.</t>
      </text>
    </comment>
    <comment ref="I106" authorId="0" shapeId="0">
      <text>
        <t>Variation count: Data Dive family count, else ASINsight child-ASIN count.</t>
      </text>
    </comment>
    <comment ref="J106" authorId="0" shapeId="0">
      <text>
        <t>The fewest child ASINs carrying 80% of this competitor's ASINsight impressions.</t>
      </text>
    </comment>
    <comment ref="N106" authorId="0" shapeId="0">
      <text>
        <t>How far List Price sits above price. Oct 13 page check of 154 core rivals: strikethrough shown on 2 of 3 at &lt;=12%, 13 of 13 at 12-25%, 11 of 13 above 25% - the size of the gap does not stop Amazon showing it.</t>
      </text>
    </comment>
    <comment ref="W106" authorId="0" shapeId="0">
      <text>
        <t>Date the Command Center last captured this competitor's price, BSR and reviews. Orange = older than 7 days before the build.</t>
      </text>
    </comment>
    <comment ref="AA106" authorId="0" shapeId="0">
      <text>
        <t>Impression-like 7-day figure, not clicks or sales. Blank = unmeasured.</t>
      </text>
    </comment>
    <comment ref="AF106" authorId="0" shapeId="0">
      <text>
        <t>Share of their traffic on keywords where they hold a Sponsored Products placement.</t>
      </text>
    </comment>
    <comment ref="AJ106" authorId="0" shapeId="0">
      <text>
        <t>Keywords both they and we rank on (our latest ASINsight export).</t>
      </text>
    </comment>
    <comment ref="AP106" authorId="0" shapeId="0">
      <text>
        <t>Organic visibility score Jun 23-26 vs Jun 1-20, 2026 (baseline score 5+).</t>
      </text>
    </comment>
    <comment ref="AR106" authorId="0" shapeId="0">
      <text>
        <t>From the Amazon page check (str_check_&lt;date&gt;.csv). Blank = not checked yet (P2 rows).</t>
      </text>
    </comment>
    <comment ref="BA106" authorId="0" shapeId="0">
      <text>
        <t>Keepa: median daily lowest price (Buy Box, Lightning Deal or Prime Exclusive), Nov 1-19, 2025, end-of-day state - same basis as the BFCM low.</t>
      </text>
    </comment>
    <comment ref="BB106" authorId="0" shapeId="0">
      <text>
        <t>Keepa: lowest of Buy Box, Lightning Deal and Prime Exclusive price, Nov 20 - Dec 1, 2025. Coupons not netted (see Notes).</t>
      </text>
    </comment>
    <comment ref="BD106" authorId="0" shapeId="0">
      <text>
        <t>Keepa: median daily sales rank, Nov 1-19, 2025.</t>
      </text>
    </comment>
    <comment ref="BE106" authorId="0" shapeId="0">
      <text>
        <t>Keepa: median daily sales rank, Nov 20 - Dec 1, 2025. BSR lift = pre / BFCM (above 1 = sold faster).</t>
      </text>
    </comment>
  </commentList>
</comments>
</file>

<file path=xl/comments/comment18.xml><?xml version="1.0" encoding="utf-8"?>
<comments xmlns="http://schemas.openxmlformats.org/spreadsheetml/2006/main">
  <authors>
    <author>Tracker</author>
  </authors>
  <commentList>
    <comment ref="A55" authorId="0" shapeId="0">
      <text>
        <t>Live product image (Excel 365 / Google Sheets IMAGE). 'IMAGE MISSING' = no verified image URL; see Data Gaps.</t>
      </text>
    </comment>
    <comment ref="D55" authorId="0" shapeId="0">
      <text>
        <t>Command Center mapping tier against this product.</t>
      </text>
    </comment>
    <comment ref="I55" authorId="0" shapeId="0">
      <text>
        <t>Variation count: Data Dive family count, else ASINsight child-ASIN count.</t>
      </text>
    </comment>
    <comment ref="J55" authorId="0" shapeId="0">
      <text>
        <t>The fewest child ASINs carrying 80% of this competitor's ASINsight impressions.</t>
      </text>
    </comment>
    <comment ref="N55" authorId="0" shapeId="0">
      <text>
        <t>How far List Price sits above price. Oct 13 page check of 154 core rivals: strikethrough shown on 2 of 3 at &lt;=12%, 13 of 13 at 12-25%, 11 of 13 above 25% - the size of the gap does not stop Amazon showing it.</t>
      </text>
    </comment>
    <comment ref="W55" authorId="0" shapeId="0">
      <text>
        <t>Date the Command Center last captured this competitor's price, BSR and reviews. Orange = older than 7 days before the build.</t>
      </text>
    </comment>
    <comment ref="AA55" authorId="0" shapeId="0">
      <text>
        <t>Impression-like 7-day figure, not clicks or sales. Blank = unmeasured.</t>
      </text>
    </comment>
    <comment ref="AF55" authorId="0" shapeId="0">
      <text>
        <t>Share of their traffic on keywords where they hold a Sponsored Products placement.</t>
      </text>
    </comment>
    <comment ref="AJ55" authorId="0" shapeId="0">
      <text>
        <t>Keywords both they and we rank on (our latest ASINsight export).</t>
      </text>
    </comment>
    <comment ref="AP55" authorId="0" shapeId="0">
      <text>
        <t>Organic visibility score Jun 23-26 vs Jun 1-20, 2026 (baseline score 5+).</t>
      </text>
    </comment>
    <comment ref="AR55" authorId="0" shapeId="0">
      <text>
        <t>From the Amazon page check (str_check_&lt;date&gt;.csv). Blank = not checked yet (P2 rows).</t>
      </text>
    </comment>
    <comment ref="BA55" authorId="0" shapeId="0">
      <text>
        <t>Keepa: median daily lowest price (Buy Box, Lightning Deal or Prime Exclusive), Nov 1-19, 2025, end-of-day state - same basis as the BFCM low.</t>
      </text>
    </comment>
    <comment ref="BB55" authorId="0" shapeId="0">
      <text>
        <t>Keepa: lowest of Buy Box, Lightning Deal and Prime Exclusive price, Nov 20 - Dec 1, 2025. Coupons not netted (see Notes).</t>
      </text>
    </comment>
    <comment ref="BD55" authorId="0" shapeId="0">
      <text>
        <t>Keepa: median daily sales rank, Nov 1-19, 2025.</t>
      </text>
    </comment>
    <comment ref="BE55" authorId="0" shapeId="0">
      <text>
        <t>Keepa: median daily sales rank, Nov 20 - Dec 1, 2025. BSR lift = pre / BFCM (above 1 = sold faster).</t>
      </text>
    </comment>
  </commentList>
</comments>
</file>

<file path=xl/comments/comment19.xml><?xml version="1.0" encoding="utf-8"?>
<comments xmlns="http://schemas.openxmlformats.org/spreadsheetml/2006/main">
  <authors>
    <author>Tracker</author>
  </authors>
  <commentList>
    <comment ref="A40" authorId="0" shapeId="0">
      <text>
        <t>Live product image (Excel 365 / Google Sheets IMAGE). 'IMAGE MISSING' = no verified image URL; see Data Gaps.</t>
      </text>
    </comment>
    <comment ref="D40" authorId="0" shapeId="0">
      <text>
        <t>Command Center mapping tier against this product.</t>
      </text>
    </comment>
    <comment ref="I40" authorId="0" shapeId="0">
      <text>
        <t>Variation count: Data Dive family count, else ASINsight child-ASIN count.</t>
      </text>
    </comment>
    <comment ref="J40" authorId="0" shapeId="0">
      <text>
        <t>The fewest child ASINs carrying 80% of this competitor's ASINsight impressions.</t>
      </text>
    </comment>
    <comment ref="N40" authorId="0" shapeId="0">
      <text>
        <t>How far List Price sits above price. Oct 13 page check of 154 core rivals: strikethrough shown on 2 of 3 at &lt;=12%, 13 of 13 at 12-25%, 11 of 13 above 25% - the size of the gap does not stop Amazon showing it.</t>
      </text>
    </comment>
    <comment ref="W40" authorId="0" shapeId="0">
      <text>
        <t>Date the Command Center last captured this competitor's price, BSR and reviews. Orange = older than 7 days before the build.</t>
      </text>
    </comment>
    <comment ref="AA40" authorId="0" shapeId="0">
      <text>
        <t>Impression-like 7-day figure, not clicks or sales. Blank = unmeasured.</t>
      </text>
    </comment>
    <comment ref="AF40" authorId="0" shapeId="0">
      <text>
        <t>Share of their traffic on keywords where they hold a Sponsored Products placement.</t>
      </text>
    </comment>
    <comment ref="AJ40" authorId="0" shapeId="0">
      <text>
        <t>Keywords both they and we rank on (our latest ASINsight export).</t>
      </text>
    </comment>
    <comment ref="AP40" authorId="0" shapeId="0">
      <text>
        <t>Organic visibility score Jun 23-26 vs Jun 1-20, 2026 (baseline score 5+).</t>
      </text>
    </comment>
    <comment ref="AR40" authorId="0" shapeId="0">
      <text>
        <t>From the Amazon page check (str_check_&lt;date&gt;.csv). Blank = not checked yet (P2 rows).</t>
      </text>
    </comment>
    <comment ref="BA40" authorId="0" shapeId="0">
      <text>
        <t>Keepa: median daily lowest price (Buy Box, Lightning Deal or Prime Exclusive), Nov 1-19, 2025, end-of-day state - same basis as the BFCM low.</t>
      </text>
    </comment>
    <comment ref="BB40" authorId="0" shapeId="0">
      <text>
        <t>Keepa: lowest of Buy Box, Lightning Deal and Prime Exclusive price, Nov 20 - Dec 1, 2025. Coupons not netted (see Notes).</t>
      </text>
    </comment>
    <comment ref="BD40" authorId="0" shapeId="0">
      <text>
        <t>Keepa: median daily sales rank, Nov 1-19, 2025.</t>
      </text>
    </comment>
    <comment ref="BE40" authorId="0" shapeId="0">
      <text>
        <t>Keepa: median daily sales rank, Nov 20 - Dec 1, 2025. BSR lift = pre / BFCM (above 1 = sold faster).</t>
      </text>
    </comment>
  </commentList>
</comments>
</file>

<file path=xl/comments/comment20.xml><?xml version="1.0" encoding="utf-8"?>
<comments xmlns="http://schemas.openxmlformats.org/spreadsheetml/2006/main">
  <authors>
    <author>Tracker</author>
  </authors>
  <commentList>
    <comment ref="A40" authorId="0" shapeId="0">
      <text>
        <t>Live product image (Excel 365 / Google Sheets IMAGE). 'IMAGE MISSING' = no verified image URL; see Data Gaps.</t>
      </text>
    </comment>
    <comment ref="D40" authorId="0" shapeId="0">
      <text>
        <t>Command Center mapping tier against this product.</t>
      </text>
    </comment>
    <comment ref="I40" authorId="0" shapeId="0">
      <text>
        <t>Variation count: Data Dive family count, else ASINsight child-ASIN count.</t>
      </text>
    </comment>
    <comment ref="J40" authorId="0" shapeId="0">
      <text>
        <t>The fewest child ASINs carrying 80% of this competitor's ASINsight impressions.</t>
      </text>
    </comment>
    <comment ref="N40" authorId="0" shapeId="0">
      <text>
        <t>How far List Price sits above price. Oct 13 page check of 154 core rivals: strikethrough shown on 2 of 3 at &lt;=12%, 13 of 13 at 12-25%, 11 of 13 above 25% - the size of the gap does not stop Amazon showing it.</t>
      </text>
    </comment>
    <comment ref="W40" authorId="0" shapeId="0">
      <text>
        <t>Date the Command Center last captured this competitor's price, BSR and reviews. Orange = older than 7 days before the build.</t>
      </text>
    </comment>
    <comment ref="AA40" authorId="0" shapeId="0">
      <text>
        <t>Impression-like 7-day figure, not clicks or sales. Blank = unmeasured.</t>
      </text>
    </comment>
    <comment ref="AF40" authorId="0" shapeId="0">
      <text>
        <t>Share of their traffic on keywords where they hold a Sponsored Products placement.</t>
      </text>
    </comment>
    <comment ref="AJ40" authorId="0" shapeId="0">
      <text>
        <t>Keywords both they and we rank on (our latest ASINsight export).</t>
      </text>
    </comment>
    <comment ref="AP40" authorId="0" shapeId="0">
      <text>
        <t>Organic visibility score Jun 23-26 vs Jun 1-20, 2026 (baseline score 5+).</t>
      </text>
    </comment>
    <comment ref="AR40" authorId="0" shapeId="0">
      <text>
        <t>From the Amazon page check (str_check_&lt;date&gt;.csv). Blank = not checked yet (P2 rows).</t>
      </text>
    </comment>
    <comment ref="BA40" authorId="0" shapeId="0">
      <text>
        <t>Keepa: median daily lowest price (Buy Box, Lightning Deal or Prime Exclusive), Nov 1-19, 2025, end-of-day state - same basis as the BFCM low.</t>
      </text>
    </comment>
    <comment ref="BB40" authorId="0" shapeId="0">
      <text>
        <t>Keepa: lowest of Buy Box, Lightning Deal and Prime Exclusive price, Nov 20 - Dec 1, 2025. Coupons not netted (see Notes).</t>
      </text>
    </comment>
    <comment ref="BD40" authorId="0" shapeId="0">
      <text>
        <t>Keepa: median daily sales rank, Nov 1-19, 2025.</t>
      </text>
    </comment>
    <comment ref="BE40" authorId="0" shapeId="0">
      <text>
        <t>Keepa: median daily sales rank, Nov 20 - Dec 1, 2025. BSR lift = pre / BFCM (above 1 = sold faster).</t>
      </text>
    </comment>
  </commentList>
</comments>
</file>

<file path=xl/comments/comment21.xml><?xml version="1.0" encoding="utf-8"?>
<comments xmlns="http://schemas.openxmlformats.org/spreadsheetml/2006/main">
  <authors>
    <author>Tracker</author>
  </authors>
  <commentList>
    <comment ref="A103" authorId="0" shapeId="0">
      <text>
        <t>Live product image (Excel 365 / Google Sheets IMAGE). 'IMAGE MISSING' = no verified image URL; see Data Gaps.</t>
      </text>
    </comment>
    <comment ref="D103" authorId="0" shapeId="0">
      <text>
        <t>Command Center mapping tier against this product.</t>
      </text>
    </comment>
    <comment ref="I103" authorId="0" shapeId="0">
      <text>
        <t>Variation count: Data Dive family count, else ASINsight child-ASIN count.</t>
      </text>
    </comment>
    <comment ref="J103" authorId="0" shapeId="0">
      <text>
        <t>The fewest child ASINs carrying 80% of this competitor's ASINsight impressions.</t>
      </text>
    </comment>
    <comment ref="N103" authorId="0" shapeId="0">
      <text>
        <t>How far List Price sits above price. Oct 13 page check of 154 core rivals: strikethrough shown on 2 of 3 at &lt;=12%, 13 of 13 at 12-25%, 11 of 13 above 25% - the size of the gap does not stop Amazon showing it.</t>
      </text>
    </comment>
    <comment ref="W103" authorId="0" shapeId="0">
      <text>
        <t>Date the Command Center last captured this competitor's price, BSR and reviews. Orange = older than 7 days before the build.</t>
      </text>
    </comment>
    <comment ref="AA103" authorId="0" shapeId="0">
      <text>
        <t>Impression-like 7-day figure, not clicks or sales. Blank = unmeasured.</t>
      </text>
    </comment>
    <comment ref="AF103" authorId="0" shapeId="0">
      <text>
        <t>Share of their traffic on keywords where they hold a Sponsored Products placement.</t>
      </text>
    </comment>
    <comment ref="AJ103" authorId="0" shapeId="0">
      <text>
        <t>Keywords both they and we rank on (our latest ASINsight export).</t>
      </text>
    </comment>
    <comment ref="AP103" authorId="0" shapeId="0">
      <text>
        <t>Organic visibility score Jun 23-26 vs Jun 1-20, 2026 (baseline score 5+).</t>
      </text>
    </comment>
    <comment ref="AR103" authorId="0" shapeId="0">
      <text>
        <t>From the Amazon page check (str_check_&lt;date&gt;.csv). Blank = not checked yet (P2 rows).</t>
      </text>
    </comment>
    <comment ref="BA103" authorId="0" shapeId="0">
      <text>
        <t>Keepa: median daily lowest price (Buy Box, Lightning Deal or Prime Exclusive), Nov 1-19, 2025, end-of-day state - same basis as the BFCM low.</t>
      </text>
    </comment>
    <comment ref="BB103" authorId="0" shapeId="0">
      <text>
        <t>Keepa: lowest of Buy Box, Lightning Deal and Prime Exclusive price, Nov 20 - Dec 1, 2025. Coupons not netted (see Notes).</t>
      </text>
    </comment>
    <comment ref="BD103" authorId="0" shapeId="0">
      <text>
        <t>Keepa: median daily sales rank, Nov 1-19, 2025.</t>
      </text>
    </comment>
    <comment ref="BE103" authorId="0" shapeId="0">
      <text>
        <t>Keepa: median daily sales rank, Nov 20 - Dec 1, 2025. BSR lift = pre / BFCM (above 1 = sold faster).</t>
      </text>
    </comment>
  </commentList>
</comments>
</file>

<file path=xl/comments/comment22.xml><?xml version="1.0" encoding="utf-8"?>
<comments xmlns="http://schemas.openxmlformats.org/spreadsheetml/2006/main">
  <authors>
    <author>Tracker</author>
  </authors>
  <commentList>
    <comment ref="A98" authorId="0" shapeId="0">
      <text>
        <t>Live product image (Excel 365 / Google Sheets IMAGE). 'IMAGE MISSING' = no verified image URL; see Data Gaps.</t>
      </text>
    </comment>
    <comment ref="D98" authorId="0" shapeId="0">
      <text>
        <t>Command Center mapping tier against this product.</t>
      </text>
    </comment>
    <comment ref="I98" authorId="0" shapeId="0">
      <text>
        <t>Variation count: Data Dive family count, else ASINsight child-ASIN count.</t>
      </text>
    </comment>
    <comment ref="J98" authorId="0" shapeId="0">
      <text>
        <t>The fewest child ASINs carrying 80% of this competitor's ASINsight impressions.</t>
      </text>
    </comment>
    <comment ref="N98" authorId="0" shapeId="0">
      <text>
        <t>How far List Price sits above price. Oct 13 page check of 154 core rivals: strikethrough shown on 2 of 3 at &lt;=12%, 13 of 13 at 12-25%, 11 of 13 above 25% - the size of the gap does not stop Amazon showing it.</t>
      </text>
    </comment>
    <comment ref="W98" authorId="0" shapeId="0">
      <text>
        <t>Date the Command Center last captured this competitor's price, BSR and reviews. Orange = older than 7 days before the build.</t>
      </text>
    </comment>
    <comment ref="AA98" authorId="0" shapeId="0">
      <text>
        <t>Impression-like 7-day figure, not clicks or sales. Blank = unmeasured.</t>
      </text>
    </comment>
    <comment ref="AF98" authorId="0" shapeId="0">
      <text>
        <t>Share of their traffic on keywords where they hold a Sponsored Products placement.</t>
      </text>
    </comment>
    <comment ref="AJ98" authorId="0" shapeId="0">
      <text>
        <t>Keywords both they and we rank on (our latest ASINsight export).</t>
      </text>
    </comment>
    <comment ref="AP98" authorId="0" shapeId="0">
      <text>
        <t>Organic visibility score Jun 23-26 vs Jun 1-20, 2026 (baseline score 5+).</t>
      </text>
    </comment>
    <comment ref="AR98" authorId="0" shapeId="0">
      <text>
        <t>From the Amazon page check (str_check_&lt;date&gt;.csv). Blank = not checked yet (P2 rows).</t>
      </text>
    </comment>
    <comment ref="BA98" authorId="0" shapeId="0">
      <text>
        <t>Keepa: median daily lowest price (Buy Box, Lightning Deal or Prime Exclusive), Nov 1-19, 2025, end-of-day state - same basis as the BFCM low.</t>
      </text>
    </comment>
    <comment ref="BB98" authorId="0" shapeId="0">
      <text>
        <t>Keepa: lowest of Buy Box, Lightning Deal and Prime Exclusive price, Nov 20 - Dec 1, 2025. Coupons not netted (see Notes).</t>
      </text>
    </comment>
    <comment ref="BD98" authorId="0" shapeId="0">
      <text>
        <t>Keepa: median daily sales rank, Nov 1-19, 2025.</t>
      </text>
    </comment>
    <comment ref="BE98" authorId="0" shapeId="0">
      <text>
        <t>Keepa: median daily sales rank, Nov 20 - Dec 1, 2025. BSR lift = pre / BFCM (above 1 = sold faster).</t>
      </text>
    </comment>
  </commentList>
</comments>
</file>

<file path=xl/comments/comment23.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How far List Price sits above price. Oct 13 page check of 154 core rivals: strikethrough shown on 2 of 3 at &lt;=12%, 13 of 13 at 12-25%, 11 of 13 above 25% - the size of the gap does not stop Amazon showing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24.xml><?xml version="1.0" encoding="utf-8"?>
<comments xmlns="http://schemas.openxmlformats.org/spreadsheetml/2006/main">
  <authors>
    <author>Tracker</author>
  </authors>
  <commentList>
    <comment ref="A90" authorId="0" shapeId="0">
      <text>
        <t>Live product image (Excel 365 / Google Sheets IMAGE). 'IMAGE MISSING' = no verified image URL; see Data Gaps.</t>
      </text>
    </comment>
    <comment ref="D90" authorId="0" shapeId="0">
      <text>
        <t>Command Center mapping tier against this product.</t>
      </text>
    </comment>
    <comment ref="I90" authorId="0" shapeId="0">
      <text>
        <t>Variation count: Data Dive family count, else ASINsight child-ASIN count.</t>
      </text>
    </comment>
    <comment ref="J90" authorId="0" shapeId="0">
      <text>
        <t>The fewest child ASINs carrying 80% of this competitor's ASINsight impressions.</t>
      </text>
    </comment>
    <comment ref="N90" authorId="0" shapeId="0">
      <text>
        <t>How far List Price sits above price. Oct 13 page check of 154 core rivals: strikethrough shown on 2 of 3 at &lt;=12%, 13 of 13 at 12-25%, 11 of 13 above 25% - the size of the gap does not stop Amazon showing it.</t>
      </text>
    </comment>
    <comment ref="W90" authorId="0" shapeId="0">
      <text>
        <t>Date the Command Center last captured this competitor's price, BSR and reviews. Orange = older than 7 days before the build.</t>
      </text>
    </comment>
    <comment ref="AA90" authorId="0" shapeId="0">
      <text>
        <t>Impression-like 7-day figure, not clicks or sales. Blank = unmeasured.</t>
      </text>
    </comment>
    <comment ref="AF90" authorId="0" shapeId="0">
      <text>
        <t>Share of their traffic on keywords where they hold a Sponsored Products placement.</t>
      </text>
    </comment>
    <comment ref="AJ90" authorId="0" shapeId="0">
      <text>
        <t>Keywords both they and we rank on (our latest ASINsight export).</t>
      </text>
    </comment>
    <comment ref="AP90" authorId="0" shapeId="0">
      <text>
        <t>Organic visibility score Jun 23-26 vs Jun 1-20, 2026 (baseline score 5+).</t>
      </text>
    </comment>
    <comment ref="AR90" authorId="0" shapeId="0">
      <text>
        <t>From the Amazon page check (str_check_&lt;date&gt;.csv). Blank = not checked yet (P2 rows).</t>
      </text>
    </comment>
    <comment ref="BA90" authorId="0" shapeId="0">
      <text>
        <t>Keepa: median daily lowest price (Buy Box, Lightning Deal or Prime Exclusive), Nov 1-19, 2025, end-of-day state - same basis as the BFCM low.</t>
      </text>
    </comment>
    <comment ref="BB90" authorId="0" shapeId="0">
      <text>
        <t>Keepa: lowest of Buy Box, Lightning Deal and Prime Exclusive price, Nov 20 - Dec 1, 2025. Coupons not netted (see Notes).</t>
      </text>
    </comment>
    <comment ref="BD90" authorId="0" shapeId="0">
      <text>
        <t>Keepa: median daily sales rank, Nov 1-19, 2025.</t>
      </text>
    </comment>
    <comment ref="BE90" authorId="0" shapeId="0">
      <text>
        <t>Keepa: median daily sales rank, Nov 20 - Dec 1, 2025. BSR lift = pre / BFCM (above 1 = sold faster).</t>
      </text>
    </comment>
  </commentList>
</comments>
</file>

<file path=xl/comments/comment25.xml><?xml version="1.0" encoding="utf-8"?>
<comments xmlns="http://schemas.openxmlformats.org/spreadsheetml/2006/main">
  <authors>
    <author>Tracker</author>
  </authors>
  <commentList>
    <comment ref="A41" authorId="0" shapeId="0">
      <text>
        <t>Live product image (Excel 365 / Google Sheets IMAGE). 'IMAGE MISSING' = no verified image URL; see Data Gaps.</t>
      </text>
    </comment>
    <comment ref="D41" authorId="0" shapeId="0">
      <text>
        <t>Command Center mapping tier against this product.</t>
      </text>
    </comment>
    <comment ref="I41" authorId="0" shapeId="0">
      <text>
        <t>Variation count: Data Dive family count, else ASINsight child-ASIN count.</t>
      </text>
    </comment>
    <comment ref="J41" authorId="0" shapeId="0">
      <text>
        <t>The fewest child ASINs carrying 80% of this competitor's ASINsight impressions.</t>
      </text>
    </comment>
    <comment ref="N41" authorId="0" shapeId="0">
      <text>
        <t>How far List Price sits above price. Oct 13 page check of 154 core rivals: strikethrough shown on 2 of 3 at &lt;=12%, 13 of 13 at 12-25%, 11 of 13 above 25% - the size of the gap does not stop Amazon showing it.</t>
      </text>
    </comment>
    <comment ref="W41" authorId="0" shapeId="0">
      <text>
        <t>Date the Command Center last captured this competitor's price, BSR and reviews. Orange = older than 7 days before the build.</t>
      </text>
    </comment>
    <comment ref="AA41" authorId="0" shapeId="0">
      <text>
        <t>Impression-like 7-day figure, not clicks or sales. Blank = unmeasured.</t>
      </text>
    </comment>
    <comment ref="AF41" authorId="0" shapeId="0">
      <text>
        <t>Share of their traffic on keywords where they hold a Sponsored Products placement.</t>
      </text>
    </comment>
    <comment ref="AJ41" authorId="0" shapeId="0">
      <text>
        <t>Keywords both they and we rank on (our latest ASINsight export).</t>
      </text>
    </comment>
    <comment ref="AP41" authorId="0" shapeId="0">
      <text>
        <t>Organic visibility score Jun 23-26 vs Jun 1-20, 2026 (baseline score 5+).</t>
      </text>
    </comment>
    <comment ref="AR41" authorId="0" shapeId="0">
      <text>
        <t>From the Amazon page check (str_check_&lt;date&gt;.csv). Blank = not checked yet (P2 rows).</t>
      </text>
    </comment>
    <comment ref="BA41" authorId="0" shapeId="0">
      <text>
        <t>Keepa: median daily lowest price (Buy Box, Lightning Deal or Prime Exclusive), Nov 1-19, 2025, end-of-day state - same basis as the BFCM low.</t>
      </text>
    </comment>
    <comment ref="BB41" authorId="0" shapeId="0">
      <text>
        <t>Keepa: lowest of Buy Box, Lightning Deal and Prime Exclusive price, Nov 20 - Dec 1, 2025. Coupons not netted (see Notes).</t>
      </text>
    </comment>
    <comment ref="BD41" authorId="0" shapeId="0">
      <text>
        <t>Keepa: median daily sales rank, Nov 1-19, 2025.</t>
      </text>
    </comment>
    <comment ref="BE41" authorId="0" shapeId="0">
      <text>
        <t>Keepa: median daily sales rank, Nov 20 - Dec 1, 2025. BSR lift = pre / BFCM (above 1 = sold faster).</t>
      </text>
    </comment>
  </commentList>
</comments>
</file>

<file path=xl/comments/comment26.xml><?xml version="1.0" encoding="utf-8"?>
<comments xmlns="http://schemas.openxmlformats.org/spreadsheetml/2006/main">
  <authors>
    <author>Tracker</author>
  </authors>
  <commentList>
    <comment ref="A48" authorId="0" shapeId="0">
      <text>
        <t>Live product image (Excel 365 / Google Sheets IMAGE). 'IMAGE MISSING' = no verified image URL; see Data Gaps.</t>
      </text>
    </comment>
    <comment ref="D48" authorId="0" shapeId="0">
      <text>
        <t>Command Center mapping tier against this product.</t>
      </text>
    </comment>
    <comment ref="I48" authorId="0" shapeId="0">
      <text>
        <t>Variation count: Data Dive family count, else ASINsight child-ASIN count.</t>
      </text>
    </comment>
    <comment ref="J48" authorId="0" shapeId="0">
      <text>
        <t>The fewest child ASINs carrying 80% of this competitor's ASINsight impressions.</t>
      </text>
    </comment>
    <comment ref="N48" authorId="0" shapeId="0">
      <text>
        <t>How far List Price sits above price. Oct 13 page check of 154 core rivals: strikethrough shown on 2 of 3 at &lt;=12%, 13 of 13 at 12-25%, 11 of 13 above 25% - the size of the gap does not stop Amazon showing it.</t>
      </text>
    </comment>
    <comment ref="W48" authorId="0" shapeId="0">
      <text>
        <t>Date the Command Center last captured this competitor's price, BSR and reviews. Orange = older than 7 days before the build.</t>
      </text>
    </comment>
    <comment ref="AA48" authorId="0" shapeId="0">
      <text>
        <t>Impression-like 7-day figure, not clicks or sales. Blank = unmeasured.</t>
      </text>
    </comment>
    <comment ref="AF48" authorId="0" shapeId="0">
      <text>
        <t>Share of their traffic on keywords where they hold a Sponsored Products placement.</t>
      </text>
    </comment>
    <comment ref="AJ48" authorId="0" shapeId="0">
      <text>
        <t>Keywords both they and we rank on (our latest ASINsight export).</t>
      </text>
    </comment>
    <comment ref="AP48" authorId="0" shapeId="0">
      <text>
        <t>Organic visibility score Jun 23-26 vs Jun 1-20, 2026 (baseline score 5+).</t>
      </text>
    </comment>
    <comment ref="AR48" authorId="0" shapeId="0">
      <text>
        <t>From the Amazon page check (str_check_&lt;date&gt;.csv). Blank = not checked yet (P2 rows).</t>
      </text>
    </comment>
    <comment ref="BA48" authorId="0" shapeId="0">
      <text>
        <t>Keepa: median daily lowest price (Buy Box, Lightning Deal or Prime Exclusive), Nov 1-19, 2025, end-of-day state - same basis as the BFCM low.</t>
      </text>
    </comment>
    <comment ref="BB48" authorId="0" shapeId="0">
      <text>
        <t>Keepa: lowest of Buy Box, Lightning Deal and Prime Exclusive price, Nov 20 - Dec 1, 2025. Coupons not netted (see Notes).</t>
      </text>
    </comment>
    <comment ref="BD48" authorId="0" shapeId="0">
      <text>
        <t>Keepa: median daily sales rank, Nov 1-19, 2025.</t>
      </text>
    </comment>
    <comment ref="BE48" authorId="0" shapeId="0">
      <text>
        <t>Keepa: median daily sales rank, Nov 20 - Dec 1, 2025. BSR lift = pre / BFCM (above 1 = sold faster).</t>
      </text>
    </comment>
  </commentList>
</comments>
</file>

<file path=xl/comments/comment27.xml><?xml version="1.0" encoding="utf-8"?>
<comments xmlns="http://schemas.openxmlformats.org/spreadsheetml/2006/main">
  <authors>
    <author>Tracker</author>
  </authors>
  <commentList>
    <comment ref="A58" authorId="0" shapeId="0">
      <text>
        <t>Live product image (Excel 365 / Google Sheets IMAGE). 'IMAGE MISSING' = no verified image URL; see Data Gaps.</t>
      </text>
    </comment>
    <comment ref="D58" authorId="0" shapeId="0">
      <text>
        <t>Command Center mapping tier against this product.</t>
      </text>
    </comment>
    <comment ref="I58" authorId="0" shapeId="0">
      <text>
        <t>Variation count: Data Dive family count, else ASINsight child-ASIN count.</t>
      </text>
    </comment>
    <comment ref="J58" authorId="0" shapeId="0">
      <text>
        <t>The fewest child ASINs carrying 80% of this competitor's ASINsight impressions.</t>
      </text>
    </comment>
    <comment ref="N58" authorId="0" shapeId="0">
      <text>
        <t>How far List Price sits above price. Oct 13 page check of 154 core rivals: strikethrough shown on 2 of 3 at &lt;=12%, 13 of 13 at 12-25%, 11 of 13 above 25% - the size of the gap does not stop Amazon showing it.</t>
      </text>
    </comment>
    <comment ref="W58" authorId="0" shapeId="0">
      <text>
        <t>Date the Command Center last captured this competitor's price, BSR and reviews. Orange = older than 7 days before the build.</t>
      </text>
    </comment>
    <comment ref="AA58" authorId="0" shapeId="0">
      <text>
        <t>Impression-like 7-day figure, not clicks or sales. Blank = unmeasured.</t>
      </text>
    </comment>
    <comment ref="AF58" authorId="0" shapeId="0">
      <text>
        <t>Share of their traffic on keywords where they hold a Sponsored Products placement.</t>
      </text>
    </comment>
    <comment ref="AJ58" authorId="0" shapeId="0">
      <text>
        <t>Keywords both they and we rank on (our latest ASINsight export).</t>
      </text>
    </comment>
    <comment ref="AP58" authorId="0" shapeId="0">
      <text>
        <t>Organic visibility score Jun 23-26 vs Jun 1-20, 2026 (baseline score 5+).</t>
      </text>
    </comment>
    <comment ref="AR58" authorId="0" shapeId="0">
      <text>
        <t>From the Amazon page check (str_check_&lt;date&gt;.csv). Blank = not checked yet (P2 rows).</t>
      </text>
    </comment>
    <comment ref="BA58" authorId="0" shapeId="0">
      <text>
        <t>Keepa: median daily lowest price (Buy Box, Lightning Deal or Prime Exclusive), Nov 1-19, 2025, end-of-day state - same basis as the BFCM low.</t>
      </text>
    </comment>
    <comment ref="BB58" authorId="0" shapeId="0">
      <text>
        <t>Keepa: lowest of Buy Box, Lightning Deal and Prime Exclusive price, Nov 20 - Dec 1, 2025. Coupons not netted (see Notes).</t>
      </text>
    </comment>
    <comment ref="BD58" authorId="0" shapeId="0">
      <text>
        <t>Keepa: median daily sales rank, Nov 1-19, 2025.</t>
      </text>
    </comment>
    <comment ref="BE58" authorId="0" shapeId="0">
      <text>
        <t>Keepa: median daily sales rank, Nov 20 - Dec 1, 2025. BSR lift = pre / BFCM (above 1 = sold faster).</t>
      </text>
    </comment>
  </commentList>
</comments>
</file>

<file path=xl/comments/comment28.xml><?xml version="1.0" encoding="utf-8"?>
<comments xmlns="http://schemas.openxmlformats.org/spreadsheetml/2006/main">
  <authors>
    <author>Tracker</author>
  </authors>
  <commentList>
    <comment ref="A101" authorId="0" shapeId="0">
      <text>
        <t>Live product image (Excel 365 / Google Sheets IMAGE). 'IMAGE MISSING' = no verified image URL; see Data Gaps.</t>
      </text>
    </comment>
    <comment ref="D101" authorId="0" shapeId="0">
      <text>
        <t>Command Center mapping tier against this product.</t>
      </text>
    </comment>
    <comment ref="I101" authorId="0" shapeId="0">
      <text>
        <t>Variation count: Data Dive family count, else ASINsight child-ASIN count.</t>
      </text>
    </comment>
    <comment ref="J101" authorId="0" shapeId="0">
      <text>
        <t>The fewest child ASINs carrying 80% of this competitor's ASINsight impressions.</t>
      </text>
    </comment>
    <comment ref="N101" authorId="0" shapeId="0">
      <text>
        <t>How far List Price sits above price. Oct 13 page check of 154 core rivals: strikethrough shown on 2 of 3 at &lt;=12%, 13 of 13 at 12-25%, 11 of 13 above 25% - the size of the gap does not stop Amazon showing it.</t>
      </text>
    </comment>
    <comment ref="W101" authorId="0" shapeId="0">
      <text>
        <t>Date the Command Center last captured this competitor's price, BSR and reviews. Orange = older than 7 days before the build.</t>
      </text>
    </comment>
    <comment ref="AA101" authorId="0" shapeId="0">
      <text>
        <t>Impression-like 7-day figure, not clicks or sales. Blank = unmeasured.</t>
      </text>
    </comment>
    <comment ref="AF101" authorId="0" shapeId="0">
      <text>
        <t>Share of their traffic on keywords where they hold a Sponsored Products placement.</t>
      </text>
    </comment>
    <comment ref="AJ101" authorId="0" shapeId="0">
      <text>
        <t>Keywords both they and we rank on (our latest ASINsight export).</t>
      </text>
    </comment>
    <comment ref="AP101" authorId="0" shapeId="0">
      <text>
        <t>Organic visibility score Jun 23-26 vs Jun 1-20, 2026 (baseline score 5+).</t>
      </text>
    </comment>
    <comment ref="AR101" authorId="0" shapeId="0">
      <text>
        <t>From the Amazon page check (str_check_&lt;date&gt;.csv). Blank = not checked yet (P2 rows).</t>
      </text>
    </comment>
    <comment ref="BA101" authorId="0" shapeId="0">
      <text>
        <t>Keepa: median daily lowest price (Buy Box, Lightning Deal or Prime Exclusive), Nov 1-19, 2025, end-of-day state - same basis as the BFCM low.</t>
      </text>
    </comment>
    <comment ref="BB101" authorId="0" shapeId="0">
      <text>
        <t>Keepa: lowest of Buy Box, Lightning Deal and Prime Exclusive price, Nov 20 - Dec 1, 2025. Coupons not netted (see Notes).</t>
      </text>
    </comment>
    <comment ref="BD101" authorId="0" shapeId="0">
      <text>
        <t>Keepa: median daily sales rank, Nov 1-19, 2025.</t>
      </text>
    </comment>
    <comment ref="BE101" authorId="0" shapeId="0">
      <text>
        <t>Keepa: median daily sales rank, Nov 20 - Dec 1, 2025. BSR lift = pre / BFCM (above 1 = sold faster).</t>
      </text>
    </comment>
  </commentList>
</comments>
</file>

<file path=xl/comments/comment29.xml><?xml version="1.0" encoding="utf-8"?>
<comments xmlns="http://schemas.openxmlformats.org/spreadsheetml/2006/main">
  <authors>
    <author>Tracker</author>
  </authors>
  <commentList>
    <comment ref="A56" authorId="0" shapeId="0">
      <text>
        <t>Live product image (Excel 365 / Google Sheets IMAGE). 'IMAGE MISSING' = no verified image URL; see Data Gaps.</t>
      </text>
    </comment>
    <comment ref="D56" authorId="0" shapeId="0">
      <text>
        <t>Command Center mapping tier against this product.</t>
      </text>
    </comment>
    <comment ref="I56" authorId="0" shapeId="0">
      <text>
        <t>Variation count: Data Dive family count, else ASINsight child-ASIN count.</t>
      </text>
    </comment>
    <comment ref="J56" authorId="0" shapeId="0">
      <text>
        <t>The fewest child ASINs carrying 80% of this competitor's ASINsight impressions.</t>
      </text>
    </comment>
    <comment ref="N56" authorId="0" shapeId="0">
      <text>
        <t>How far List Price sits above price. Oct 13 page check of 154 core rivals: strikethrough shown on 2 of 3 at &lt;=12%, 13 of 13 at 12-25%, 11 of 13 above 25% - the size of the gap does not stop Amazon showing it.</t>
      </text>
    </comment>
    <comment ref="W56" authorId="0" shapeId="0">
      <text>
        <t>Date the Command Center last captured this competitor's price, BSR and reviews. Orange = older than 7 days before the build.</t>
      </text>
    </comment>
    <comment ref="AA56" authorId="0" shapeId="0">
      <text>
        <t>Impression-like 7-day figure, not clicks or sales. Blank = unmeasured.</t>
      </text>
    </comment>
    <comment ref="AF56" authorId="0" shapeId="0">
      <text>
        <t>Share of their traffic on keywords where they hold a Sponsored Products placement.</t>
      </text>
    </comment>
    <comment ref="AJ56" authorId="0" shapeId="0">
      <text>
        <t>Keywords both they and we rank on (our latest ASINsight export).</t>
      </text>
    </comment>
    <comment ref="AP56" authorId="0" shapeId="0">
      <text>
        <t>Organic visibility score Jun 23-26 vs Jun 1-20, 2026 (baseline score 5+).</t>
      </text>
    </comment>
    <comment ref="AR56" authorId="0" shapeId="0">
      <text>
        <t>From the Amazon page check (str_check_&lt;date&gt;.csv). Blank = not checked yet (P2 rows).</t>
      </text>
    </comment>
    <comment ref="BA56" authorId="0" shapeId="0">
      <text>
        <t>Keepa: median daily lowest price (Buy Box, Lightning Deal or Prime Exclusive), Nov 1-19, 2025, end-of-day state - same basis as the BFCM low.</t>
      </text>
    </comment>
    <comment ref="BB56" authorId="0" shapeId="0">
      <text>
        <t>Keepa: lowest of Buy Box, Lightning Deal and Prime Exclusive price, Nov 20 - Dec 1, 2025. Coupons not netted (see Notes).</t>
      </text>
    </comment>
    <comment ref="BD56" authorId="0" shapeId="0">
      <text>
        <t>Keepa: median daily sales rank, Nov 1-19, 2025.</t>
      </text>
    </comment>
    <comment ref="BE56" authorId="0" shapeId="0">
      <text>
        <t>Keepa: median daily sales rank, Nov 20 - Dec 1, 2025. BSR lift = pre / BFCM (above 1 = sold faster).</t>
      </text>
    </comment>
  </commentList>
</comments>
</file>

<file path=xl/comments/comment30.xml><?xml version="1.0" encoding="utf-8"?>
<comments xmlns="http://schemas.openxmlformats.org/spreadsheetml/2006/main">
  <authors>
    <author>Tracker</author>
  </authors>
  <commentList>
    <comment ref="A77" authorId="0" shapeId="0">
      <text>
        <t>Live product image (Excel 365 / Google Sheets IMAGE). 'IMAGE MISSING' = no verified image URL; see Data Gaps.</t>
      </text>
    </comment>
    <comment ref="D77" authorId="0" shapeId="0">
      <text>
        <t>Command Center mapping tier against this product.</t>
      </text>
    </comment>
    <comment ref="I77" authorId="0" shapeId="0">
      <text>
        <t>Variation count: Data Dive family count, else ASINsight child-ASIN count.</t>
      </text>
    </comment>
    <comment ref="J77" authorId="0" shapeId="0">
      <text>
        <t>The fewest child ASINs carrying 80% of this competitor's ASINsight impressions.</t>
      </text>
    </comment>
    <comment ref="N77" authorId="0" shapeId="0">
      <text>
        <t>How far List Price sits above price. Oct 13 page check of 154 core rivals: strikethrough shown on 2 of 3 at &lt;=12%, 13 of 13 at 12-25%, 11 of 13 above 25% - the size of the gap does not stop Amazon showing it.</t>
      </text>
    </comment>
    <comment ref="W77" authorId="0" shapeId="0">
      <text>
        <t>Date the Command Center last captured this competitor's price, BSR and reviews. Orange = older than 7 days before the build.</t>
      </text>
    </comment>
    <comment ref="AA77" authorId="0" shapeId="0">
      <text>
        <t>Impression-like 7-day figure, not clicks or sales. Blank = unmeasured.</t>
      </text>
    </comment>
    <comment ref="AF77" authorId="0" shapeId="0">
      <text>
        <t>Share of their traffic on keywords where they hold a Sponsored Products placement.</t>
      </text>
    </comment>
    <comment ref="AJ77" authorId="0" shapeId="0">
      <text>
        <t>Keywords both they and we rank on (our latest ASINsight export).</t>
      </text>
    </comment>
    <comment ref="AP77" authorId="0" shapeId="0">
      <text>
        <t>Organic visibility score Jun 23-26 vs Jun 1-20, 2026 (baseline score 5+).</t>
      </text>
    </comment>
    <comment ref="AR77" authorId="0" shapeId="0">
      <text>
        <t>From the Amazon page check (str_check_&lt;date&gt;.csv). Blank = not checked yet (P2 rows).</t>
      </text>
    </comment>
    <comment ref="BA77" authorId="0" shapeId="0">
      <text>
        <t>Keepa: median daily lowest price (Buy Box, Lightning Deal or Prime Exclusive), Nov 1-19, 2025, end-of-day state - same basis as the BFCM low.</t>
      </text>
    </comment>
    <comment ref="BB77" authorId="0" shapeId="0">
      <text>
        <t>Keepa: lowest of Buy Box, Lightning Deal and Prime Exclusive price, Nov 20 - Dec 1, 2025. Coupons not netted (see Notes).</t>
      </text>
    </comment>
    <comment ref="BD77" authorId="0" shapeId="0">
      <text>
        <t>Keepa: median daily sales rank, Nov 1-19, 2025.</t>
      </text>
    </comment>
    <comment ref="BE77" authorId="0" shapeId="0">
      <text>
        <t>Keepa: median daily sales rank, Nov 20 - Dec 1, 2025. BSR lift = pre / BFCM (above 1 = sold faster).</t>
      </text>
    </comment>
  </commentList>
</comments>
</file>

<file path=xl/comments/comment31.xml><?xml version="1.0" encoding="utf-8"?>
<comments xmlns="http://schemas.openxmlformats.org/spreadsheetml/2006/main">
  <authors>
    <author>Tracker</author>
  </authors>
  <commentList>
    <comment ref="A49" authorId="0" shapeId="0">
      <text>
        <t>Live product image (Excel 365 / Google Sheets IMAGE). 'IMAGE MISSING' = no verified image URL; see Data Gaps.</t>
      </text>
    </comment>
    <comment ref="D49" authorId="0" shapeId="0">
      <text>
        <t>Command Center mapping tier against this product.</t>
      </text>
    </comment>
    <comment ref="I49" authorId="0" shapeId="0">
      <text>
        <t>Variation count: Data Dive family count, else ASINsight child-ASIN count.</t>
      </text>
    </comment>
    <comment ref="J49" authorId="0" shapeId="0">
      <text>
        <t>The fewest child ASINs carrying 80% of this competitor's ASINsight impressions.</t>
      </text>
    </comment>
    <comment ref="N49" authorId="0" shapeId="0">
      <text>
        <t>How far List Price sits above price. Oct 13 page check of 154 core rivals: strikethrough shown on 2 of 3 at &lt;=12%, 13 of 13 at 12-25%, 11 of 13 above 25% - the size of the gap does not stop Amazon showing it.</t>
      </text>
    </comment>
    <comment ref="W49" authorId="0" shapeId="0">
      <text>
        <t>Date the Command Center last captured this competitor's price, BSR and reviews. Orange = older than 7 days before the build.</t>
      </text>
    </comment>
    <comment ref="AA49" authorId="0" shapeId="0">
      <text>
        <t>Impression-like 7-day figure, not clicks or sales. Blank = unmeasured.</t>
      </text>
    </comment>
    <comment ref="AF49" authorId="0" shapeId="0">
      <text>
        <t>Share of their traffic on keywords where they hold a Sponsored Products placement.</t>
      </text>
    </comment>
    <comment ref="AJ49" authorId="0" shapeId="0">
      <text>
        <t>Keywords both they and we rank on (our latest ASINsight export).</t>
      </text>
    </comment>
    <comment ref="AP49" authorId="0" shapeId="0">
      <text>
        <t>Organic visibility score Jun 23-26 vs Jun 1-20, 2026 (baseline score 5+).</t>
      </text>
    </comment>
    <comment ref="AR49" authorId="0" shapeId="0">
      <text>
        <t>From the Amazon page check (str_check_&lt;date&gt;.csv). Blank = not checked yet (P2 rows).</t>
      </text>
    </comment>
    <comment ref="BA49" authorId="0" shapeId="0">
      <text>
        <t>Keepa: median daily lowest price (Buy Box, Lightning Deal or Prime Exclusive), Nov 1-19, 2025, end-of-day state - same basis as the BFCM low.</t>
      </text>
    </comment>
    <comment ref="BB49" authorId="0" shapeId="0">
      <text>
        <t>Keepa: lowest of Buy Box, Lightning Deal and Prime Exclusive price, Nov 20 - Dec 1, 2025. Coupons not netted (see Notes).</t>
      </text>
    </comment>
    <comment ref="BD49" authorId="0" shapeId="0">
      <text>
        <t>Keepa: median daily sales rank, Nov 1-19, 2025.</t>
      </text>
    </comment>
    <comment ref="BE49" authorId="0" shapeId="0">
      <text>
        <t>Keepa: median daily sales rank, Nov 20 - Dec 1, 2025. BSR lift = pre / BFCM (above 1 = sold faster).</t>
      </text>
    </comment>
  </commentList>
</comments>
</file>

<file path=xl/comments/comment32.xml><?xml version="1.0" encoding="utf-8"?>
<comments xmlns="http://schemas.openxmlformats.org/spreadsheetml/2006/main">
  <authors>
    <author>Tracker</author>
  </authors>
  <commentList>
    <comment ref="A43" authorId="0" shapeId="0">
      <text>
        <t>Live product image (Excel 365 / Google Sheets IMAGE). 'IMAGE MISSING' = no verified image URL; see Data Gaps.</t>
      </text>
    </comment>
    <comment ref="D43" authorId="0" shapeId="0">
      <text>
        <t>Command Center mapping tier against this product.</t>
      </text>
    </comment>
    <comment ref="I43" authorId="0" shapeId="0">
      <text>
        <t>Variation count: Data Dive family count, else ASINsight child-ASIN count.</t>
      </text>
    </comment>
    <comment ref="J43" authorId="0" shapeId="0">
      <text>
        <t>The fewest child ASINs carrying 80% of this competitor's ASINsight impressions.</t>
      </text>
    </comment>
    <comment ref="N43" authorId="0" shapeId="0">
      <text>
        <t>How far List Price sits above price. Oct 13 page check of 154 core rivals: strikethrough shown on 2 of 3 at &lt;=12%, 13 of 13 at 12-25%, 11 of 13 above 25% - the size of the gap does not stop Amazon showing it.</t>
      </text>
    </comment>
    <comment ref="W43" authorId="0" shapeId="0">
      <text>
        <t>Date the Command Center last captured this competitor's price, BSR and reviews. Orange = older than 7 days before the build.</t>
      </text>
    </comment>
    <comment ref="AA43" authorId="0" shapeId="0">
      <text>
        <t>Impression-like 7-day figure, not clicks or sales. Blank = unmeasured.</t>
      </text>
    </comment>
    <comment ref="AF43" authorId="0" shapeId="0">
      <text>
        <t>Share of their traffic on keywords where they hold a Sponsored Products placement.</t>
      </text>
    </comment>
    <comment ref="AJ43" authorId="0" shapeId="0">
      <text>
        <t>Keywords both they and we rank on (our latest ASINsight export).</t>
      </text>
    </comment>
    <comment ref="AP43" authorId="0" shapeId="0">
      <text>
        <t>Organic visibility score Jun 23-26 vs Jun 1-20, 2026 (baseline score 5+).</t>
      </text>
    </comment>
    <comment ref="AR43" authorId="0" shapeId="0">
      <text>
        <t>From the Amazon page check (str_check_&lt;date&gt;.csv). Blank = not checked yet (P2 rows).</t>
      </text>
    </comment>
    <comment ref="BA43" authorId="0" shapeId="0">
      <text>
        <t>Keepa: median daily lowest price (Buy Box, Lightning Deal or Prime Exclusive), Nov 1-19, 2025, end-of-day state - same basis as the BFCM low.</t>
      </text>
    </comment>
    <comment ref="BB43" authorId="0" shapeId="0">
      <text>
        <t>Keepa: lowest of Buy Box, Lightning Deal and Prime Exclusive price, Nov 20 - Dec 1, 2025. Coupons not netted (see Notes).</t>
      </text>
    </comment>
    <comment ref="BD43" authorId="0" shapeId="0">
      <text>
        <t>Keepa: median daily sales rank, Nov 1-19, 2025.</t>
      </text>
    </comment>
    <comment ref="BE43" authorId="0" shapeId="0">
      <text>
        <t>Keepa: median daily sales rank, Nov 20 - Dec 1, 2025. BSR lift = pre / BFCM (above 1 = sold faster).</t>
      </text>
    </comment>
  </commentList>
</comments>
</file>

<file path=xl/comments/comment33.xml><?xml version="1.0" encoding="utf-8"?>
<comments xmlns="http://schemas.openxmlformats.org/spreadsheetml/2006/main">
  <authors>
    <author>Tracker</author>
  </authors>
  <commentList>
    <comment ref="A49" authorId="0" shapeId="0">
      <text>
        <t>Live product image (Excel 365 / Google Sheets IMAGE). 'IMAGE MISSING' = no verified image URL; see Data Gaps.</t>
      </text>
    </comment>
    <comment ref="D49" authorId="0" shapeId="0">
      <text>
        <t>Command Center mapping tier against this product.</t>
      </text>
    </comment>
    <comment ref="I49" authorId="0" shapeId="0">
      <text>
        <t>Variation count: Data Dive family count, else ASINsight child-ASIN count.</t>
      </text>
    </comment>
    <comment ref="J49" authorId="0" shapeId="0">
      <text>
        <t>The fewest child ASINs carrying 80% of this competitor's ASINsight impressions.</t>
      </text>
    </comment>
    <comment ref="N49" authorId="0" shapeId="0">
      <text>
        <t>How far List Price sits above price. Oct 13 page check of 154 core rivals: strikethrough shown on 2 of 3 at &lt;=12%, 13 of 13 at 12-25%, 11 of 13 above 25% - the size of the gap does not stop Amazon showing it.</t>
      </text>
    </comment>
    <comment ref="W49" authorId="0" shapeId="0">
      <text>
        <t>Date the Command Center last captured this competitor's price, BSR and reviews. Orange = older than 7 days before the build.</t>
      </text>
    </comment>
    <comment ref="AA49" authorId="0" shapeId="0">
      <text>
        <t>Impression-like 7-day figure, not clicks or sales. Blank = unmeasured.</t>
      </text>
    </comment>
    <comment ref="AF49" authorId="0" shapeId="0">
      <text>
        <t>Share of their traffic on keywords where they hold a Sponsored Products placement.</t>
      </text>
    </comment>
    <comment ref="AJ49" authorId="0" shapeId="0">
      <text>
        <t>Keywords both they and we rank on (our latest ASINsight export).</t>
      </text>
    </comment>
    <comment ref="AP49" authorId="0" shapeId="0">
      <text>
        <t>Organic visibility score Jun 23-26 vs Jun 1-20, 2026 (baseline score 5+).</t>
      </text>
    </comment>
    <comment ref="AR49" authorId="0" shapeId="0">
      <text>
        <t>From the Amazon page check (str_check_&lt;date&gt;.csv). Blank = not checked yet (P2 rows).</t>
      </text>
    </comment>
    <comment ref="BA49" authorId="0" shapeId="0">
      <text>
        <t>Keepa: median daily lowest price (Buy Box, Lightning Deal or Prime Exclusive), Nov 1-19, 2025, end-of-day state - same basis as the BFCM low.</t>
      </text>
    </comment>
    <comment ref="BB49" authorId="0" shapeId="0">
      <text>
        <t>Keepa: lowest of Buy Box, Lightning Deal and Prime Exclusive price, Nov 20 - Dec 1, 2025. Coupons not netted (see Notes).</t>
      </text>
    </comment>
    <comment ref="BD49" authorId="0" shapeId="0">
      <text>
        <t>Keepa: median daily sales rank, Nov 1-19, 2025.</t>
      </text>
    </comment>
    <comment ref="BE49" authorId="0" shapeId="0">
      <text>
        <t>Keepa: median daily sales rank, Nov 20 - Dec 1, 2025. BSR lift = pre / BFCM (above 1 = sold faster).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US DC B4'!A1" TargetMode="External" Id="rId1"/><Relationship Type="http://schemas.openxmlformats.org/officeDocument/2006/relationships/hyperlink" Target="#'CA DC B4'!A1" TargetMode="External" Id="rId2"/><Relationship Type="http://schemas.openxmlformats.org/officeDocument/2006/relationships/hyperlink" Target="#'US DC B6'!A1" TargetMode="External" Id="rId3"/><Relationship Type="http://schemas.openxmlformats.org/officeDocument/2006/relationships/hyperlink" Target="#'CA DC B6'!A1" TargetMode="External" Id="rId4"/><Relationship Type="http://schemas.openxmlformats.org/officeDocument/2006/relationships/hyperlink" Target="#'US SL B6'!A1" TargetMode="External" Id="rId5"/><Relationship Type="http://schemas.openxmlformats.org/officeDocument/2006/relationships/hyperlink" Target="#'US SL B4'!A1" TargetMode="External" Id="rId6"/><Relationship Type="http://schemas.openxmlformats.org/officeDocument/2006/relationships/hyperlink" Target="#'US DC Bamboo Fitted'!A1" TargetMode="External" Id="rId7"/><Relationship Type="http://schemas.openxmlformats.org/officeDocument/2006/relationships/hyperlink" Target="#'US SL Bamboo Pillowcase'!A1" TargetMode="External" Id="rId8"/><Relationship Type="http://schemas.openxmlformats.org/officeDocument/2006/relationships/hyperlink" Target="#'US DC S4'!A1" TargetMode="External" Id="rId9"/><Relationship Type="http://schemas.openxmlformats.org/officeDocument/2006/relationships/hyperlink" Target="#'CA DC S4'!A1" TargetMode="External" Id="rId10"/><Relationship Type="http://schemas.openxmlformats.org/officeDocument/2006/relationships/hyperlink" Target="#'US DC S6'!A1" TargetMode="External" Id="rId11"/><Relationship Type="http://schemas.openxmlformats.org/officeDocument/2006/relationships/hyperlink" Target="#'CA DC S6'!A1" TargetMode="External" Id="rId12"/><Relationship Type="http://schemas.openxmlformats.org/officeDocument/2006/relationships/hyperlink" Target="#'US SSS4'!A1" TargetMode="External" Id="rId13"/><Relationship Type="http://schemas.openxmlformats.org/officeDocument/2006/relationships/hyperlink" Target="#'CA SSS4'!A1" TargetMode="External" Id="rId14"/><Relationship Type="http://schemas.openxmlformats.org/officeDocument/2006/relationships/hyperlink" Target="#'US SL Satin 6pc'!A1" TargetMode="External" Id="rId15"/><Relationship Type="http://schemas.openxmlformats.org/officeDocument/2006/relationships/hyperlink" Target="#'US DC Satin Fitted'!A1" TargetMode="External" Id="rId16"/><Relationship Type="http://schemas.openxmlformats.org/officeDocument/2006/relationships/hyperlink" Target="#'CA DC Satin Fitted'!A1" TargetMode="External" Id="rId17"/><Relationship Type="http://schemas.openxmlformats.org/officeDocument/2006/relationships/hyperlink" Target="#'US DC Silk Pillowcase'!A1" TargetMode="External" Id="rId18"/><Relationship Type="http://schemas.openxmlformats.org/officeDocument/2006/relationships/hyperlink" Target="#'US SL Mask Contoured'!A1" TargetMode="External" Id="rId19"/><Relationship Type="http://schemas.openxmlformats.org/officeDocument/2006/relationships/hyperlink" Target="#'US SL Mask Velcro'!A1" TargetMode="External" Id="rId20"/><Relationship Type="http://schemas.openxmlformats.org/officeDocument/2006/relationships/hyperlink" Target="#'US DC Cooling 4pc'!A1" TargetMode="External" Id="rId21"/><Relationship Type="http://schemas.openxmlformats.org/officeDocument/2006/relationships/hyperlink" Target="#'US SL Cooling 4pc'!A1" TargetMode="External" Id="rId22"/><Relationship Type="http://schemas.openxmlformats.org/officeDocument/2006/relationships/hyperlink" Target="#'US SL Cooling 6pc'!A1" TargetMode="External" Id="rId23"/><Relationship Type="http://schemas.openxmlformats.org/officeDocument/2006/relationships/hyperlink" Target="#'US CL Cooling Sheets'!A1" TargetMode="External" Id="rId24"/><Relationship Type="http://schemas.openxmlformats.org/officeDocument/2006/relationships/hyperlink" Target="#'US CL Pillowcases'!A1" TargetMode="External" Id="rId25"/><Relationship Type="http://schemas.openxmlformats.org/officeDocument/2006/relationships/hyperlink" Target="#'US SL Cooling Pillowcase'!A1" TargetMode="External" Id="rId26"/><Relationship Type="http://schemas.openxmlformats.org/officeDocument/2006/relationships/hyperlink" Target="#'US SL Cooling Comforter'!A1" TargetMode="External" Id="rId27"/><Relationship Type="http://schemas.openxmlformats.org/officeDocument/2006/relationships/hyperlink" Target="#'US SL Cooling Fitted'!A1" TargetMode="External" Id="rId28"/><Relationship Type="http://schemas.openxmlformats.org/officeDocument/2006/relationships/hyperlink" Target="#'US SL Quilt Set'!A1" TargetMode="External" Id="rId29"/><Relationship Type="http://schemas.openxmlformats.org/officeDocument/2006/relationships/hyperlink" Target="#'US DC Linen Curtains'!A1" TargetMode="External" Id="rId30"/><Relationship Type="http://schemas.openxmlformats.org/officeDocument/2006/relationships/hyperlink" Target="#'US DC Beach Towel'!A1" TargetMode="External" Id="rId31"/><Relationship Type="http://schemas.openxmlformats.org/officeDocument/2006/relationships/hyperlink" Target="#'US DC Welcome Sign'!A1" TargetMode="External" Id="rId32"/><Relationship Type="http://schemas.openxmlformats.org/officeDocument/2006/relationships/hyperlink" Target="#'US DC Chair Cover'!A1" TargetMode="External" Id="rId33"/></Relationships>
</file>

<file path=xl/worksheets/_rels/sheet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2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2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2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8.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29.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30.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31.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32.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3.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4.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5.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6.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7.xml.rels><Relationships xmlns="http://schemas.openxmlformats.org/package/2006/relationships"><Relationship Type="http://schemas.openxmlformats.org/officeDocument/2006/relationships/hyperlink" Target="#'Dashboard'!A1" TargetMode="External" Id="rId1"/><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sheet1.xml><?xml version="1.0" encoding="utf-8"?>
<worksheet xmlns="http://schemas.openxmlformats.org/spreadsheetml/2006/main">
  <sheetPr>
    <outlinePr summaryBelow="1" summaryRight="1"/>
    <pageSetUpPr/>
  </sheetPr>
  <dimension ref="A1:A22"/>
  <sheetViews>
    <sheetView showGridLines="0" workbookViewId="0">
      <selection activeCell="A1" sqref="A1"/>
    </sheetView>
  </sheetViews>
  <sheetFormatPr baseColWidth="8" defaultRowHeight="15"/>
  <cols>
    <col width="165" customWidth="1" min="1" max="1"/>
  </cols>
  <sheetData>
    <row r="1">
      <c r="A1" s="1" t="inlineStr">
        <is>
          <t>BFCM 2026 Competitor Research</t>
        </is>
      </c>
    </row>
    <row r="2">
      <c r="A2" s="2" t="inlineStr">
        <is>
          <t>Owner: Shayan Rana · Backup: Zarlish · v1 for Thu Oct 15, 2026 · Built from the Command Center (primary) and Data Dive on Oct 13, 2026</t>
        </is>
      </c>
    </row>
    <row r="3">
      <c r="A3" s="3" t="inlineStr"/>
    </row>
    <row r="4">
      <c r="A4" s="4" t="inlineStr">
        <is>
          <t>How to use it</t>
        </is>
      </c>
    </row>
    <row r="5">
      <c r="A5" s="5" t="inlineStr">
        <is>
          <t>1. Dashboard - choose Product / Marketplace / Brand / Tier / Family in the yellow cells; the competitor gallery, images and tiles update. 'Open the product tab' jumps to the full analysis.</t>
        </is>
      </c>
    </row>
    <row r="6">
      <c r="A6" s="5" t="inlineStr">
        <is>
          <t>2. Product Index - every one of our products with its image, variations and BFCM 2025 result; click a tab name to open it.</t>
        </is>
      </c>
    </row>
    <row r="7">
      <c r="A7" s="5" t="inlineStr">
        <is>
          <t>3. One tab per product and marketplace (33 tabs, named 'US ...' / 'CA ...'): 1 Our product · 2 Our variations (every SKU with image, size, colour, price, units) · 3 Our BFCM 2025 result · 4 Competitor landscape (image, title, ASINs, variations, price, List Price, STR band, same-size gap, BSR, units, reviews, search strategy, Prime Day visibility, BFCM 2025 columns) · 5 What it means for BFCM.</t>
        </is>
      </c>
    </row>
    <row r="8">
      <c r="A8" s="5" t="inlineStr">
        <is>
          <t>Data Check (4th tab) shows the as-of date and accuracy of every source, and a spot check of the tracker against the live Amazon search page. Our own prices: 'Price now' is live (Amazon page / Data Dive, dated); the Command Center price is its fee feed from Mar 2026 and is marked STALE wherever it is still used.</t>
        </is>
      </c>
    </row>
    <row r="9">
      <c r="A9" s="5" t="inlineStr">
        <is>
          <t>4. Data Gaps lists what is still missing (with the agent prompt that fills it); Data feeds the dashboard. The Keepa request list, lift inputs and the Nov 20 - Dec 1 event-watch log stay in BFCM_2026_Competitor_Tracker_v1.xlsx.</t>
        </is>
      </c>
    </row>
    <row r="10">
      <c r="A10" s="3" t="inlineStr"/>
    </row>
    <row r="11">
      <c r="A11" s="4" t="inlineStr">
        <is>
          <t>Images</t>
        </is>
      </c>
    </row>
    <row r="12">
      <c r="A12" s="5" t="inlineStr">
        <is>
          <t>Images are live IMAGE-function formulas pointing at the verified Amazon image URLs held by Data Dive (seller catalog for our variations, niche research for competitors) and the Command Center thumbnail. They render in Excel 365 (Windows / Mac / web) and Google Sheets; older Excel and LibreOffice show an error in those cells instead of the picture.</t>
        </is>
      </c>
    </row>
    <row r="13">
      <c r="A13" s="5" t="inlineStr">
        <is>
          <t>A cell reading IMAGE MISSING means no verified image URL was available - it is never replaced by an unrelated picture. The list of missing images is on Data Gaps; image_request.csv lists every image URL for download.</t>
        </is>
      </c>
    </row>
    <row r="14">
      <c r="A14" s="3" t="inlineStr"/>
    </row>
    <row r="15">
      <c r="A15" s="4" t="inlineStr">
        <is>
          <t>Colour legend</t>
        </is>
      </c>
    </row>
    <row r="16">
      <c r="A16" s="5" t="inlineStr">
        <is>
          <t>Green group = Command Center price/sales snapshot · Blue = Data Dive listing · Purple = Command Center search strategy (ASINsight) · Grey = formula · YELLOW / blue text = to fill (Keepa or page check).</t>
        </is>
      </c>
    </row>
    <row r="17">
      <c r="A17" s="3" t="inlineStr"/>
    </row>
    <row r="18">
      <c r="A18" s="4" t="inlineStr">
        <is>
          <t>Definitions</t>
        </is>
      </c>
    </row>
    <row r="19">
      <c r="A19" s="5" t="inlineStr">
        <is>
          <t>BFCM 2025 = Nov 20 - Dec 1, 2025; pre-event = Oct 21 - Nov 19, 2025. Our total sales are derived as ad spend / TACoS. Prime Day 2026 = Jun 23-26 vs Jun 1-20.</t>
        </is>
      </c>
    </row>
    <row r="20">
      <c r="A20" s="5" t="inlineStr">
        <is>
          <t>STR band: how far List Price sits above the price. Joseph's study put the reliable zone at &lt;=12%, but the Oct 13 page check of all 154 core rivals found the strikethrough shown on 13 of 13 rivals at 12-25% and 11 of 13 above 25% (median shown premium 24%). Use the 'STR showing now?' column, not the band, to judge what shoppers see.</t>
        </is>
      </c>
    </row>
    <row r="21">
      <c r="A21" s="5" t="inlineStr">
        <is>
          <t>Search strategy (Command Center ASINsight): shared keywords, we win / lose, their keywords we miss, keywords they advertise and we don't, and their SP / SB / SB-video / Amazon's Choice reach. Exports can be up to 2 weeks apart; treat as direction, not exact share.</t>
        </is>
      </c>
    </row>
    <row r="22">
      <c r="A22" s="5" t="inlineStr">
        <is>
          <t>Estimated weekly units (Command Center) and 30-day units (Data Dive) are estimates - use them to rank competitors, not as exact sales.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S92"/>
  <sheetViews>
    <sheetView showGridLines="0" zoomScale="90" workbookViewId="0">
      <pane ySplit="12" topLeftCell="A13" activePane="bottomLeft" state="frozen"/>
      <selection pane="bottomLeft" activeCell="A1" sqref="A1"/>
    </sheetView>
  </sheetViews>
  <sheetFormatPr baseColWidth="8" defaultRowHeight="15"/>
  <cols>
    <col width="2" customWidth="1" min="1" max="1"/>
    <col width="13" customWidth="1" min="2" max="2"/>
    <col width="18" customWidth="1" min="3" max="3"/>
    <col width="34" customWidth="1" min="4" max="4"/>
    <col width="34" customWidth="1" min="5" max="5"/>
    <col width="9" customWidth="1" min="6" max="6"/>
    <col width="9" customWidth="1" min="7" max="7"/>
    <col width="8" customWidth="1" min="8" max="8"/>
    <col width="9" customWidth="1" min="9" max="9"/>
    <col width="9" customWidth="1" min="10" max="10"/>
    <col width="8" customWidth="1" min="11" max="11"/>
    <col width="7" customWidth="1" min="12" max="12"/>
    <col width="8" customWidth="1" min="13" max="13"/>
    <col width="9" customWidth="1" min="14" max="14"/>
    <col width="8" customWidth="1" min="15" max="15"/>
    <col width="8" customWidth="1" min="16" max="16"/>
    <col width="9" customWidth="1" min="17" max="17"/>
    <col width="14" customWidth="1" min="18" max="18"/>
  </cols>
  <sheetData>
    <row r="1" ht="34" customHeight="1">
      <c r="B1" s="6" t="inlineStr">
        <is>
          <t>BFCM 2026 Competitor Dashboard</t>
        </is>
      </c>
    </row>
    <row r="2">
      <c r="B2" s="7" t="inlineStr">
        <is>
          <t>Pick a product, marketplace, brand, tier or family in the yellow cells. The competitor list, images and numbers below update instantly. Images render in Excel 365 and Google Sheets.</t>
        </is>
      </c>
    </row>
    <row r="4" ht="30" customHeight="1">
      <c r="B4" s="8" t="inlineStr">
        <is>
          <t>Product</t>
        </is>
      </c>
      <c r="C4" s="9" t="inlineStr">
        <is>
          <t>DC B4</t>
        </is>
      </c>
      <c r="E4" s="10">
        <f>IF($C$4="All","",IFERROR(_xlfn.IMAGE(IFERROR(INDEX(Lists!$G$2:$P$28,MATCH($C$4,Lists!$G$2:$G$28,0),4),"")),"IMAGE MISSING"))</f>
        <v/>
      </c>
      <c r="F4" s="11" t="inlineStr">
        <is>
          <t>Our product</t>
        </is>
      </c>
      <c r="G4" s="12">
        <f>IF($C$4="All","All products",IFERROR(INDEX(Lists!$G$2:$P$28,MATCH($C$4,Lists!$G$2:$G$28,0),3),""))</f>
        <v/>
      </c>
      <c r="L4" s="13" t="inlineStr">
        <is>
          <t>COMPETITORS SHOWN</t>
        </is>
      </c>
      <c r="N4" s="13" t="inlineStr">
        <is>
          <t>MEDIAN PRICE</t>
        </is>
      </c>
      <c r="P4" s="13" t="inlineStr">
        <is>
          <t>PRICED BELOW US</t>
        </is>
      </c>
      <c r="R4" s="13" t="inlineStr">
        <is>
          <t>LIST PRICE SET</t>
        </is>
      </c>
    </row>
    <row r="5" ht="22" customHeight="1">
      <c r="B5" s="8" t="inlineStr">
        <is>
          <t>Marketplace</t>
        </is>
      </c>
      <c r="C5" s="9" t="inlineStr">
        <is>
          <t>US</t>
        </is>
      </c>
      <c r="F5" s="11" t="inlineStr">
        <is>
          <t>Brand</t>
        </is>
      </c>
      <c r="G5" s="14">
        <f>IF($C$4="All","",IFERROR(INDEX(Lists!$G$2:$P$28,MATCH($C$4,Lists!$G$2:$G$28,0),5),""))</f>
        <v/>
      </c>
      <c r="L5" s="15">
        <f>COUNTIF(Data!$A$2:$A$700,TRUE)</f>
        <v/>
      </c>
      <c r="N5" s="16">
        <f t="array" ref="N5">IFERROR(MEDIAN(IF((Data!$A$2:$A$700=TRUE)*ISNUMBER(Data!$N$2:$N$700),Data!$N$2:$N$700)),"")</f>
        <v/>
      </c>
      <c r="P5" s="15">
        <f>COUNTIFS(Data!$A$2:$A$700,TRUE,Data!$R$2:$R$700,"&lt;0")</f>
        <v/>
      </c>
      <c r="R5" s="15">
        <f>COUNTIFS(Data!$A$2:$A$700,TRUE,Data!$P$2:$P$700,"&gt;0")</f>
        <v/>
      </c>
    </row>
    <row r="6" ht="22" customHeight="1">
      <c r="B6" s="8" t="inlineStr">
        <is>
          <t>Brand</t>
        </is>
      </c>
      <c r="C6" s="9" t="inlineStr">
        <is>
          <t>All</t>
        </is>
      </c>
      <c r="F6" s="11" t="inlineStr">
        <is>
          <t>Parent ASIN</t>
        </is>
      </c>
      <c r="G6" s="14">
        <f>IF($C$4="All","",IFERROR(INDEX(Lists!$G$2:$P$28,MATCH($C$4,Lists!$G$2:$G$28,0),6),""))</f>
        <v/>
      </c>
    </row>
    <row r="7" ht="22" customHeight="1">
      <c r="B7" s="8" t="inlineStr">
        <is>
          <t>Tier</t>
        </is>
      </c>
      <c r="C7" s="9" t="inlineStr">
        <is>
          <t>All</t>
        </is>
      </c>
      <c r="F7" s="11" t="inlineStr">
        <is>
          <t>Variations (SKUs)</t>
        </is>
      </c>
      <c r="G7" s="17">
        <f>IF($C$4="All","",IFERROR(INDEX(Lists!$G$2:$P$28,MATCH($C$4,Lists!$G$2:$G$28,0),7),""))</f>
        <v/>
      </c>
      <c r="L7" s="13" t="inlineStr">
        <is>
          <t>LIST PRICE ≤12% OVER</t>
        </is>
      </c>
      <c r="N7" s="13" t="inlineStr">
        <is>
          <t>EST WEEKLY UNITS (SUM)</t>
        </is>
      </c>
      <c r="P7" s="13" t="inlineStr">
        <is>
          <t>KEEPA BFCM ROWS FILLED</t>
        </is>
      </c>
      <c r="R7" s="13" t="inlineStr">
        <is>
          <t>AVG BFCM 2025 DISCOUNT</t>
        </is>
      </c>
    </row>
    <row r="8" ht="22" customHeight="1">
      <c r="B8" s="8" t="inlineStr">
        <is>
          <t>Family</t>
        </is>
      </c>
      <c r="C8" s="9" t="inlineStr">
        <is>
          <t>All</t>
        </is>
      </c>
      <c r="F8" s="11" t="inlineStr">
        <is>
          <t>Our price (best child; see Data Check)</t>
        </is>
      </c>
      <c r="G8" s="18">
        <f>IF($C$4="All","",IFERROR(INDEX(Lists!$G$2:$P$28,MATCH($C$4,Lists!$G$2:$G$28,0),8),""))</f>
        <v/>
      </c>
      <c r="L8" s="15">
        <f>COUNTIFS(Data!$A$2:$A$700,TRUE,Data!$P$2:$P$700,"&gt;0",Data!$P$2:$P$700,"&lt;=0.12")</f>
        <v/>
      </c>
      <c r="N8" s="15">
        <f>SUMIFS(Data!$T$2:$T$700,Data!$A$2:$A$700,TRUE)</f>
        <v/>
      </c>
      <c r="P8" s="15">
        <f>COUNTIFS(Data!$A$2:$A$700,TRUE,Data!$AD$2:$AD$700,"&gt;=0")</f>
        <v/>
      </c>
      <c r="R8" s="19">
        <f>IFERROR(AVERAGEIFS(Data!$AD$2:$AD$700,Data!$A$2:$A$700,TRUE),"")</f>
        <v/>
      </c>
    </row>
    <row r="9">
      <c r="F9" s="11" t="inlineStr">
        <is>
          <t>Open the product tab:</t>
        </is>
      </c>
      <c r="G9" s="20">
        <f>IF($C$4="All","",HYPERLINK("#'"&amp;IFERROR(INDEX(Lists!$G$2:$P$28,MATCH($C$4,Lists!$G$2:$G$28,0),2),"")&amp;"'!A1",IFERROR(INDEX(Lists!$G$2:$P$28,MATCH($C$4,Lists!$G$2:$G$28,0),2),"")))</f>
        <v/>
      </c>
    </row>
    <row r="11">
      <c r="B11" s="21" t="inlineStr">
        <is>
          <t>COMPETITORS (first 80 matches, in tier then weekly-units order)</t>
        </is>
      </c>
    </row>
    <row r="12">
      <c r="B12" s="22" t="inlineStr">
        <is>
          <t>#</t>
        </is>
      </c>
      <c r="C12" s="22" t="inlineStr">
        <is>
          <t>Image</t>
        </is>
      </c>
      <c r="D12" s="22" t="inlineStr">
        <is>
          <t>Brand · Tier</t>
        </is>
      </c>
      <c r="E12" s="22" t="inlineStr">
        <is>
          <t>Title</t>
        </is>
      </c>
      <c r="F12" s="22" t="inlineStr">
        <is>
          <t>Our product</t>
        </is>
      </c>
      <c r="G12" s="22" t="inlineStr">
        <is>
          <t>Mkt</t>
        </is>
      </c>
      <c r="H12" s="22" t="inlineStr">
        <is>
          <t>Price</t>
        </is>
      </c>
      <c r="I12" s="22" t="inlineStr">
        <is>
          <t>List Price</t>
        </is>
      </c>
      <c r="J12" s="22" t="inlineStr">
        <is>
          <t>List % over</t>
        </is>
      </c>
      <c r="K12" s="22" t="inlineStr">
        <is>
          <t>vs our price</t>
        </is>
      </c>
      <c r="L12" s="22" t="inlineStr">
        <is>
          <t>BSR</t>
        </is>
      </c>
      <c r="M12" s="22" t="inlineStr">
        <is>
          <t>Wk units</t>
        </is>
      </c>
      <c r="N12" s="22" t="inlineStr">
        <is>
          <t>Rating</t>
        </is>
      </c>
      <c r="O12" s="22" t="inlineStr">
        <is>
          <t>Reviews</t>
        </is>
      </c>
      <c r="P12" s="22" t="inlineStr">
        <is>
          <t>Variations</t>
        </is>
      </c>
      <c r="Q12" s="22" t="inlineStr">
        <is>
          <t>We win / lose</t>
        </is>
      </c>
      <c r="R12" s="22" t="inlineStr">
        <is>
          <t>ASIN</t>
        </is>
      </c>
    </row>
    <row r="13" ht="62" customHeight="1">
      <c r="B13" s="23">
        <f>IF(1&lt;=COUNTIF(Data!$A$2:$A$700,TRUE),1,"")</f>
        <v/>
      </c>
      <c r="C13" s="24">
        <f>IF(B13="","",IFERROR(_xlfn.IMAGE(IFERROR(IF(INDEX(Data!$J$2:$J$700,MATCH(1,Data!$B$2:$B$700,0))="","",INDEX(Data!$J$2:$J$700,MATCH(1,Data!$B$2:$B$700,0))),"")),"IMAGE MISSING"))</f>
        <v/>
      </c>
      <c r="D13" s="25">
        <f>IF(B13="","",IFERROR(IF(INDEX(Data!$G$2:$G$700,MATCH(1,Data!$B$2:$B$700,0))="","",INDEX(Data!$G$2:$G$700,MATCH(1,Data!$B$2:$B$700,0))),"")&amp;CHAR(10)&amp;IFERROR(IF(INDEX(Data!$H$2:$H$700,MATCH(1,Data!$B$2:$B$700,0))="","",INDEX(Data!$H$2:$H$700,MATCH(1,Data!$B$2:$B$700,0))),""))</f>
        <v/>
      </c>
      <c r="E13" s="23">
        <f>IF(B13="","",IFERROR(IF(INDEX(Data!$I$2:$I$700,MATCH(1,Data!$B$2:$B$700,0))="","",INDEX(Data!$I$2:$I$700,MATCH(1,Data!$B$2:$B$700,0))),""))</f>
        <v/>
      </c>
      <c r="F13" s="23">
        <f>IF(B13="","",IFERROR(IF(INDEX(Data!$D$2:$D$700,MATCH(1,Data!$B$2:$B$700,0))="","",INDEX(Data!$D$2:$D$700,MATCH(1,Data!$B$2:$B$700,0))),""))</f>
        <v/>
      </c>
      <c r="G13" s="23">
        <f>IF(B13="","",IFERROR(IF(INDEX(Data!$E$2:$E$700,MATCH(1,Data!$B$2:$B$700,0))="","",INDEX(Data!$E$2:$E$700,MATCH(1,Data!$B$2:$B$700,0))),""))</f>
        <v/>
      </c>
      <c r="H13" s="26">
        <f>IF(B13="","",IFERROR(IF(INDEX(Data!$N$2:$N$700,MATCH(1,Data!$B$2:$B$700,0))="","",INDEX(Data!$N$2:$N$700,MATCH(1,Data!$B$2:$B$700,0))),""))</f>
        <v/>
      </c>
      <c r="I13" s="26">
        <f>IF(B13="","",IFERROR(IF(INDEX(Data!$O$2:$O$700,MATCH(1,Data!$B$2:$B$700,0))="","",INDEX(Data!$O$2:$O$700,MATCH(1,Data!$B$2:$B$700,0))),""))</f>
        <v/>
      </c>
      <c r="J13" s="27">
        <f>IF(B13="","",IFERROR(IF(INDEX(Data!$P$2:$P$700,MATCH(1,Data!$B$2:$B$700,0))="","",INDEX(Data!$P$2:$P$700,MATCH(1,Data!$B$2:$B$700,0))),""))</f>
        <v/>
      </c>
      <c r="K13" s="28">
        <f>IF(B13="","",IFERROR(IF(INDEX(Data!$R$2:$R$700,MATCH(1,Data!$B$2:$B$700,0))="","",INDEX(Data!$R$2:$R$700,MATCH(1,Data!$B$2:$B$700,0))),""))</f>
        <v/>
      </c>
      <c r="L13" s="29">
        <f>IF(B13="","",IFERROR(IF(INDEX(Data!$S$2:$S$700,MATCH(1,Data!$B$2:$B$700,0))="","",INDEX(Data!$S$2:$S$700,MATCH(1,Data!$B$2:$B$700,0))),""))</f>
        <v/>
      </c>
      <c r="M13" s="29">
        <f>IF(B13="","",IFERROR(IF(INDEX(Data!$T$2:$T$700,MATCH(1,Data!$B$2:$B$700,0))="","",INDEX(Data!$T$2:$T$700,MATCH(1,Data!$B$2:$B$700,0))),""))</f>
        <v/>
      </c>
      <c r="N13" s="30">
        <f>IF(B13="","",IFERROR(IF(INDEX(Data!$U$2:$U$700,MATCH(1,Data!$B$2:$B$700,0))="","",INDEX(Data!$U$2:$U$700,MATCH(1,Data!$B$2:$B$700,0))),""))</f>
        <v/>
      </c>
      <c r="O13" s="29">
        <f>IF(B13="","",IFERROR(IF(INDEX(Data!$V$2:$V$700,MATCH(1,Data!$B$2:$B$700,0))="","",INDEX(Data!$V$2:$V$700,MATCH(1,Data!$B$2:$B$700,0))),""))</f>
        <v/>
      </c>
      <c r="P13" s="29">
        <f>IF(B13="","",IFERROR(IF(INDEX(Data!$M$2:$M$700,MATCH(1,Data!$B$2:$B$700,0))="","",INDEX(Data!$M$2:$M$700,MATCH(1,Data!$B$2:$B$700,0))),""))</f>
        <v/>
      </c>
      <c r="Q13" s="23">
        <f>IF(OR(B13="",IFERROR(IF(INDEX(Data!$Y$2:$Y$700,MATCH(1,Data!$B$2:$B$700,0))="","",INDEX(Data!$Y$2:$Y$700,MATCH(1,Data!$B$2:$B$700,0))),"")=""),"",IFERROR(IF(INDEX(Data!$Y$2:$Y$700,MATCH(1,Data!$B$2:$B$700,0))="","",INDEX(Data!$Y$2:$Y$700,MATCH(1,Data!$B$2:$B$700,0))),"")&amp;" / "&amp;IFERROR(IF(INDEX(Data!$Z$2:$Z$700,MATCH(1,Data!$B$2:$B$700,0))="","",INDEX(Data!$Z$2:$Z$700,MATCH(1,Data!$B$2:$B$700,0))),""))</f>
        <v/>
      </c>
      <c r="R13" s="23">
        <f>IF(B13="","",IFERROR(IF(INDEX(Data!$L$2:$L$700,MATCH(1,Data!$B$2:$B$700,0))="","",INDEX(Data!$L$2:$L$700,MATCH(1,Data!$B$2:$B$700,0))),""))</f>
        <v/>
      </c>
    </row>
    <row r="14" ht="62" customHeight="1">
      <c r="B14" s="23">
        <f>IF(2&lt;=COUNTIF(Data!$A$2:$A$700,TRUE),2,"")</f>
        <v/>
      </c>
      <c r="C14" s="24">
        <f>IF(B14="","",IFERROR(_xlfn.IMAGE(IFERROR(IF(INDEX(Data!$J$2:$J$700,MATCH(2,Data!$B$2:$B$700,0))="","",INDEX(Data!$J$2:$J$700,MATCH(2,Data!$B$2:$B$700,0))),"")),"IMAGE MISSING"))</f>
        <v/>
      </c>
      <c r="D14" s="25">
        <f>IF(B14="","",IFERROR(IF(INDEX(Data!$G$2:$G$700,MATCH(2,Data!$B$2:$B$700,0))="","",INDEX(Data!$G$2:$G$700,MATCH(2,Data!$B$2:$B$700,0))),"")&amp;CHAR(10)&amp;IFERROR(IF(INDEX(Data!$H$2:$H$700,MATCH(2,Data!$B$2:$B$700,0))="","",INDEX(Data!$H$2:$H$700,MATCH(2,Data!$B$2:$B$700,0))),""))</f>
        <v/>
      </c>
      <c r="E14" s="23">
        <f>IF(B14="","",IFERROR(IF(INDEX(Data!$I$2:$I$700,MATCH(2,Data!$B$2:$B$700,0))="","",INDEX(Data!$I$2:$I$700,MATCH(2,Data!$B$2:$B$700,0))),""))</f>
        <v/>
      </c>
      <c r="F14" s="23">
        <f>IF(B14="","",IFERROR(IF(INDEX(Data!$D$2:$D$700,MATCH(2,Data!$B$2:$B$700,0))="","",INDEX(Data!$D$2:$D$700,MATCH(2,Data!$B$2:$B$700,0))),""))</f>
        <v/>
      </c>
      <c r="G14" s="23">
        <f>IF(B14="","",IFERROR(IF(INDEX(Data!$E$2:$E$700,MATCH(2,Data!$B$2:$B$700,0))="","",INDEX(Data!$E$2:$E$700,MATCH(2,Data!$B$2:$B$700,0))),""))</f>
        <v/>
      </c>
      <c r="H14" s="26">
        <f>IF(B14="","",IFERROR(IF(INDEX(Data!$N$2:$N$700,MATCH(2,Data!$B$2:$B$700,0))="","",INDEX(Data!$N$2:$N$700,MATCH(2,Data!$B$2:$B$700,0))),""))</f>
        <v/>
      </c>
      <c r="I14" s="26">
        <f>IF(B14="","",IFERROR(IF(INDEX(Data!$O$2:$O$700,MATCH(2,Data!$B$2:$B$700,0))="","",INDEX(Data!$O$2:$O$700,MATCH(2,Data!$B$2:$B$700,0))),""))</f>
        <v/>
      </c>
      <c r="J14" s="27">
        <f>IF(B14="","",IFERROR(IF(INDEX(Data!$P$2:$P$700,MATCH(2,Data!$B$2:$B$700,0))="","",INDEX(Data!$P$2:$P$700,MATCH(2,Data!$B$2:$B$700,0))),""))</f>
        <v/>
      </c>
      <c r="K14" s="28">
        <f>IF(B14="","",IFERROR(IF(INDEX(Data!$R$2:$R$700,MATCH(2,Data!$B$2:$B$700,0))="","",INDEX(Data!$R$2:$R$700,MATCH(2,Data!$B$2:$B$700,0))),""))</f>
        <v/>
      </c>
      <c r="L14" s="29">
        <f>IF(B14="","",IFERROR(IF(INDEX(Data!$S$2:$S$700,MATCH(2,Data!$B$2:$B$700,0))="","",INDEX(Data!$S$2:$S$700,MATCH(2,Data!$B$2:$B$700,0))),""))</f>
        <v/>
      </c>
      <c r="M14" s="29">
        <f>IF(B14="","",IFERROR(IF(INDEX(Data!$T$2:$T$700,MATCH(2,Data!$B$2:$B$700,0))="","",INDEX(Data!$T$2:$T$700,MATCH(2,Data!$B$2:$B$700,0))),""))</f>
        <v/>
      </c>
      <c r="N14" s="30">
        <f>IF(B14="","",IFERROR(IF(INDEX(Data!$U$2:$U$700,MATCH(2,Data!$B$2:$B$700,0))="","",INDEX(Data!$U$2:$U$700,MATCH(2,Data!$B$2:$B$700,0))),""))</f>
        <v/>
      </c>
      <c r="O14" s="29">
        <f>IF(B14="","",IFERROR(IF(INDEX(Data!$V$2:$V$700,MATCH(2,Data!$B$2:$B$700,0))="","",INDEX(Data!$V$2:$V$700,MATCH(2,Data!$B$2:$B$700,0))),""))</f>
        <v/>
      </c>
      <c r="P14" s="29">
        <f>IF(B14="","",IFERROR(IF(INDEX(Data!$M$2:$M$700,MATCH(2,Data!$B$2:$B$700,0))="","",INDEX(Data!$M$2:$M$700,MATCH(2,Data!$B$2:$B$700,0))),""))</f>
        <v/>
      </c>
      <c r="Q14" s="23">
        <f>IF(OR(B14="",IFERROR(IF(INDEX(Data!$Y$2:$Y$700,MATCH(2,Data!$B$2:$B$700,0))="","",INDEX(Data!$Y$2:$Y$700,MATCH(2,Data!$B$2:$B$700,0))),"")=""),"",IFERROR(IF(INDEX(Data!$Y$2:$Y$700,MATCH(2,Data!$B$2:$B$700,0))="","",INDEX(Data!$Y$2:$Y$700,MATCH(2,Data!$B$2:$B$700,0))),"")&amp;" / "&amp;IFERROR(IF(INDEX(Data!$Z$2:$Z$700,MATCH(2,Data!$B$2:$B$700,0))="","",INDEX(Data!$Z$2:$Z$700,MATCH(2,Data!$B$2:$B$700,0))),""))</f>
        <v/>
      </c>
      <c r="R14" s="23">
        <f>IF(B14="","",IFERROR(IF(INDEX(Data!$L$2:$L$700,MATCH(2,Data!$B$2:$B$700,0))="","",INDEX(Data!$L$2:$L$700,MATCH(2,Data!$B$2:$B$700,0))),""))</f>
        <v/>
      </c>
    </row>
    <row r="15" ht="62" customHeight="1">
      <c r="B15" s="23">
        <f>IF(3&lt;=COUNTIF(Data!$A$2:$A$700,TRUE),3,"")</f>
        <v/>
      </c>
      <c r="C15" s="24">
        <f>IF(B15="","",IFERROR(_xlfn.IMAGE(IFERROR(IF(INDEX(Data!$J$2:$J$700,MATCH(3,Data!$B$2:$B$700,0))="","",INDEX(Data!$J$2:$J$700,MATCH(3,Data!$B$2:$B$700,0))),"")),"IMAGE MISSING"))</f>
        <v/>
      </c>
      <c r="D15" s="25">
        <f>IF(B15="","",IFERROR(IF(INDEX(Data!$G$2:$G$700,MATCH(3,Data!$B$2:$B$700,0))="","",INDEX(Data!$G$2:$G$700,MATCH(3,Data!$B$2:$B$700,0))),"")&amp;CHAR(10)&amp;IFERROR(IF(INDEX(Data!$H$2:$H$700,MATCH(3,Data!$B$2:$B$700,0))="","",INDEX(Data!$H$2:$H$700,MATCH(3,Data!$B$2:$B$700,0))),""))</f>
        <v/>
      </c>
      <c r="E15" s="23">
        <f>IF(B15="","",IFERROR(IF(INDEX(Data!$I$2:$I$700,MATCH(3,Data!$B$2:$B$700,0))="","",INDEX(Data!$I$2:$I$700,MATCH(3,Data!$B$2:$B$700,0))),""))</f>
        <v/>
      </c>
      <c r="F15" s="23">
        <f>IF(B15="","",IFERROR(IF(INDEX(Data!$D$2:$D$700,MATCH(3,Data!$B$2:$B$700,0))="","",INDEX(Data!$D$2:$D$700,MATCH(3,Data!$B$2:$B$700,0))),""))</f>
        <v/>
      </c>
      <c r="G15" s="23">
        <f>IF(B15="","",IFERROR(IF(INDEX(Data!$E$2:$E$700,MATCH(3,Data!$B$2:$B$700,0))="","",INDEX(Data!$E$2:$E$700,MATCH(3,Data!$B$2:$B$700,0))),""))</f>
        <v/>
      </c>
      <c r="H15" s="26">
        <f>IF(B15="","",IFERROR(IF(INDEX(Data!$N$2:$N$700,MATCH(3,Data!$B$2:$B$700,0))="","",INDEX(Data!$N$2:$N$700,MATCH(3,Data!$B$2:$B$700,0))),""))</f>
        <v/>
      </c>
      <c r="I15" s="26">
        <f>IF(B15="","",IFERROR(IF(INDEX(Data!$O$2:$O$700,MATCH(3,Data!$B$2:$B$700,0))="","",INDEX(Data!$O$2:$O$700,MATCH(3,Data!$B$2:$B$700,0))),""))</f>
        <v/>
      </c>
      <c r="J15" s="27">
        <f>IF(B15="","",IFERROR(IF(INDEX(Data!$P$2:$P$700,MATCH(3,Data!$B$2:$B$700,0))="","",INDEX(Data!$P$2:$P$700,MATCH(3,Data!$B$2:$B$700,0))),""))</f>
        <v/>
      </c>
      <c r="K15" s="28">
        <f>IF(B15="","",IFERROR(IF(INDEX(Data!$R$2:$R$700,MATCH(3,Data!$B$2:$B$700,0))="","",INDEX(Data!$R$2:$R$700,MATCH(3,Data!$B$2:$B$700,0))),""))</f>
        <v/>
      </c>
      <c r="L15" s="29">
        <f>IF(B15="","",IFERROR(IF(INDEX(Data!$S$2:$S$700,MATCH(3,Data!$B$2:$B$700,0))="","",INDEX(Data!$S$2:$S$700,MATCH(3,Data!$B$2:$B$700,0))),""))</f>
        <v/>
      </c>
      <c r="M15" s="29">
        <f>IF(B15="","",IFERROR(IF(INDEX(Data!$T$2:$T$700,MATCH(3,Data!$B$2:$B$700,0))="","",INDEX(Data!$T$2:$T$700,MATCH(3,Data!$B$2:$B$700,0))),""))</f>
        <v/>
      </c>
      <c r="N15" s="30">
        <f>IF(B15="","",IFERROR(IF(INDEX(Data!$U$2:$U$700,MATCH(3,Data!$B$2:$B$700,0))="","",INDEX(Data!$U$2:$U$700,MATCH(3,Data!$B$2:$B$700,0))),""))</f>
        <v/>
      </c>
      <c r="O15" s="29">
        <f>IF(B15="","",IFERROR(IF(INDEX(Data!$V$2:$V$700,MATCH(3,Data!$B$2:$B$700,0))="","",INDEX(Data!$V$2:$V$700,MATCH(3,Data!$B$2:$B$700,0))),""))</f>
        <v/>
      </c>
      <c r="P15" s="29">
        <f>IF(B15="","",IFERROR(IF(INDEX(Data!$M$2:$M$700,MATCH(3,Data!$B$2:$B$700,0))="","",INDEX(Data!$M$2:$M$700,MATCH(3,Data!$B$2:$B$700,0))),""))</f>
        <v/>
      </c>
      <c r="Q15" s="23">
        <f>IF(OR(B15="",IFERROR(IF(INDEX(Data!$Y$2:$Y$700,MATCH(3,Data!$B$2:$B$700,0))="","",INDEX(Data!$Y$2:$Y$700,MATCH(3,Data!$B$2:$B$700,0))),"")=""),"",IFERROR(IF(INDEX(Data!$Y$2:$Y$700,MATCH(3,Data!$B$2:$B$700,0))="","",INDEX(Data!$Y$2:$Y$700,MATCH(3,Data!$B$2:$B$700,0))),"")&amp;" / "&amp;IFERROR(IF(INDEX(Data!$Z$2:$Z$700,MATCH(3,Data!$B$2:$B$700,0))="","",INDEX(Data!$Z$2:$Z$700,MATCH(3,Data!$B$2:$B$700,0))),""))</f>
        <v/>
      </c>
      <c r="R15" s="23">
        <f>IF(B15="","",IFERROR(IF(INDEX(Data!$L$2:$L$700,MATCH(3,Data!$B$2:$B$700,0))="","",INDEX(Data!$L$2:$L$700,MATCH(3,Data!$B$2:$B$700,0))),""))</f>
        <v/>
      </c>
    </row>
    <row r="16" ht="62" customHeight="1">
      <c r="B16" s="23">
        <f>IF(4&lt;=COUNTIF(Data!$A$2:$A$700,TRUE),4,"")</f>
        <v/>
      </c>
      <c r="C16" s="24">
        <f>IF(B16="","",IFERROR(_xlfn.IMAGE(IFERROR(IF(INDEX(Data!$J$2:$J$700,MATCH(4,Data!$B$2:$B$700,0))="","",INDEX(Data!$J$2:$J$700,MATCH(4,Data!$B$2:$B$700,0))),"")),"IMAGE MISSING"))</f>
        <v/>
      </c>
      <c r="D16" s="25">
        <f>IF(B16="","",IFERROR(IF(INDEX(Data!$G$2:$G$700,MATCH(4,Data!$B$2:$B$700,0))="","",INDEX(Data!$G$2:$G$700,MATCH(4,Data!$B$2:$B$700,0))),"")&amp;CHAR(10)&amp;IFERROR(IF(INDEX(Data!$H$2:$H$700,MATCH(4,Data!$B$2:$B$700,0))="","",INDEX(Data!$H$2:$H$700,MATCH(4,Data!$B$2:$B$700,0))),""))</f>
        <v/>
      </c>
      <c r="E16" s="23">
        <f>IF(B16="","",IFERROR(IF(INDEX(Data!$I$2:$I$700,MATCH(4,Data!$B$2:$B$700,0))="","",INDEX(Data!$I$2:$I$700,MATCH(4,Data!$B$2:$B$700,0))),""))</f>
        <v/>
      </c>
      <c r="F16" s="23">
        <f>IF(B16="","",IFERROR(IF(INDEX(Data!$D$2:$D$700,MATCH(4,Data!$B$2:$B$700,0))="","",INDEX(Data!$D$2:$D$700,MATCH(4,Data!$B$2:$B$700,0))),""))</f>
        <v/>
      </c>
      <c r="G16" s="23">
        <f>IF(B16="","",IFERROR(IF(INDEX(Data!$E$2:$E$700,MATCH(4,Data!$B$2:$B$700,0))="","",INDEX(Data!$E$2:$E$700,MATCH(4,Data!$B$2:$B$700,0))),""))</f>
        <v/>
      </c>
      <c r="H16" s="26">
        <f>IF(B16="","",IFERROR(IF(INDEX(Data!$N$2:$N$700,MATCH(4,Data!$B$2:$B$700,0))="","",INDEX(Data!$N$2:$N$700,MATCH(4,Data!$B$2:$B$700,0))),""))</f>
        <v/>
      </c>
      <c r="I16" s="26">
        <f>IF(B16="","",IFERROR(IF(INDEX(Data!$O$2:$O$700,MATCH(4,Data!$B$2:$B$700,0))="","",INDEX(Data!$O$2:$O$700,MATCH(4,Data!$B$2:$B$700,0))),""))</f>
        <v/>
      </c>
      <c r="J16" s="27">
        <f>IF(B16="","",IFERROR(IF(INDEX(Data!$P$2:$P$700,MATCH(4,Data!$B$2:$B$700,0))="","",INDEX(Data!$P$2:$P$700,MATCH(4,Data!$B$2:$B$700,0))),""))</f>
        <v/>
      </c>
      <c r="K16" s="28">
        <f>IF(B16="","",IFERROR(IF(INDEX(Data!$R$2:$R$700,MATCH(4,Data!$B$2:$B$700,0))="","",INDEX(Data!$R$2:$R$700,MATCH(4,Data!$B$2:$B$700,0))),""))</f>
        <v/>
      </c>
      <c r="L16" s="29">
        <f>IF(B16="","",IFERROR(IF(INDEX(Data!$S$2:$S$700,MATCH(4,Data!$B$2:$B$700,0))="","",INDEX(Data!$S$2:$S$700,MATCH(4,Data!$B$2:$B$700,0))),""))</f>
        <v/>
      </c>
      <c r="M16" s="29">
        <f>IF(B16="","",IFERROR(IF(INDEX(Data!$T$2:$T$700,MATCH(4,Data!$B$2:$B$700,0))="","",INDEX(Data!$T$2:$T$700,MATCH(4,Data!$B$2:$B$700,0))),""))</f>
        <v/>
      </c>
      <c r="N16" s="30">
        <f>IF(B16="","",IFERROR(IF(INDEX(Data!$U$2:$U$700,MATCH(4,Data!$B$2:$B$700,0))="","",INDEX(Data!$U$2:$U$700,MATCH(4,Data!$B$2:$B$700,0))),""))</f>
        <v/>
      </c>
      <c r="O16" s="29">
        <f>IF(B16="","",IFERROR(IF(INDEX(Data!$V$2:$V$700,MATCH(4,Data!$B$2:$B$700,0))="","",INDEX(Data!$V$2:$V$700,MATCH(4,Data!$B$2:$B$700,0))),""))</f>
        <v/>
      </c>
      <c r="P16" s="29">
        <f>IF(B16="","",IFERROR(IF(INDEX(Data!$M$2:$M$700,MATCH(4,Data!$B$2:$B$700,0))="","",INDEX(Data!$M$2:$M$700,MATCH(4,Data!$B$2:$B$700,0))),""))</f>
        <v/>
      </c>
      <c r="Q16" s="23">
        <f>IF(OR(B16="",IFERROR(IF(INDEX(Data!$Y$2:$Y$700,MATCH(4,Data!$B$2:$B$700,0))="","",INDEX(Data!$Y$2:$Y$700,MATCH(4,Data!$B$2:$B$700,0))),"")=""),"",IFERROR(IF(INDEX(Data!$Y$2:$Y$700,MATCH(4,Data!$B$2:$B$700,0))="","",INDEX(Data!$Y$2:$Y$700,MATCH(4,Data!$B$2:$B$700,0))),"")&amp;" / "&amp;IFERROR(IF(INDEX(Data!$Z$2:$Z$700,MATCH(4,Data!$B$2:$B$700,0))="","",INDEX(Data!$Z$2:$Z$700,MATCH(4,Data!$B$2:$B$700,0))),""))</f>
        <v/>
      </c>
      <c r="R16" s="23">
        <f>IF(B16="","",IFERROR(IF(INDEX(Data!$L$2:$L$700,MATCH(4,Data!$B$2:$B$700,0))="","",INDEX(Data!$L$2:$L$700,MATCH(4,Data!$B$2:$B$700,0))),""))</f>
        <v/>
      </c>
    </row>
    <row r="17" ht="62" customHeight="1">
      <c r="B17" s="23">
        <f>IF(5&lt;=COUNTIF(Data!$A$2:$A$700,TRUE),5,"")</f>
        <v/>
      </c>
      <c r="C17" s="24">
        <f>IF(B17="","",IFERROR(_xlfn.IMAGE(IFERROR(IF(INDEX(Data!$J$2:$J$700,MATCH(5,Data!$B$2:$B$700,0))="","",INDEX(Data!$J$2:$J$700,MATCH(5,Data!$B$2:$B$700,0))),"")),"IMAGE MISSING"))</f>
        <v/>
      </c>
      <c r="D17" s="25">
        <f>IF(B17="","",IFERROR(IF(INDEX(Data!$G$2:$G$700,MATCH(5,Data!$B$2:$B$700,0))="","",INDEX(Data!$G$2:$G$700,MATCH(5,Data!$B$2:$B$700,0))),"")&amp;CHAR(10)&amp;IFERROR(IF(INDEX(Data!$H$2:$H$700,MATCH(5,Data!$B$2:$B$700,0))="","",INDEX(Data!$H$2:$H$700,MATCH(5,Data!$B$2:$B$700,0))),""))</f>
        <v/>
      </c>
      <c r="E17" s="23">
        <f>IF(B17="","",IFERROR(IF(INDEX(Data!$I$2:$I$700,MATCH(5,Data!$B$2:$B$700,0))="","",INDEX(Data!$I$2:$I$700,MATCH(5,Data!$B$2:$B$700,0))),""))</f>
        <v/>
      </c>
      <c r="F17" s="23">
        <f>IF(B17="","",IFERROR(IF(INDEX(Data!$D$2:$D$700,MATCH(5,Data!$B$2:$B$700,0))="","",INDEX(Data!$D$2:$D$700,MATCH(5,Data!$B$2:$B$700,0))),""))</f>
        <v/>
      </c>
      <c r="G17" s="23">
        <f>IF(B17="","",IFERROR(IF(INDEX(Data!$E$2:$E$700,MATCH(5,Data!$B$2:$B$700,0))="","",INDEX(Data!$E$2:$E$700,MATCH(5,Data!$B$2:$B$700,0))),""))</f>
        <v/>
      </c>
      <c r="H17" s="26">
        <f>IF(B17="","",IFERROR(IF(INDEX(Data!$N$2:$N$700,MATCH(5,Data!$B$2:$B$700,0))="","",INDEX(Data!$N$2:$N$700,MATCH(5,Data!$B$2:$B$700,0))),""))</f>
        <v/>
      </c>
      <c r="I17" s="26">
        <f>IF(B17="","",IFERROR(IF(INDEX(Data!$O$2:$O$700,MATCH(5,Data!$B$2:$B$700,0))="","",INDEX(Data!$O$2:$O$700,MATCH(5,Data!$B$2:$B$700,0))),""))</f>
        <v/>
      </c>
      <c r="J17" s="27">
        <f>IF(B17="","",IFERROR(IF(INDEX(Data!$P$2:$P$700,MATCH(5,Data!$B$2:$B$700,0))="","",INDEX(Data!$P$2:$P$700,MATCH(5,Data!$B$2:$B$700,0))),""))</f>
        <v/>
      </c>
      <c r="K17" s="28">
        <f>IF(B17="","",IFERROR(IF(INDEX(Data!$R$2:$R$700,MATCH(5,Data!$B$2:$B$700,0))="","",INDEX(Data!$R$2:$R$700,MATCH(5,Data!$B$2:$B$700,0))),""))</f>
        <v/>
      </c>
      <c r="L17" s="29">
        <f>IF(B17="","",IFERROR(IF(INDEX(Data!$S$2:$S$700,MATCH(5,Data!$B$2:$B$700,0))="","",INDEX(Data!$S$2:$S$700,MATCH(5,Data!$B$2:$B$700,0))),""))</f>
        <v/>
      </c>
      <c r="M17" s="29">
        <f>IF(B17="","",IFERROR(IF(INDEX(Data!$T$2:$T$700,MATCH(5,Data!$B$2:$B$700,0))="","",INDEX(Data!$T$2:$T$700,MATCH(5,Data!$B$2:$B$700,0))),""))</f>
        <v/>
      </c>
      <c r="N17" s="30">
        <f>IF(B17="","",IFERROR(IF(INDEX(Data!$U$2:$U$700,MATCH(5,Data!$B$2:$B$700,0))="","",INDEX(Data!$U$2:$U$700,MATCH(5,Data!$B$2:$B$700,0))),""))</f>
        <v/>
      </c>
      <c r="O17" s="29">
        <f>IF(B17="","",IFERROR(IF(INDEX(Data!$V$2:$V$700,MATCH(5,Data!$B$2:$B$700,0))="","",INDEX(Data!$V$2:$V$700,MATCH(5,Data!$B$2:$B$700,0))),""))</f>
        <v/>
      </c>
      <c r="P17" s="29">
        <f>IF(B17="","",IFERROR(IF(INDEX(Data!$M$2:$M$700,MATCH(5,Data!$B$2:$B$700,0))="","",INDEX(Data!$M$2:$M$700,MATCH(5,Data!$B$2:$B$700,0))),""))</f>
        <v/>
      </c>
      <c r="Q17" s="23">
        <f>IF(OR(B17="",IFERROR(IF(INDEX(Data!$Y$2:$Y$700,MATCH(5,Data!$B$2:$B$700,0))="","",INDEX(Data!$Y$2:$Y$700,MATCH(5,Data!$B$2:$B$700,0))),"")=""),"",IFERROR(IF(INDEX(Data!$Y$2:$Y$700,MATCH(5,Data!$B$2:$B$700,0))="","",INDEX(Data!$Y$2:$Y$700,MATCH(5,Data!$B$2:$B$700,0))),"")&amp;" / "&amp;IFERROR(IF(INDEX(Data!$Z$2:$Z$700,MATCH(5,Data!$B$2:$B$700,0))="","",INDEX(Data!$Z$2:$Z$700,MATCH(5,Data!$B$2:$B$700,0))),""))</f>
        <v/>
      </c>
      <c r="R17" s="23">
        <f>IF(B17="","",IFERROR(IF(INDEX(Data!$L$2:$L$700,MATCH(5,Data!$B$2:$B$700,0))="","",INDEX(Data!$L$2:$L$700,MATCH(5,Data!$B$2:$B$700,0))),""))</f>
        <v/>
      </c>
    </row>
    <row r="18" ht="62" customHeight="1">
      <c r="B18" s="23">
        <f>IF(6&lt;=COUNTIF(Data!$A$2:$A$700,TRUE),6,"")</f>
        <v/>
      </c>
      <c r="C18" s="24">
        <f>IF(B18="","",IFERROR(_xlfn.IMAGE(IFERROR(IF(INDEX(Data!$J$2:$J$700,MATCH(6,Data!$B$2:$B$700,0))="","",INDEX(Data!$J$2:$J$700,MATCH(6,Data!$B$2:$B$700,0))),"")),"IMAGE MISSING"))</f>
        <v/>
      </c>
      <c r="D18" s="25">
        <f>IF(B18="","",IFERROR(IF(INDEX(Data!$G$2:$G$700,MATCH(6,Data!$B$2:$B$700,0))="","",INDEX(Data!$G$2:$G$700,MATCH(6,Data!$B$2:$B$700,0))),"")&amp;CHAR(10)&amp;IFERROR(IF(INDEX(Data!$H$2:$H$700,MATCH(6,Data!$B$2:$B$700,0))="","",INDEX(Data!$H$2:$H$700,MATCH(6,Data!$B$2:$B$700,0))),""))</f>
        <v/>
      </c>
      <c r="E18" s="23">
        <f>IF(B18="","",IFERROR(IF(INDEX(Data!$I$2:$I$700,MATCH(6,Data!$B$2:$B$700,0))="","",INDEX(Data!$I$2:$I$700,MATCH(6,Data!$B$2:$B$700,0))),""))</f>
        <v/>
      </c>
      <c r="F18" s="23">
        <f>IF(B18="","",IFERROR(IF(INDEX(Data!$D$2:$D$700,MATCH(6,Data!$B$2:$B$700,0))="","",INDEX(Data!$D$2:$D$700,MATCH(6,Data!$B$2:$B$700,0))),""))</f>
        <v/>
      </c>
      <c r="G18" s="23">
        <f>IF(B18="","",IFERROR(IF(INDEX(Data!$E$2:$E$700,MATCH(6,Data!$B$2:$B$700,0))="","",INDEX(Data!$E$2:$E$700,MATCH(6,Data!$B$2:$B$700,0))),""))</f>
        <v/>
      </c>
      <c r="H18" s="26">
        <f>IF(B18="","",IFERROR(IF(INDEX(Data!$N$2:$N$700,MATCH(6,Data!$B$2:$B$700,0))="","",INDEX(Data!$N$2:$N$700,MATCH(6,Data!$B$2:$B$700,0))),""))</f>
        <v/>
      </c>
      <c r="I18" s="26">
        <f>IF(B18="","",IFERROR(IF(INDEX(Data!$O$2:$O$700,MATCH(6,Data!$B$2:$B$700,0))="","",INDEX(Data!$O$2:$O$700,MATCH(6,Data!$B$2:$B$700,0))),""))</f>
        <v/>
      </c>
      <c r="J18" s="27">
        <f>IF(B18="","",IFERROR(IF(INDEX(Data!$P$2:$P$700,MATCH(6,Data!$B$2:$B$700,0))="","",INDEX(Data!$P$2:$P$700,MATCH(6,Data!$B$2:$B$700,0))),""))</f>
        <v/>
      </c>
      <c r="K18" s="28">
        <f>IF(B18="","",IFERROR(IF(INDEX(Data!$R$2:$R$700,MATCH(6,Data!$B$2:$B$700,0))="","",INDEX(Data!$R$2:$R$700,MATCH(6,Data!$B$2:$B$700,0))),""))</f>
        <v/>
      </c>
      <c r="L18" s="29">
        <f>IF(B18="","",IFERROR(IF(INDEX(Data!$S$2:$S$700,MATCH(6,Data!$B$2:$B$700,0))="","",INDEX(Data!$S$2:$S$700,MATCH(6,Data!$B$2:$B$700,0))),""))</f>
        <v/>
      </c>
      <c r="M18" s="29">
        <f>IF(B18="","",IFERROR(IF(INDEX(Data!$T$2:$T$700,MATCH(6,Data!$B$2:$B$700,0))="","",INDEX(Data!$T$2:$T$700,MATCH(6,Data!$B$2:$B$700,0))),""))</f>
        <v/>
      </c>
      <c r="N18" s="30">
        <f>IF(B18="","",IFERROR(IF(INDEX(Data!$U$2:$U$700,MATCH(6,Data!$B$2:$B$700,0))="","",INDEX(Data!$U$2:$U$700,MATCH(6,Data!$B$2:$B$700,0))),""))</f>
        <v/>
      </c>
      <c r="O18" s="29">
        <f>IF(B18="","",IFERROR(IF(INDEX(Data!$V$2:$V$700,MATCH(6,Data!$B$2:$B$700,0))="","",INDEX(Data!$V$2:$V$700,MATCH(6,Data!$B$2:$B$700,0))),""))</f>
        <v/>
      </c>
      <c r="P18" s="29">
        <f>IF(B18="","",IFERROR(IF(INDEX(Data!$M$2:$M$700,MATCH(6,Data!$B$2:$B$700,0))="","",INDEX(Data!$M$2:$M$700,MATCH(6,Data!$B$2:$B$700,0))),""))</f>
        <v/>
      </c>
      <c r="Q18" s="23">
        <f>IF(OR(B18="",IFERROR(IF(INDEX(Data!$Y$2:$Y$700,MATCH(6,Data!$B$2:$B$700,0))="","",INDEX(Data!$Y$2:$Y$700,MATCH(6,Data!$B$2:$B$700,0))),"")=""),"",IFERROR(IF(INDEX(Data!$Y$2:$Y$700,MATCH(6,Data!$B$2:$B$700,0))="","",INDEX(Data!$Y$2:$Y$700,MATCH(6,Data!$B$2:$B$700,0))),"")&amp;" / "&amp;IFERROR(IF(INDEX(Data!$Z$2:$Z$700,MATCH(6,Data!$B$2:$B$700,0))="","",INDEX(Data!$Z$2:$Z$700,MATCH(6,Data!$B$2:$B$700,0))),""))</f>
        <v/>
      </c>
      <c r="R18" s="23">
        <f>IF(B18="","",IFERROR(IF(INDEX(Data!$L$2:$L$700,MATCH(6,Data!$B$2:$B$700,0))="","",INDEX(Data!$L$2:$L$700,MATCH(6,Data!$B$2:$B$700,0))),""))</f>
        <v/>
      </c>
    </row>
    <row r="19" ht="62" customHeight="1">
      <c r="B19" s="23">
        <f>IF(7&lt;=COUNTIF(Data!$A$2:$A$700,TRUE),7,"")</f>
        <v/>
      </c>
      <c r="C19" s="24">
        <f>IF(B19="","",IFERROR(_xlfn.IMAGE(IFERROR(IF(INDEX(Data!$J$2:$J$700,MATCH(7,Data!$B$2:$B$700,0))="","",INDEX(Data!$J$2:$J$700,MATCH(7,Data!$B$2:$B$700,0))),"")),"IMAGE MISSING"))</f>
        <v/>
      </c>
      <c r="D19" s="25">
        <f>IF(B19="","",IFERROR(IF(INDEX(Data!$G$2:$G$700,MATCH(7,Data!$B$2:$B$700,0))="","",INDEX(Data!$G$2:$G$700,MATCH(7,Data!$B$2:$B$700,0))),"")&amp;CHAR(10)&amp;IFERROR(IF(INDEX(Data!$H$2:$H$700,MATCH(7,Data!$B$2:$B$700,0))="","",INDEX(Data!$H$2:$H$700,MATCH(7,Data!$B$2:$B$700,0))),""))</f>
        <v/>
      </c>
      <c r="E19" s="23">
        <f>IF(B19="","",IFERROR(IF(INDEX(Data!$I$2:$I$700,MATCH(7,Data!$B$2:$B$700,0))="","",INDEX(Data!$I$2:$I$700,MATCH(7,Data!$B$2:$B$700,0))),""))</f>
        <v/>
      </c>
      <c r="F19" s="23">
        <f>IF(B19="","",IFERROR(IF(INDEX(Data!$D$2:$D$700,MATCH(7,Data!$B$2:$B$700,0))="","",INDEX(Data!$D$2:$D$700,MATCH(7,Data!$B$2:$B$700,0))),""))</f>
        <v/>
      </c>
      <c r="G19" s="23">
        <f>IF(B19="","",IFERROR(IF(INDEX(Data!$E$2:$E$700,MATCH(7,Data!$B$2:$B$700,0))="","",INDEX(Data!$E$2:$E$700,MATCH(7,Data!$B$2:$B$700,0))),""))</f>
        <v/>
      </c>
      <c r="H19" s="26">
        <f>IF(B19="","",IFERROR(IF(INDEX(Data!$N$2:$N$700,MATCH(7,Data!$B$2:$B$700,0))="","",INDEX(Data!$N$2:$N$700,MATCH(7,Data!$B$2:$B$700,0))),""))</f>
        <v/>
      </c>
      <c r="I19" s="26">
        <f>IF(B19="","",IFERROR(IF(INDEX(Data!$O$2:$O$700,MATCH(7,Data!$B$2:$B$700,0))="","",INDEX(Data!$O$2:$O$700,MATCH(7,Data!$B$2:$B$700,0))),""))</f>
        <v/>
      </c>
      <c r="J19" s="27">
        <f>IF(B19="","",IFERROR(IF(INDEX(Data!$P$2:$P$700,MATCH(7,Data!$B$2:$B$700,0))="","",INDEX(Data!$P$2:$P$700,MATCH(7,Data!$B$2:$B$700,0))),""))</f>
        <v/>
      </c>
      <c r="K19" s="28">
        <f>IF(B19="","",IFERROR(IF(INDEX(Data!$R$2:$R$700,MATCH(7,Data!$B$2:$B$700,0))="","",INDEX(Data!$R$2:$R$700,MATCH(7,Data!$B$2:$B$700,0))),""))</f>
        <v/>
      </c>
      <c r="L19" s="29">
        <f>IF(B19="","",IFERROR(IF(INDEX(Data!$S$2:$S$700,MATCH(7,Data!$B$2:$B$700,0))="","",INDEX(Data!$S$2:$S$700,MATCH(7,Data!$B$2:$B$700,0))),""))</f>
        <v/>
      </c>
      <c r="M19" s="29">
        <f>IF(B19="","",IFERROR(IF(INDEX(Data!$T$2:$T$700,MATCH(7,Data!$B$2:$B$700,0))="","",INDEX(Data!$T$2:$T$700,MATCH(7,Data!$B$2:$B$700,0))),""))</f>
        <v/>
      </c>
      <c r="N19" s="30">
        <f>IF(B19="","",IFERROR(IF(INDEX(Data!$U$2:$U$700,MATCH(7,Data!$B$2:$B$700,0))="","",INDEX(Data!$U$2:$U$700,MATCH(7,Data!$B$2:$B$700,0))),""))</f>
        <v/>
      </c>
      <c r="O19" s="29">
        <f>IF(B19="","",IFERROR(IF(INDEX(Data!$V$2:$V$700,MATCH(7,Data!$B$2:$B$700,0))="","",INDEX(Data!$V$2:$V$700,MATCH(7,Data!$B$2:$B$700,0))),""))</f>
        <v/>
      </c>
      <c r="P19" s="29">
        <f>IF(B19="","",IFERROR(IF(INDEX(Data!$M$2:$M$700,MATCH(7,Data!$B$2:$B$700,0))="","",INDEX(Data!$M$2:$M$700,MATCH(7,Data!$B$2:$B$700,0))),""))</f>
        <v/>
      </c>
      <c r="Q19" s="23">
        <f>IF(OR(B19="",IFERROR(IF(INDEX(Data!$Y$2:$Y$700,MATCH(7,Data!$B$2:$B$700,0))="","",INDEX(Data!$Y$2:$Y$700,MATCH(7,Data!$B$2:$B$700,0))),"")=""),"",IFERROR(IF(INDEX(Data!$Y$2:$Y$700,MATCH(7,Data!$B$2:$B$700,0))="","",INDEX(Data!$Y$2:$Y$700,MATCH(7,Data!$B$2:$B$700,0))),"")&amp;" / "&amp;IFERROR(IF(INDEX(Data!$Z$2:$Z$700,MATCH(7,Data!$B$2:$B$700,0))="","",INDEX(Data!$Z$2:$Z$700,MATCH(7,Data!$B$2:$B$700,0))),""))</f>
        <v/>
      </c>
      <c r="R19" s="23">
        <f>IF(B19="","",IFERROR(IF(INDEX(Data!$L$2:$L$700,MATCH(7,Data!$B$2:$B$700,0))="","",INDEX(Data!$L$2:$L$700,MATCH(7,Data!$B$2:$B$700,0))),""))</f>
        <v/>
      </c>
    </row>
    <row r="20" ht="62" customHeight="1">
      <c r="B20" s="23">
        <f>IF(8&lt;=COUNTIF(Data!$A$2:$A$700,TRUE),8,"")</f>
        <v/>
      </c>
      <c r="C20" s="24">
        <f>IF(B20="","",IFERROR(_xlfn.IMAGE(IFERROR(IF(INDEX(Data!$J$2:$J$700,MATCH(8,Data!$B$2:$B$700,0))="","",INDEX(Data!$J$2:$J$700,MATCH(8,Data!$B$2:$B$700,0))),"")),"IMAGE MISSING"))</f>
        <v/>
      </c>
      <c r="D20" s="25">
        <f>IF(B20="","",IFERROR(IF(INDEX(Data!$G$2:$G$700,MATCH(8,Data!$B$2:$B$700,0))="","",INDEX(Data!$G$2:$G$700,MATCH(8,Data!$B$2:$B$700,0))),"")&amp;CHAR(10)&amp;IFERROR(IF(INDEX(Data!$H$2:$H$700,MATCH(8,Data!$B$2:$B$700,0))="","",INDEX(Data!$H$2:$H$700,MATCH(8,Data!$B$2:$B$700,0))),""))</f>
        <v/>
      </c>
      <c r="E20" s="23">
        <f>IF(B20="","",IFERROR(IF(INDEX(Data!$I$2:$I$700,MATCH(8,Data!$B$2:$B$700,0))="","",INDEX(Data!$I$2:$I$700,MATCH(8,Data!$B$2:$B$700,0))),""))</f>
        <v/>
      </c>
      <c r="F20" s="23">
        <f>IF(B20="","",IFERROR(IF(INDEX(Data!$D$2:$D$700,MATCH(8,Data!$B$2:$B$700,0))="","",INDEX(Data!$D$2:$D$700,MATCH(8,Data!$B$2:$B$700,0))),""))</f>
        <v/>
      </c>
      <c r="G20" s="23">
        <f>IF(B20="","",IFERROR(IF(INDEX(Data!$E$2:$E$700,MATCH(8,Data!$B$2:$B$700,0))="","",INDEX(Data!$E$2:$E$700,MATCH(8,Data!$B$2:$B$700,0))),""))</f>
        <v/>
      </c>
      <c r="H20" s="26">
        <f>IF(B20="","",IFERROR(IF(INDEX(Data!$N$2:$N$700,MATCH(8,Data!$B$2:$B$700,0))="","",INDEX(Data!$N$2:$N$700,MATCH(8,Data!$B$2:$B$700,0))),""))</f>
        <v/>
      </c>
      <c r="I20" s="26">
        <f>IF(B20="","",IFERROR(IF(INDEX(Data!$O$2:$O$700,MATCH(8,Data!$B$2:$B$700,0))="","",INDEX(Data!$O$2:$O$700,MATCH(8,Data!$B$2:$B$700,0))),""))</f>
        <v/>
      </c>
      <c r="J20" s="27">
        <f>IF(B20="","",IFERROR(IF(INDEX(Data!$P$2:$P$700,MATCH(8,Data!$B$2:$B$700,0))="","",INDEX(Data!$P$2:$P$700,MATCH(8,Data!$B$2:$B$700,0))),""))</f>
        <v/>
      </c>
      <c r="K20" s="28">
        <f>IF(B20="","",IFERROR(IF(INDEX(Data!$R$2:$R$700,MATCH(8,Data!$B$2:$B$700,0))="","",INDEX(Data!$R$2:$R$700,MATCH(8,Data!$B$2:$B$700,0))),""))</f>
        <v/>
      </c>
      <c r="L20" s="29">
        <f>IF(B20="","",IFERROR(IF(INDEX(Data!$S$2:$S$700,MATCH(8,Data!$B$2:$B$700,0))="","",INDEX(Data!$S$2:$S$700,MATCH(8,Data!$B$2:$B$700,0))),""))</f>
        <v/>
      </c>
      <c r="M20" s="29">
        <f>IF(B20="","",IFERROR(IF(INDEX(Data!$T$2:$T$700,MATCH(8,Data!$B$2:$B$700,0))="","",INDEX(Data!$T$2:$T$700,MATCH(8,Data!$B$2:$B$700,0))),""))</f>
        <v/>
      </c>
      <c r="N20" s="30">
        <f>IF(B20="","",IFERROR(IF(INDEX(Data!$U$2:$U$700,MATCH(8,Data!$B$2:$B$700,0))="","",INDEX(Data!$U$2:$U$700,MATCH(8,Data!$B$2:$B$700,0))),""))</f>
        <v/>
      </c>
      <c r="O20" s="29">
        <f>IF(B20="","",IFERROR(IF(INDEX(Data!$V$2:$V$700,MATCH(8,Data!$B$2:$B$700,0))="","",INDEX(Data!$V$2:$V$700,MATCH(8,Data!$B$2:$B$700,0))),""))</f>
        <v/>
      </c>
      <c r="P20" s="29">
        <f>IF(B20="","",IFERROR(IF(INDEX(Data!$M$2:$M$700,MATCH(8,Data!$B$2:$B$700,0))="","",INDEX(Data!$M$2:$M$700,MATCH(8,Data!$B$2:$B$700,0))),""))</f>
        <v/>
      </c>
      <c r="Q20" s="23">
        <f>IF(OR(B20="",IFERROR(IF(INDEX(Data!$Y$2:$Y$700,MATCH(8,Data!$B$2:$B$700,0))="","",INDEX(Data!$Y$2:$Y$700,MATCH(8,Data!$B$2:$B$700,0))),"")=""),"",IFERROR(IF(INDEX(Data!$Y$2:$Y$700,MATCH(8,Data!$B$2:$B$700,0))="","",INDEX(Data!$Y$2:$Y$700,MATCH(8,Data!$B$2:$B$700,0))),"")&amp;" / "&amp;IFERROR(IF(INDEX(Data!$Z$2:$Z$700,MATCH(8,Data!$B$2:$B$700,0))="","",INDEX(Data!$Z$2:$Z$700,MATCH(8,Data!$B$2:$B$700,0))),""))</f>
        <v/>
      </c>
      <c r="R20" s="23">
        <f>IF(B20="","",IFERROR(IF(INDEX(Data!$L$2:$L$700,MATCH(8,Data!$B$2:$B$700,0))="","",INDEX(Data!$L$2:$L$700,MATCH(8,Data!$B$2:$B$700,0))),""))</f>
        <v/>
      </c>
    </row>
    <row r="21" ht="62" customHeight="1">
      <c r="B21" s="23">
        <f>IF(9&lt;=COUNTIF(Data!$A$2:$A$700,TRUE),9,"")</f>
        <v/>
      </c>
      <c r="C21" s="24">
        <f>IF(B21="","",IFERROR(_xlfn.IMAGE(IFERROR(IF(INDEX(Data!$J$2:$J$700,MATCH(9,Data!$B$2:$B$700,0))="","",INDEX(Data!$J$2:$J$700,MATCH(9,Data!$B$2:$B$700,0))),"")),"IMAGE MISSING"))</f>
        <v/>
      </c>
      <c r="D21" s="25">
        <f>IF(B21="","",IFERROR(IF(INDEX(Data!$G$2:$G$700,MATCH(9,Data!$B$2:$B$700,0))="","",INDEX(Data!$G$2:$G$700,MATCH(9,Data!$B$2:$B$700,0))),"")&amp;CHAR(10)&amp;IFERROR(IF(INDEX(Data!$H$2:$H$700,MATCH(9,Data!$B$2:$B$700,0))="","",INDEX(Data!$H$2:$H$700,MATCH(9,Data!$B$2:$B$700,0))),""))</f>
        <v/>
      </c>
      <c r="E21" s="23">
        <f>IF(B21="","",IFERROR(IF(INDEX(Data!$I$2:$I$700,MATCH(9,Data!$B$2:$B$700,0))="","",INDEX(Data!$I$2:$I$700,MATCH(9,Data!$B$2:$B$700,0))),""))</f>
        <v/>
      </c>
      <c r="F21" s="23">
        <f>IF(B21="","",IFERROR(IF(INDEX(Data!$D$2:$D$700,MATCH(9,Data!$B$2:$B$700,0))="","",INDEX(Data!$D$2:$D$700,MATCH(9,Data!$B$2:$B$700,0))),""))</f>
        <v/>
      </c>
      <c r="G21" s="23">
        <f>IF(B21="","",IFERROR(IF(INDEX(Data!$E$2:$E$700,MATCH(9,Data!$B$2:$B$700,0))="","",INDEX(Data!$E$2:$E$700,MATCH(9,Data!$B$2:$B$700,0))),""))</f>
        <v/>
      </c>
      <c r="H21" s="26">
        <f>IF(B21="","",IFERROR(IF(INDEX(Data!$N$2:$N$700,MATCH(9,Data!$B$2:$B$700,0))="","",INDEX(Data!$N$2:$N$700,MATCH(9,Data!$B$2:$B$700,0))),""))</f>
        <v/>
      </c>
      <c r="I21" s="26">
        <f>IF(B21="","",IFERROR(IF(INDEX(Data!$O$2:$O$700,MATCH(9,Data!$B$2:$B$700,0))="","",INDEX(Data!$O$2:$O$700,MATCH(9,Data!$B$2:$B$700,0))),""))</f>
        <v/>
      </c>
      <c r="J21" s="27">
        <f>IF(B21="","",IFERROR(IF(INDEX(Data!$P$2:$P$700,MATCH(9,Data!$B$2:$B$700,0))="","",INDEX(Data!$P$2:$P$700,MATCH(9,Data!$B$2:$B$700,0))),""))</f>
        <v/>
      </c>
      <c r="K21" s="28">
        <f>IF(B21="","",IFERROR(IF(INDEX(Data!$R$2:$R$700,MATCH(9,Data!$B$2:$B$700,0))="","",INDEX(Data!$R$2:$R$700,MATCH(9,Data!$B$2:$B$700,0))),""))</f>
        <v/>
      </c>
      <c r="L21" s="29">
        <f>IF(B21="","",IFERROR(IF(INDEX(Data!$S$2:$S$700,MATCH(9,Data!$B$2:$B$700,0))="","",INDEX(Data!$S$2:$S$700,MATCH(9,Data!$B$2:$B$700,0))),""))</f>
        <v/>
      </c>
      <c r="M21" s="29">
        <f>IF(B21="","",IFERROR(IF(INDEX(Data!$T$2:$T$700,MATCH(9,Data!$B$2:$B$700,0))="","",INDEX(Data!$T$2:$T$700,MATCH(9,Data!$B$2:$B$700,0))),""))</f>
        <v/>
      </c>
      <c r="N21" s="30">
        <f>IF(B21="","",IFERROR(IF(INDEX(Data!$U$2:$U$700,MATCH(9,Data!$B$2:$B$700,0))="","",INDEX(Data!$U$2:$U$700,MATCH(9,Data!$B$2:$B$700,0))),""))</f>
        <v/>
      </c>
      <c r="O21" s="29">
        <f>IF(B21="","",IFERROR(IF(INDEX(Data!$V$2:$V$700,MATCH(9,Data!$B$2:$B$700,0))="","",INDEX(Data!$V$2:$V$700,MATCH(9,Data!$B$2:$B$700,0))),""))</f>
        <v/>
      </c>
      <c r="P21" s="29">
        <f>IF(B21="","",IFERROR(IF(INDEX(Data!$M$2:$M$700,MATCH(9,Data!$B$2:$B$700,0))="","",INDEX(Data!$M$2:$M$700,MATCH(9,Data!$B$2:$B$700,0))),""))</f>
        <v/>
      </c>
      <c r="Q21" s="23">
        <f>IF(OR(B21="",IFERROR(IF(INDEX(Data!$Y$2:$Y$700,MATCH(9,Data!$B$2:$B$700,0))="","",INDEX(Data!$Y$2:$Y$700,MATCH(9,Data!$B$2:$B$700,0))),"")=""),"",IFERROR(IF(INDEX(Data!$Y$2:$Y$700,MATCH(9,Data!$B$2:$B$700,0))="","",INDEX(Data!$Y$2:$Y$700,MATCH(9,Data!$B$2:$B$700,0))),"")&amp;" / "&amp;IFERROR(IF(INDEX(Data!$Z$2:$Z$700,MATCH(9,Data!$B$2:$B$700,0))="","",INDEX(Data!$Z$2:$Z$700,MATCH(9,Data!$B$2:$B$700,0))),""))</f>
        <v/>
      </c>
      <c r="R21" s="23">
        <f>IF(B21="","",IFERROR(IF(INDEX(Data!$L$2:$L$700,MATCH(9,Data!$B$2:$B$700,0))="","",INDEX(Data!$L$2:$L$700,MATCH(9,Data!$B$2:$B$700,0))),""))</f>
        <v/>
      </c>
    </row>
    <row r="22" ht="62" customHeight="1">
      <c r="B22" s="23">
        <f>IF(10&lt;=COUNTIF(Data!$A$2:$A$700,TRUE),10,"")</f>
        <v/>
      </c>
      <c r="C22" s="24">
        <f>IF(B22="","",IFERROR(_xlfn.IMAGE(IFERROR(IF(INDEX(Data!$J$2:$J$700,MATCH(10,Data!$B$2:$B$700,0))="","",INDEX(Data!$J$2:$J$700,MATCH(10,Data!$B$2:$B$700,0))),"")),"IMAGE MISSING"))</f>
        <v/>
      </c>
      <c r="D22" s="25">
        <f>IF(B22="","",IFERROR(IF(INDEX(Data!$G$2:$G$700,MATCH(10,Data!$B$2:$B$700,0))="","",INDEX(Data!$G$2:$G$700,MATCH(10,Data!$B$2:$B$700,0))),"")&amp;CHAR(10)&amp;IFERROR(IF(INDEX(Data!$H$2:$H$700,MATCH(10,Data!$B$2:$B$700,0))="","",INDEX(Data!$H$2:$H$700,MATCH(10,Data!$B$2:$B$700,0))),""))</f>
        <v/>
      </c>
      <c r="E22" s="23">
        <f>IF(B22="","",IFERROR(IF(INDEX(Data!$I$2:$I$700,MATCH(10,Data!$B$2:$B$700,0))="","",INDEX(Data!$I$2:$I$700,MATCH(10,Data!$B$2:$B$700,0))),""))</f>
        <v/>
      </c>
      <c r="F22" s="23">
        <f>IF(B22="","",IFERROR(IF(INDEX(Data!$D$2:$D$700,MATCH(10,Data!$B$2:$B$700,0))="","",INDEX(Data!$D$2:$D$700,MATCH(10,Data!$B$2:$B$700,0))),""))</f>
        <v/>
      </c>
      <c r="G22" s="23">
        <f>IF(B22="","",IFERROR(IF(INDEX(Data!$E$2:$E$700,MATCH(10,Data!$B$2:$B$700,0))="","",INDEX(Data!$E$2:$E$700,MATCH(10,Data!$B$2:$B$700,0))),""))</f>
        <v/>
      </c>
      <c r="H22" s="26">
        <f>IF(B22="","",IFERROR(IF(INDEX(Data!$N$2:$N$700,MATCH(10,Data!$B$2:$B$700,0))="","",INDEX(Data!$N$2:$N$700,MATCH(10,Data!$B$2:$B$700,0))),""))</f>
        <v/>
      </c>
      <c r="I22" s="26">
        <f>IF(B22="","",IFERROR(IF(INDEX(Data!$O$2:$O$700,MATCH(10,Data!$B$2:$B$700,0))="","",INDEX(Data!$O$2:$O$700,MATCH(10,Data!$B$2:$B$700,0))),""))</f>
        <v/>
      </c>
      <c r="J22" s="27">
        <f>IF(B22="","",IFERROR(IF(INDEX(Data!$P$2:$P$700,MATCH(10,Data!$B$2:$B$700,0))="","",INDEX(Data!$P$2:$P$700,MATCH(10,Data!$B$2:$B$700,0))),""))</f>
        <v/>
      </c>
      <c r="K22" s="28">
        <f>IF(B22="","",IFERROR(IF(INDEX(Data!$R$2:$R$700,MATCH(10,Data!$B$2:$B$700,0))="","",INDEX(Data!$R$2:$R$700,MATCH(10,Data!$B$2:$B$700,0))),""))</f>
        <v/>
      </c>
      <c r="L22" s="29">
        <f>IF(B22="","",IFERROR(IF(INDEX(Data!$S$2:$S$700,MATCH(10,Data!$B$2:$B$700,0))="","",INDEX(Data!$S$2:$S$700,MATCH(10,Data!$B$2:$B$700,0))),""))</f>
        <v/>
      </c>
      <c r="M22" s="29">
        <f>IF(B22="","",IFERROR(IF(INDEX(Data!$T$2:$T$700,MATCH(10,Data!$B$2:$B$700,0))="","",INDEX(Data!$T$2:$T$700,MATCH(10,Data!$B$2:$B$700,0))),""))</f>
        <v/>
      </c>
      <c r="N22" s="30">
        <f>IF(B22="","",IFERROR(IF(INDEX(Data!$U$2:$U$700,MATCH(10,Data!$B$2:$B$700,0))="","",INDEX(Data!$U$2:$U$700,MATCH(10,Data!$B$2:$B$700,0))),""))</f>
        <v/>
      </c>
      <c r="O22" s="29">
        <f>IF(B22="","",IFERROR(IF(INDEX(Data!$V$2:$V$700,MATCH(10,Data!$B$2:$B$700,0))="","",INDEX(Data!$V$2:$V$700,MATCH(10,Data!$B$2:$B$700,0))),""))</f>
        <v/>
      </c>
      <c r="P22" s="29">
        <f>IF(B22="","",IFERROR(IF(INDEX(Data!$M$2:$M$700,MATCH(10,Data!$B$2:$B$700,0))="","",INDEX(Data!$M$2:$M$700,MATCH(10,Data!$B$2:$B$700,0))),""))</f>
        <v/>
      </c>
      <c r="Q22" s="23">
        <f>IF(OR(B22="",IFERROR(IF(INDEX(Data!$Y$2:$Y$700,MATCH(10,Data!$B$2:$B$700,0))="","",INDEX(Data!$Y$2:$Y$700,MATCH(10,Data!$B$2:$B$700,0))),"")=""),"",IFERROR(IF(INDEX(Data!$Y$2:$Y$700,MATCH(10,Data!$B$2:$B$700,0))="","",INDEX(Data!$Y$2:$Y$700,MATCH(10,Data!$B$2:$B$700,0))),"")&amp;" / "&amp;IFERROR(IF(INDEX(Data!$Z$2:$Z$700,MATCH(10,Data!$B$2:$B$700,0))="","",INDEX(Data!$Z$2:$Z$700,MATCH(10,Data!$B$2:$B$700,0))),""))</f>
        <v/>
      </c>
      <c r="R22" s="23">
        <f>IF(B22="","",IFERROR(IF(INDEX(Data!$L$2:$L$700,MATCH(10,Data!$B$2:$B$700,0))="","",INDEX(Data!$L$2:$L$700,MATCH(10,Data!$B$2:$B$700,0))),""))</f>
        <v/>
      </c>
    </row>
    <row r="23" ht="62" customHeight="1">
      <c r="B23" s="23">
        <f>IF(11&lt;=COUNTIF(Data!$A$2:$A$700,TRUE),11,"")</f>
        <v/>
      </c>
      <c r="C23" s="24">
        <f>IF(B23="","",IFERROR(_xlfn.IMAGE(IFERROR(IF(INDEX(Data!$J$2:$J$700,MATCH(11,Data!$B$2:$B$700,0))="","",INDEX(Data!$J$2:$J$700,MATCH(11,Data!$B$2:$B$700,0))),"")),"IMAGE MISSING"))</f>
        <v/>
      </c>
      <c r="D23" s="25">
        <f>IF(B23="","",IFERROR(IF(INDEX(Data!$G$2:$G$700,MATCH(11,Data!$B$2:$B$700,0))="","",INDEX(Data!$G$2:$G$700,MATCH(11,Data!$B$2:$B$700,0))),"")&amp;CHAR(10)&amp;IFERROR(IF(INDEX(Data!$H$2:$H$700,MATCH(11,Data!$B$2:$B$700,0))="","",INDEX(Data!$H$2:$H$700,MATCH(11,Data!$B$2:$B$700,0))),""))</f>
        <v/>
      </c>
      <c r="E23" s="23">
        <f>IF(B23="","",IFERROR(IF(INDEX(Data!$I$2:$I$700,MATCH(11,Data!$B$2:$B$700,0))="","",INDEX(Data!$I$2:$I$700,MATCH(11,Data!$B$2:$B$700,0))),""))</f>
        <v/>
      </c>
      <c r="F23" s="23">
        <f>IF(B23="","",IFERROR(IF(INDEX(Data!$D$2:$D$700,MATCH(11,Data!$B$2:$B$700,0))="","",INDEX(Data!$D$2:$D$700,MATCH(11,Data!$B$2:$B$700,0))),""))</f>
        <v/>
      </c>
      <c r="G23" s="23">
        <f>IF(B23="","",IFERROR(IF(INDEX(Data!$E$2:$E$700,MATCH(11,Data!$B$2:$B$700,0))="","",INDEX(Data!$E$2:$E$700,MATCH(11,Data!$B$2:$B$700,0))),""))</f>
        <v/>
      </c>
      <c r="H23" s="26">
        <f>IF(B23="","",IFERROR(IF(INDEX(Data!$N$2:$N$700,MATCH(11,Data!$B$2:$B$700,0))="","",INDEX(Data!$N$2:$N$700,MATCH(11,Data!$B$2:$B$700,0))),""))</f>
        <v/>
      </c>
      <c r="I23" s="26">
        <f>IF(B23="","",IFERROR(IF(INDEX(Data!$O$2:$O$700,MATCH(11,Data!$B$2:$B$700,0))="","",INDEX(Data!$O$2:$O$700,MATCH(11,Data!$B$2:$B$700,0))),""))</f>
        <v/>
      </c>
      <c r="J23" s="27">
        <f>IF(B23="","",IFERROR(IF(INDEX(Data!$P$2:$P$700,MATCH(11,Data!$B$2:$B$700,0))="","",INDEX(Data!$P$2:$P$700,MATCH(11,Data!$B$2:$B$700,0))),""))</f>
        <v/>
      </c>
      <c r="K23" s="28">
        <f>IF(B23="","",IFERROR(IF(INDEX(Data!$R$2:$R$700,MATCH(11,Data!$B$2:$B$700,0))="","",INDEX(Data!$R$2:$R$700,MATCH(11,Data!$B$2:$B$700,0))),""))</f>
        <v/>
      </c>
      <c r="L23" s="29">
        <f>IF(B23="","",IFERROR(IF(INDEX(Data!$S$2:$S$700,MATCH(11,Data!$B$2:$B$700,0))="","",INDEX(Data!$S$2:$S$700,MATCH(11,Data!$B$2:$B$700,0))),""))</f>
        <v/>
      </c>
      <c r="M23" s="29">
        <f>IF(B23="","",IFERROR(IF(INDEX(Data!$T$2:$T$700,MATCH(11,Data!$B$2:$B$700,0))="","",INDEX(Data!$T$2:$T$700,MATCH(11,Data!$B$2:$B$700,0))),""))</f>
        <v/>
      </c>
      <c r="N23" s="30">
        <f>IF(B23="","",IFERROR(IF(INDEX(Data!$U$2:$U$700,MATCH(11,Data!$B$2:$B$700,0))="","",INDEX(Data!$U$2:$U$700,MATCH(11,Data!$B$2:$B$700,0))),""))</f>
        <v/>
      </c>
      <c r="O23" s="29">
        <f>IF(B23="","",IFERROR(IF(INDEX(Data!$V$2:$V$700,MATCH(11,Data!$B$2:$B$700,0))="","",INDEX(Data!$V$2:$V$700,MATCH(11,Data!$B$2:$B$700,0))),""))</f>
        <v/>
      </c>
      <c r="P23" s="29">
        <f>IF(B23="","",IFERROR(IF(INDEX(Data!$M$2:$M$700,MATCH(11,Data!$B$2:$B$700,0))="","",INDEX(Data!$M$2:$M$700,MATCH(11,Data!$B$2:$B$700,0))),""))</f>
        <v/>
      </c>
      <c r="Q23" s="23">
        <f>IF(OR(B23="",IFERROR(IF(INDEX(Data!$Y$2:$Y$700,MATCH(11,Data!$B$2:$B$700,0))="","",INDEX(Data!$Y$2:$Y$700,MATCH(11,Data!$B$2:$B$700,0))),"")=""),"",IFERROR(IF(INDEX(Data!$Y$2:$Y$700,MATCH(11,Data!$B$2:$B$700,0))="","",INDEX(Data!$Y$2:$Y$700,MATCH(11,Data!$B$2:$B$700,0))),"")&amp;" / "&amp;IFERROR(IF(INDEX(Data!$Z$2:$Z$700,MATCH(11,Data!$B$2:$B$700,0))="","",INDEX(Data!$Z$2:$Z$700,MATCH(11,Data!$B$2:$B$700,0))),""))</f>
        <v/>
      </c>
      <c r="R23" s="23">
        <f>IF(B23="","",IFERROR(IF(INDEX(Data!$L$2:$L$700,MATCH(11,Data!$B$2:$B$700,0))="","",INDEX(Data!$L$2:$L$700,MATCH(11,Data!$B$2:$B$700,0))),""))</f>
        <v/>
      </c>
    </row>
    <row r="24" ht="62" customHeight="1">
      <c r="B24" s="23">
        <f>IF(12&lt;=COUNTIF(Data!$A$2:$A$700,TRUE),12,"")</f>
        <v/>
      </c>
      <c r="C24" s="24">
        <f>IF(B24="","",IFERROR(_xlfn.IMAGE(IFERROR(IF(INDEX(Data!$J$2:$J$700,MATCH(12,Data!$B$2:$B$700,0))="","",INDEX(Data!$J$2:$J$700,MATCH(12,Data!$B$2:$B$700,0))),"")),"IMAGE MISSING"))</f>
        <v/>
      </c>
      <c r="D24" s="25">
        <f>IF(B24="","",IFERROR(IF(INDEX(Data!$G$2:$G$700,MATCH(12,Data!$B$2:$B$700,0))="","",INDEX(Data!$G$2:$G$700,MATCH(12,Data!$B$2:$B$700,0))),"")&amp;CHAR(10)&amp;IFERROR(IF(INDEX(Data!$H$2:$H$700,MATCH(12,Data!$B$2:$B$700,0))="","",INDEX(Data!$H$2:$H$700,MATCH(12,Data!$B$2:$B$700,0))),""))</f>
        <v/>
      </c>
      <c r="E24" s="23">
        <f>IF(B24="","",IFERROR(IF(INDEX(Data!$I$2:$I$700,MATCH(12,Data!$B$2:$B$700,0))="","",INDEX(Data!$I$2:$I$700,MATCH(12,Data!$B$2:$B$700,0))),""))</f>
        <v/>
      </c>
      <c r="F24" s="23">
        <f>IF(B24="","",IFERROR(IF(INDEX(Data!$D$2:$D$700,MATCH(12,Data!$B$2:$B$700,0))="","",INDEX(Data!$D$2:$D$700,MATCH(12,Data!$B$2:$B$700,0))),""))</f>
        <v/>
      </c>
      <c r="G24" s="23">
        <f>IF(B24="","",IFERROR(IF(INDEX(Data!$E$2:$E$700,MATCH(12,Data!$B$2:$B$700,0))="","",INDEX(Data!$E$2:$E$700,MATCH(12,Data!$B$2:$B$700,0))),""))</f>
        <v/>
      </c>
      <c r="H24" s="26">
        <f>IF(B24="","",IFERROR(IF(INDEX(Data!$N$2:$N$700,MATCH(12,Data!$B$2:$B$700,0))="","",INDEX(Data!$N$2:$N$700,MATCH(12,Data!$B$2:$B$700,0))),""))</f>
        <v/>
      </c>
      <c r="I24" s="26">
        <f>IF(B24="","",IFERROR(IF(INDEX(Data!$O$2:$O$700,MATCH(12,Data!$B$2:$B$700,0))="","",INDEX(Data!$O$2:$O$700,MATCH(12,Data!$B$2:$B$700,0))),""))</f>
        <v/>
      </c>
      <c r="J24" s="27">
        <f>IF(B24="","",IFERROR(IF(INDEX(Data!$P$2:$P$700,MATCH(12,Data!$B$2:$B$700,0))="","",INDEX(Data!$P$2:$P$700,MATCH(12,Data!$B$2:$B$700,0))),""))</f>
        <v/>
      </c>
      <c r="K24" s="28">
        <f>IF(B24="","",IFERROR(IF(INDEX(Data!$R$2:$R$700,MATCH(12,Data!$B$2:$B$700,0))="","",INDEX(Data!$R$2:$R$700,MATCH(12,Data!$B$2:$B$700,0))),""))</f>
        <v/>
      </c>
      <c r="L24" s="29">
        <f>IF(B24="","",IFERROR(IF(INDEX(Data!$S$2:$S$700,MATCH(12,Data!$B$2:$B$700,0))="","",INDEX(Data!$S$2:$S$700,MATCH(12,Data!$B$2:$B$700,0))),""))</f>
        <v/>
      </c>
      <c r="M24" s="29">
        <f>IF(B24="","",IFERROR(IF(INDEX(Data!$T$2:$T$700,MATCH(12,Data!$B$2:$B$700,0))="","",INDEX(Data!$T$2:$T$700,MATCH(12,Data!$B$2:$B$700,0))),""))</f>
        <v/>
      </c>
      <c r="N24" s="30">
        <f>IF(B24="","",IFERROR(IF(INDEX(Data!$U$2:$U$700,MATCH(12,Data!$B$2:$B$700,0))="","",INDEX(Data!$U$2:$U$700,MATCH(12,Data!$B$2:$B$700,0))),""))</f>
        <v/>
      </c>
      <c r="O24" s="29">
        <f>IF(B24="","",IFERROR(IF(INDEX(Data!$V$2:$V$700,MATCH(12,Data!$B$2:$B$700,0))="","",INDEX(Data!$V$2:$V$700,MATCH(12,Data!$B$2:$B$700,0))),""))</f>
        <v/>
      </c>
      <c r="P24" s="29">
        <f>IF(B24="","",IFERROR(IF(INDEX(Data!$M$2:$M$700,MATCH(12,Data!$B$2:$B$700,0))="","",INDEX(Data!$M$2:$M$700,MATCH(12,Data!$B$2:$B$700,0))),""))</f>
        <v/>
      </c>
      <c r="Q24" s="23">
        <f>IF(OR(B24="",IFERROR(IF(INDEX(Data!$Y$2:$Y$700,MATCH(12,Data!$B$2:$B$700,0))="","",INDEX(Data!$Y$2:$Y$700,MATCH(12,Data!$B$2:$B$700,0))),"")=""),"",IFERROR(IF(INDEX(Data!$Y$2:$Y$700,MATCH(12,Data!$B$2:$B$700,0))="","",INDEX(Data!$Y$2:$Y$700,MATCH(12,Data!$B$2:$B$700,0))),"")&amp;" / "&amp;IFERROR(IF(INDEX(Data!$Z$2:$Z$700,MATCH(12,Data!$B$2:$B$700,0))="","",INDEX(Data!$Z$2:$Z$700,MATCH(12,Data!$B$2:$B$700,0))),""))</f>
        <v/>
      </c>
      <c r="R24" s="23">
        <f>IF(B24="","",IFERROR(IF(INDEX(Data!$L$2:$L$700,MATCH(12,Data!$B$2:$B$700,0))="","",INDEX(Data!$L$2:$L$700,MATCH(12,Data!$B$2:$B$700,0))),""))</f>
        <v/>
      </c>
    </row>
    <row r="25" ht="62" customHeight="1">
      <c r="B25" s="23">
        <f>IF(13&lt;=COUNTIF(Data!$A$2:$A$700,TRUE),13,"")</f>
        <v/>
      </c>
      <c r="C25" s="24">
        <f>IF(B25="","",IFERROR(_xlfn.IMAGE(IFERROR(IF(INDEX(Data!$J$2:$J$700,MATCH(13,Data!$B$2:$B$700,0))="","",INDEX(Data!$J$2:$J$700,MATCH(13,Data!$B$2:$B$700,0))),"")),"IMAGE MISSING"))</f>
        <v/>
      </c>
      <c r="D25" s="25">
        <f>IF(B25="","",IFERROR(IF(INDEX(Data!$G$2:$G$700,MATCH(13,Data!$B$2:$B$700,0))="","",INDEX(Data!$G$2:$G$700,MATCH(13,Data!$B$2:$B$700,0))),"")&amp;CHAR(10)&amp;IFERROR(IF(INDEX(Data!$H$2:$H$700,MATCH(13,Data!$B$2:$B$700,0))="","",INDEX(Data!$H$2:$H$700,MATCH(13,Data!$B$2:$B$700,0))),""))</f>
        <v/>
      </c>
      <c r="E25" s="23">
        <f>IF(B25="","",IFERROR(IF(INDEX(Data!$I$2:$I$700,MATCH(13,Data!$B$2:$B$700,0))="","",INDEX(Data!$I$2:$I$700,MATCH(13,Data!$B$2:$B$700,0))),""))</f>
        <v/>
      </c>
      <c r="F25" s="23">
        <f>IF(B25="","",IFERROR(IF(INDEX(Data!$D$2:$D$700,MATCH(13,Data!$B$2:$B$700,0))="","",INDEX(Data!$D$2:$D$700,MATCH(13,Data!$B$2:$B$700,0))),""))</f>
        <v/>
      </c>
      <c r="G25" s="23">
        <f>IF(B25="","",IFERROR(IF(INDEX(Data!$E$2:$E$700,MATCH(13,Data!$B$2:$B$700,0))="","",INDEX(Data!$E$2:$E$700,MATCH(13,Data!$B$2:$B$700,0))),""))</f>
        <v/>
      </c>
      <c r="H25" s="26">
        <f>IF(B25="","",IFERROR(IF(INDEX(Data!$N$2:$N$700,MATCH(13,Data!$B$2:$B$700,0))="","",INDEX(Data!$N$2:$N$700,MATCH(13,Data!$B$2:$B$700,0))),""))</f>
        <v/>
      </c>
      <c r="I25" s="26">
        <f>IF(B25="","",IFERROR(IF(INDEX(Data!$O$2:$O$700,MATCH(13,Data!$B$2:$B$700,0))="","",INDEX(Data!$O$2:$O$700,MATCH(13,Data!$B$2:$B$700,0))),""))</f>
        <v/>
      </c>
      <c r="J25" s="27">
        <f>IF(B25="","",IFERROR(IF(INDEX(Data!$P$2:$P$700,MATCH(13,Data!$B$2:$B$700,0))="","",INDEX(Data!$P$2:$P$700,MATCH(13,Data!$B$2:$B$700,0))),""))</f>
        <v/>
      </c>
      <c r="K25" s="28">
        <f>IF(B25="","",IFERROR(IF(INDEX(Data!$R$2:$R$700,MATCH(13,Data!$B$2:$B$700,0))="","",INDEX(Data!$R$2:$R$700,MATCH(13,Data!$B$2:$B$700,0))),""))</f>
        <v/>
      </c>
      <c r="L25" s="29">
        <f>IF(B25="","",IFERROR(IF(INDEX(Data!$S$2:$S$700,MATCH(13,Data!$B$2:$B$700,0))="","",INDEX(Data!$S$2:$S$700,MATCH(13,Data!$B$2:$B$700,0))),""))</f>
        <v/>
      </c>
      <c r="M25" s="29">
        <f>IF(B25="","",IFERROR(IF(INDEX(Data!$T$2:$T$700,MATCH(13,Data!$B$2:$B$700,0))="","",INDEX(Data!$T$2:$T$700,MATCH(13,Data!$B$2:$B$700,0))),""))</f>
        <v/>
      </c>
      <c r="N25" s="30">
        <f>IF(B25="","",IFERROR(IF(INDEX(Data!$U$2:$U$700,MATCH(13,Data!$B$2:$B$700,0))="","",INDEX(Data!$U$2:$U$700,MATCH(13,Data!$B$2:$B$700,0))),""))</f>
        <v/>
      </c>
      <c r="O25" s="29">
        <f>IF(B25="","",IFERROR(IF(INDEX(Data!$V$2:$V$700,MATCH(13,Data!$B$2:$B$700,0))="","",INDEX(Data!$V$2:$V$700,MATCH(13,Data!$B$2:$B$700,0))),""))</f>
        <v/>
      </c>
      <c r="P25" s="29">
        <f>IF(B25="","",IFERROR(IF(INDEX(Data!$M$2:$M$700,MATCH(13,Data!$B$2:$B$700,0))="","",INDEX(Data!$M$2:$M$700,MATCH(13,Data!$B$2:$B$700,0))),""))</f>
        <v/>
      </c>
      <c r="Q25" s="23">
        <f>IF(OR(B25="",IFERROR(IF(INDEX(Data!$Y$2:$Y$700,MATCH(13,Data!$B$2:$B$700,0))="","",INDEX(Data!$Y$2:$Y$700,MATCH(13,Data!$B$2:$B$700,0))),"")=""),"",IFERROR(IF(INDEX(Data!$Y$2:$Y$700,MATCH(13,Data!$B$2:$B$700,0))="","",INDEX(Data!$Y$2:$Y$700,MATCH(13,Data!$B$2:$B$700,0))),"")&amp;" / "&amp;IFERROR(IF(INDEX(Data!$Z$2:$Z$700,MATCH(13,Data!$B$2:$B$700,0))="","",INDEX(Data!$Z$2:$Z$700,MATCH(13,Data!$B$2:$B$700,0))),""))</f>
        <v/>
      </c>
      <c r="R25" s="23">
        <f>IF(B25="","",IFERROR(IF(INDEX(Data!$L$2:$L$700,MATCH(13,Data!$B$2:$B$700,0))="","",INDEX(Data!$L$2:$L$700,MATCH(13,Data!$B$2:$B$700,0))),""))</f>
        <v/>
      </c>
    </row>
    <row r="26" ht="62" customHeight="1">
      <c r="B26" s="23">
        <f>IF(14&lt;=COUNTIF(Data!$A$2:$A$700,TRUE),14,"")</f>
        <v/>
      </c>
      <c r="C26" s="24">
        <f>IF(B26="","",IFERROR(_xlfn.IMAGE(IFERROR(IF(INDEX(Data!$J$2:$J$700,MATCH(14,Data!$B$2:$B$700,0))="","",INDEX(Data!$J$2:$J$700,MATCH(14,Data!$B$2:$B$700,0))),"")),"IMAGE MISSING"))</f>
        <v/>
      </c>
      <c r="D26" s="25">
        <f>IF(B26="","",IFERROR(IF(INDEX(Data!$G$2:$G$700,MATCH(14,Data!$B$2:$B$700,0))="","",INDEX(Data!$G$2:$G$700,MATCH(14,Data!$B$2:$B$700,0))),"")&amp;CHAR(10)&amp;IFERROR(IF(INDEX(Data!$H$2:$H$700,MATCH(14,Data!$B$2:$B$700,0))="","",INDEX(Data!$H$2:$H$700,MATCH(14,Data!$B$2:$B$700,0))),""))</f>
        <v/>
      </c>
      <c r="E26" s="23">
        <f>IF(B26="","",IFERROR(IF(INDEX(Data!$I$2:$I$700,MATCH(14,Data!$B$2:$B$700,0))="","",INDEX(Data!$I$2:$I$700,MATCH(14,Data!$B$2:$B$700,0))),""))</f>
        <v/>
      </c>
      <c r="F26" s="23">
        <f>IF(B26="","",IFERROR(IF(INDEX(Data!$D$2:$D$700,MATCH(14,Data!$B$2:$B$700,0))="","",INDEX(Data!$D$2:$D$700,MATCH(14,Data!$B$2:$B$700,0))),""))</f>
        <v/>
      </c>
      <c r="G26" s="23">
        <f>IF(B26="","",IFERROR(IF(INDEX(Data!$E$2:$E$700,MATCH(14,Data!$B$2:$B$700,0))="","",INDEX(Data!$E$2:$E$700,MATCH(14,Data!$B$2:$B$700,0))),""))</f>
        <v/>
      </c>
      <c r="H26" s="26">
        <f>IF(B26="","",IFERROR(IF(INDEX(Data!$N$2:$N$700,MATCH(14,Data!$B$2:$B$700,0))="","",INDEX(Data!$N$2:$N$700,MATCH(14,Data!$B$2:$B$700,0))),""))</f>
        <v/>
      </c>
      <c r="I26" s="26">
        <f>IF(B26="","",IFERROR(IF(INDEX(Data!$O$2:$O$700,MATCH(14,Data!$B$2:$B$700,0))="","",INDEX(Data!$O$2:$O$700,MATCH(14,Data!$B$2:$B$700,0))),""))</f>
        <v/>
      </c>
      <c r="J26" s="27">
        <f>IF(B26="","",IFERROR(IF(INDEX(Data!$P$2:$P$700,MATCH(14,Data!$B$2:$B$700,0))="","",INDEX(Data!$P$2:$P$700,MATCH(14,Data!$B$2:$B$700,0))),""))</f>
        <v/>
      </c>
      <c r="K26" s="28">
        <f>IF(B26="","",IFERROR(IF(INDEX(Data!$R$2:$R$700,MATCH(14,Data!$B$2:$B$700,0))="","",INDEX(Data!$R$2:$R$700,MATCH(14,Data!$B$2:$B$700,0))),""))</f>
        <v/>
      </c>
      <c r="L26" s="29">
        <f>IF(B26="","",IFERROR(IF(INDEX(Data!$S$2:$S$700,MATCH(14,Data!$B$2:$B$700,0))="","",INDEX(Data!$S$2:$S$700,MATCH(14,Data!$B$2:$B$700,0))),""))</f>
        <v/>
      </c>
      <c r="M26" s="29">
        <f>IF(B26="","",IFERROR(IF(INDEX(Data!$T$2:$T$700,MATCH(14,Data!$B$2:$B$700,0))="","",INDEX(Data!$T$2:$T$700,MATCH(14,Data!$B$2:$B$700,0))),""))</f>
        <v/>
      </c>
      <c r="N26" s="30">
        <f>IF(B26="","",IFERROR(IF(INDEX(Data!$U$2:$U$700,MATCH(14,Data!$B$2:$B$700,0))="","",INDEX(Data!$U$2:$U$700,MATCH(14,Data!$B$2:$B$700,0))),""))</f>
        <v/>
      </c>
      <c r="O26" s="29">
        <f>IF(B26="","",IFERROR(IF(INDEX(Data!$V$2:$V$700,MATCH(14,Data!$B$2:$B$700,0))="","",INDEX(Data!$V$2:$V$700,MATCH(14,Data!$B$2:$B$700,0))),""))</f>
        <v/>
      </c>
      <c r="P26" s="29">
        <f>IF(B26="","",IFERROR(IF(INDEX(Data!$M$2:$M$700,MATCH(14,Data!$B$2:$B$700,0))="","",INDEX(Data!$M$2:$M$700,MATCH(14,Data!$B$2:$B$700,0))),""))</f>
        <v/>
      </c>
      <c r="Q26" s="23">
        <f>IF(OR(B26="",IFERROR(IF(INDEX(Data!$Y$2:$Y$700,MATCH(14,Data!$B$2:$B$700,0))="","",INDEX(Data!$Y$2:$Y$700,MATCH(14,Data!$B$2:$B$700,0))),"")=""),"",IFERROR(IF(INDEX(Data!$Y$2:$Y$700,MATCH(14,Data!$B$2:$B$700,0))="","",INDEX(Data!$Y$2:$Y$700,MATCH(14,Data!$B$2:$B$700,0))),"")&amp;" / "&amp;IFERROR(IF(INDEX(Data!$Z$2:$Z$700,MATCH(14,Data!$B$2:$B$700,0))="","",INDEX(Data!$Z$2:$Z$700,MATCH(14,Data!$B$2:$B$700,0))),""))</f>
        <v/>
      </c>
      <c r="R26" s="23">
        <f>IF(B26="","",IFERROR(IF(INDEX(Data!$L$2:$L$700,MATCH(14,Data!$B$2:$B$700,0))="","",INDEX(Data!$L$2:$L$700,MATCH(14,Data!$B$2:$B$700,0))),""))</f>
        <v/>
      </c>
    </row>
    <row r="27" ht="62" customHeight="1">
      <c r="B27" s="23">
        <f>IF(15&lt;=COUNTIF(Data!$A$2:$A$700,TRUE),15,"")</f>
        <v/>
      </c>
      <c r="C27" s="24">
        <f>IF(B27="","",IFERROR(_xlfn.IMAGE(IFERROR(IF(INDEX(Data!$J$2:$J$700,MATCH(15,Data!$B$2:$B$700,0))="","",INDEX(Data!$J$2:$J$700,MATCH(15,Data!$B$2:$B$700,0))),"")),"IMAGE MISSING"))</f>
        <v/>
      </c>
      <c r="D27" s="25">
        <f>IF(B27="","",IFERROR(IF(INDEX(Data!$G$2:$G$700,MATCH(15,Data!$B$2:$B$700,0))="","",INDEX(Data!$G$2:$G$700,MATCH(15,Data!$B$2:$B$700,0))),"")&amp;CHAR(10)&amp;IFERROR(IF(INDEX(Data!$H$2:$H$700,MATCH(15,Data!$B$2:$B$700,0))="","",INDEX(Data!$H$2:$H$700,MATCH(15,Data!$B$2:$B$700,0))),""))</f>
        <v/>
      </c>
      <c r="E27" s="23">
        <f>IF(B27="","",IFERROR(IF(INDEX(Data!$I$2:$I$700,MATCH(15,Data!$B$2:$B$700,0))="","",INDEX(Data!$I$2:$I$700,MATCH(15,Data!$B$2:$B$700,0))),""))</f>
        <v/>
      </c>
      <c r="F27" s="23">
        <f>IF(B27="","",IFERROR(IF(INDEX(Data!$D$2:$D$700,MATCH(15,Data!$B$2:$B$700,0))="","",INDEX(Data!$D$2:$D$700,MATCH(15,Data!$B$2:$B$700,0))),""))</f>
        <v/>
      </c>
      <c r="G27" s="23">
        <f>IF(B27="","",IFERROR(IF(INDEX(Data!$E$2:$E$700,MATCH(15,Data!$B$2:$B$700,0))="","",INDEX(Data!$E$2:$E$700,MATCH(15,Data!$B$2:$B$700,0))),""))</f>
        <v/>
      </c>
      <c r="H27" s="26">
        <f>IF(B27="","",IFERROR(IF(INDEX(Data!$N$2:$N$700,MATCH(15,Data!$B$2:$B$700,0))="","",INDEX(Data!$N$2:$N$700,MATCH(15,Data!$B$2:$B$700,0))),""))</f>
        <v/>
      </c>
      <c r="I27" s="26">
        <f>IF(B27="","",IFERROR(IF(INDEX(Data!$O$2:$O$700,MATCH(15,Data!$B$2:$B$700,0))="","",INDEX(Data!$O$2:$O$700,MATCH(15,Data!$B$2:$B$700,0))),""))</f>
        <v/>
      </c>
      <c r="J27" s="27">
        <f>IF(B27="","",IFERROR(IF(INDEX(Data!$P$2:$P$700,MATCH(15,Data!$B$2:$B$700,0))="","",INDEX(Data!$P$2:$P$700,MATCH(15,Data!$B$2:$B$700,0))),""))</f>
        <v/>
      </c>
      <c r="K27" s="28">
        <f>IF(B27="","",IFERROR(IF(INDEX(Data!$R$2:$R$700,MATCH(15,Data!$B$2:$B$700,0))="","",INDEX(Data!$R$2:$R$700,MATCH(15,Data!$B$2:$B$700,0))),""))</f>
        <v/>
      </c>
      <c r="L27" s="29">
        <f>IF(B27="","",IFERROR(IF(INDEX(Data!$S$2:$S$700,MATCH(15,Data!$B$2:$B$700,0))="","",INDEX(Data!$S$2:$S$700,MATCH(15,Data!$B$2:$B$700,0))),""))</f>
        <v/>
      </c>
      <c r="M27" s="29">
        <f>IF(B27="","",IFERROR(IF(INDEX(Data!$T$2:$T$700,MATCH(15,Data!$B$2:$B$700,0))="","",INDEX(Data!$T$2:$T$700,MATCH(15,Data!$B$2:$B$700,0))),""))</f>
        <v/>
      </c>
      <c r="N27" s="30">
        <f>IF(B27="","",IFERROR(IF(INDEX(Data!$U$2:$U$700,MATCH(15,Data!$B$2:$B$700,0))="","",INDEX(Data!$U$2:$U$700,MATCH(15,Data!$B$2:$B$700,0))),""))</f>
        <v/>
      </c>
      <c r="O27" s="29">
        <f>IF(B27="","",IFERROR(IF(INDEX(Data!$V$2:$V$700,MATCH(15,Data!$B$2:$B$700,0))="","",INDEX(Data!$V$2:$V$700,MATCH(15,Data!$B$2:$B$700,0))),""))</f>
        <v/>
      </c>
      <c r="P27" s="29">
        <f>IF(B27="","",IFERROR(IF(INDEX(Data!$M$2:$M$700,MATCH(15,Data!$B$2:$B$700,0))="","",INDEX(Data!$M$2:$M$700,MATCH(15,Data!$B$2:$B$700,0))),""))</f>
        <v/>
      </c>
      <c r="Q27" s="23">
        <f>IF(OR(B27="",IFERROR(IF(INDEX(Data!$Y$2:$Y$700,MATCH(15,Data!$B$2:$B$700,0))="","",INDEX(Data!$Y$2:$Y$700,MATCH(15,Data!$B$2:$B$700,0))),"")=""),"",IFERROR(IF(INDEX(Data!$Y$2:$Y$700,MATCH(15,Data!$B$2:$B$700,0))="","",INDEX(Data!$Y$2:$Y$700,MATCH(15,Data!$B$2:$B$700,0))),"")&amp;" / "&amp;IFERROR(IF(INDEX(Data!$Z$2:$Z$700,MATCH(15,Data!$B$2:$B$700,0))="","",INDEX(Data!$Z$2:$Z$700,MATCH(15,Data!$B$2:$B$700,0))),""))</f>
        <v/>
      </c>
      <c r="R27" s="23">
        <f>IF(B27="","",IFERROR(IF(INDEX(Data!$L$2:$L$700,MATCH(15,Data!$B$2:$B$700,0))="","",INDEX(Data!$L$2:$L$700,MATCH(15,Data!$B$2:$B$700,0))),""))</f>
        <v/>
      </c>
    </row>
    <row r="28" ht="62" customHeight="1">
      <c r="B28" s="23">
        <f>IF(16&lt;=COUNTIF(Data!$A$2:$A$700,TRUE),16,"")</f>
        <v/>
      </c>
      <c r="C28" s="24">
        <f>IF(B28="","",IFERROR(_xlfn.IMAGE(IFERROR(IF(INDEX(Data!$J$2:$J$700,MATCH(16,Data!$B$2:$B$700,0))="","",INDEX(Data!$J$2:$J$700,MATCH(16,Data!$B$2:$B$700,0))),"")),"IMAGE MISSING"))</f>
        <v/>
      </c>
      <c r="D28" s="25">
        <f>IF(B28="","",IFERROR(IF(INDEX(Data!$G$2:$G$700,MATCH(16,Data!$B$2:$B$700,0))="","",INDEX(Data!$G$2:$G$700,MATCH(16,Data!$B$2:$B$700,0))),"")&amp;CHAR(10)&amp;IFERROR(IF(INDEX(Data!$H$2:$H$700,MATCH(16,Data!$B$2:$B$700,0))="","",INDEX(Data!$H$2:$H$700,MATCH(16,Data!$B$2:$B$700,0))),""))</f>
        <v/>
      </c>
      <c r="E28" s="23">
        <f>IF(B28="","",IFERROR(IF(INDEX(Data!$I$2:$I$700,MATCH(16,Data!$B$2:$B$700,0))="","",INDEX(Data!$I$2:$I$700,MATCH(16,Data!$B$2:$B$700,0))),""))</f>
        <v/>
      </c>
      <c r="F28" s="23">
        <f>IF(B28="","",IFERROR(IF(INDEX(Data!$D$2:$D$700,MATCH(16,Data!$B$2:$B$700,0))="","",INDEX(Data!$D$2:$D$700,MATCH(16,Data!$B$2:$B$700,0))),""))</f>
        <v/>
      </c>
      <c r="G28" s="23">
        <f>IF(B28="","",IFERROR(IF(INDEX(Data!$E$2:$E$700,MATCH(16,Data!$B$2:$B$700,0))="","",INDEX(Data!$E$2:$E$700,MATCH(16,Data!$B$2:$B$700,0))),""))</f>
        <v/>
      </c>
      <c r="H28" s="26">
        <f>IF(B28="","",IFERROR(IF(INDEX(Data!$N$2:$N$700,MATCH(16,Data!$B$2:$B$700,0))="","",INDEX(Data!$N$2:$N$700,MATCH(16,Data!$B$2:$B$700,0))),""))</f>
        <v/>
      </c>
      <c r="I28" s="26">
        <f>IF(B28="","",IFERROR(IF(INDEX(Data!$O$2:$O$700,MATCH(16,Data!$B$2:$B$700,0))="","",INDEX(Data!$O$2:$O$700,MATCH(16,Data!$B$2:$B$700,0))),""))</f>
        <v/>
      </c>
      <c r="J28" s="27">
        <f>IF(B28="","",IFERROR(IF(INDEX(Data!$P$2:$P$700,MATCH(16,Data!$B$2:$B$700,0))="","",INDEX(Data!$P$2:$P$700,MATCH(16,Data!$B$2:$B$700,0))),""))</f>
        <v/>
      </c>
      <c r="K28" s="28">
        <f>IF(B28="","",IFERROR(IF(INDEX(Data!$R$2:$R$700,MATCH(16,Data!$B$2:$B$700,0))="","",INDEX(Data!$R$2:$R$700,MATCH(16,Data!$B$2:$B$700,0))),""))</f>
        <v/>
      </c>
      <c r="L28" s="29">
        <f>IF(B28="","",IFERROR(IF(INDEX(Data!$S$2:$S$700,MATCH(16,Data!$B$2:$B$700,0))="","",INDEX(Data!$S$2:$S$700,MATCH(16,Data!$B$2:$B$700,0))),""))</f>
        <v/>
      </c>
      <c r="M28" s="29">
        <f>IF(B28="","",IFERROR(IF(INDEX(Data!$T$2:$T$700,MATCH(16,Data!$B$2:$B$700,0))="","",INDEX(Data!$T$2:$T$700,MATCH(16,Data!$B$2:$B$700,0))),""))</f>
        <v/>
      </c>
      <c r="N28" s="30">
        <f>IF(B28="","",IFERROR(IF(INDEX(Data!$U$2:$U$700,MATCH(16,Data!$B$2:$B$700,0))="","",INDEX(Data!$U$2:$U$700,MATCH(16,Data!$B$2:$B$700,0))),""))</f>
        <v/>
      </c>
      <c r="O28" s="29">
        <f>IF(B28="","",IFERROR(IF(INDEX(Data!$V$2:$V$700,MATCH(16,Data!$B$2:$B$700,0))="","",INDEX(Data!$V$2:$V$700,MATCH(16,Data!$B$2:$B$700,0))),""))</f>
        <v/>
      </c>
      <c r="P28" s="29">
        <f>IF(B28="","",IFERROR(IF(INDEX(Data!$M$2:$M$700,MATCH(16,Data!$B$2:$B$700,0))="","",INDEX(Data!$M$2:$M$700,MATCH(16,Data!$B$2:$B$700,0))),""))</f>
        <v/>
      </c>
      <c r="Q28" s="23">
        <f>IF(OR(B28="",IFERROR(IF(INDEX(Data!$Y$2:$Y$700,MATCH(16,Data!$B$2:$B$700,0))="","",INDEX(Data!$Y$2:$Y$700,MATCH(16,Data!$B$2:$B$700,0))),"")=""),"",IFERROR(IF(INDEX(Data!$Y$2:$Y$700,MATCH(16,Data!$B$2:$B$700,0))="","",INDEX(Data!$Y$2:$Y$700,MATCH(16,Data!$B$2:$B$700,0))),"")&amp;" / "&amp;IFERROR(IF(INDEX(Data!$Z$2:$Z$700,MATCH(16,Data!$B$2:$B$700,0))="","",INDEX(Data!$Z$2:$Z$700,MATCH(16,Data!$B$2:$B$700,0))),""))</f>
        <v/>
      </c>
      <c r="R28" s="23">
        <f>IF(B28="","",IFERROR(IF(INDEX(Data!$L$2:$L$700,MATCH(16,Data!$B$2:$B$700,0))="","",INDEX(Data!$L$2:$L$700,MATCH(16,Data!$B$2:$B$700,0))),""))</f>
        <v/>
      </c>
    </row>
    <row r="29" ht="62" customHeight="1">
      <c r="B29" s="23">
        <f>IF(17&lt;=COUNTIF(Data!$A$2:$A$700,TRUE),17,"")</f>
        <v/>
      </c>
      <c r="C29" s="24">
        <f>IF(B29="","",IFERROR(_xlfn.IMAGE(IFERROR(IF(INDEX(Data!$J$2:$J$700,MATCH(17,Data!$B$2:$B$700,0))="","",INDEX(Data!$J$2:$J$700,MATCH(17,Data!$B$2:$B$700,0))),"")),"IMAGE MISSING"))</f>
        <v/>
      </c>
      <c r="D29" s="25">
        <f>IF(B29="","",IFERROR(IF(INDEX(Data!$G$2:$G$700,MATCH(17,Data!$B$2:$B$700,0))="","",INDEX(Data!$G$2:$G$700,MATCH(17,Data!$B$2:$B$700,0))),"")&amp;CHAR(10)&amp;IFERROR(IF(INDEX(Data!$H$2:$H$700,MATCH(17,Data!$B$2:$B$700,0))="","",INDEX(Data!$H$2:$H$700,MATCH(17,Data!$B$2:$B$700,0))),""))</f>
        <v/>
      </c>
      <c r="E29" s="23">
        <f>IF(B29="","",IFERROR(IF(INDEX(Data!$I$2:$I$700,MATCH(17,Data!$B$2:$B$700,0))="","",INDEX(Data!$I$2:$I$700,MATCH(17,Data!$B$2:$B$700,0))),""))</f>
        <v/>
      </c>
      <c r="F29" s="23">
        <f>IF(B29="","",IFERROR(IF(INDEX(Data!$D$2:$D$700,MATCH(17,Data!$B$2:$B$700,0))="","",INDEX(Data!$D$2:$D$700,MATCH(17,Data!$B$2:$B$700,0))),""))</f>
        <v/>
      </c>
      <c r="G29" s="23">
        <f>IF(B29="","",IFERROR(IF(INDEX(Data!$E$2:$E$700,MATCH(17,Data!$B$2:$B$700,0))="","",INDEX(Data!$E$2:$E$700,MATCH(17,Data!$B$2:$B$700,0))),""))</f>
        <v/>
      </c>
      <c r="H29" s="26">
        <f>IF(B29="","",IFERROR(IF(INDEX(Data!$N$2:$N$700,MATCH(17,Data!$B$2:$B$700,0))="","",INDEX(Data!$N$2:$N$700,MATCH(17,Data!$B$2:$B$700,0))),""))</f>
        <v/>
      </c>
      <c r="I29" s="26">
        <f>IF(B29="","",IFERROR(IF(INDEX(Data!$O$2:$O$700,MATCH(17,Data!$B$2:$B$700,0))="","",INDEX(Data!$O$2:$O$700,MATCH(17,Data!$B$2:$B$700,0))),""))</f>
        <v/>
      </c>
      <c r="J29" s="27">
        <f>IF(B29="","",IFERROR(IF(INDEX(Data!$P$2:$P$700,MATCH(17,Data!$B$2:$B$700,0))="","",INDEX(Data!$P$2:$P$700,MATCH(17,Data!$B$2:$B$700,0))),""))</f>
        <v/>
      </c>
      <c r="K29" s="28">
        <f>IF(B29="","",IFERROR(IF(INDEX(Data!$R$2:$R$700,MATCH(17,Data!$B$2:$B$700,0))="","",INDEX(Data!$R$2:$R$700,MATCH(17,Data!$B$2:$B$700,0))),""))</f>
        <v/>
      </c>
      <c r="L29" s="29">
        <f>IF(B29="","",IFERROR(IF(INDEX(Data!$S$2:$S$700,MATCH(17,Data!$B$2:$B$700,0))="","",INDEX(Data!$S$2:$S$700,MATCH(17,Data!$B$2:$B$700,0))),""))</f>
        <v/>
      </c>
      <c r="M29" s="29">
        <f>IF(B29="","",IFERROR(IF(INDEX(Data!$T$2:$T$700,MATCH(17,Data!$B$2:$B$700,0))="","",INDEX(Data!$T$2:$T$700,MATCH(17,Data!$B$2:$B$700,0))),""))</f>
        <v/>
      </c>
      <c r="N29" s="30">
        <f>IF(B29="","",IFERROR(IF(INDEX(Data!$U$2:$U$700,MATCH(17,Data!$B$2:$B$700,0))="","",INDEX(Data!$U$2:$U$700,MATCH(17,Data!$B$2:$B$700,0))),""))</f>
        <v/>
      </c>
      <c r="O29" s="29">
        <f>IF(B29="","",IFERROR(IF(INDEX(Data!$V$2:$V$700,MATCH(17,Data!$B$2:$B$700,0))="","",INDEX(Data!$V$2:$V$700,MATCH(17,Data!$B$2:$B$700,0))),""))</f>
        <v/>
      </c>
      <c r="P29" s="29">
        <f>IF(B29="","",IFERROR(IF(INDEX(Data!$M$2:$M$700,MATCH(17,Data!$B$2:$B$700,0))="","",INDEX(Data!$M$2:$M$700,MATCH(17,Data!$B$2:$B$700,0))),""))</f>
        <v/>
      </c>
      <c r="Q29" s="23">
        <f>IF(OR(B29="",IFERROR(IF(INDEX(Data!$Y$2:$Y$700,MATCH(17,Data!$B$2:$B$700,0))="","",INDEX(Data!$Y$2:$Y$700,MATCH(17,Data!$B$2:$B$700,0))),"")=""),"",IFERROR(IF(INDEX(Data!$Y$2:$Y$700,MATCH(17,Data!$B$2:$B$700,0))="","",INDEX(Data!$Y$2:$Y$700,MATCH(17,Data!$B$2:$B$700,0))),"")&amp;" / "&amp;IFERROR(IF(INDEX(Data!$Z$2:$Z$700,MATCH(17,Data!$B$2:$B$700,0))="","",INDEX(Data!$Z$2:$Z$700,MATCH(17,Data!$B$2:$B$700,0))),""))</f>
        <v/>
      </c>
      <c r="R29" s="23">
        <f>IF(B29="","",IFERROR(IF(INDEX(Data!$L$2:$L$700,MATCH(17,Data!$B$2:$B$700,0))="","",INDEX(Data!$L$2:$L$700,MATCH(17,Data!$B$2:$B$700,0))),""))</f>
        <v/>
      </c>
    </row>
    <row r="30" ht="62" customHeight="1">
      <c r="B30" s="23">
        <f>IF(18&lt;=COUNTIF(Data!$A$2:$A$700,TRUE),18,"")</f>
        <v/>
      </c>
      <c r="C30" s="24">
        <f>IF(B30="","",IFERROR(_xlfn.IMAGE(IFERROR(IF(INDEX(Data!$J$2:$J$700,MATCH(18,Data!$B$2:$B$700,0))="","",INDEX(Data!$J$2:$J$700,MATCH(18,Data!$B$2:$B$700,0))),"")),"IMAGE MISSING"))</f>
        <v/>
      </c>
      <c r="D30" s="25">
        <f>IF(B30="","",IFERROR(IF(INDEX(Data!$G$2:$G$700,MATCH(18,Data!$B$2:$B$700,0))="","",INDEX(Data!$G$2:$G$700,MATCH(18,Data!$B$2:$B$700,0))),"")&amp;CHAR(10)&amp;IFERROR(IF(INDEX(Data!$H$2:$H$700,MATCH(18,Data!$B$2:$B$700,0))="","",INDEX(Data!$H$2:$H$700,MATCH(18,Data!$B$2:$B$700,0))),""))</f>
        <v/>
      </c>
      <c r="E30" s="23">
        <f>IF(B30="","",IFERROR(IF(INDEX(Data!$I$2:$I$700,MATCH(18,Data!$B$2:$B$700,0))="","",INDEX(Data!$I$2:$I$700,MATCH(18,Data!$B$2:$B$700,0))),""))</f>
        <v/>
      </c>
      <c r="F30" s="23">
        <f>IF(B30="","",IFERROR(IF(INDEX(Data!$D$2:$D$700,MATCH(18,Data!$B$2:$B$700,0))="","",INDEX(Data!$D$2:$D$700,MATCH(18,Data!$B$2:$B$700,0))),""))</f>
        <v/>
      </c>
      <c r="G30" s="23">
        <f>IF(B30="","",IFERROR(IF(INDEX(Data!$E$2:$E$700,MATCH(18,Data!$B$2:$B$700,0))="","",INDEX(Data!$E$2:$E$700,MATCH(18,Data!$B$2:$B$700,0))),""))</f>
        <v/>
      </c>
      <c r="H30" s="26">
        <f>IF(B30="","",IFERROR(IF(INDEX(Data!$N$2:$N$700,MATCH(18,Data!$B$2:$B$700,0))="","",INDEX(Data!$N$2:$N$700,MATCH(18,Data!$B$2:$B$700,0))),""))</f>
        <v/>
      </c>
      <c r="I30" s="26">
        <f>IF(B30="","",IFERROR(IF(INDEX(Data!$O$2:$O$700,MATCH(18,Data!$B$2:$B$700,0))="","",INDEX(Data!$O$2:$O$700,MATCH(18,Data!$B$2:$B$700,0))),""))</f>
        <v/>
      </c>
      <c r="J30" s="27">
        <f>IF(B30="","",IFERROR(IF(INDEX(Data!$P$2:$P$700,MATCH(18,Data!$B$2:$B$700,0))="","",INDEX(Data!$P$2:$P$700,MATCH(18,Data!$B$2:$B$700,0))),""))</f>
        <v/>
      </c>
      <c r="K30" s="28">
        <f>IF(B30="","",IFERROR(IF(INDEX(Data!$R$2:$R$700,MATCH(18,Data!$B$2:$B$700,0))="","",INDEX(Data!$R$2:$R$700,MATCH(18,Data!$B$2:$B$700,0))),""))</f>
        <v/>
      </c>
      <c r="L30" s="29">
        <f>IF(B30="","",IFERROR(IF(INDEX(Data!$S$2:$S$700,MATCH(18,Data!$B$2:$B$700,0))="","",INDEX(Data!$S$2:$S$700,MATCH(18,Data!$B$2:$B$700,0))),""))</f>
        <v/>
      </c>
      <c r="M30" s="29">
        <f>IF(B30="","",IFERROR(IF(INDEX(Data!$T$2:$T$700,MATCH(18,Data!$B$2:$B$700,0))="","",INDEX(Data!$T$2:$T$700,MATCH(18,Data!$B$2:$B$700,0))),""))</f>
        <v/>
      </c>
      <c r="N30" s="30">
        <f>IF(B30="","",IFERROR(IF(INDEX(Data!$U$2:$U$700,MATCH(18,Data!$B$2:$B$700,0))="","",INDEX(Data!$U$2:$U$700,MATCH(18,Data!$B$2:$B$700,0))),""))</f>
        <v/>
      </c>
      <c r="O30" s="29">
        <f>IF(B30="","",IFERROR(IF(INDEX(Data!$V$2:$V$700,MATCH(18,Data!$B$2:$B$700,0))="","",INDEX(Data!$V$2:$V$700,MATCH(18,Data!$B$2:$B$700,0))),""))</f>
        <v/>
      </c>
      <c r="P30" s="29">
        <f>IF(B30="","",IFERROR(IF(INDEX(Data!$M$2:$M$700,MATCH(18,Data!$B$2:$B$700,0))="","",INDEX(Data!$M$2:$M$700,MATCH(18,Data!$B$2:$B$700,0))),""))</f>
        <v/>
      </c>
      <c r="Q30" s="23">
        <f>IF(OR(B30="",IFERROR(IF(INDEX(Data!$Y$2:$Y$700,MATCH(18,Data!$B$2:$B$700,0))="","",INDEX(Data!$Y$2:$Y$700,MATCH(18,Data!$B$2:$B$700,0))),"")=""),"",IFERROR(IF(INDEX(Data!$Y$2:$Y$700,MATCH(18,Data!$B$2:$B$700,0))="","",INDEX(Data!$Y$2:$Y$700,MATCH(18,Data!$B$2:$B$700,0))),"")&amp;" / "&amp;IFERROR(IF(INDEX(Data!$Z$2:$Z$700,MATCH(18,Data!$B$2:$B$700,0))="","",INDEX(Data!$Z$2:$Z$700,MATCH(18,Data!$B$2:$B$700,0))),""))</f>
        <v/>
      </c>
      <c r="R30" s="23">
        <f>IF(B30="","",IFERROR(IF(INDEX(Data!$L$2:$L$700,MATCH(18,Data!$B$2:$B$700,0))="","",INDEX(Data!$L$2:$L$700,MATCH(18,Data!$B$2:$B$700,0))),""))</f>
        <v/>
      </c>
    </row>
    <row r="31" ht="62" customHeight="1">
      <c r="B31" s="23">
        <f>IF(19&lt;=COUNTIF(Data!$A$2:$A$700,TRUE),19,"")</f>
        <v/>
      </c>
      <c r="C31" s="24">
        <f>IF(B31="","",IFERROR(_xlfn.IMAGE(IFERROR(IF(INDEX(Data!$J$2:$J$700,MATCH(19,Data!$B$2:$B$700,0))="","",INDEX(Data!$J$2:$J$700,MATCH(19,Data!$B$2:$B$700,0))),"")),"IMAGE MISSING"))</f>
        <v/>
      </c>
      <c r="D31" s="25">
        <f>IF(B31="","",IFERROR(IF(INDEX(Data!$G$2:$G$700,MATCH(19,Data!$B$2:$B$700,0))="","",INDEX(Data!$G$2:$G$700,MATCH(19,Data!$B$2:$B$700,0))),"")&amp;CHAR(10)&amp;IFERROR(IF(INDEX(Data!$H$2:$H$700,MATCH(19,Data!$B$2:$B$700,0))="","",INDEX(Data!$H$2:$H$700,MATCH(19,Data!$B$2:$B$700,0))),""))</f>
        <v/>
      </c>
      <c r="E31" s="23">
        <f>IF(B31="","",IFERROR(IF(INDEX(Data!$I$2:$I$700,MATCH(19,Data!$B$2:$B$700,0))="","",INDEX(Data!$I$2:$I$700,MATCH(19,Data!$B$2:$B$700,0))),""))</f>
        <v/>
      </c>
      <c r="F31" s="23">
        <f>IF(B31="","",IFERROR(IF(INDEX(Data!$D$2:$D$700,MATCH(19,Data!$B$2:$B$700,0))="","",INDEX(Data!$D$2:$D$700,MATCH(19,Data!$B$2:$B$700,0))),""))</f>
        <v/>
      </c>
      <c r="G31" s="23">
        <f>IF(B31="","",IFERROR(IF(INDEX(Data!$E$2:$E$700,MATCH(19,Data!$B$2:$B$700,0))="","",INDEX(Data!$E$2:$E$700,MATCH(19,Data!$B$2:$B$700,0))),""))</f>
        <v/>
      </c>
      <c r="H31" s="26">
        <f>IF(B31="","",IFERROR(IF(INDEX(Data!$N$2:$N$700,MATCH(19,Data!$B$2:$B$700,0))="","",INDEX(Data!$N$2:$N$700,MATCH(19,Data!$B$2:$B$700,0))),""))</f>
        <v/>
      </c>
      <c r="I31" s="26">
        <f>IF(B31="","",IFERROR(IF(INDEX(Data!$O$2:$O$700,MATCH(19,Data!$B$2:$B$700,0))="","",INDEX(Data!$O$2:$O$700,MATCH(19,Data!$B$2:$B$700,0))),""))</f>
        <v/>
      </c>
      <c r="J31" s="27">
        <f>IF(B31="","",IFERROR(IF(INDEX(Data!$P$2:$P$700,MATCH(19,Data!$B$2:$B$700,0))="","",INDEX(Data!$P$2:$P$700,MATCH(19,Data!$B$2:$B$700,0))),""))</f>
        <v/>
      </c>
      <c r="K31" s="28">
        <f>IF(B31="","",IFERROR(IF(INDEX(Data!$R$2:$R$700,MATCH(19,Data!$B$2:$B$700,0))="","",INDEX(Data!$R$2:$R$700,MATCH(19,Data!$B$2:$B$700,0))),""))</f>
        <v/>
      </c>
      <c r="L31" s="29">
        <f>IF(B31="","",IFERROR(IF(INDEX(Data!$S$2:$S$700,MATCH(19,Data!$B$2:$B$700,0))="","",INDEX(Data!$S$2:$S$700,MATCH(19,Data!$B$2:$B$700,0))),""))</f>
        <v/>
      </c>
      <c r="M31" s="29">
        <f>IF(B31="","",IFERROR(IF(INDEX(Data!$T$2:$T$700,MATCH(19,Data!$B$2:$B$700,0))="","",INDEX(Data!$T$2:$T$700,MATCH(19,Data!$B$2:$B$700,0))),""))</f>
        <v/>
      </c>
      <c r="N31" s="30">
        <f>IF(B31="","",IFERROR(IF(INDEX(Data!$U$2:$U$700,MATCH(19,Data!$B$2:$B$700,0))="","",INDEX(Data!$U$2:$U$700,MATCH(19,Data!$B$2:$B$700,0))),""))</f>
        <v/>
      </c>
      <c r="O31" s="29">
        <f>IF(B31="","",IFERROR(IF(INDEX(Data!$V$2:$V$700,MATCH(19,Data!$B$2:$B$700,0))="","",INDEX(Data!$V$2:$V$700,MATCH(19,Data!$B$2:$B$700,0))),""))</f>
        <v/>
      </c>
      <c r="P31" s="29">
        <f>IF(B31="","",IFERROR(IF(INDEX(Data!$M$2:$M$700,MATCH(19,Data!$B$2:$B$700,0))="","",INDEX(Data!$M$2:$M$700,MATCH(19,Data!$B$2:$B$700,0))),""))</f>
        <v/>
      </c>
      <c r="Q31" s="23">
        <f>IF(OR(B31="",IFERROR(IF(INDEX(Data!$Y$2:$Y$700,MATCH(19,Data!$B$2:$B$700,0))="","",INDEX(Data!$Y$2:$Y$700,MATCH(19,Data!$B$2:$B$700,0))),"")=""),"",IFERROR(IF(INDEX(Data!$Y$2:$Y$700,MATCH(19,Data!$B$2:$B$700,0))="","",INDEX(Data!$Y$2:$Y$700,MATCH(19,Data!$B$2:$B$700,0))),"")&amp;" / "&amp;IFERROR(IF(INDEX(Data!$Z$2:$Z$700,MATCH(19,Data!$B$2:$B$700,0))="","",INDEX(Data!$Z$2:$Z$700,MATCH(19,Data!$B$2:$B$700,0))),""))</f>
        <v/>
      </c>
      <c r="R31" s="23">
        <f>IF(B31="","",IFERROR(IF(INDEX(Data!$L$2:$L$700,MATCH(19,Data!$B$2:$B$700,0))="","",INDEX(Data!$L$2:$L$700,MATCH(19,Data!$B$2:$B$700,0))),""))</f>
        <v/>
      </c>
    </row>
    <row r="32" ht="62" customHeight="1">
      <c r="B32" s="23">
        <f>IF(20&lt;=COUNTIF(Data!$A$2:$A$700,TRUE),20,"")</f>
        <v/>
      </c>
      <c r="C32" s="24">
        <f>IF(B32="","",IFERROR(_xlfn.IMAGE(IFERROR(IF(INDEX(Data!$J$2:$J$700,MATCH(20,Data!$B$2:$B$700,0))="","",INDEX(Data!$J$2:$J$700,MATCH(20,Data!$B$2:$B$700,0))),"")),"IMAGE MISSING"))</f>
        <v/>
      </c>
      <c r="D32" s="25">
        <f>IF(B32="","",IFERROR(IF(INDEX(Data!$G$2:$G$700,MATCH(20,Data!$B$2:$B$700,0))="","",INDEX(Data!$G$2:$G$700,MATCH(20,Data!$B$2:$B$700,0))),"")&amp;CHAR(10)&amp;IFERROR(IF(INDEX(Data!$H$2:$H$700,MATCH(20,Data!$B$2:$B$700,0))="","",INDEX(Data!$H$2:$H$700,MATCH(20,Data!$B$2:$B$700,0))),""))</f>
        <v/>
      </c>
      <c r="E32" s="23">
        <f>IF(B32="","",IFERROR(IF(INDEX(Data!$I$2:$I$700,MATCH(20,Data!$B$2:$B$700,0))="","",INDEX(Data!$I$2:$I$700,MATCH(20,Data!$B$2:$B$700,0))),""))</f>
        <v/>
      </c>
      <c r="F32" s="23">
        <f>IF(B32="","",IFERROR(IF(INDEX(Data!$D$2:$D$700,MATCH(20,Data!$B$2:$B$700,0))="","",INDEX(Data!$D$2:$D$700,MATCH(20,Data!$B$2:$B$700,0))),""))</f>
        <v/>
      </c>
      <c r="G32" s="23">
        <f>IF(B32="","",IFERROR(IF(INDEX(Data!$E$2:$E$700,MATCH(20,Data!$B$2:$B$700,0))="","",INDEX(Data!$E$2:$E$700,MATCH(20,Data!$B$2:$B$700,0))),""))</f>
        <v/>
      </c>
      <c r="H32" s="26">
        <f>IF(B32="","",IFERROR(IF(INDEX(Data!$N$2:$N$700,MATCH(20,Data!$B$2:$B$700,0))="","",INDEX(Data!$N$2:$N$700,MATCH(20,Data!$B$2:$B$700,0))),""))</f>
        <v/>
      </c>
      <c r="I32" s="26">
        <f>IF(B32="","",IFERROR(IF(INDEX(Data!$O$2:$O$700,MATCH(20,Data!$B$2:$B$700,0))="","",INDEX(Data!$O$2:$O$700,MATCH(20,Data!$B$2:$B$700,0))),""))</f>
        <v/>
      </c>
      <c r="J32" s="27">
        <f>IF(B32="","",IFERROR(IF(INDEX(Data!$P$2:$P$700,MATCH(20,Data!$B$2:$B$700,0))="","",INDEX(Data!$P$2:$P$700,MATCH(20,Data!$B$2:$B$700,0))),""))</f>
        <v/>
      </c>
      <c r="K32" s="28">
        <f>IF(B32="","",IFERROR(IF(INDEX(Data!$R$2:$R$700,MATCH(20,Data!$B$2:$B$700,0))="","",INDEX(Data!$R$2:$R$700,MATCH(20,Data!$B$2:$B$700,0))),""))</f>
        <v/>
      </c>
      <c r="L32" s="29">
        <f>IF(B32="","",IFERROR(IF(INDEX(Data!$S$2:$S$700,MATCH(20,Data!$B$2:$B$700,0))="","",INDEX(Data!$S$2:$S$700,MATCH(20,Data!$B$2:$B$700,0))),""))</f>
        <v/>
      </c>
      <c r="M32" s="29">
        <f>IF(B32="","",IFERROR(IF(INDEX(Data!$T$2:$T$700,MATCH(20,Data!$B$2:$B$700,0))="","",INDEX(Data!$T$2:$T$700,MATCH(20,Data!$B$2:$B$700,0))),""))</f>
        <v/>
      </c>
      <c r="N32" s="30">
        <f>IF(B32="","",IFERROR(IF(INDEX(Data!$U$2:$U$700,MATCH(20,Data!$B$2:$B$700,0))="","",INDEX(Data!$U$2:$U$700,MATCH(20,Data!$B$2:$B$700,0))),""))</f>
        <v/>
      </c>
      <c r="O32" s="29">
        <f>IF(B32="","",IFERROR(IF(INDEX(Data!$V$2:$V$700,MATCH(20,Data!$B$2:$B$700,0))="","",INDEX(Data!$V$2:$V$700,MATCH(20,Data!$B$2:$B$700,0))),""))</f>
        <v/>
      </c>
      <c r="P32" s="29">
        <f>IF(B32="","",IFERROR(IF(INDEX(Data!$M$2:$M$700,MATCH(20,Data!$B$2:$B$700,0))="","",INDEX(Data!$M$2:$M$700,MATCH(20,Data!$B$2:$B$700,0))),""))</f>
        <v/>
      </c>
      <c r="Q32" s="23">
        <f>IF(OR(B32="",IFERROR(IF(INDEX(Data!$Y$2:$Y$700,MATCH(20,Data!$B$2:$B$700,0))="","",INDEX(Data!$Y$2:$Y$700,MATCH(20,Data!$B$2:$B$700,0))),"")=""),"",IFERROR(IF(INDEX(Data!$Y$2:$Y$700,MATCH(20,Data!$B$2:$B$700,0))="","",INDEX(Data!$Y$2:$Y$700,MATCH(20,Data!$B$2:$B$700,0))),"")&amp;" / "&amp;IFERROR(IF(INDEX(Data!$Z$2:$Z$700,MATCH(20,Data!$B$2:$B$700,0))="","",INDEX(Data!$Z$2:$Z$700,MATCH(20,Data!$B$2:$B$700,0))),""))</f>
        <v/>
      </c>
      <c r="R32" s="23">
        <f>IF(B32="","",IFERROR(IF(INDEX(Data!$L$2:$L$700,MATCH(20,Data!$B$2:$B$700,0))="","",INDEX(Data!$L$2:$L$700,MATCH(20,Data!$B$2:$B$700,0))),""))</f>
        <v/>
      </c>
    </row>
    <row r="33" ht="62" customHeight="1">
      <c r="B33" s="23">
        <f>IF(21&lt;=COUNTIF(Data!$A$2:$A$700,TRUE),21,"")</f>
        <v/>
      </c>
      <c r="C33" s="24">
        <f>IF(B33="","",IFERROR(_xlfn.IMAGE(IFERROR(IF(INDEX(Data!$J$2:$J$700,MATCH(21,Data!$B$2:$B$700,0))="","",INDEX(Data!$J$2:$J$700,MATCH(21,Data!$B$2:$B$700,0))),"")),"IMAGE MISSING"))</f>
        <v/>
      </c>
      <c r="D33" s="25">
        <f>IF(B33="","",IFERROR(IF(INDEX(Data!$G$2:$G$700,MATCH(21,Data!$B$2:$B$700,0))="","",INDEX(Data!$G$2:$G$700,MATCH(21,Data!$B$2:$B$700,0))),"")&amp;CHAR(10)&amp;IFERROR(IF(INDEX(Data!$H$2:$H$700,MATCH(21,Data!$B$2:$B$700,0))="","",INDEX(Data!$H$2:$H$700,MATCH(21,Data!$B$2:$B$700,0))),""))</f>
        <v/>
      </c>
      <c r="E33" s="23">
        <f>IF(B33="","",IFERROR(IF(INDEX(Data!$I$2:$I$700,MATCH(21,Data!$B$2:$B$700,0))="","",INDEX(Data!$I$2:$I$700,MATCH(21,Data!$B$2:$B$700,0))),""))</f>
        <v/>
      </c>
      <c r="F33" s="23">
        <f>IF(B33="","",IFERROR(IF(INDEX(Data!$D$2:$D$700,MATCH(21,Data!$B$2:$B$700,0))="","",INDEX(Data!$D$2:$D$700,MATCH(21,Data!$B$2:$B$700,0))),""))</f>
        <v/>
      </c>
      <c r="G33" s="23">
        <f>IF(B33="","",IFERROR(IF(INDEX(Data!$E$2:$E$700,MATCH(21,Data!$B$2:$B$700,0))="","",INDEX(Data!$E$2:$E$700,MATCH(21,Data!$B$2:$B$700,0))),""))</f>
        <v/>
      </c>
      <c r="H33" s="26">
        <f>IF(B33="","",IFERROR(IF(INDEX(Data!$N$2:$N$700,MATCH(21,Data!$B$2:$B$700,0))="","",INDEX(Data!$N$2:$N$700,MATCH(21,Data!$B$2:$B$700,0))),""))</f>
        <v/>
      </c>
      <c r="I33" s="26">
        <f>IF(B33="","",IFERROR(IF(INDEX(Data!$O$2:$O$700,MATCH(21,Data!$B$2:$B$700,0))="","",INDEX(Data!$O$2:$O$700,MATCH(21,Data!$B$2:$B$700,0))),""))</f>
        <v/>
      </c>
      <c r="J33" s="27">
        <f>IF(B33="","",IFERROR(IF(INDEX(Data!$P$2:$P$700,MATCH(21,Data!$B$2:$B$700,0))="","",INDEX(Data!$P$2:$P$700,MATCH(21,Data!$B$2:$B$700,0))),""))</f>
        <v/>
      </c>
      <c r="K33" s="28">
        <f>IF(B33="","",IFERROR(IF(INDEX(Data!$R$2:$R$700,MATCH(21,Data!$B$2:$B$700,0))="","",INDEX(Data!$R$2:$R$700,MATCH(21,Data!$B$2:$B$700,0))),""))</f>
        <v/>
      </c>
      <c r="L33" s="29">
        <f>IF(B33="","",IFERROR(IF(INDEX(Data!$S$2:$S$700,MATCH(21,Data!$B$2:$B$700,0))="","",INDEX(Data!$S$2:$S$700,MATCH(21,Data!$B$2:$B$700,0))),""))</f>
        <v/>
      </c>
      <c r="M33" s="29">
        <f>IF(B33="","",IFERROR(IF(INDEX(Data!$T$2:$T$700,MATCH(21,Data!$B$2:$B$700,0))="","",INDEX(Data!$T$2:$T$700,MATCH(21,Data!$B$2:$B$700,0))),""))</f>
        <v/>
      </c>
      <c r="N33" s="30">
        <f>IF(B33="","",IFERROR(IF(INDEX(Data!$U$2:$U$700,MATCH(21,Data!$B$2:$B$700,0))="","",INDEX(Data!$U$2:$U$700,MATCH(21,Data!$B$2:$B$700,0))),""))</f>
        <v/>
      </c>
      <c r="O33" s="29">
        <f>IF(B33="","",IFERROR(IF(INDEX(Data!$V$2:$V$700,MATCH(21,Data!$B$2:$B$700,0))="","",INDEX(Data!$V$2:$V$700,MATCH(21,Data!$B$2:$B$700,0))),""))</f>
        <v/>
      </c>
      <c r="P33" s="29">
        <f>IF(B33="","",IFERROR(IF(INDEX(Data!$M$2:$M$700,MATCH(21,Data!$B$2:$B$700,0))="","",INDEX(Data!$M$2:$M$700,MATCH(21,Data!$B$2:$B$700,0))),""))</f>
        <v/>
      </c>
      <c r="Q33" s="23">
        <f>IF(OR(B33="",IFERROR(IF(INDEX(Data!$Y$2:$Y$700,MATCH(21,Data!$B$2:$B$700,0))="","",INDEX(Data!$Y$2:$Y$700,MATCH(21,Data!$B$2:$B$700,0))),"")=""),"",IFERROR(IF(INDEX(Data!$Y$2:$Y$700,MATCH(21,Data!$B$2:$B$700,0))="","",INDEX(Data!$Y$2:$Y$700,MATCH(21,Data!$B$2:$B$700,0))),"")&amp;" / "&amp;IFERROR(IF(INDEX(Data!$Z$2:$Z$700,MATCH(21,Data!$B$2:$B$700,0))="","",INDEX(Data!$Z$2:$Z$700,MATCH(21,Data!$B$2:$B$700,0))),""))</f>
        <v/>
      </c>
      <c r="R33" s="23">
        <f>IF(B33="","",IFERROR(IF(INDEX(Data!$L$2:$L$700,MATCH(21,Data!$B$2:$B$700,0))="","",INDEX(Data!$L$2:$L$700,MATCH(21,Data!$B$2:$B$700,0))),""))</f>
        <v/>
      </c>
    </row>
    <row r="34" ht="62" customHeight="1">
      <c r="B34" s="23">
        <f>IF(22&lt;=COUNTIF(Data!$A$2:$A$700,TRUE),22,"")</f>
        <v/>
      </c>
      <c r="C34" s="24">
        <f>IF(B34="","",IFERROR(_xlfn.IMAGE(IFERROR(IF(INDEX(Data!$J$2:$J$700,MATCH(22,Data!$B$2:$B$700,0))="","",INDEX(Data!$J$2:$J$700,MATCH(22,Data!$B$2:$B$700,0))),"")),"IMAGE MISSING"))</f>
        <v/>
      </c>
      <c r="D34" s="25">
        <f>IF(B34="","",IFERROR(IF(INDEX(Data!$G$2:$G$700,MATCH(22,Data!$B$2:$B$700,0))="","",INDEX(Data!$G$2:$G$700,MATCH(22,Data!$B$2:$B$700,0))),"")&amp;CHAR(10)&amp;IFERROR(IF(INDEX(Data!$H$2:$H$700,MATCH(22,Data!$B$2:$B$700,0))="","",INDEX(Data!$H$2:$H$700,MATCH(22,Data!$B$2:$B$700,0))),""))</f>
        <v/>
      </c>
      <c r="E34" s="23">
        <f>IF(B34="","",IFERROR(IF(INDEX(Data!$I$2:$I$700,MATCH(22,Data!$B$2:$B$700,0))="","",INDEX(Data!$I$2:$I$700,MATCH(22,Data!$B$2:$B$700,0))),""))</f>
        <v/>
      </c>
      <c r="F34" s="23">
        <f>IF(B34="","",IFERROR(IF(INDEX(Data!$D$2:$D$700,MATCH(22,Data!$B$2:$B$700,0))="","",INDEX(Data!$D$2:$D$700,MATCH(22,Data!$B$2:$B$700,0))),""))</f>
        <v/>
      </c>
      <c r="G34" s="23">
        <f>IF(B34="","",IFERROR(IF(INDEX(Data!$E$2:$E$700,MATCH(22,Data!$B$2:$B$700,0))="","",INDEX(Data!$E$2:$E$700,MATCH(22,Data!$B$2:$B$700,0))),""))</f>
        <v/>
      </c>
      <c r="H34" s="26">
        <f>IF(B34="","",IFERROR(IF(INDEX(Data!$N$2:$N$700,MATCH(22,Data!$B$2:$B$700,0))="","",INDEX(Data!$N$2:$N$700,MATCH(22,Data!$B$2:$B$700,0))),""))</f>
        <v/>
      </c>
      <c r="I34" s="26">
        <f>IF(B34="","",IFERROR(IF(INDEX(Data!$O$2:$O$700,MATCH(22,Data!$B$2:$B$700,0))="","",INDEX(Data!$O$2:$O$700,MATCH(22,Data!$B$2:$B$700,0))),""))</f>
        <v/>
      </c>
      <c r="J34" s="27">
        <f>IF(B34="","",IFERROR(IF(INDEX(Data!$P$2:$P$700,MATCH(22,Data!$B$2:$B$700,0))="","",INDEX(Data!$P$2:$P$700,MATCH(22,Data!$B$2:$B$700,0))),""))</f>
        <v/>
      </c>
      <c r="K34" s="28">
        <f>IF(B34="","",IFERROR(IF(INDEX(Data!$R$2:$R$700,MATCH(22,Data!$B$2:$B$700,0))="","",INDEX(Data!$R$2:$R$700,MATCH(22,Data!$B$2:$B$700,0))),""))</f>
        <v/>
      </c>
      <c r="L34" s="29">
        <f>IF(B34="","",IFERROR(IF(INDEX(Data!$S$2:$S$700,MATCH(22,Data!$B$2:$B$700,0))="","",INDEX(Data!$S$2:$S$700,MATCH(22,Data!$B$2:$B$700,0))),""))</f>
        <v/>
      </c>
      <c r="M34" s="29">
        <f>IF(B34="","",IFERROR(IF(INDEX(Data!$T$2:$T$700,MATCH(22,Data!$B$2:$B$700,0))="","",INDEX(Data!$T$2:$T$700,MATCH(22,Data!$B$2:$B$700,0))),""))</f>
        <v/>
      </c>
      <c r="N34" s="30">
        <f>IF(B34="","",IFERROR(IF(INDEX(Data!$U$2:$U$700,MATCH(22,Data!$B$2:$B$700,0))="","",INDEX(Data!$U$2:$U$700,MATCH(22,Data!$B$2:$B$700,0))),""))</f>
        <v/>
      </c>
      <c r="O34" s="29">
        <f>IF(B34="","",IFERROR(IF(INDEX(Data!$V$2:$V$700,MATCH(22,Data!$B$2:$B$700,0))="","",INDEX(Data!$V$2:$V$700,MATCH(22,Data!$B$2:$B$700,0))),""))</f>
        <v/>
      </c>
      <c r="P34" s="29">
        <f>IF(B34="","",IFERROR(IF(INDEX(Data!$M$2:$M$700,MATCH(22,Data!$B$2:$B$700,0))="","",INDEX(Data!$M$2:$M$700,MATCH(22,Data!$B$2:$B$700,0))),""))</f>
        <v/>
      </c>
      <c r="Q34" s="23">
        <f>IF(OR(B34="",IFERROR(IF(INDEX(Data!$Y$2:$Y$700,MATCH(22,Data!$B$2:$B$700,0))="","",INDEX(Data!$Y$2:$Y$700,MATCH(22,Data!$B$2:$B$700,0))),"")=""),"",IFERROR(IF(INDEX(Data!$Y$2:$Y$700,MATCH(22,Data!$B$2:$B$700,0))="","",INDEX(Data!$Y$2:$Y$700,MATCH(22,Data!$B$2:$B$700,0))),"")&amp;" / "&amp;IFERROR(IF(INDEX(Data!$Z$2:$Z$700,MATCH(22,Data!$B$2:$B$700,0))="","",INDEX(Data!$Z$2:$Z$700,MATCH(22,Data!$B$2:$B$700,0))),""))</f>
        <v/>
      </c>
      <c r="R34" s="23">
        <f>IF(B34="","",IFERROR(IF(INDEX(Data!$L$2:$L$700,MATCH(22,Data!$B$2:$B$700,0))="","",INDEX(Data!$L$2:$L$700,MATCH(22,Data!$B$2:$B$700,0))),""))</f>
        <v/>
      </c>
    </row>
    <row r="35" ht="62" customHeight="1">
      <c r="B35" s="23">
        <f>IF(23&lt;=COUNTIF(Data!$A$2:$A$700,TRUE),23,"")</f>
        <v/>
      </c>
      <c r="C35" s="24">
        <f>IF(B35="","",IFERROR(_xlfn.IMAGE(IFERROR(IF(INDEX(Data!$J$2:$J$700,MATCH(23,Data!$B$2:$B$700,0))="","",INDEX(Data!$J$2:$J$700,MATCH(23,Data!$B$2:$B$700,0))),"")),"IMAGE MISSING"))</f>
        <v/>
      </c>
      <c r="D35" s="25">
        <f>IF(B35="","",IFERROR(IF(INDEX(Data!$G$2:$G$700,MATCH(23,Data!$B$2:$B$700,0))="","",INDEX(Data!$G$2:$G$700,MATCH(23,Data!$B$2:$B$700,0))),"")&amp;CHAR(10)&amp;IFERROR(IF(INDEX(Data!$H$2:$H$700,MATCH(23,Data!$B$2:$B$700,0))="","",INDEX(Data!$H$2:$H$700,MATCH(23,Data!$B$2:$B$700,0))),""))</f>
        <v/>
      </c>
      <c r="E35" s="23">
        <f>IF(B35="","",IFERROR(IF(INDEX(Data!$I$2:$I$700,MATCH(23,Data!$B$2:$B$700,0))="","",INDEX(Data!$I$2:$I$700,MATCH(23,Data!$B$2:$B$700,0))),""))</f>
        <v/>
      </c>
      <c r="F35" s="23">
        <f>IF(B35="","",IFERROR(IF(INDEX(Data!$D$2:$D$700,MATCH(23,Data!$B$2:$B$700,0))="","",INDEX(Data!$D$2:$D$700,MATCH(23,Data!$B$2:$B$700,0))),""))</f>
        <v/>
      </c>
      <c r="G35" s="23">
        <f>IF(B35="","",IFERROR(IF(INDEX(Data!$E$2:$E$700,MATCH(23,Data!$B$2:$B$700,0))="","",INDEX(Data!$E$2:$E$700,MATCH(23,Data!$B$2:$B$700,0))),""))</f>
        <v/>
      </c>
      <c r="H35" s="26">
        <f>IF(B35="","",IFERROR(IF(INDEX(Data!$N$2:$N$700,MATCH(23,Data!$B$2:$B$700,0))="","",INDEX(Data!$N$2:$N$700,MATCH(23,Data!$B$2:$B$700,0))),""))</f>
        <v/>
      </c>
      <c r="I35" s="26">
        <f>IF(B35="","",IFERROR(IF(INDEX(Data!$O$2:$O$700,MATCH(23,Data!$B$2:$B$700,0))="","",INDEX(Data!$O$2:$O$700,MATCH(23,Data!$B$2:$B$700,0))),""))</f>
        <v/>
      </c>
      <c r="J35" s="27">
        <f>IF(B35="","",IFERROR(IF(INDEX(Data!$P$2:$P$700,MATCH(23,Data!$B$2:$B$700,0))="","",INDEX(Data!$P$2:$P$700,MATCH(23,Data!$B$2:$B$700,0))),""))</f>
        <v/>
      </c>
      <c r="K35" s="28">
        <f>IF(B35="","",IFERROR(IF(INDEX(Data!$R$2:$R$700,MATCH(23,Data!$B$2:$B$700,0))="","",INDEX(Data!$R$2:$R$700,MATCH(23,Data!$B$2:$B$700,0))),""))</f>
        <v/>
      </c>
      <c r="L35" s="29">
        <f>IF(B35="","",IFERROR(IF(INDEX(Data!$S$2:$S$700,MATCH(23,Data!$B$2:$B$700,0))="","",INDEX(Data!$S$2:$S$700,MATCH(23,Data!$B$2:$B$700,0))),""))</f>
        <v/>
      </c>
      <c r="M35" s="29">
        <f>IF(B35="","",IFERROR(IF(INDEX(Data!$T$2:$T$700,MATCH(23,Data!$B$2:$B$700,0))="","",INDEX(Data!$T$2:$T$700,MATCH(23,Data!$B$2:$B$700,0))),""))</f>
        <v/>
      </c>
      <c r="N35" s="30">
        <f>IF(B35="","",IFERROR(IF(INDEX(Data!$U$2:$U$700,MATCH(23,Data!$B$2:$B$700,0))="","",INDEX(Data!$U$2:$U$700,MATCH(23,Data!$B$2:$B$700,0))),""))</f>
        <v/>
      </c>
      <c r="O35" s="29">
        <f>IF(B35="","",IFERROR(IF(INDEX(Data!$V$2:$V$700,MATCH(23,Data!$B$2:$B$700,0))="","",INDEX(Data!$V$2:$V$700,MATCH(23,Data!$B$2:$B$700,0))),""))</f>
        <v/>
      </c>
      <c r="P35" s="29">
        <f>IF(B35="","",IFERROR(IF(INDEX(Data!$M$2:$M$700,MATCH(23,Data!$B$2:$B$700,0))="","",INDEX(Data!$M$2:$M$700,MATCH(23,Data!$B$2:$B$700,0))),""))</f>
        <v/>
      </c>
      <c r="Q35" s="23">
        <f>IF(OR(B35="",IFERROR(IF(INDEX(Data!$Y$2:$Y$700,MATCH(23,Data!$B$2:$B$700,0))="","",INDEX(Data!$Y$2:$Y$700,MATCH(23,Data!$B$2:$B$700,0))),"")=""),"",IFERROR(IF(INDEX(Data!$Y$2:$Y$700,MATCH(23,Data!$B$2:$B$700,0))="","",INDEX(Data!$Y$2:$Y$700,MATCH(23,Data!$B$2:$B$700,0))),"")&amp;" / "&amp;IFERROR(IF(INDEX(Data!$Z$2:$Z$700,MATCH(23,Data!$B$2:$B$700,0))="","",INDEX(Data!$Z$2:$Z$700,MATCH(23,Data!$B$2:$B$700,0))),""))</f>
        <v/>
      </c>
      <c r="R35" s="23">
        <f>IF(B35="","",IFERROR(IF(INDEX(Data!$L$2:$L$700,MATCH(23,Data!$B$2:$B$700,0))="","",INDEX(Data!$L$2:$L$700,MATCH(23,Data!$B$2:$B$700,0))),""))</f>
        <v/>
      </c>
    </row>
    <row r="36" ht="62" customHeight="1">
      <c r="B36" s="23">
        <f>IF(24&lt;=COUNTIF(Data!$A$2:$A$700,TRUE),24,"")</f>
        <v/>
      </c>
      <c r="C36" s="24">
        <f>IF(B36="","",IFERROR(_xlfn.IMAGE(IFERROR(IF(INDEX(Data!$J$2:$J$700,MATCH(24,Data!$B$2:$B$700,0))="","",INDEX(Data!$J$2:$J$700,MATCH(24,Data!$B$2:$B$700,0))),"")),"IMAGE MISSING"))</f>
        <v/>
      </c>
      <c r="D36" s="25">
        <f>IF(B36="","",IFERROR(IF(INDEX(Data!$G$2:$G$700,MATCH(24,Data!$B$2:$B$700,0))="","",INDEX(Data!$G$2:$G$700,MATCH(24,Data!$B$2:$B$700,0))),"")&amp;CHAR(10)&amp;IFERROR(IF(INDEX(Data!$H$2:$H$700,MATCH(24,Data!$B$2:$B$700,0))="","",INDEX(Data!$H$2:$H$700,MATCH(24,Data!$B$2:$B$700,0))),""))</f>
        <v/>
      </c>
      <c r="E36" s="23">
        <f>IF(B36="","",IFERROR(IF(INDEX(Data!$I$2:$I$700,MATCH(24,Data!$B$2:$B$700,0))="","",INDEX(Data!$I$2:$I$700,MATCH(24,Data!$B$2:$B$700,0))),""))</f>
        <v/>
      </c>
      <c r="F36" s="23">
        <f>IF(B36="","",IFERROR(IF(INDEX(Data!$D$2:$D$700,MATCH(24,Data!$B$2:$B$700,0))="","",INDEX(Data!$D$2:$D$700,MATCH(24,Data!$B$2:$B$700,0))),""))</f>
        <v/>
      </c>
      <c r="G36" s="23">
        <f>IF(B36="","",IFERROR(IF(INDEX(Data!$E$2:$E$700,MATCH(24,Data!$B$2:$B$700,0))="","",INDEX(Data!$E$2:$E$700,MATCH(24,Data!$B$2:$B$700,0))),""))</f>
        <v/>
      </c>
      <c r="H36" s="26">
        <f>IF(B36="","",IFERROR(IF(INDEX(Data!$N$2:$N$700,MATCH(24,Data!$B$2:$B$700,0))="","",INDEX(Data!$N$2:$N$700,MATCH(24,Data!$B$2:$B$700,0))),""))</f>
        <v/>
      </c>
      <c r="I36" s="26">
        <f>IF(B36="","",IFERROR(IF(INDEX(Data!$O$2:$O$700,MATCH(24,Data!$B$2:$B$700,0))="","",INDEX(Data!$O$2:$O$700,MATCH(24,Data!$B$2:$B$700,0))),""))</f>
        <v/>
      </c>
      <c r="J36" s="27">
        <f>IF(B36="","",IFERROR(IF(INDEX(Data!$P$2:$P$700,MATCH(24,Data!$B$2:$B$700,0))="","",INDEX(Data!$P$2:$P$700,MATCH(24,Data!$B$2:$B$700,0))),""))</f>
        <v/>
      </c>
      <c r="K36" s="28">
        <f>IF(B36="","",IFERROR(IF(INDEX(Data!$R$2:$R$700,MATCH(24,Data!$B$2:$B$700,0))="","",INDEX(Data!$R$2:$R$700,MATCH(24,Data!$B$2:$B$700,0))),""))</f>
        <v/>
      </c>
      <c r="L36" s="29">
        <f>IF(B36="","",IFERROR(IF(INDEX(Data!$S$2:$S$700,MATCH(24,Data!$B$2:$B$700,0))="","",INDEX(Data!$S$2:$S$700,MATCH(24,Data!$B$2:$B$700,0))),""))</f>
        <v/>
      </c>
      <c r="M36" s="29">
        <f>IF(B36="","",IFERROR(IF(INDEX(Data!$T$2:$T$700,MATCH(24,Data!$B$2:$B$700,0))="","",INDEX(Data!$T$2:$T$700,MATCH(24,Data!$B$2:$B$700,0))),""))</f>
        <v/>
      </c>
      <c r="N36" s="30">
        <f>IF(B36="","",IFERROR(IF(INDEX(Data!$U$2:$U$700,MATCH(24,Data!$B$2:$B$700,0))="","",INDEX(Data!$U$2:$U$700,MATCH(24,Data!$B$2:$B$700,0))),""))</f>
        <v/>
      </c>
      <c r="O36" s="29">
        <f>IF(B36="","",IFERROR(IF(INDEX(Data!$V$2:$V$700,MATCH(24,Data!$B$2:$B$700,0))="","",INDEX(Data!$V$2:$V$700,MATCH(24,Data!$B$2:$B$700,0))),""))</f>
        <v/>
      </c>
      <c r="P36" s="29">
        <f>IF(B36="","",IFERROR(IF(INDEX(Data!$M$2:$M$700,MATCH(24,Data!$B$2:$B$700,0))="","",INDEX(Data!$M$2:$M$700,MATCH(24,Data!$B$2:$B$700,0))),""))</f>
        <v/>
      </c>
      <c r="Q36" s="23">
        <f>IF(OR(B36="",IFERROR(IF(INDEX(Data!$Y$2:$Y$700,MATCH(24,Data!$B$2:$B$700,0))="","",INDEX(Data!$Y$2:$Y$700,MATCH(24,Data!$B$2:$B$700,0))),"")=""),"",IFERROR(IF(INDEX(Data!$Y$2:$Y$700,MATCH(24,Data!$B$2:$B$700,0))="","",INDEX(Data!$Y$2:$Y$700,MATCH(24,Data!$B$2:$B$700,0))),"")&amp;" / "&amp;IFERROR(IF(INDEX(Data!$Z$2:$Z$700,MATCH(24,Data!$B$2:$B$700,0))="","",INDEX(Data!$Z$2:$Z$700,MATCH(24,Data!$B$2:$B$700,0))),""))</f>
        <v/>
      </c>
      <c r="R36" s="23">
        <f>IF(B36="","",IFERROR(IF(INDEX(Data!$L$2:$L$700,MATCH(24,Data!$B$2:$B$700,0))="","",INDEX(Data!$L$2:$L$700,MATCH(24,Data!$B$2:$B$700,0))),""))</f>
        <v/>
      </c>
    </row>
    <row r="37" ht="62" customHeight="1">
      <c r="B37" s="23">
        <f>IF(25&lt;=COUNTIF(Data!$A$2:$A$700,TRUE),25,"")</f>
        <v/>
      </c>
      <c r="C37" s="24">
        <f>IF(B37="","",IFERROR(_xlfn.IMAGE(IFERROR(IF(INDEX(Data!$J$2:$J$700,MATCH(25,Data!$B$2:$B$700,0))="","",INDEX(Data!$J$2:$J$700,MATCH(25,Data!$B$2:$B$700,0))),"")),"IMAGE MISSING"))</f>
        <v/>
      </c>
      <c r="D37" s="25">
        <f>IF(B37="","",IFERROR(IF(INDEX(Data!$G$2:$G$700,MATCH(25,Data!$B$2:$B$700,0))="","",INDEX(Data!$G$2:$G$700,MATCH(25,Data!$B$2:$B$700,0))),"")&amp;CHAR(10)&amp;IFERROR(IF(INDEX(Data!$H$2:$H$700,MATCH(25,Data!$B$2:$B$700,0))="","",INDEX(Data!$H$2:$H$700,MATCH(25,Data!$B$2:$B$700,0))),""))</f>
        <v/>
      </c>
      <c r="E37" s="23">
        <f>IF(B37="","",IFERROR(IF(INDEX(Data!$I$2:$I$700,MATCH(25,Data!$B$2:$B$700,0))="","",INDEX(Data!$I$2:$I$700,MATCH(25,Data!$B$2:$B$700,0))),""))</f>
        <v/>
      </c>
      <c r="F37" s="23">
        <f>IF(B37="","",IFERROR(IF(INDEX(Data!$D$2:$D$700,MATCH(25,Data!$B$2:$B$700,0))="","",INDEX(Data!$D$2:$D$700,MATCH(25,Data!$B$2:$B$700,0))),""))</f>
        <v/>
      </c>
      <c r="G37" s="23">
        <f>IF(B37="","",IFERROR(IF(INDEX(Data!$E$2:$E$700,MATCH(25,Data!$B$2:$B$700,0))="","",INDEX(Data!$E$2:$E$700,MATCH(25,Data!$B$2:$B$700,0))),""))</f>
        <v/>
      </c>
      <c r="H37" s="26">
        <f>IF(B37="","",IFERROR(IF(INDEX(Data!$N$2:$N$700,MATCH(25,Data!$B$2:$B$700,0))="","",INDEX(Data!$N$2:$N$700,MATCH(25,Data!$B$2:$B$700,0))),""))</f>
        <v/>
      </c>
      <c r="I37" s="26">
        <f>IF(B37="","",IFERROR(IF(INDEX(Data!$O$2:$O$700,MATCH(25,Data!$B$2:$B$700,0))="","",INDEX(Data!$O$2:$O$700,MATCH(25,Data!$B$2:$B$700,0))),""))</f>
        <v/>
      </c>
      <c r="J37" s="27">
        <f>IF(B37="","",IFERROR(IF(INDEX(Data!$P$2:$P$700,MATCH(25,Data!$B$2:$B$700,0))="","",INDEX(Data!$P$2:$P$700,MATCH(25,Data!$B$2:$B$700,0))),""))</f>
        <v/>
      </c>
      <c r="K37" s="28">
        <f>IF(B37="","",IFERROR(IF(INDEX(Data!$R$2:$R$700,MATCH(25,Data!$B$2:$B$700,0))="","",INDEX(Data!$R$2:$R$700,MATCH(25,Data!$B$2:$B$700,0))),""))</f>
        <v/>
      </c>
      <c r="L37" s="29">
        <f>IF(B37="","",IFERROR(IF(INDEX(Data!$S$2:$S$700,MATCH(25,Data!$B$2:$B$700,0))="","",INDEX(Data!$S$2:$S$700,MATCH(25,Data!$B$2:$B$700,0))),""))</f>
        <v/>
      </c>
      <c r="M37" s="29">
        <f>IF(B37="","",IFERROR(IF(INDEX(Data!$T$2:$T$700,MATCH(25,Data!$B$2:$B$700,0))="","",INDEX(Data!$T$2:$T$700,MATCH(25,Data!$B$2:$B$700,0))),""))</f>
        <v/>
      </c>
      <c r="N37" s="30">
        <f>IF(B37="","",IFERROR(IF(INDEX(Data!$U$2:$U$700,MATCH(25,Data!$B$2:$B$700,0))="","",INDEX(Data!$U$2:$U$700,MATCH(25,Data!$B$2:$B$700,0))),""))</f>
        <v/>
      </c>
      <c r="O37" s="29">
        <f>IF(B37="","",IFERROR(IF(INDEX(Data!$V$2:$V$700,MATCH(25,Data!$B$2:$B$700,0))="","",INDEX(Data!$V$2:$V$700,MATCH(25,Data!$B$2:$B$700,0))),""))</f>
        <v/>
      </c>
      <c r="P37" s="29">
        <f>IF(B37="","",IFERROR(IF(INDEX(Data!$M$2:$M$700,MATCH(25,Data!$B$2:$B$700,0))="","",INDEX(Data!$M$2:$M$700,MATCH(25,Data!$B$2:$B$700,0))),""))</f>
        <v/>
      </c>
      <c r="Q37" s="23">
        <f>IF(OR(B37="",IFERROR(IF(INDEX(Data!$Y$2:$Y$700,MATCH(25,Data!$B$2:$B$700,0))="","",INDEX(Data!$Y$2:$Y$700,MATCH(25,Data!$B$2:$B$700,0))),"")=""),"",IFERROR(IF(INDEX(Data!$Y$2:$Y$700,MATCH(25,Data!$B$2:$B$700,0))="","",INDEX(Data!$Y$2:$Y$700,MATCH(25,Data!$B$2:$B$700,0))),"")&amp;" / "&amp;IFERROR(IF(INDEX(Data!$Z$2:$Z$700,MATCH(25,Data!$B$2:$B$700,0))="","",INDEX(Data!$Z$2:$Z$700,MATCH(25,Data!$B$2:$B$700,0))),""))</f>
        <v/>
      </c>
      <c r="R37" s="23">
        <f>IF(B37="","",IFERROR(IF(INDEX(Data!$L$2:$L$700,MATCH(25,Data!$B$2:$B$700,0))="","",INDEX(Data!$L$2:$L$700,MATCH(25,Data!$B$2:$B$700,0))),""))</f>
        <v/>
      </c>
    </row>
    <row r="38" ht="62" customHeight="1">
      <c r="B38" s="23">
        <f>IF(26&lt;=COUNTIF(Data!$A$2:$A$700,TRUE),26,"")</f>
        <v/>
      </c>
      <c r="C38" s="24">
        <f>IF(B38="","",IFERROR(_xlfn.IMAGE(IFERROR(IF(INDEX(Data!$J$2:$J$700,MATCH(26,Data!$B$2:$B$700,0))="","",INDEX(Data!$J$2:$J$700,MATCH(26,Data!$B$2:$B$700,0))),"")),"IMAGE MISSING"))</f>
        <v/>
      </c>
      <c r="D38" s="25">
        <f>IF(B38="","",IFERROR(IF(INDEX(Data!$G$2:$G$700,MATCH(26,Data!$B$2:$B$700,0))="","",INDEX(Data!$G$2:$G$700,MATCH(26,Data!$B$2:$B$700,0))),"")&amp;CHAR(10)&amp;IFERROR(IF(INDEX(Data!$H$2:$H$700,MATCH(26,Data!$B$2:$B$700,0))="","",INDEX(Data!$H$2:$H$700,MATCH(26,Data!$B$2:$B$700,0))),""))</f>
        <v/>
      </c>
      <c r="E38" s="23">
        <f>IF(B38="","",IFERROR(IF(INDEX(Data!$I$2:$I$700,MATCH(26,Data!$B$2:$B$700,0))="","",INDEX(Data!$I$2:$I$700,MATCH(26,Data!$B$2:$B$700,0))),""))</f>
        <v/>
      </c>
      <c r="F38" s="23">
        <f>IF(B38="","",IFERROR(IF(INDEX(Data!$D$2:$D$700,MATCH(26,Data!$B$2:$B$700,0))="","",INDEX(Data!$D$2:$D$700,MATCH(26,Data!$B$2:$B$700,0))),""))</f>
        <v/>
      </c>
      <c r="G38" s="23">
        <f>IF(B38="","",IFERROR(IF(INDEX(Data!$E$2:$E$700,MATCH(26,Data!$B$2:$B$700,0))="","",INDEX(Data!$E$2:$E$700,MATCH(26,Data!$B$2:$B$700,0))),""))</f>
        <v/>
      </c>
      <c r="H38" s="26">
        <f>IF(B38="","",IFERROR(IF(INDEX(Data!$N$2:$N$700,MATCH(26,Data!$B$2:$B$700,0))="","",INDEX(Data!$N$2:$N$700,MATCH(26,Data!$B$2:$B$700,0))),""))</f>
        <v/>
      </c>
      <c r="I38" s="26">
        <f>IF(B38="","",IFERROR(IF(INDEX(Data!$O$2:$O$700,MATCH(26,Data!$B$2:$B$700,0))="","",INDEX(Data!$O$2:$O$700,MATCH(26,Data!$B$2:$B$700,0))),""))</f>
        <v/>
      </c>
      <c r="J38" s="27">
        <f>IF(B38="","",IFERROR(IF(INDEX(Data!$P$2:$P$700,MATCH(26,Data!$B$2:$B$700,0))="","",INDEX(Data!$P$2:$P$700,MATCH(26,Data!$B$2:$B$700,0))),""))</f>
        <v/>
      </c>
      <c r="K38" s="28">
        <f>IF(B38="","",IFERROR(IF(INDEX(Data!$R$2:$R$700,MATCH(26,Data!$B$2:$B$700,0))="","",INDEX(Data!$R$2:$R$700,MATCH(26,Data!$B$2:$B$700,0))),""))</f>
        <v/>
      </c>
      <c r="L38" s="29">
        <f>IF(B38="","",IFERROR(IF(INDEX(Data!$S$2:$S$700,MATCH(26,Data!$B$2:$B$700,0))="","",INDEX(Data!$S$2:$S$700,MATCH(26,Data!$B$2:$B$700,0))),""))</f>
        <v/>
      </c>
      <c r="M38" s="29">
        <f>IF(B38="","",IFERROR(IF(INDEX(Data!$T$2:$T$700,MATCH(26,Data!$B$2:$B$700,0))="","",INDEX(Data!$T$2:$T$700,MATCH(26,Data!$B$2:$B$700,0))),""))</f>
        <v/>
      </c>
      <c r="N38" s="30">
        <f>IF(B38="","",IFERROR(IF(INDEX(Data!$U$2:$U$700,MATCH(26,Data!$B$2:$B$700,0))="","",INDEX(Data!$U$2:$U$700,MATCH(26,Data!$B$2:$B$700,0))),""))</f>
        <v/>
      </c>
      <c r="O38" s="29">
        <f>IF(B38="","",IFERROR(IF(INDEX(Data!$V$2:$V$700,MATCH(26,Data!$B$2:$B$700,0))="","",INDEX(Data!$V$2:$V$700,MATCH(26,Data!$B$2:$B$700,0))),""))</f>
        <v/>
      </c>
      <c r="P38" s="29">
        <f>IF(B38="","",IFERROR(IF(INDEX(Data!$M$2:$M$700,MATCH(26,Data!$B$2:$B$700,0))="","",INDEX(Data!$M$2:$M$700,MATCH(26,Data!$B$2:$B$700,0))),""))</f>
        <v/>
      </c>
      <c r="Q38" s="23">
        <f>IF(OR(B38="",IFERROR(IF(INDEX(Data!$Y$2:$Y$700,MATCH(26,Data!$B$2:$B$700,0))="","",INDEX(Data!$Y$2:$Y$700,MATCH(26,Data!$B$2:$B$700,0))),"")=""),"",IFERROR(IF(INDEX(Data!$Y$2:$Y$700,MATCH(26,Data!$B$2:$B$700,0))="","",INDEX(Data!$Y$2:$Y$700,MATCH(26,Data!$B$2:$B$700,0))),"")&amp;" / "&amp;IFERROR(IF(INDEX(Data!$Z$2:$Z$700,MATCH(26,Data!$B$2:$B$700,0))="","",INDEX(Data!$Z$2:$Z$700,MATCH(26,Data!$B$2:$B$700,0))),""))</f>
        <v/>
      </c>
      <c r="R38" s="23">
        <f>IF(B38="","",IFERROR(IF(INDEX(Data!$L$2:$L$700,MATCH(26,Data!$B$2:$B$700,0))="","",INDEX(Data!$L$2:$L$700,MATCH(26,Data!$B$2:$B$700,0))),""))</f>
        <v/>
      </c>
    </row>
    <row r="39" ht="62" customHeight="1">
      <c r="B39" s="23">
        <f>IF(27&lt;=COUNTIF(Data!$A$2:$A$700,TRUE),27,"")</f>
        <v/>
      </c>
      <c r="C39" s="24">
        <f>IF(B39="","",IFERROR(_xlfn.IMAGE(IFERROR(IF(INDEX(Data!$J$2:$J$700,MATCH(27,Data!$B$2:$B$700,0))="","",INDEX(Data!$J$2:$J$700,MATCH(27,Data!$B$2:$B$700,0))),"")),"IMAGE MISSING"))</f>
        <v/>
      </c>
      <c r="D39" s="25">
        <f>IF(B39="","",IFERROR(IF(INDEX(Data!$G$2:$G$700,MATCH(27,Data!$B$2:$B$700,0))="","",INDEX(Data!$G$2:$G$700,MATCH(27,Data!$B$2:$B$700,0))),"")&amp;CHAR(10)&amp;IFERROR(IF(INDEX(Data!$H$2:$H$700,MATCH(27,Data!$B$2:$B$700,0))="","",INDEX(Data!$H$2:$H$700,MATCH(27,Data!$B$2:$B$700,0))),""))</f>
        <v/>
      </c>
      <c r="E39" s="23">
        <f>IF(B39="","",IFERROR(IF(INDEX(Data!$I$2:$I$700,MATCH(27,Data!$B$2:$B$700,0))="","",INDEX(Data!$I$2:$I$700,MATCH(27,Data!$B$2:$B$700,0))),""))</f>
        <v/>
      </c>
      <c r="F39" s="23">
        <f>IF(B39="","",IFERROR(IF(INDEX(Data!$D$2:$D$700,MATCH(27,Data!$B$2:$B$700,0))="","",INDEX(Data!$D$2:$D$700,MATCH(27,Data!$B$2:$B$700,0))),""))</f>
        <v/>
      </c>
      <c r="G39" s="23">
        <f>IF(B39="","",IFERROR(IF(INDEX(Data!$E$2:$E$700,MATCH(27,Data!$B$2:$B$700,0))="","",INDEX(Data!$E$2:$E$700,MATCH(27,Data!$B$2:$B$700,0))),""))</f>
        <v/>
      </c>
      <c r="H39" s="26">
        <f>IF(B39="","",IFERROR(IF(INDEX(Data!$N$2:$N$700,MATCH(27,Data!$B$2:$B$700,0))="","",INDEX(Data!$N$2:$N$700,MATCH(27,Data!$B$2:$B$700,0))),""))</f>
        <v/>
      </c>
      <c r="I39" s="26">
        <f>IF(B39="","",IFERROR(IF(INDEX(Data!$O$2:$O$700,MATCH(27,Data!$B$2:$B$700,0))="","",INDEX(Data!$O$2:$O$700,MATCH(27,Data!$B$2:$B$700,0))),""))</f>
        <v/>
      </c>
      <c r="J39" s="27">
        <f>IF(B39="","",IFERROR(IF(INDEX(Data!$P$2:$P$700,MATCH(27,Data!$B$2:$B$700,0))="","",INDEX(Data!$P$2:$P$700,MATCH(27,Data!$B$2:$B$700,0))),""))</f>
        <v/>
      </c>
      <c r="K39" s="28">
        <f>IF(B39="","",IFERROR(IF(INDEX(Data!$R$2:$R$700,MATCH(27,Data!$B$2:$B$700,0))="","",INDEX(Data!$R$2:$R$700,MATCH(27,Data!$B$2:$B$700,0))),""))</f>
        <v/>
      </c>
      <c r="L39" s="29">
        <f>IF(B39="","",IFERROR(IF(INDEX(Data!$S$2:$S$700,MATCH(27,Data!$B$2:$B$700,0))="","",INDEX(Data!$S$2:$S$700,MATCH(27,Data!$B$2:$B$700,0))),""))</f>
        <v/>
      </c>
      <c r="M39" s="29">
        <f>IF(B39="","",IFERROR(IF(INDEX(Data!$T$2:$T$700,MATCH(27,Data!$B$2:$B$700,0))="","",INDEX(Data!$T$2:$T$700,MATCH(27,Data!$B$2:$B$700,0))),""))</f>
        <v/>
      </c>
      <c r="N39" s="30">
        <f>IF(B39="","",IFERROR(IF(INDEX(Data!$U$2:$U$700,MATCH(27,Data!$B$2:$B$700,0))="","",INDEX(Data!$U$2:$U$700,MATCH(27,Data!$B$2:$B$700,0))),""))</f>
        <v/>
      </c>
      <c r="O39" s="29">
        <f>IF(B39="","",IFERROR(IF(INDEX(Data!$V$2:$V$700,MATCH(27,Data!$B$2:$B$700,0))="","",INDEX(Data!$V$2:$V$700,MATCH(27,Data!$B$2:$B$700,0))),""))</f>
        <v/>
      </c>
      <c r="P39" s="29">
        <f>IF(B39="","",IFERROR(IF(INDEX(Data!$M$2:$M$700,MATCH(27,Data!$B$2:$B$700,0))="","",INDEX(Data!$M$2:$M$700,MATCH(27,Data!$B$2:$B$700,0))),""))</f>
        <v/>
      </c>
      <c r="Q39" s="23">
        <f>IF(OR(B39="",IFERROR(IF(INDEX(Data!$Y$2:$Y$700,MATCH(27,Data!$B$2:$B$700,0))="","",INDEX(Data!$Y$2:$Y$700,MATCH(27,Data!$B$2:$B$700,0))),"")=""),"",IFERROR(IF(INDEX(Data!$Y$2:$Y$700,MATCH(27,Data!$B$2:$B$700,0))="","",INDEX(Data!$Y$2:$Y$700,MATCH(27,Data!$B$2:$B$700,0))),"")&amp;" / "&amp;IFERROR(IF(INDEX(Data!$Z$2:$Z$700,MATCH(27,Data!$B$2:$B$700,0))="","",INDEX(Data!$Z$2:$Z$700,MATCH(27,Data!$B$2:$B$700,0))),""))</f>
        <v/>
      </c>
      <c r="R39" s="23">
        <f>IF(B39="","",IFERROR(IF(INDEX(Data!$L$2:$L$700,MATCH(27,Data!$B$2:$B$700,0))="","",INDEX(Data!$L$2:$L$700,MATCH(27,Data!$B$2:$B$700,0))),""))</f>
        <v/>
      </c>
    </row>
    <row r="40" ht="62" customHeight="1">
      <c r="B40" s="23">
        <f>IF(28&lt;=COUNTIF(Data!$A$2:$A$700,TRUE),28,"")</f>
        <v/>
      </c>
      <c r="C40" s="24">
        <f>IF(B40="","",IFERROR(_xlfn.IMAGE(IFERROR(IF(INDEX(Data!$J$2:$J$700,MATCH(28,Data!$B$2:$B$700,0))="","",INDEX(Data!$J$2:$J$700,MATCH(28,Data!$B$2:$B$700,0))),"")),"IMAGE MISSING"))</f>
        <v/>
      </c>
      <c r="D40" s="25">
        <f>IF(B40="","",IFERROR(IF(INDEX(Data!$G$2:$G$700,MATCH(28,Data!$B$2:$B$700,0))="","",INDEX(Data!$G$2:$G$700,MATCH(28,Data!$B$2:$B$700,0))),"")&amp;CHAR(10)&amp;IFERROR(IF(INDEX(Data!$H$2:$H$700,MATCH(28,Data!$B$2:$B$700,0))="","",INDEX(Data!$H$2:$H$700,MATCH(28,Data!$B$2:$B$700,0))),""))</f>
        <v/>
      </c>
      <c r="E40" s="23">
        <f>IF(B40="","",IFERROR(IF(INDEX(Data!$I$2:$I$700,MATCH(28,Data!$B$2:$B$700,0))="","",INDEX(Data!$I$2:$I$700,MATCH(28,Data!$B$2:$B$700,0))),""))</f>
        <v/>
      </c>
      <c r="F40" s="23">
        <f>IF(B40="","",IFERROR(IF(INDEX(Data!$D$2:$D$700,MATCH(28,Data!$B$2:$B$700,0))="","",INDEX(Data!$D$2:$D$700,MATCH(28,Data!$B$2:$B$700,0))),""))</f>
        <v/>
      </c>
      <c r="G40" s="23">
        <f>IF(B40="","",IFERROR(IF(INDEX(Data!$E$2:$E$700,MATCH(28,Data!$B$2:$B$700,0))="","",INDEX(Data!$E$2:$E$700,MATCH(28,Data!$B$2:$B$700,0))),""))</f>
        <v/>
      </c>
      <c r="H40" s="26">
        <f>IF(B40="","",IFERROR(IF(INDEX(Data!$N$2:$N$700,MATCH(28,Data!$B$2:$B$700,0))="","",INDEX(Data!$N$2:$N$700,MATCH(28,Data!$B$2:$B$700,0))),""))</f>
        <v/>
      </c>
      <c r="I40" s="26">
        <f>IF(B40="","",IFERROR(IF(INDEX(Data!$O$2:$O$700,MATCH(28,Data!$B$2:$B$700,0))="","",INDEX(Data!$O$2:$O$700,MATCH(28,Data!$B$2:$B$700,0))),""))</f>
        <v/>
      </c>
      <c r="J40" s="27">
        <f>IF(B40="","",IFERROR(IF(INDEX(Data!$P$2:$P$700,MATCH(28,Data!$B$2:$B$700,0))="","",INDEX(Data!$P$2:$P$700,MATCH(28,Data!$B$2:$B$700,0))),""))</f>
        <v/>
      </c>
      <c r="K40" s="28">
        <f>IF(B40="","",IFERROR(IF(INDEX(Data!$R$2:$R$700,MATCH(28,Data!$B$2:$B$700,0))="","",INDEX(Data!$R$2:$R$700,MATCH(28,Data!$B$2:$B$700,0))),""))</f>
        <v/>
      </c>
      <c r="L40" s="29">
        <f>IF(B40="","",IFERROR(IF(INDEX(Data!$S$2:$S$700,MATCH(28,Data!$B$2:$B$700,0))="","",INDEX(Data!$S$2:$S$700,MATCH(28,Data!$B$2:$B$700,0))),""))</f>
        <v/>
      </c>
      <c r="M40" s="29">
        <f>IF(B40="","",IFERROR(IF(INDEX(Data!$T$2:$T$700,MATCH(28,Data!$B$2:$B$700,0))="","",INDEX(Data!$T$2:$T$700,MATCH(28,Data!$B$2:$B$700,0))),""))</f>
        <v/>
      </c>
      <c r="N40" s="30">
        <f>IF(B40="","",IFERROR(IF(INDEX(Data!$U$2:$U$700,MATCH(28,Data!$B$2:$B$700,0))="","",INDEX(Data!$U$2:$U$700,MATCH(28,Data!$B$2:$B$700,0))),""))</f>
        <v/>
      </c>
      <c r="O40" s="29">
        <f>IF(B40="","",IFERROR(IF(INDEX(Data!$V$2:$V$700,MATCH(28,Data!$B$2:$B$700,0))="","",INDEX(Data!$V$2:$V$700,MATCH(28,Data!$B$2:$B$700,0))),""))</f>
        <v/>
      </c>
      <c r="P40" s="29">
        <f>IF(B40="","",IFERROR(IF(INDEX(Data!$M$2:$M$700,MATCH(28,Data!$B$2:$B$700,0))="","",INDEX(Data!$M$2:$M$700,MATCH(28,Data!$B$2:$B$700,0))),""))</f>
        <v/>
      </c>
      <c r="Q40" s="23">
        <f>IF(OR(B40="",IFERROR(IF(INDEX(Data!$Y$2:$Y$700,MATCH(28,Data!$B$2:$B$700,0))="","",INDEX(Data!$Y$2:$Y$700,MATCH(28,Data!$B$2:$B$700,0))),"")=""),"",IFERROR(IF(INDEX(Data!$Y$2:$Y$700,MATCH(28,Data!$B$2:$B$700,0))="","",INDEX(Data!$Y$2:$Y$700,MATCH(28,Data!$B$2:$B$700,0))),"")&amp;" / "&amp;IFERROR(IF(INDEX(Data!$Z$2:$Z$700,MATCH(28,Data!$B$2:$B$700,0))="","",INDEX(Data!$Z$2:$Z$700,MATCH(28,Data!$B$2:$B$700,0))),""))</f>
        <v/>
      </c>
      <c r="R40" s="23">
        <f>IF(B40="","",IFERROR(IF(INDEX(Data!$L$2:$L$700,MATCH(28,Data!$B$2:$B$700,0))="","",INDEX(Data!$L$2:$L$700,MATCH(28,Data!$B$2:$B$700,0))),""))</f>
        <v/>
      </c>
    </row>
    <row r="41" ht="62" customHeight="1">
      <c r="B41" s="23">
        <f>IF(29&lt;=COUNTIF(Data!$A$2:$A$700,TRUE),29,"")</f>
        <v/>
      </c>
      <c r="C41" s="24">
        <f>IF(B41="","",IFERROR(_xlfn.IMAGE(IFERROR(IF(INDEX(Data!$J$2:$J$700,MATCH(29,Data!$B$2:$B$700,0))="","",INDEX(Data!$J$2:$J$700,MATCH(29,Data!$B$2:$B$700,0))),"")),"IMAGE MISSING"))</f>
        <v/>
      </c>
      <c r="D41" s="25">
        <f>IF(B41="","",IFERROR(IF(INDEX(Data!$G$2:$G$700,MATCH(29,Data!$B$2:$B$700,0))="","",INDEX(Data!$G$2:$G$700,MATCH(29,Data!$B$2:$B$700,0))),"")&amp;CHAR(10)&amp;IFERROR(IF(INDEX(Data!$H$2:$H$700,MATCH(29,Data!$B$2:$B$700,0))="","",INDEX(Data!$H$2:$H$700,MATCH(29,Data!$B$2:$B$700,0))),""))</f>
        <v/>
      </c>
      <c r="E41" s="23">
        <f>IF(B41="","",IFERROR(IF(INDEX(Data!$I$2:$I$700,MATCH(29,Data!$B$2:$B$700,0))="","",INDEX(Data!$I$2:$I$700,MATCH(29,Data!$B$2:$B$700,0))),""))</f>
        <v/>
      </c>
      <c r="F41" s="23">
        <f>IF(B41="","",IFERROR(IF(INDEX(Data!$D$2:$D$700,MATCH(29,Data!$B$2:$B$700,0))="","",INDEX(Data!$D$2:$D$700,MATCH(29,Data!$B$2:$B$700,0))),""))</f>
        <v/>
      </c>
      <c r="G41" s="23">
        <f>IF(B41="","",IFERROR(IF(INDEX(Data!$E$2:$E$700,MATCH(29,Data!$B$2:$B$700,0))="","",INDEX(Data!$E$2:$E$700,MATCH(29,Data!$B$2:$B$700,0))),""))</f>
        <v/>
      </c>
      <c r="H41" s="26">
        <f>IF(B41="","",IFERROR(IF(INDEX(Data!$N$2:$N$700,MATCH(29,Data!$B$2:$B$700,0))="","",INDEX(Data!$N$2:$N$700,MATCH(29,Data!$B$2:$B$700,0))),""))</f>
        <v/>
      </c>
      <c r="I41" s="26">
        <f>IF(B41="","",IFERROR(IF(INDEX(Data!$O$2:$O$700,MATCH(29,Data!$B$2:$B$700,0))="","",INDEX(Data!$O$2:$O$700,MATCH(29,Data!$B$2:$B$700,0))),""))</f>
        <v/>
      </c>
      <c r="J41" s="27">
        <f>IF(B41="","",IFERROR(IF(INDEX(Data!$P$2:$P$700,MATCH(29,Data!$B$2:$B$700,0))="","",INDEX(Data!$P$2:$P$700,MATCH(29,Data!$B$2:$B$700,0))),""))</f>
        <v/>
      </c>
      <c r="K41" s="28">
        <f>IF(B41="","",IFERROR(IF(INDEX(Data!$R$2:$R$700,MATCH(29,Data!$B$2:$B$700,0))="","",INDEX(Data!$R$2:$R$700,MATCH(29,Data!$B$2:$B$700,0))),""))</f>
        <v/>
      </c>
      <c r="L41" s="29">
        <f>IF(B41="","",IFERROR(IF(INDEX(Data!$S$2:$S$700,MATCH(29,Data!$B$2:$B$700,0))="","",INDEX(Data!$S$2:$S$700,MATCH(29,Data!$B$2:$B$700,0))),""))</f>
        <v/>
      </c>
      <c r="M41" s="29">
        <f>IF(B41="","",IFERROR(IF(INDEX(Data!$T$2:$T$700,MATCH(29,Data!$B$2:$B$700,0))="","",INDEX(Data!$T$2:$T$700,MATCH(29,Data!$B$2:$B$700,0))),""))</f>
        <v/>
      </c>
      <c r="N41" s="30">
        <f>IF(B41="","",IFERROR(IF(INDEX(Data!$U$2:$U$700,MATCH(29,Data!$B$2:$B$700,0))="","",INDEX(Data!$U$2:$U$700,MATCH(29,Data!$B$2:$B$700,0))),""))</f>
        <v/>
      </c>
      <c r="O41" s="29">
        <f>IF(B41="","",IFERROR(IF(INDEX(Data!$V$2:$V$700,MATCH(29,Data!$B$2:$B$700,0))="","",INDEX(Data!$V$2:$V$700,MATCH(29,Data!$B$2:$B$700,0))),""))</f>
        <v/>
      </c>
      <c r="P41" s="29">
        <f>IF(B41="","",IFERROR(IF(INDEX(Data!$M$2:$M$700,MATCH(29,Data!$B$2:$B$700,0))="","",INDEX(Data!$M$2:$M$700,MATCH(29,Data!$B$2:$B$700,0))),""))</f>
        <v/>
      </c>
      <c r="Q41" s="23">
        <f>IF(OR(B41="",IFERROR(IF(INDEX(Data!$Y$2:$Y$700,MATCH(29,Data!$B$2:$B$700,0))="","",INDEX(Data!$Y$2:$Y$700,MATCH(29,Data!$B$2:$B$700,0))),"")=""),"",IFERROR(IF(INDEX(Data!$Y$2:$Y$700,MATCH(29,Data!$B$2:$B$700,0))="","",INDEX(Data!$Y$2:$Y$700,MATCH(29,Data!$B$2:$B$700,0))),"")&amp;" / "&amp;IFERROR(IF(INDEX(Data!$Z$2:$Z$700,MATCH(29,Data!$B$2:$B$700,0))="","",INDEX(Data!$Z$2:$Z$700,MATCH(29,Data!$B$2:$B$700,0))),""))</f>
        <v/>
      </c>
      <c r="R41" s="23">
        <f>IF(B41="","",IFERROR(IF(INDEX(Data!$L$2:$L$700,MATCH(29,Data!$B$2:$B$700,0))="","",INDEX(Data!$L$2:$L$700,MATCH(29,Data!$B$2:$B$700,0))),""))</f>
        <v/>
      </c>
    </row>
    <row r="42" ht="62" customHeight="1">
      <c r="B42" s="23">
        <f>IF(30&lt;=COUNTIF(Data!$A$2:$A$700,TRUE),30,"")</f>
        <v/>
      </c>
      <c r="C42" s="24">
        <f>IF(B42="","",IFERROR(_xlfn.IMAGE(IFERROR(IF(INDEX(Data!$J$2:$J$700,MATCH(30,Data!$B$2:$B$700,0))="","",INDEX(Data!$J$2:$J$700,MATCH(30,Data!$B$2:$B$700,0))),"")),"IMAGE MISSING"))</f>
        <v/>
      </c>
      <c r="D42" s="25">
        <f>IF(B42="","",IFERROR(IF(INDEX(Data!$G$2:$G$700,MATCH(30,Data!$B$2:$B$700,0))="","",INDEX(Data!$G$2:$G$700,MATCH(30,Data!$B$2:$B$700,0))),"")&amp;CHAR(10)&amp;IFERROR(IF(INDEX(Data!$H$2:$H$700,MATCH(30,Data!$B$2:$B$700,0))="","",INDEX(Data!$H$2:$H$700,MATCH(30,Data!$B$2:$B$700,0))),""))</f>
        <v/>
      </c>
      <c r="E42" s="23">
        <f>IF(B42="","",IFERROR(IF(INDEX(Data!$I$2:$I$700,MATCH(30,Data!$B$2:$B$700,0))="","",INDEX(Data!$I$2:$I$700,MATCH(30,Data!$B$2:$B$700,0))),""))</f>
        <v/>
      </c>
      <c r="F42" s="23">
        <f>IF(B42="","",IFERROR(IF(INDEX(Data!$D$2:$D$700,MATCH(30,Data!$B$2:$B$700,0))="","",INDEX(Data!$D$2:$D$700,MATCH(30,Data!$B$2:$B$700,0))),""))</f>
        <v/>
      </c>
      <c r="G42" s="23">
        <f>IF(B42="","",IFERROR(IF(INDEX(Data!$E$2:$E$700,MATCH(30,Data!$B$2:$B$700,0))="","",INDEX(Data!$E$2:$E$700,MATCH(30,Data!$B$2:$B$700,0))),""))</f>
        <v/>
      </c>
      <c r="H42" s="26">
        <f>IF(B42="","",IFERROR(IF(INDEX(Data!$N$2:$N$700,MATCH(30,Data!$B$2:$B$700,0))="","",INDEX(Data!$N$2:$N$700,MATCH(30,Data!$B$2:$B$700,0))),""))</f>
        <v/>
      </c>
      <c r="I42" s="26">
        <f>IF(B42="","",IFERROR(IF(INDEX(Data!$O$2:$O$700,MATCH(30,Data!$B$2:$B$700,0))="","",INDEX(Data!$O$2:$O$700,MATCH(30,Data!$B$2:$B$700,0))),""))</f>
        <v/>
      </c>
      <c r="J42" s="27">
        <f>IF(B42="","",IFERROR(IF(INDEX(Data!$P$2:$P$700,MATCH(30,Data!$B$2:$B$700,0))="","",INDEX(Data!$P$2:$P$700,MATCH(30,Data!$B$2:$B$700,0))),""))</f>
        <v/>
      </c>
      <c r="K42" s="28">
        <f>IF(B42="","",IFERROR(IF(INDEX(Data!$R$2:$R$700,MATCH(30,Data!$B$2:$B$700,0))="","",INDEX(Data!$R$2:$R$700,MATCH(30,Data!$B$2:$B$700,0))),""))</f>
        <v/>
      </c>
      <c r="L42" s="29">
        <f>IF(B42="","",IFERROR(IF(INDEX(Data!$S$2:$S$700,MATCH(30,Data!$B$2:$B$700,0))="","",INDEX(Data!$S$2:$S$700,MATCH(30,Data!$B$2:$B$700,0))),""))</f>
        <v/>
      </c>
      <c r="M42" s="29">
        <f>IF(B42="","",IFERROR(IF(INDEX(Data!$T$2:$T$700,MATCH(30,Data!$B$2:$B$700,0))="","",INDEX(Data!$T$2:$T$700,MATCH(30,Data!$B$2:$B$700,0))),""))</f>
        <v/>
      </c>
      <c r="N42" s="30">
        <f>IF(B42="","",IFERROR(IF(INDEX(Data!$U$2:$U$700,MATCH(30,Data!$B$2:$B$700,0))="","",INDEX(Data!$U$2:$U$700,MATCH(30,Data!$B$2:$B$700,0))),""))</f>
        <v/>
      </c>
      <c r="O42" s="29">
        <f>IF(B42="","",IFERROR(IF(INDEX(Data!$V$2:$V$700,MATCH(30,Data!$B$2:$B$700,0))="","",INDEX(Data!$V$2:$V$700,MATCH(30,Data!$B$2:$B$700,0))),""))</f>
        <v/>
      </c>
      <c r="P42" s="29">
        <f>IF(B42="","",IFERROR(IF(INDEX(Data!$M$2:$M$700,MATCH(30,Data!$B$2:$B$700,0))="","",INDEX(Data!$M$2:$M$700,MATCH(30,Data!$B$2:$B$700,0))),""))</f>
        <v/>
      </c>
      <c r="Q42" s="23">
        <f>IF(OR(B42="",IFERROR(IF(INDEX(Data!$Y$2:$Y$700,MATCH(30,Data!$B$2:$B$700,0))="","",INDEX(Data!$Y$2:$Y$700,MATCH(30,Data!$B$2:$B$700,0))),"")=""),"",IFERROR(IF(INDEX(Data!$Y$2:$Y$700,MATCH(30,Data!$B$2:$B$700,0))="","",INDEX(Data!$Y$2:$Y$700,MATCH(30,Data!$B$2:$B$700,0))),"")&amp;" / "&amp;IFERROR(IF(INDEX(Data!$Z$2:$Z$700,MATCH(30,Data!$B$2:$B$700,0))="","",INDEX(Data!$Z$2:$Z$700,MATCH(30,Data!$B$2:$B$700,0))),""))</f>
        <v/>
      </c>
      <c r="R42" s="23">
        <f>IF(B42="","",IFERROR(IF(INDEX(Data!$L$2:$L$700,MATCH(30,Data!$B$2:$B$700,0))="","",INDEX(Data!$L$2:$L$700,MATCH(30,Data!$B$2:$B$700,0))),""))</f>
        <v/>
      </c>
    </row>
    <row r="43" ht="62" customHeight="1">
      <c r="B43" s="23">
        <f>IF(31&lt;=COUNTIF(Data!$A$2:$A$700,TRUE),31,"")</f>
        <v/>
      </c>
      <c r="C43" s="24">
        <f>IF(B43="","",IFERROR(_xlfn.IMAGE(IFERROR(IF(INDEX(Data!$J$2:$J$700,MATCH(31,Data!$B$2:$B$700,0))="","",INDEX(Data!$J$2:$J$700,MATCH(31,Data!$B$2:$B$700,0))),"")),"IMAGE MISSING"))</f>
        <v/>
      </c>
      <c r="D43" s="25">
        <f>IF(B43="","",IFERROR(IF(INDEX(Data!$G$2:$G$700,MATCH(31,Data!$B$2:$B$700,0))="","",INDEX(Data!$G$2:$G$700,MATCH(31,Data!$B$2:$B$700,0))),"")&amp;CHAR(10)&amp;IFERROR(IF(INDEX(Data!$H$2:$H$700,MATCH(31,Data!$B$2:$B$700,0))="","",INDEX(Data!$H$2:$H$700,MATCH(31,Data!$B$2:$B$700,0))),""))</f>
        <v/>
      </c>
      <c r="E43" s="23">
        <f>IF(B43="","",IFERROR(IF(INDEX(Data!$I$2:$I$700,MATCH(31,Data!$B$2:$B$700,0))="","",INDEX(Data!$I$2:$I$700,MATCH(31,Data!$B$2:$B$700,0))),""))</f>
        <v/>
      </c>
      <c r="F43" s="23">
        <f>IF(B43="","",IFERROR(IF(INDEX(Data!$D$2:$D$700,MATCH(31,Data!$B$2:$B$700,0))="","",INDEX(Data!$D$2:$D$700,MATCH(31,Data!$B$2:$B$700,0))),""))</f>
        <v/>
      </c>
      <c r="G43" s="23">
        <f>IF(B43="","",IFERROR(IF(INDEX(Data!$E$2:$E$700,MATCH(31,Data!$B$2:$B$700,0))="","",INDEX(Data!$E$2:$E$700,MATCH(31,Data!$B$2:$B$700,0))),""))</f>
        <v/>
      </c>
      <c r="H43" s="26">
        <f>IF(B43="","",IFERROR(IF(INDEX(Data!$N$2:$N$700,MATCH(31,Data!$B$2:$B$700,0))="","",INDEX(Data!$N$2:$N$700,MATCH(31,Data!$B$2:$B$700,0))),""))</f>
        <v/>
      </c>
      <c r="I43" s="26">
        <f>IF(B43="","",IFERROR(IF(INDEX(Data!$O$2:$O$700,MATCH(31,Data!$B$2:$B$700,0))="","",INDEX(Data!$O$2:$O$700,MATCH(31,Data!$B$2:$B$700,0))),""))</f>
        <v/>
      </c>
      <c r="J43" s="27">
        <f>IF(B43="","",IFERROR(IF(INDEX(Data!$P$2:$P$700,MATCH(31,Data!$B$2:$B$700,0))="","",INDEX(Data!$P$2:$P$700,MATCH(31,Data!$B$2:$B$700,0))),""))</f>
        <v/>
      </c>
      <c r="K43" s="28">
        <f>IF(B43="","",IFERROR(IF(INDEX(Data!$R$2:$R$700,MATCH(31,Data!$B$2:$B$700,0))="","",INDEX(Data!$R$2:$R$700,MATCH(31,Data!$B$2:$B$700,0))),""))</f>
        <v/>
      </c>
      <c r="L43" s="29">
        <f>IF(B43="","",IFERROR(IF(INDEX(Data!$S$2:$S$700,MATCH(31,Data!$B$2:$B$700,0))="","",INDEX(Data!$S$2:$S$700,MATCH(31,Data!$B$2:$B$700,0))),""))</f>
        <v/>
      </c>
      <c r="M43" s="29">
        <f>IF(B43="","",IFERROR(IF(INDEX(Data!$T$2:$T$700,MATCH(31,Data!$B$2:$B$700,0))="","",INDEX(Data!$T$2:$T$700,MATCH(31,Data!$B$2:$B$700,0))),""))</f>
        <v/>
      </c>
      <c r="N43" s="30">
        <f>IF(B43="","",IFERROR(IF(INDEX(Data!$U$2:$U$700,MATCH(31,Data!$B$2:$B$700,0))="","",INDEX(Data!$U$2:$U$700,MATCH(31,Data!$B$2:$B$700,0))),""))</f>
        <v/>
      </c>
      <c r="O43" s="29">
        <f>IF(B43="","",IFERROR(IF(INDEX(Data!$V$2:$V$700,MATCH(31,Data!$B$2:$B$700,0))="","",INDEX(Data!$V$2:$V$700,MATCH(31,Data!$B$2:$B$700,0))),""))</f>
        <v/>
      </c>
      <c r="P43" s="29">
        <f>IF(B43="","",IFERROR(IF(INDEX(Data!$M$2:$M$700,MATCH(31,Data!$B$2:$B$700,0))="","",INDEX(Data!$M$2:$M$700,MATCH(31,Data!$B$2:$B$700,0))),""))</f>
        <v/>
      </c>
      <c r="Q43" s="23">
        <f>IF(OR(B43="",IFERROR(IF(INDEX(Data!$Y$2:$Y$700,MATCH(31,Data!$B$2:$B$700,0))="","",INDEX(Data!$Y$2:$Y$700,MATCH(31,Data!$B$2:$B$700,0))),"")=""),"",IFERROR(IF(INDEX(Data!$Y$2:$Y$700,MATCH(31,Data!$B$2:$B$700,0))="","",INDEX(Data!$Y$2:$Y$700,MATCH(31,Data!$B$2:$B$700,0))),"")&amp;" / "&amp;IFERROR(IF(INDEX(Data!$Z$2:$Z$700,MATCH(31,Data!$B$2:$B$700,0))="","",INDEX(Data!$Z$2:$Z$700,MATCH(31,Data!$B$2:$B$700,0))),""))</f>
        <v/>
      </c>
      <c r="R43" s="23">
        <f>IF(B43="","",IFERROR(IF(INDEX(Data!$L$2:$L$700,MATCH(31,Data!$B$2:$B$700,0))="","",INDEX(Data!$L$2:$L$700,MATCH(31,Data!$B$2:$B$700,0))),""))</f>
        <v/>
      </c>
    </row>
    <row r="44" ht="62" customHeight="1">
      <c r="B44" s="23">
        <f>IF(32&lt;=COUNTIF(Data!$A$2:$A$700,TRUE),32,"")</f>
        <v/>
      </c>
      <c r="C44" s="24">
        <f>IF(B44="","",IFERROR(_xlfn.IMAGE(IFERROR(IF(INDEX(Data!$J$2:$J$700,MATCH(32,Data!$B$2:$B$700,0))="","",INDEX(Data!$J$2:$J$700,MATCH(32,Data!$B$2:$B$700,0))),"")),"IMAGE MISSING"))</f>
        <v/>
      </c>
      <c r="D44" s="25">
        <f>IF(B44="","",IFERROR(IF(INDEX(Data!$G$2:$G$700,MATCH(32,Data!$B$2:$B$700,0))="","",INDEX(Data!$G$2:$G$700,MATCH(32,Data!$B$2:$B$700,0))),"")&amp;CHAR(10)&amp;IFERROR(IF(INDEX(Data!$H$2:$H$700,MATCH(32,Data!$B$2:$B$700,0))="","",INDEX(Data!$H$2:$H$700,MATCH(32,Data!$B$2:$B$700,0))),""))</f>
        <v/>
      </c>
      <c r="E44" s="23">
        <f>IF(B44="","",IFERROR(IF(INDEX(Data!$I$2:$I$700,MATCH(32,Data!$B$2:$B$700,0))="","",INDEX(Data!$I$2:$I$700,MATCH(32,Data!$B$2:$B$700,0))),""))</f>
        <v/>
      </c>
      <c r="F44" s="23">
        <f>IF(B44="","",IFERROR(IF(INDEX(Data!$D$2:$D$700,MATCH(32,Data!$B$2:$B$700,0))="","",INDEX(Data!$D$2:$D$700,MATCH(32,Data!$B$2:$B$700,0))),""))</f>
        <v/>
      </c>
      <c r="G44" s="23">
        <f>IF(B44="","",IFERROR(IF(INDEX(Data!$E$2:$E$700,MATCH(32,Data!$B$2:$B$700,0))="","",INDEX(Data!$E$2:$E$700,MATCH(32,Data!$B$2:$B$700,0))),""))</f>
        <v/>
      </c>
      <c r="H44" s="26">
        <f>IF(B44="","",IFERROR(IF(INDEX(Data!$N$2:$N$700,MATCH(32,Data!$B$2:$B$700,0))="","",INDEX(Data!$N$2:$N$700,MATCH(32,Data!$B$2:$B$700,0))),""))</f>
        <v/>
      </c>
      <c r="I44" s="26">
        <f>IF(B44="","",IFERROR(IF(INDEX(Data!$O$2:$O$700,MATCH(32,Data!$B$2:$B$700,0))="","",INDEX(Data!$O$2:$O$700,MATCH(32,Data!$B$2:$B$700,0))),""))</f>
        <v/>
      </c>
      <c r="J44" s="27">
        <f>IF(B44="","",IFERROR(IF(INDEX(Data!$P$2:$P$700,MATCH(32,Data!$B$2:$B$700,0))="","",INDEX(Data!$P$2:$P$700,MATCH(32,Data!$B$2:$B$700,0))),""))</f>
        <v/>
      </c>
      <c r="K44" s="28">
        <f>IF(B44="","",IFERROR(IF(INDEX(Data!$R$2:$R$700,MATCH(32,Data!$B$2:$B$700,0))="","",INDEX(Data!$R$2:$R$700,MATCH(32,Data!$B$2:$B$700,0))),""))</f>
        <v/>
      </c>
      <c r="L44" s="29">
        <f>IF(B44="","",IFERROR(IF(INDEX(Data!$S$2:$S$700,MATCH(32,Data!$B$2:$B$700,0))="","",INDEX(Data!$S$2:$S$700,MATCH(32,Data!$B$2:$B$700,0))),""))</f>
        <v/>
      </c>
      <c r="M44" s="29">
        <f>IF(B44="","",IFERROR(IF(INDEX(Data!$T$2:$T$700,MATCH(32,Data!$B$2:$B$700,0))="","",INDEX(Data!$T$2:$T$700,MATCH(32,Data!$B$2:$B$700,0))),""))</f>
        <v/>
      </c>
      <c r="N44" s="30">
        <f>IF(B44="","",IFERROR(IF(INDEX(Data!$U$2:$U$700,MATCH(32,Data!$B$2:$B$700,0))="","",INDEX(Data!$U$2:$U$700,MATCH(32,Data!$B$2:$B$700,0))),""))</f>
        <v/>
      </c>
      <c r="O44" s="29">
        <f>IF(B44="","",IFERROR(IF(INDEX(Data!$V$2:$V$700,MATCH(32,Data!$B$2:$B$700,0))="","",INDEX(Data!$V$2:$V$700,MATCH(32,Data!$B$2:$B$700,0))),""))</f>
        <v/>
      </c>
      <c r="P44" s="29">
        <f>IF(B44="","",IFERROR(IF(INDEX(Data!$M$2:$M$700,MATCH(32,Data!$B$2:$B$700,0))="","",INDEX(Data!$M$2:$M$700,MATCH(32,Data!$B$2:$B$700,0))),""))</f>
        <v/>
      </c>
      <c r="Q44" s="23">
        <f>IF(OR(B44="",IFERROR(IF(INDEX(Data!$Y$2:$Y$700,MATCH(32,Data!$B$2:$B$700,0))="","",INDEX(Data!$Y$2:$Y$700,MATCH(32,Data!$B$2:$B$700,0))),"")=""),"",IFERROR(IF(INDEX(Data!$Y$2:$Y$700,MATCH(32,Data!$B$2:$B$700,0))="","",INDEX(Data!$Y$2:$Y$700,MATCH(32,Data!$B$2:$B$700,0))),"")&amp;" / "&amp;IFERROR(IF(INDEX(Data!$Z$2:$Z$700,MATCH(32,Data!$B$2:$B$700,0))="","",INDEX(Data!$Z$2:$Z$700,MATCH(32,Data!$B$2:$B$700,0))),""))</f>
        <v/>
      </c>
      <c r="R44" s="23">
        <f>IF(B44="","",IFERROR(IF(INDEX(Data!$L$2:$L$700,MATCH(32,Data!$B$2:$B$700,0))="","",INDEX(Data!$L$2:$L$700,MATCH(32,Data!$B$2:$B$700,0))),""))</f>
        <v/>
      </c>
    </row>
    <row r="45" ht="62" customHeight="1">
      <c r="B45" s="23">
        <f>IF(33&lt;=COUNTIF(Data!$A$2:$A$700,TRUE),33,"")</f>
        <v/>
      </c>
      <c r="C45" s="24">
        <f>IF(B45="","",IFERROR(_xlfn.IMAGE(IFERROR(IF(INDEX(Data!$J$2:$J$700,MATCH(33,Data!$B$2:$B$700,0))="","",INDEX(Data!$J$2:$J$700,MATCH(33,Data!$B$2:$B$700,0))),"")),"IMAGE MISSING"))</f>
        <v/>
      </c>
      <c r="D45" s="25">
        <f>IF(B45="","",IFERROR(IF(INDEX(Data!$G$2:$G$700,MATCH(33,Data!$B$2:$B$700,0))="","",INDEX(Data!$G$2:$G$700,MATCH(33,Data!$B$2:$B$700,0))),"")&amp;CHAR(10)&amp;IFERROR(IF(INDEX(Data!$H$2:$H$700,MATCH(33,Data!$B$2:$B$700,0))="","",INDEX(Data!$H$2:$H$700,MATCH(33,Data!$B$2:$B$700,0))),""))</f>
        <v/>
      </c>
      <c r="E45" s="23">
        <f>IF(B45="","",IFERROR(IF(INDEX(Data!$I$2:$I$700,MATCH(33,Data!$B$2:$B$700,0))="","",INDEX(Data!$I$2:$I$700,MATCH(33,Data!$B$2:$B$700,0))),""))</f>
        <v/>
      </c>
      <c r="F45" s="23">
        <f>IF(B45="","",IFERROR(IF(INDEX(Data!$D$2:$D$700,MATCH(33,Data!$B$2:$B$700,0))="","",INDEX(Data!$D$2:$D$700,MATCH(33,Data!$B$2:$B$700,0))),""))</f>
        <v/>
      </c>
      <c r="G45" s="23">
        <f>IF(B45="","",IFERROR(IF(INDEX(Data!$E$2:$E$700,MATCH(33,Data!$B$2:$B$700,0))="","",INDEX(Data!$E$2:$E$700,MATCH(33,Data!$B$2:$B$700,0))),""))</f>
        <v/>
      </c>
      <c r="H45" s="26">
        <f>IF(B45="","",IFERROR(IF(INDEX(Data!$N$2:$N$700,MATCH(33,Data!$B$2:$B$700,0))="","",INDEX(Data!$N$2:$N$700,MATCH(33,Data!$B$2:$B$700,0))),""))</f>
        <v/>
      </c>
      <c r="I45" s="26">
        <f>IF(B45="","",IFERROR(IF(INDEX(Data!$O$2:$O$700,MATCH(33,Data!$B$2:$B$700,0))="","",INDEX(Data!$O$2:$O$700,MATCH(33,Data!$B$2:$B$700,0))),""))</f>
        <v/>
      </c>
      <c r="J45" s="27">
        <f>IF(B45="","",IFERROR(IF(INDEX(Data!$P$2:$P$700,MATCH(33,Data!$B$2:$B$700,0))="","",INDEX(Data!$P$2:$P$700,MATCH(33,Data!$B$2:$B$700,0))),""))</f>
        <v/>
      </c>
      <c r="K45" s="28">
        <f>IF(B45="","",IFERROR(IF(INDEX(Data!$R$2:$R$700,MATCH(33,Data!$B$2:$B$700,0))="","",INDEX(Data!$R$2:$R$700,MATCH(33,Data!$B$2:$B$700,0))),""))</f>
        <v/>
      </c>
      <c r="L45" s="29">
        <f>IF(B45="","",IFERROR(IF(INDEX(Data!$S$2:$S$700,MATCH(33,Data!$B$2:$B$700,0))="","",INDEX(Data!$S$2:$S$700,MATCH(33,Data!$B$2:$B$700,0))),""))</f>
        <v/>
      </c>
      <c r="M45" s="29">
        <f>IF(B45="","",IFERROR(IF(INDEX(Data!$T$2:$T$700,MATCH(33,Data!$B$2:$B$700,0))="","",INDEX(Data!$T$2:$T$700,MATCH(33,Data!$B$2:$B$700,0))),""))</f>
        <v/>
      </c>
      <c r="N45" s="30">
        <f>IF(B45="","",IFERROR(IF(INDEX(Data!$U$2:$U$700,MATCH(33,Data!$B$2:$B$700,0))="","",INDEX(Data!$U$2:$U$700,MATCH(33,Data!$B$2:$B$700,0))),""))</f>
        <v/>
      </c>
      <c r="O45" s="29">
        <f>IF(B45="","",IFERROR(IF(INDEX(Data!$V$2:$V$700,MATCH(33,Data!$B$2:$B$700,0))="","",INDEX(Data!$V$2:$V$700,MATCH(33,Data!$B$2:$B$700,0))),""))</f>
        <v/>
      </c>
      <c r="P45" s="29">
        <f>IF(B45="","",IFERROR(IF(INDEX(Data!$M$2:$M$700,MATCH(33,Data!$B$2:$B$700,0))="","",INDEX(Data!$M$2:$M$700,MATCH(33,Data!$B$2:$B$700,0))),""))</f>
        <v/>
      </c>
      <c r="Q45" s="23">
        <f>IF(OR(B45="",IFERROR(IF(INDEX(Data!$Y$2:$Y$700,MATCH(33,Data!$B$2:$B$700,0))="","",INDEX(Data!$Y$2:$Y$700,MATCH(33,Data!$B$2:$B$700,0))),"")=""),"",IFERROR(IF(INDEX(Data!$Y$2:$Y$700,MATCH(33,Data!$B$2:$B$700,0))="","",INDEX(Data!$Y$2:$Y$700,MATCH(33,Data!$B$2:$B$700,0))),"")&amp;" / "&amp;IFERROR(IF(INDEX(Data!$Z$2:$Z$700,MATCH(33,Data!$B$2:$B$700,0))="","",INDEX(Data!$Z$2:$Z$700,MATCH(33,Data!$B$2:$B$700,0))),""))</f>
        <v/>
      </c>
      <c r="R45" s="23">
        <f>IF(B45="","",IFERROR(IF(INDEX(Data!$L$2:$L$700,MATCH(33,Data!$B$2:$B$700,0))="","",INDEX(Data!$L$2:$L$700,MATCH(33,Data!$B$2:$B$700,0))),""))</f>
        <v/>
      </c>
    </row>
    <row r="46" ht="62" customHeight="1">
      <c r="B46" s="23">
        <f>IF(34&lt;=COUNTIF(Data!$A$2:$A$700,TRUE),34,"")</f>
        <v/>
      </c>
      <c r="C46" s="24">
        <f>IF(B46="","",IFERROR(_xlfn.IMAGE(IFERROR(IF(INDEX(Data!$J$2:$J$700,MATCH(34,Data!$B$2:$B$700,0))="","",INDEX(Data!$J$2:$J$700,MATCH(34,Data!$B$2:$B$700,0))),"")),"IMAGE MISSING"))</f>
        <v/>
      </c>
      <c r="D46" s="25">
        <f>IF(B46="","",IFERROR(IF(INDEX(Data!$G$2:$G$700,MATCH(34,Data!$B$2:$B$700,0))="","",INDEX(Data!$G$2:$G$700,MATCH(34,Data!$B$2:$B$700,0))),"")&amp;CHAR(10)&amp;IFERROR(IF(INDEX(Data!$H$2:$H$700,MATCH(34,Data!$B$2:$B$700,0))="","",INDEX(Data!$H$2:$H$700,MATCH(34,Data!$B$2:$B$700,0))),""))</f>
        <v/>
      </c>
      <c r="E46" s="23">
        <f>IF(B46="","",IFERROR(IF(INDEX(Data!$I$2:$I$700,MATCH(34,Data!$B$2:$B$700,0))="","",INDEX(Data!$I$2:$I$700,MATCH(34,Data!$B$2:$B$700,0))),""))</f>
        <v/>
      </c>
      <c r="F46" s="23">
        <f>IF(B46="","",IFERROR(IF(INDEX(Data!$D$2:$D$700,MATCH(34,Data!$B$2:$B$700,0))="","",INDEX(Data!$D$2:$D$700,MATCH(34,Data!$B$2:$B$700,0))),""))</f>
        <v/>
      </c>
      <c r="G46" s="23">
        <f>IF(B46="","",IFERROR(IF(INDEX(Data!$E$2:$E$700,MATCH(34,Data!$B$2:$B$700,0))="","",INDEX(Data!$E$2:$E$700,MATCH(34,Data!$B$2:$B$700,0))),""))</f>
        <v/>
      </c>
      <c r="H46" s="26">
        <f>IF(B46="","",IFERROR(IF(INDEX(Data!$N$2:$N$700,MATCH(34,Data!$B$2:$B$700,0))="","",INDEX(Data!$N$2:$N$700,MATCH(34,Data!$B$2:$B$700,0))),""))</f>
        <v/>
      </c>
      <c r="I46" s="26">
        <f>IF(B46="","",IFERROR(IF(INDEX(Data!$O$2:$O$700,MATCH(34,Data!$B$2:$B$700,0))="","",INDEX(Data!$O$2:$O$700,MATCH(34,Data!$B$2:$B$700,0))),""))</f>
        <v/>
      </c>
      <c r="J46" s="27">
        <f>IF(B46="","",IFERROR(IF(INDEX(Data!$P$2:$P$700,MATCH(34,Data!$B$2:$B$700,0))="","",INDEX(Data!$P$2:$P$700,MATCH(34,Data!$B$2:$B$700,0))),""))</f>
        <v/>
      </c>
      <c r="K46" s="28">
        <f>IF(B46="","",IFERROR(IF(INDEX(Data!$R$2:$R$700,MATCH(34,Data!$B$2:$B$700,0))="","",INDEX(Data!$R$2:$R$700,MATCH(34,Data!$B$2:$B$700,0))),""))</f>
        <v/>
      </c>
      <c r="L46" s="29">
        <f>IF(B46="","",IFERROR(IF(INDEX(Data!$S$2:$S$700,MATCH(34,Data!$B$2:$B$700,0))="","",INDEX(Data!$S$2:$S$700,MATCH(34,Data!$B$2:$B$700,0))),""))</f>
        <v/>
      </c>
      <c r="M46" s="29">
        <f>IF(B46="","",IFERROR(IF(INDEX(Data!$T$2:$T$700,MATCH(34,Data!$B$2:$B$700,0))="","",INDEX(Data!$T$2:$T$700,MATCH(34,Data!$B$2:$B$700,0))),""))</f>
        <v/>
      </c>
      <c r="N46" s="30">
        <f>IF(B46="","",IFERROR(IF(INDEX(Data!$U$2:$U$700,MATCH(34,Data!$B$2:$B$700,0))="","",INDEX(Data!$U$2:$U$700,MATCH(34,Data!$B$2:$B$700,0))),""))</f>
        <v/>
      </c>
      <c r="O46" s="29">
        <f>IF(B46="","",IFERROR(IF(INDEX(Data!$V$2:$V$700,MATCH(34,Data!$B$2:$B$700,0))="","",INDEX(Data!$V$2:$V$700,MATCH(34,Data!$B$2:$B$700,0))),""))</f>
        <v/>
      </c>
      <c r="P46" s="29">
        <f>IF(B46="","",IFERROR(IF(INDEX(Data!$M$2:$M$700,MATCH(34,Data!$B$2:$B$700,0))="","",INDEX(Data!$M$2:$M$700,MATCH(34,Data!$B$2:$B$700,0))),""))</f>
        <v/>
      </c>
      <c r="Q46" s="23">
        <f>IF(OR(B46="",IFERROR(IF(INDEX(Data!$Y$2:$Y$700,MATCH(34,Data!$B$2:$B$700,0))="","",INDEX(Data!$Y$2:$Y$700,MATCH(34,Data!$B$2:$B$700,0))),"")=""),"",IFERROR(IF(INDEX(Data!$Y$2:$Y$700,MATCH(34,Data!$B$2:$B$700,0))="","",INDEX(Data!$Y$2:$Y$700,MATCH(34,Data!$B$2:$B$700,0))),"")&amp;" / "&amp;IFERROR(IF(INDEX(Data!$Z$2:$Z$700,MATCH(34,Data!$B$2:$B$700,0))="","",INDEX(Data!$Z$2:$Z$700,MATCH(34,Data!$B$2:$B$700,0))),""))</f>
        <v/>
      </c>
      <c r="R46" s="23">
        <f>IF(B46="","",IFERROR(IF(INDEX(Data!$L$2:$L$700,MATCH(34,Data!$B$2:$B$700,0))="","",INDEX(Data!$L$2:$L$700,MATCH(34,Data!$B$2:$B$700,0))),""))</f>
        <v/>
      </c>
    </row>
    <row r="47" ht="62" customHeight="1">
      <c r="B47" s="23">
        <f>IF(35&lt;=COUNTIF(Data!$A$2:$A$700,TRUE),35,"")</f>
        <v/>
      </c>
      <c r="C47" s="24">
        <f>IF(B47="","",IFERROR(_xlfn.IMAGE(IFERROR(IF(INDEX(Data!$J$2:$J$700,MATCH(35,Data!$B$2:$B$700,0))="","",INDEX(Data!$J$2:$J$700,MATCH(35,Data!$B$2:$B$700,0))),"")),"IMAGE MISSING"))</f>
        <v/>
      </c>
      <c r="D47" s="25">
        <f>IF(B47="","",IFERROR(IF(INDEX(Data!$G$2:$G$700,MATCH(35,Data!$B$2:$B$700,0))="","",INDEX(Data!$G$2:$G$700,MATCH(35,Data!$B$2:$B$700,0))),"")&amp;CHAR(10)&amp;IFERROR(IF(INDEX(Data!$H$2:$H$700,MATCH(35,Data!$B$2:$B$700,0))="","",INDEX(Data!$H$2:$H$700,MATCH(35,Data!$B$2:$B$700,0))),""))</f>
        <v/>
      </c>
      <c r="E47" s="23">
        <f>IF(B47="","",IFERROR(IF(INDEX(Data!$I$2:$I$700,MATCH(35,Data!$B$2:$B$700,0))="","",INDEX(Data!$I$2:$I$700,MATCH(35,Data!$B$2:$B$700,0))),""))</f>
        <v/>
      </c>
      <c r="F47" s="23">
        <f>IF(B47="","",IFERROR(IF(INDEX(Data!$D$2:$D$700,MATCH(35,Data!$B$2:$B$700,0))="","",INDEX(Data!$D$2:$D$700,MATCH(35,Data!$B$2:$B$700,0))),""))</f>
        <v/>
      </c>
      <c r="G47" s="23">
        <f>IF(B47="","",IFERROR(IF(INDEX(Data!$E$2:$E$700,MATCH(35,Data!$B$2:$B$700,0))="","",INDEX(Data!$E$2:$E$700,MATCH(35,Data!$B$2:$B$700,0))),""))</f>
        <v/>
      </c>
      <c r="H47" s="26">
        <f>IF(B47="","",IFERROR(IF(INDEX(Data!$N$2:$N$700,MATCH(35,Data!$B$2:$B$700,0))="","",INDEX(Data!$N$2:$N$700,MATCH(35,Data!$B$2:$B$700,0))),""))</f>
        <v/>
      </c>
      <c r="I47" s="26">
        <f>IF(B47="","",IFERROR(IF(INDEX(Data!$O$2:$O$700,MATCH(35,Data!$B$2:$B$700,0))="","",INDEX(Data!$O$2:$O$700,MATCH(35,Data!$B$2:$B$700,0))),""))</f>
        <v/>
      </c>
      <c r="J47" s="27">
        <f>IF(B47="","",IFERROR(IF(INDEX(Data!$P$2:$P$700,MATCH(35,Data!$B$2:$B$700,0))="","",INDEX(Data!$P$2:$P$700,MATCH(35,Data!$B$2:$B$700,0))),""))</f>
        <v/>
      </c>
      <c r="K47" s="28">
        <f>IF(B47="","",IFERROR(IF(INDEX(Data!$R$2:$R$700,MATCH(35,Data!$B$2:$B$700,0))="","",INDEX(Data!$R$2:$R$700,MATCH(35,Data!$B$2:$B$700,0))),""))</f>
        <v/>
      </c>
      <c r="L47" s="29">
        <f>IF(B47="","",IFERROR(IF(INDEX(Data!$S$2:$S$700,MATCH(35,Data!$B$2:$B$700,0))="","",INDEX(Data!$S$2:$S$700,MATCH(35,Data!$B$2:$B$700,0))),""))</f>
        <v/>
      </c>
      <c r="M47" s="29">
        <f>IF(B47="","",IFERROR(IF(INDEX(Data!$T$2:$T$700,MATCH(35,Data!$B$2:$B$700,0))="","",INDEX(Data!$T$2:$T$700,MATCH(35,Data!$B$2:$B$700,0))),""))</f>
        <v/>
      </c>
      <c r="N47" s="30">
        <f>IF(B47="","",IFERROR(IF(INDEX(Data!$U$2:$U$700,MATCH(35,Data!$B$2:$B$700,0))="","",INDEX(Data!$U$2:$U$700,MATCH(35,Data!$B$2:$B$700,0))),""))</f>
        <v/>
      </c>
      <c r="O47" s="29">
        <f>IF(B47="","",IFERROR(IF(INDEX(Data!$V$2:$V$700,MATCH(35,Data!$B$2:$B$700,0))="","",INDEX(Data!$V$2:$V$700,MATCH(35,Data!$B$2:$B$700,0))),""))</f>
        <v/>
      </c>
      <c r="P47" s="29">
        <f>IF(B47="","",IFERROR(IF(INDEX(Data!$M$2:$M$700,MATCH(35,Data!$B$2:$B$700,0))="","",INDEX(Data!$M$2:$M$700,MATCH(35,Data!$B$2:$B$700,0))),""))</f>
        <v/>
      </c>
      <c r="Q47" s="23">
        <f>IF(OR(B47="",IFERROR(IF(INDEX(Data!$Y$2:$Y$700,MATCH(35,Data!$B$2:$B$700,0))="","",INDEX(Data!$Y$2:$Y$700,MATCH(35,Data!$B$2:$B$700,0))),"")=""),"",IFERROR(IF(INDEX(Data!$Y$2:$Y$700,MATCH(35,Data!$B$2:$B$700,0))="","",INDEX(Data!$Y$2:$Y$700,MATCH(35,Data!$B$2:$B$700,0))),"")&amp;" / "&amp;IFERROR(IF(INDEX(Data!$Z$2:$Z$700,MATCH(35,Data!$B$2:$B$700,0))="","",INDEX(Data!$Z$2:$Z$700,MATCH(35,Data!$B$2:$B$700,0))),""))</f>
        <v/>
      </c>
      <c r="R47" s="23">
        <f>IF(B47="","",IFERROR(IF(INDEX(Data!$L$2:$L$700,MATCH(35,Data!$B$2:$B$700,0))="","",INDEX(Data!$L$2:$L$700,MATCH(35,Data!$B$2:$B$700,0))),""))</f>
        <v/>
      </c>
    </row>
    <row r="48" ht="62" customHeight="1">
      <c r="B48" s="23">
        <f>IF(36&lt;=COUNTIF(Data!$A$2:$A$700,TRUE),36,"")</f>
        <v/>
      </c>
      <c r="C48" s="24">
        <f>IF(B48="","",IFERROR(_xlfn.IMAGE(IFERROR(IF(INDEX(Data!$J$2:$J$700,MATCH(36,Data!$B$2:$B$700,0))="","",INDEX(Data!$J$2:$J$700,MATCH(36,Data!$B$2:$B$700,0))),"")),"IMAGE MISSING"))</f>
        <v/>
      </c>
      <c r="D48" s="25">
        <f>IF(B48="","",IFERROR(IF(INDEX(Data!$G$2:$G$700,MATCH(36,Data!$B$2:$B$700,0))="","",INDEX(Data!$G$2:$G$700,MATCH(36,Data!$B$2:$B$700,0))),"")&amp;CHAR(10)&amp;IFERROR(IF(INDEX(Data!$H$2:$H$700,MATCH(36,Data!$B$2:$B$700,0))="","",INDEX(Data!$H$2:$H$700,MATCH(36,Data!$B$2:$B$700,0))),""))</f>
        <v/>
      </c>
      <c r="E48" s="23">
        <f>IF(B48="","",IFERROR(IF(INDEX(Data!$I$2:$I$700,MATCH(36,Data!$B$2:$B$700,0))="","",INDEX(Data!$I$2:$I$700,MATCH(36,Data!$B$2:$B$700,0))),""))</f>
        <v/>
      </c>
      <c r="F48" s="23">
        <f>IF(B48="","",IFERROR(IF(INDEX(Data!$D$2:$D$700,MATCH(36,Data!$B$2:$B$700,0))="","",INDEX(Data!$D$2:$D$700,MATCH(36,Data!$B$2:$B$700,0))),""))</f>
        <v/>
      </c>
      <c r="G48" s="23">
        <f>IF(B48="","",IFERROR(IF(INDEX(Data!$E$2:$E$700,MATCH(36,Data!$B$2:$B$700,0))="","",INDEX(Data!$E$2:$E$700,MATCH(36,Data!$B$2:$B$700,0))),""))</f>
        <v/>
      </c>
      <c r="H48" s="26">
        <f>IF(B48="","",IFERROR(IF(INDEX(Data!$N$2:$N$700,MATCH(36,Data!$B$2:$B$700,0))="","",INDEX(Data!$N$2:$N$700,MATCH(36,Data!$B$2:$B$700,0))),""))</f>
        <v/>
      </c>
      <c r="I48" s="26">
        <f>IF(B48="","",IFERROR(IF(INDEX(Data!$O$2:$O$700,MATCH(36,Data!$B$2:$B$700,0))="","",INDEX(Data!$O$2:$O$700,MATCH(36,Data!$B$2:$B$700,0))),""))</f>
        <v/>
      </c>
      <c r="J48" s="27">
        <f>IF(B48="","",IFERROR(IF(INDEX(Data!$P$2:$P$700,MATCH(36,Data!$B$2:$B$700,0))="","",INDEX(Data!$P$2:$P$700,MATCH(36,Data!$B$2:$B$700,0))),""))</f>
        <v/>
      </c>
      <c r="K48" s="28">
        <f>IF(B48="","",IFERROR(IF(INDEX(Data!$R$2:$R$700,MATCH(36,Data!$B$2:$B$700,0))="","",INDEX(Data!$R$2:$R$700,MATCH(36,Data!$B$2:$B$700,0))),""))</f>
        <v/>
      </c>
      <c r="L48" s="29">
        <f>IF(B48="","",IFERROR(IF(INDEX(Data!$S$2:$S$700,MATCH(36,Data!$B$2:$B$700,0))="","",INDEX(Data!$S$2:$S$700,MATCH(36,Data!$B$2:$B$700,0))),""))</f>
        <v/>
      </c>
      <c r="M48" s="29">
        <f>IF(B48="","",IFERROR(IF(INDEX(Data!$T$2:$T$700,MATCH(36,Data!$B$2:$B$700,0))="","",INDEX(Data!$T$2:$T$700,MATCH(36,Data!$B$2:$B$700,0))),""))</f>
        <v/>
      </c>
      <c r="N48" s="30">
        <f>IF(B48="","",IFERROR(IF(INDEX(Data!$U$2:$U$700,MATCH(36,Data!$B$2:$B$700,0))="","",INDEX(Data!$U$2:$U$700,MATCH(36,Data!$B$2:$B$700,0))),""))</f>
        <v/>
      </c>
      <c r="O48" s="29">
        <f>IF(B48="","",IFERROR(IF(INDEX(Data!$V$2:$V$700,MATCH(36,Data!$B$2:$B$700,0))="","",INDEX(Data!$V$2:$V$700,MATCH(36,Data!$B$2:$B$700,0))),""))</f>
        <v/>
      </c>
      <c r="P48" s="29">
        <f>IF(B48="","",IFERROR(IF(INDEX(Data!$M$2:$M$700,MATCH(36,Data!$B$2:$B$700,0))="","",INDEX(Data!$M$2:$M$700,MATCH(36,Data!$B$2:$B$700,0))),""))</f>
        <v/>
      </c>
      <c r="Q48" s="23">
        <f>IF(OR(B48="",IFERROR(IF(INDEX(Data!$Y$2:$Y$700,MATCH(36,Data!$B$2:$B$700,0))="","",INDEX(Data!$Y$2:$Y$700,MATCH(36,Data!$B$2:$B$700,0))),"")=""),"",IFERROR(IF(INDEX(Data!$Y$2:$Y$700,MATCH(36,Data!$B$2:$B$700,0))="","",INDEX(Data!$Y$2:$Y$700,MATCH(36,Data!$B$2:$B$700,0))),"")&amp;" / "&amp;IFERROR(IF(INDEX(Data!$Z$2:$Z$700,MATCH(36,Data!$B$2:$B$700,0))="","",INDEX(Data!$Z$2:$Z$700,MATCH(36,Data!$B$2:$B$700,0))),""))</f>
        <v/>
      </c>
      <c r="R48" s="23">
        <f>IF(B48="","",IFERROR(IF(INDEX(Data!$L$2:$L$700,MATCH(36,Data!$B$2:$B$700,0))="","",INDEX(Data!$L$2:$L$700,MATCH(36,Data!$B$2:$B$700,0))),""))</f>
        <v/>
      </c>
    </row>
    <row r="49" ht="62" customHeight="1">
      <c r="B49" s="23">
        <f>IF(37&lt;=COUNTIF(Data!$A$2:$A$700,TRUE),37,"")</f>
        <v/>
      </c>
      <c r="C49" s="24">
        <f>IF(B49="","",IFERROR(_xlfn.IMAGE(IFERROR(IF(INDEX(Data!$J$2:$J$700,MATCH(37,Data!$B$2:$B$700,0))="","",INDEX(Data!$J$2:$J$700,MATCH(37,Data!$B$2:$B$700,0))),"")),"IMAGE MISSING"))</f>
        <v/>
      </c>
      <c r="D49" s="25">
        <f>IF(B49="","",IFERROR(IF(INDEX(Data!$G$2:$G$700,MATCH(37,Data!$B$2:$B$700,0))="","",INDEX(Data!$G$2:$G$700,MATCH(37,Data!$B$2:$B$700,0))),"")&amp;CHAR(10)&amp;IFERROR(IF(INDEX(Data!$H$2:$H$700,MATCH(37,Data!$B$2:$B$700,0))="","",INDEX(Data!$H$2:$H$700,MATCH(37,Data!$B$2:$B$700,0))),""))</f>
        <v/>
      </c>
      <c r="E49" s="23">
        <f>IF(B49="","",IFERROR(IF(INDEX(Data!$I$2:$I$700,MATCH(37,Data!$B$2:$B$700,0))="","",INDEX(Data!$I$2:$I$700,MATCH(37,Data!$B$2:$B$700,0))),""))</f>
        <v/>
      </c>
      <c r="F49" s="23">
        <f>IF(B49="","",IFERROR(IF(INDEX(Data!$D$2:$D$700,MATCH(37,Data!$B$2:$B$700,0))="","",INDEX(Data!$D$2:$D$700,MATCH(37,Data!$B$2:$B$700,0))),""))</f>
        <v/>
      </c>
      <c r="G49" s="23">
        <f>IF(B49="","",IFERROR(IF(INDEX(Data!$E$2:$E$700,MATCH(37,Data!$B$2:$B$700,0))="","",INDEX(Data!$E$2:$E$700,MATCH(37,Data!$B$2:$B$700,0))),""))</f>
        <v/>
      </c>
      <c r="H49" s="26">
        <f>IF(B49="","",IFERROR(IF(INDEX(Data!$N$2:$N$700,MATCH(37,Data!$B$2:$B$700,0))="","",INDEX(Data!$N$2:$N$700,MATCH(37,Data!$B$2:$B$700,0))),""))</f>
        <v/>
      </c>
      <c r="I49" s="26">
        <f>IF(B49="","",IFERROR(IF(INDEX(Data!$O$2:$O$700,MATCH(37,Data!$B$2:$B$700,0))="","",INDEX(Data!$O$2:$O$700,MATCH(37,Data!$B$2:$B$700,0))),""))</f>
        <v/>
      </c>
      <c r="J49" s="27">
        <f>IF(B49="","",IFERROR(IF(INDEX(Data!$P$2:$P$700,MATCH(37,Data!$B$2:$B$700,0))="","",INDEX(Data!$P$2:$P$700,MATCH(37,Data!$B$2:$B$700,0))),""))</f>
        <v/>
      </c>
      <c r="K49" s="28">
        <f>IF(B49="","",IFERROR(IF(INDEX(Data!$R$2:$R$700,MATCH(37,Data!$B$2:$B$700,0))="","",INDEX(Data!$R$2:$R$700,MATCH(37,Data!$B$2:$B$700,0))),""))</f>
        <v/>
      </c>
      <c r="L49" s="29">
        <f>IF(B49="","",IFERROR(IF(INDEX(Data!$S$2:$S$700,MATCH(37,Data!$B$2:$B$700,0))="","",INDEX(Data!$S$2:$S$700,MATCH(37,Data!$B$2:$B$700,0))),""))</f>
        <v/>
      </c>
      <c r="M49" s="29">
        <f>IF(B49="","",IFERROR(IF(INDEX(Data!$T$2:$T$700,MATCH(37,Data!$B$2:$B$700,0))="","",INDEX(Data!$T$2:$T$700,MATCH(37,Data!$B$2:$B$700,0))),""))</f>
        <v/>
      </c>
      <c r="N49" s="30">
        <f>IF(B49="","",IFERROR(IF(INDEX(Data!$U$2:$U$700,MATCH(37,Data!$B$2:$B$700,0))="","",INDEX(Data!$U$2:$U$700,MATCH(37,Data!$B$2:$B$700,0))),""))</f>
        <v/>
      </c>
      <c r="O49" s="29">
        <f>IF(B49="","",IFERROR(IF(INDEX(Data!$V$2:$V$700,MATCH(37,Data!$B$2:$B$700,0))="","",INDEX(Data!$V$2:$V$700,MATCH(37,Data!$B$2:$B$700,0))),""))</f>
        <v/>
      </c>
      <c r="P49" s="29">
        <f>IF(B49="","",IFERROR(IF(INDEX(Data!$M$2:$M$700,MATCH(37,Data!$B$2:$B$700,0))="","",INDEX(Data!$M$2:$M$700,MATCH(37,Data!$B$2:$B$700,0))),""))</f>
        <v/>
      </c>
      <c r="Q49" s="23">
        <f>IF(OR(B49="",IFERROR(IF(INDEX(Data!$Y$2:$Y$700,MATCH(37,Data!$B$2:$B$700,0))="","",INDEX(Data!$Y$2:$Y$700,MATCH(37,Data!$B$2:$B$700,0))),"")=""),"",IFERROR(IF(INDEX(Data!$Y$2:$Y$700,MATCH(37,Data!$B$2:$B$700,0))="","",INDEX(Data!$Y$2:$Y$700,MATCH(37,Data!$B$2:$B$700,0))),"")&amp;" / "&amp;IFERROR(IF(INDEX(Data!$Z$2:$Z$700,MATCH(37,Data!$B$2:$B$700,0))="","",INDEX(Data!$Z$2:$Z$700,MATCH(37,Data!$B$2:$B$700,0))),""))</f>
        <v/>
      </c>
      <c r="R49" s="23">
        <f>IF(B49="","",IFERROR(IF(INDEX(Data!$L$2:$L$700,MATCH(37,Data!$B$2:$B$700,0))="","",INDEX(Data!$L$2:$L$700,MATCH(37,Data!$B$2:$B$700,0))),""))</f>
        <v/>
      </c>
    </row>
    <row r="50" ht="62" customHeight="1">
      <c r="B50" s="23">
        <f>IF(38&lt;=COUNTIF(Data!$A$2:$A$700,TRUE),38,"")</f>
        <v/>
      </c>
      <c r="C50" s="24">
        <f>IF(B50="","",IFERROR(_xlfn.IMAGE(IFERROR(IF(INDEX(Data!$J$2:$J$700,MATCH(38,Data!$B$2:$B$700,0))="","",INDEX(Data!$J$2:$J$700,MATCH(38,Data!$B$2:$B$700,0))),"")),"IMAGE MISSING"))</f>
        <v/>
      </c>
      <c r="D50" s="25">
        <f>IF(B50="","",IFERROR(IF(INDEX(Data!$G$2:$G$700,MATCH(38,Data!$B$2:$B$700,0))="","",INDEX(Data!$G$2:$G$700,MATCH(38,Data!$B$2:$B$700,0))),"")&amp;CHAR(10)&amp;IFERROR(IF(INDEX(Data!$H$2:$H$700,MATCH(38,Data!$B$2:$B$700,0))="","",INDEX(Data!$H$2:$H$700,MATCH(38,Data!$B$2:$B$700,0))),""))</f>
        <v/>
      </c>
      <c r="E50" s="23">
        <f>IF(B50="","",IFERROR(IF(INDEX(Data!$I$2:$I$700,MATCH(38,Data!$B$2:$B$700,0))="","",INDEX(Data!$I$2:$I$700,MATCH(38,Data!$B$2:$B$700,0))),""))</f>
        <v/>
      </c>
      <c r="F50" s="23">
        <f>IF(B50="","",IFERROR(IF(INDEX(Data!$D$2:$D$700,MATCH(38,Data!$B$2:$B$700,0))="","",INDEX(Data!$D$2:$D$700,MATCH(38,Data!$B$2:$B$700,0))),""))</f>
        <v/>
      </c>
      <c r="G50" s="23">
        <f>IF(B50="","",IFERROR(IF(INDEX(Data!$E$2:$E$700,MATCH(38,Data!$B$2:$B$700,0))="","",INDEX(Data!$E$2:$E$700,MATCH(38,Data!$B$2:$B$700,0))),""))</f>
        <v/>
      </c>
      <c r="H50" s="26">
        <f>IF(B50="","",IFERROR(IF(INDEX(Data!$N$2:$N$700,MATCH(38,Data!$B$2:$B$700,0))="","",INDEX(Data!$N$2:$N$700,MATCH(38,Data!$B$2:$B$700,0))),""))</f>
        <v/>
      </c>
      <c r="I50" s="26">
        <f>IF(B50="","",IFERROR(IF(INDEX(Data!$O$2:$O$700,MATCH(38,Data!$B$2:$B$700,0))="","",INDEX(Data!$O$2:$O$700,MATCH(38,Data!$B$2:$B$700,0))),""))</f>
        <v/>
      </c>
      <c r="J50" s="27">
        <f>IF(B50="","",IFERROR(IF(INDEX(Data!$P$2:$P$700,MATCH(38,Data!$B$2:$B$700,0))="","",INDEX(Data!$P$2:$P$700,MATCH(38,Data!$B$2:$B$700,0))),""))</f>
        <v/>
      </c>
      <c r="K50" s="28">
        <f>IF(B50="","",IFERROR(IF(INDEX(Data!$R$2:$R$700,MATCH(38,Data!$B$2:$B$700,0))="","",INDEX(Data!$R$2:$R$700,MATCH(38,Data!$B$2:$B$700,0))),""))</f>
        <v/>
      </c>
      <c r="L50" s="29">
        <f>IF(B50="","",IFERROR(IF(INDEX(Data!$S$2:$S$700,MATCH(38,Data!$B$2:$B$700,0))="","",INDEX(Data!$S$2:$S$700,MATCH(38,Data!$B$2:$B$700,0))),""))</f>
        <v/>
      </c>
      <c r="M50" s="29">
        <f>IF(B50="","",IFERROR(IF(INDEX(Data!$T$2:$T$700,MATCH(38,Data!$B$2:$B$700,0))="","",INDEX(Data!$T$2:$T$700,MATCH(38,Data!$B$2:$B$700,0))),""))</f>
        <v/>
      </c>
      <c r="N50" s="30">
        <f>IF(B50="","",IFERROR(IF(INDEX(Data!$U$2:$U$700,MATCH(38,Data!$B$2:$B$700,0))="","",INDEX(Data!$U$2:$U$700,MATCH(38,Data!$B$2:$B$700,0))),""))</f>
        <v/>
      </c>
      <c r="O50" s="29">
        <f>IF(B50="","",IFERROR(IF(INDEX(Data!$V$2:$V$700,MATCH(38,Data!$B$2:$B$700,0))="","",INDEX(Data!$V$2:$V$700,MATCH(38,Data!$B$2:$B$700,0))),""))</f>
        <v/>
      </c>
      <c r="P50" s="29">
        <f>IF(B50="","",IFERROR(IF(INDEX(Data!$M$2:$M$700,MATCH(38,Data!$B$2:$B$700,0))="","",INDEX(Data!$M$2:$M$700,MATCH(38,Data!$B$2:$B$700,0))),""))</f>
        <v/>
      </c>
      <c r="Q50" s="23">
        <f>IF(OR(B50="",IFERROR(IF(INDEX(Data!$Y$2:$Y$700,MATCH(38,Data!$B$2:$B$700,0))="","",INDEX(Data!$Y$2:$Y$700,MATCH(38,Data!$B$2:$B$700,0))),"")=""),"",IFERROR(IF(INDEX(Data!$Y$2:$Y$700,MATCH(38,Data!$B$2:$B$700,0))="","",INDEX(Data!$Y$2:$Y$700,MATCH(38,Data!$B$2:$B$700,0))),"")&amp;" / "&amp;IFERROR(IF(INDEX(Data!$Z$2:$Z$700,MATCH(38,Data!$B$2:$B$700,0))="","",INDEX(Data!$Z$2:$Z$700,MATCH(38,Data!$B$2:$B$700,0))),""))</f>
        <v/>
      </c>
      <c r="R50" s="23">
        <f>IF(B50="","",IFERROR(IF(INDEX(Data!$L$2:$L$700,MATCH(38,Data!$B$2:$B$700,0))="","",INDEX(Data!$L$2:$L$700,MATCH(38,Data!$B$2:$B$700,0))),""))</f>
        <v/>
      </c>
    </row>
    <row r="51" ht="62" customHeight="1">
      <c r="B51" s="23">
        <f>IF(39&lt;=COUNTIF(Data!$A$2:$A$700,TRUE),39,"")</f>
        <v/>
      </c>
      <c r="C51" s="24">
        <f>IF(B51="","",IFERROR(_xlfn.IMAGE(IFERROR(IF(INDEX(Data!$J$2:$J$700,MATCH(39,Data!$B$2:$B$700,0))="","",INDEX(Data!$J$2:$J$700,MATCH(39,Data!$B$2:$B$700,0))),"")),"IMAGE MISSING"))</f>
        <v/>
      </c>
      <c r="D51" s="25">
        <f>IF(B51="","",IFERROR(IF(INDEX(Data!$G$2:$G$700,MATCH(39,Data!$B$2:$B$700,0))="","",INDEX(Data!$G$2:$G$700,MATCH(39,Data!$B$2:$B$700,0))),"")&amp;CHAR(10)&amp;IFERROR(IF(INDEX(Data!$H$2:$H$700,MATCH(39,Data!$B$2:$B$700,0))="","",INDEX(Data!$H$2:$H$700,MATCH(39,Data!$B$2:$B$700,0))),""))</f>
        <v/>
      </c>
      <c r="E51" s="23">
        <f>IF(B51="","",IFERROR(IF(INDEX(Data!$I$2:$I$700,MATCH(39,Data!$B$2:$B$700,0))="","",INDEX(Data!$I$2:$I$700,MATCH(39,Data!$B$2:$B$700,0))),""))</f>
        <v/>
      </c>
      <c r="F51" s="23">
        <f>IF(B51="","",IFERROR(IF(INDEX(Data!$D$2:$D$700,MATCH(39,Data!$B$2:$B$700,0))="","",INDEX(Data!$D$2:$D$700,MATCH(39,Data!$B$2:$B$700,0))),""))</f>
        <v/>
      </c>
      <c r="G51" s="23">
        <f>IF(B51="","",IFERROR(IF(INDEX(Data!$E$2:$E$700,MATCH(39,Data!$B$2:$B$700,0))="","",INDEX(Data!$E$2:$E$700,MATCH(39,Data!$B$2:$B$700,0))),""))</f>
        <v/>
      </c>
      <c r="H51" s="26">
        <f>IF(B51="","",IFERROR(IF(INDEX(Data!$N$2:$N$700,MATCH(39,Data!$B$2:$B$700,0))="","",INDEX(Data!$N$2:$N$700,MATCH(39,Data!$B$2:$B$700,0))),""))</f>
        <v/>
      </c>
      <c r="I51" s="26">
        <f>IF(B51="","",IFERROR(IF(INDEX(Data!$O$2:$O$700,MATCH(39,Data!$B$2:$B$700,0))="","",INDEX(Data!$O$2:$O$700,MATCH(39,Data!$B$2:$B$700,0))),""))</f>
        <v/>
      </c>
      <c r="J51" s="27">
        <f>IF(B51="","",IFERROR(IF(INDEX(Data!$P$2:$P$700,MATCH(39,Data!$B$2:$B$700,0))="","",INDEX(Data!$P$2:$P$700,MATCH(39,Data!$B$2:$B$700,0))),""))</f>
        <v/>
      </c>
      <c r="K51" s="28">
        <f>IF(B51="","",IFERROR(IF(INDEX(Data!$R$2:$R$700,MATCH(39,Data!$B$2:$B$700,0))="","",INDEX(Data!$R$2:$R$700,MATCH(39,Data!$B$2:$B$700,0))),""))</f>
        <v/>
      </c>
      <c r="L51" s="29">
        <f>IF(B51="","",IFERROR(IF(INDEX(Data!$S$2:$S$700,MATCH(39,Data!$B$2:$B$700,0))="","",INDEX(Data!$S$2:$S$700,MATCH(39,Data!$B$2:$B$700,0))),""))</f>
        <v/>
      </c>
      <c r="M51" s="29">
        <f>IF(B51="","",IFERROR(IF(INDEX(Data!$T$2:$T$700,MATCH(39,Data!$B$2:$B$700,0))="","",INDEX(Data!$T$2:$T$700,MATCH(39,Data!$B$2:$B$700,0))),""))</f>
        <v/>
      </c>
      <c r="N51" s="30">
        <f>IF(B51="","",IFERROR(IF(INDEX(Data!$U$2:$U$700,MATCH(39,Data!$B$2:$B$700,0))="","",INDEX(Data!$U$2:$U$700,MATCH(39,Data!$B$2:$B$700,0))),""))</f>
        <v/>
      </c>
      <c r="O51" s="29">
        <f>IF(B51="","",IFERROR(IF(INDEX(Data!$V$2:$V$700,MATCH(39,Data!$B$2:$B$700,0))="","",INDEX(Data!$V$2:$V$700,MATCH(39,Data!$B$2:$B$700,0))),""))</f>
        <v/>
      </c>
      <c r="P51" s="29">
        <f>IF(B51="","",IFERROR(IF(INDEX(Data!$M$2:$M$700,MATCH(39,Data!$B$2:$B$700,0))="","",INDEX(Data!$M$2:$M$700,MATCH(39,Data!$B$2:$B$700,0))),""))</f>
        <v/>
      </c>
      <c r="Q51" s="23">
        <f>IF(OR(B51="",IFERROR(IF(INDEX(Data!$Y$2:$Y$700,MATCH(39,Data!$B$2:$B$700,0))="","",INDEX(Data!$Y$2:$Y$700,MATCH(39,Data!$B$2:$B$700,0))),"")=""),"",IFERROR(IF(INDEX(Data!$Y$2:$Y$700,MATCH(39,Data!$B$2:$B$700,0))="","",INDEX(Data!$Y$2:$Y$700,MATCH(39,Data!$B$2:$B$700,0))),"")&amp;" / "&amp;IFERROR(IF(INDEX(Data!$Z$2:$Z$700,MATCH(39,Data!$B$2:$B$700,0))="","",INDEX(Data!$Z$2:$Z$700,MATCH(39,Data!$B$2:$B$700,0))),""))</f>
        <v/>
      </c>
      <c r="R51" s="23">
        <f>IF(B51="","",IFERROR(IF(INDEX(Data!$L$2:$L$700,MATCH(39,Data!$B$2:$B$700,0))="","",INDEX(Data!$L$2:$L$700,MATCH(39,Data!$B$2:$B$700,0))),""))</f>
        <v/>
      </c>
    </row>
    <row r="52" ht="62" customHeight="1">
      <c r="B52" s="23">
        <f>IF(40&lt;=COUNTIF(Data!$A$2:$A$700,TRUE),40,"")</f>
        <v/>
      </c>
      <c r="C52" s="24">
        <f>IF(B52="","",IFERROR(_xlfn.IMAGE(IFERROR(IF(INDEX(Data!$J$2:$J$700,MATCH(40,Data!$B$2:$B$700,0))="","",INDEX(Data!$J$2:$J$700,MATCH(40,Data!$B$2:$B$700,0))),"")),"IMAGE MISSING"))</f>
        <v/>
      </c>
      <c r="D52" s="25">
        <f>IF(B52="","",IFERROR(IF(INDEX(Data!$G$2:$G$700,MATCH(40,Data!$B$2:$B$700,0))="","",INDEX(Data!$G$2:$G$700,MATCH(40,Data!$B$2:$B$700,0))),"")&amp;CHAR(10)&amp;IFERROR(IF(INDEX(Data!$H$2:$H$700,MATCH(40,Data!$B$2:$B$700,0))="","",INDEX(Data!$H$2:$H$700,MATCH(40,Data!$B$2:$B$700,0))),""))</f>
        <v/>
      </c>
      <c r="E52" s="23">
        <f>IF(B52="","",IFERROR(IF(INDEX(Data!$I$2:$I$700,MATCH(40,Data!$B$2:$B$700,0))="","",INDEX(Data!$I$2:$I$700,MATCH(40,Data!$B$2:$B$700,0))),""))</f>
        <v/>
      </c>
      <c r="F52" s="23">
        <f>IF(B52="","",IFERROR(IF(INDEX(Data!$D$2:$D$700,MATCH(40,Data!$B$2:$B$700,0))="","",INDEX(Data!$D$2:$D$700,MATCH(40,Data!$B$2:$B$700,0))),""))</f>
        <v/>
      </c>
      <c r="G52" s="23">
        <f>IF(B52="","",IFERROR(IF(INDEX(Data!$E$2:$E$700,MATCH(40,Data!$B$2:$B$700,0))="","",INDEX(Data!$E$2:$E$700,MATCH(40,Data!$B$2:$B$700,0))),""))</f>
        <v/>
      </c>
      <c r="H52" s="26">
        <f>IF(B52="","",IFERROR(IF(INDEX(Data!$N$2:$N$700,MATCH(40,Data!$B$2:$B$700,0))="","",INDEX(Data!$N$2:$N$700,MATCH(40,Data!$B$2:$B$700,0))),""))</f>
        <v/>
      </c>
      <c r="I52" s="26">
        <f>IF(B52="","",IFERROR(IF(INDEX(Data!$O$2:$O$700,MATCH(40,Data!$B$2:$B$700,0))="","",INDEX(Data!$O$2:$O$700,MATCH(40,Data!$B$2:$B$700,0))),""))</f>
        <v/>
      </c>
      <c r="J52" s="27">
        <f>IF(B52="","",IFERROR(IF(INDEX(Data!$P$2:$P$700,MATCH(40,Data!$B$2:$B$700,0))="","",INDEX(Data!$P$2:$P$700,MATCH(40,Data!$B$2:$B$700,0))),""))</f>
        <v/>
      </c>
      <c r="K52" s="28">
        <f>IF(B52="","",IFERROR(IF(INDEX(Data!$R$2:$R$700,MATCH(40,Data!$B$2:$B$700,0))="","",INDEX(Data!$R$2:$R$700,MATCH(40,Data!$B$2:$B$700,0))),""))</f>
        <v/>
      </c>
      <c r="L52" s="29">
        <f>IF(B52="","",IFERROR(IF(INDEX(Data!$S$2:$S$700,MATCH(40,Data!$B$2:$B$700,0))="","",INDEX(Data!$S$2:$S$700,MATCH(40,Data!$B$2:$B$700,0))),""))</f>
        <v/>
      </c>
      <c r="M52" s="29">
        <f>IF(B52="","",IFERROR(IF(INDEX(Data!$T$2:$T$700,MATCH(40,Data!$B$2:$B$700,0))="","",INDEX(Data!$T$2:$T$700,MATCH(40,Data!$B$2:$B$700,0))),""))</f>
        <v/>
      </c>
      <c r="N52" s="30">
        <f>IF(B52="","",IFERROR(IF(INDEX(Data!$U$2:$U$700,MATCH(40,Data!$B$2:$B$700,0))="","",INDEX(Data!$U$2:$U$700,MATCH(40,Data!$B$2:$B$700,0))),""))</f>
        <v/>
      </c>
      <c r="O52" s="29">
        <f>IF(B52="","",IFERROR(IF(INDEX(Data!$V$2:$V$700,MATCH(40,Data!$B$2:$B$700,0))="","",INDEX(Data!$V$2:$V$700,MATCH(40,Data!$B$2:$B$700,0))),""))</f>
        <v/>
      </c>
      <c r="P52" s="29">
        <f>IF(B52="","",IFERROR(IF(INDEX(Data!$M$2:$M$700,MATCH(40,Data!$B$2:$B$700,0))="","",INDEX(Data!$M$2:$M$700,MATCH(40,Data!$B$2:$B$700,0))),""))</f>
        <v/>
      </c>
      <c r="Q52" s="23">
        <f>IF(OR(B52="",IFERROR(IF(INDEX(Data!$Y$2:$Y$700,MATCH(40,Data!$B$2:$B$700,0))="","",INDEX(Data!$Y$2:$Y$700,MATCH(40,Data!$B$2:$B$700,0))),"")=""),"",IFERROR(IF(INDEX(Data!$Y$2:$Y$700,MATCH(40,Data!$B$2:$B$700,0))="","",INDEX(Data!$Y$2:$Y$700,MATCH(40,Data!$B$2:$B$700,0))),"")&amp;" / "&amp;IFERROR(IF(INDEX(Data!$Z$2:$Z$700,MATCH(40,Data!$B$2:$B$700,0))="","",INDEX(Data!$Z$2:$Z$700,MATCH(40,Data!$B$2:$B$700,0))),""))</f>
        <v/>
      </c>
      <c r="R52" s="23">
        <f>IF(B52="","",IFERROR(IF(INDEX(Data!$L$2:$L$700,MATCH(40,Data!$B$2:$B$700,0))="","",INDEX(Data!$L$2:$L$700,MATCH(40,Data!$B$2:$B$700,0))),""))</f>
        <v/>
      </c>
    </row>
    <row r="53" ht="62" customHeight="1">
      <c r="B53" s="23">
        <f>IF(41&lt;=COUNTIF(Data!$A$2:$A$700,TRUE),41,"")</f>
        <v/>
      </c>
      <c r="C53" s="24">
        <f>IF(B53="","",IFERROR(_xlfn.IMAGE(IFERROR(IF(INDEX(Data!$J$2:$J$700,MATCH(41,Data!$B$2:$B$700,0))="","",INDEX(Data!$J$2:$J$700,MATCH(41,Data!$B$2:$B$700,0))),"")),"IMAGE MISSING"))</f>
        <v/>
      </c>
      <c r="D53" s="25">
        <f>IF(B53="","",IFERROR(IF(INDEX(Data!$G$2:$G$700,MATCH(41,Data!$B$2:$B$700,0))="","",INDEX(Data!$G$2:$G$700,MATCH(41,Data!$B$2:$B$700,0))),"")&amp;CHAR(10)&amp;IFERROR(IF(INDEX(Data!$H$2:$H$700,MATCH(41,Data!$B$2:$B$700,0))="","",INDEX(Data!$H$2:$H$700,MATCH(41,Data!$B$2:$B$700,0))),""))</f>
        <v/>
      </c>
      <c r="E53" s="23">
        <f>IF(B53="","",IFERROR(IF(INDEX(Data!$I$2:$I$700,MATCH(41,Data!$B$2:$B$700,0))="","",INDEX(Data!$I$2:$I$700,MATCH(41,Data!$B$2:$B$700,0))),""))</f>
        <v/>
      </c>
      <c r="F53" s="23">
        <f>IF(B53="","",IFERROR(IF(INDEX(Data!$D$2:$D$700,MATCH(41,Data!$B$2:$B$700,0))="","",INDEX(Data!$D$2:$D$700,MATCH(41,Data!$B$2:$B$700,0))),""))</f>
        <v/>
      </c>
      <c r="G53" s="23">
        <f>IF(B53="","",IFERROR(IF(INDEX(Data!$E$2:$E$700,MATCH(41,Data!$B$2:$B$700,0))="","",INDEX(Data!$E$2:$E$700,MATCH(41,Data!$B$2:$B$700,0))),""))</f>
        <v/>
      </c>
      <c r="H53" s="26">
        <f>IF(B53="","",IFERROR(IF(INDEX(Data!$N$2:$N$700,MATCH(41,Data!$B$2:$B$700,0))="","",INDEX(Data!$N$2:$N$700,MATCH(41,Data!$B$2:$B$700,0))),""))</f>
        <v/>
      </c>
      <c r="I53" s="26">
        <f>IF(B53="","",IFERROR(IF(INDEX(Data!$O$2:$O$700,MATCH(41,Data!$B$2:$B$700,0))="","",INDEX(Data!$O$2:$O$700,MATCH(41,Data!$B$2:$B$700,0))),""))</f>
        <v/>
      </c>
      <c r="J53" s="27">
        <f>IF(B53="","",IFERROR(IF(INDEX(Data!$P$2:$P$700,MATCH(41,Data!$B$2:$B$700,0))="","",INDEX(Data!$P$2:$P$700,MATCH(41,Data!$B$2:$B$700,0))),""))</f>
        <v/>
      </c>
      <c r="K53" s="28">
        <f>IF(B53="","",IFERROR(IF(INDEX(Data!$R$2:$R$700,MATCH(41,Data!$B$2:$B$700,0))="","",INDEX(Data!$R$2:$R$700,MATCH(41,Data!$B$2:$B$700,0))),""))</f>
        <v/>
      </c>
      <c r="L53" s="29">
        <f>IF(B53="","",IFERROR(IF(INDEX(Data!$S$2:$S$700,MATCH(41,Data!$B$2:$B$700,0))="","",INDEX(Data!$S$2:$S$700,MATCH(41,Data!$B$2:$B$700,0))),""))</f>
        <v/>
      </c>
      <c r="M53" s="29">
        <f>IF(B53="","",IFERROR(IF(INDEX(Data!$T$2:$T$700,MATCH(41,Data!$B$2:$B$700,0))="","",INDEX(Data!$T$2:$T$700,MATCH(41,Data!$B$2:$B$700,0))),""))</f>
        <v/>
      </c>
      <c r="N53" s="30">
        <f>IF(B53="","",IFERROR(IF(INDEX(Data!$U$2:$U$700,MATCH(41,Data!$B$2:$B$700,0))="","",INDEX(Data!$U$2:$U$700,MATCH(41,Data!$B$2:$B$700,0))),""))</f>
        <v/>
      </c>
      <c r="O53" s="29">
        <f>IF(B53="","",IFERROR(IF(INDEX(Data!$V$2:$V$700,MATCH(41,Data!$B$2:$B$700,0))="","",INDEX(Data!$V$2:$V$700,MATCH(41,Data!$B$2:$B$700,0))),""))</f>
        <v/>
      </c>
      <c r="P53" s="29">
        <f>IF(B53="","",IFERROR(IF(INDEX(Data!$M$2:$M$700,MATCH(41,Data!$B$2:$B$700,0))="","",INDEX(Data!$M$2:$M$700,MATCH(41,Data!$B$2:$B$700,0))),""))</f>
        <v/>
      </c>
      <c r="Q53" s="23">
        <f>IF(OR(B53="",IFERROR(IF(INDEX(Data!$Y$2:$Y$700,MATCH(41,Data!$B$2:$B$700,0))="","",INDEX(Data!$Y$2:$Y$700,MATCH(41,Data!$B$2:$B$700,0))),"")=""),"",IFERROR(IF(INDEX(Data!$Y$2:$Y$700,MATCH(41,Data!$B$2:$B$700,0))="","",INDEX(Data!$Y$2:$Y$700,MATCH(41,Data!$B$2:$B$700,0))),"")&amp;" / "&amp;IFERROR(IF(INDEX(Data!$Z$2:$Z$700,MATCH(41,Data!$B$2:$B$700,0))="","",INDEX(Data!$Z$2:$Z$700,MATCH(41,Data!$B$2:$B$700,0))),""))</f>
        <v/>
      </c>
      <c r="R53" s="23">
        <f>IF(B53="","",IFERROR(IF(INDEX(Data!$L$2:$L$700,MATCH(41,Data!$B$2:$B$700,0))="","",INDEX(Data!$L$2:$L$700,MATCH(41,Data!$B$2:$B$700,0))),""))</f>
        <v/>
      </c>
    </row>
    <row r="54" ht="62" customHeight="1">
      <c r="B54" s="23">
        <f>IF(42&lt;=COUNTIF(Data!$A$2:$A$700,TRUE),42,"")</f>
        <v/>
      </c>
      <c r="C54" s="24">
        <f>IF(B54="","",IFERROR(_xlfn.IMAGE(IFERROR(IF(INDEX(Data!$J$2:$J$700,MATCH(42,Data!$B$2:$B$700,0))="","",INDEX(Data!$J$2:$J$700,MATCH(42,Data!$B$2:$B$700,0))),"")),"IMAGE MISSING"))</f>
        <v/>
      </c>
      <c r="D54" s="25">
        <f>IF(B54="","",IFERROR(IF(INDEX(Data!$G$2:$G$700,MATCH(42,Data!$B$2:$B$700,0))="","",INDEX(Data!$G$2:$G$700,MATCH(42,Data!$B$2:$B$700,0))),"")&amp;CHAR(10)&amp;IFERROR(IF(INDEX(Data!$H$2:$H$700,MATCH(42,Data!$B$2:$B$700,0))="","",INDEX(Data!$H$2:$H$700,MATCH(42,Data!$B$2:$B$700,0))),""))</f>
        <v/>
      </c>
      <c r="E54" s="23">
        <f>IF(B54="","",IFERROR(IF(INDEX(Data!$I$2:$I$700,MATCH(42,Data!$B$2:$B$700,0))="","",INDEX(Data!$I$2:$I$700,MATCH(42,Data!$B$2:$B$700,0))),""))</f>
        <v/>
      </c>
      <c r="F54" s="23">
        <f>IF(B54="","",IFERROR(IF(INDEX(Data!$D$2:$D$700,MATCH(42,Data!$B$2:$B$700,0))="","",INDEX(Data!$D$2:$D$700,MATCH(42,Data!$B$2:$B$700,0))),""))</f>
        <v/>
      </c>
      <c r="G54" s="23">
        <f>IF(B54="","",IFERROR(IF(INDEX(Data!$E$2:$E$700,MATCH(42,Data!$B$2:$B$700,0))="","",INDEX(Data!$E$2:$E$700,MATCH(42,Data!$B$2:$B$700,0))),""))</f>
        <v/>
      </c>
      <c r="H54" s="26">
        <f>IF(B54="","",IFERROR(IF(INDEX(Data!$N$2:$N$700,MATCH(42,Data!$B$2:$B$700,0))="","",INDEX(Data!$N$2:$N$700,MATCH(42,Data!$B$2:$B$700,0))),""))</f>
        <v/>
      </c>
      <c r="I54" s="26">
        <f>IF(B54="","",IFERROR(IF(INDEX(Data!$O$2:$O$700,MATCH(42,Data!$B$2:$B$700,0))="","",INDEX(Data!$O$2:$O$700,MATCH(42,Data!$B$2:$B$700,0))),""))</f>
        <v/>
      </c>
      <c r="J54" s="27">
        <f>IF(B54="","",IFERROR(IF(INDEX(Data!$P$2:$P$700,MATCH(42,Data!$B$2:$B$700,0))="","",INDEX(Data!$P$2:$P$700,MATCH(42,Data!$B$2:$B$700,0))),""))</f>
        <v/>
      </c>
      <c r="K54" s="28">
        <f>IF(B54="","",IFERROR(IF(INDEX(Data!$R$2:$R$700,MATCH(42,Data!$B$2:$B$700,0))="","",INDEX(Data!$R$2:$R$700,MATCH(42,Data!$B$2:$B$700,0))),""))</f>
        <v/>
      </c>
      <c r="L54" s="29">
        <f>IF(B54="","",IFERROR(IF(INDEX(Data!$S$2:$S$700,MATCH(42,Data!$B$2:$B$700,0))="","",INDEX(Data!$S$2:$S$700,MATCH(42,Data!$B$2:$B$700,0))),""))</f>
        <v/>
      </c>
      <c r="M54" s="29">
        <f>IF(B54="","",IFERROR(IF(INDEX(Data!$T$2:$T$700,MATCH(42,Data!$B$2:$B$700,0))="","",INDEX(Data!$T$2:$T$700,MATCH(42,Data!$B$2:$B$700,0))),""))</f>
        <v/>
      </c>
      <c r="N54" s="30">
        <f>IF(B54="","",IFERROR(IF(INDEX(Data!$U$2:$U$700,MATCH(42,Data!$B$2:$B$700,0))="","",INDEX(Data!$U$2:$U$700,MATCH(42,Data!$B$2:$B$700,0))),""))</f>
        <v/>
      </c>
      <c r="O54" s="29">
        <f>IF(B54="","",IFERROR(IF(INDEX(Data!$V$2:$V$700,MATCH(42,Data!$B$2:$B$700,0))="","",INDEX(Data!$V$2:$V$700,MATCH(42,Data!$B$2:$B$700,0))),""))</f>
        <v/>
      </c>
      <c r="P54" s="29">
        <f>IF(B54="","",IFERROR(IF(INDEX(Data!$M$2:$M$700,MATCH(42,Data!$B$2:$B$700,0))="","",INDEX(Data!$M$2:$M$700,MATCH(42,Data!$B$2:$B$700,0))),""))</f>
        <v/>
      </c>
      <c r="Q54" s="23">
        <f>IF(OR(B54="",IFERROR(IF(INDEX(Data!$Y$2:$Y$700,MATCH(42,Data!$B$2:$B$700,0))="","",INDEX(Data!$Y$2:$Y$700,MATCH(42,Data!$B$2:$B$700,0))),"")=""),"",IFERROR(IF(INDEX(Data!$Y$2:$Y$700,MATCH(42,Data!$B$2:$B$700,0))="","",INDEX(Data!$Y$2:$Y$700,MATCH(42,Data!$B$2:$B$700,0))),"")&amp;" / "&amp;IFERROR(IF(INDEX(Data!$Z$2:$Z$700,MATCH(42,Data!$B$2:$B$700,0))="","",INDEX(Data!$Z$2:$Z$700,MATCH(42,Data!$B$2:$B$700,0))),""))</f>
        <v/>
      </c>
      <c r="R54" s="23">
        <f>IF(B54="","",IFERROR(IF(INDEX(Data!$L$2:$L$700,MATCH(42,Data!$B$2:$B$700,0))="","",INDEX(Data!$L$2:$L$700,MATCH(42,Data!$B$2:$B$700,0))),""))</f>
        <v/>
      </c>
    </row>
    <row r="55" ht="62" customHeight="1">
      <c r="B55" s="23">
        <f>IF(43&lt;=COUNTIF(Data!$A$2:$A$700,TRUE),43,"")</f>
        <v/>
      </c>
      <c r="C55" s="24">
        <f>IF(B55="","",IFERROR(_xlfn.IMAGE(IFERROR(IF(INDEX(Data!$J$2:$J$700,MATCH(43,Data!$B$2:$B$700,0))="","",INDEX(Data!$J$2:$J$700,MATCH(43,Data!$B$2:$B$700,0))),"")),"IMAGE MISSING"))</f>
        <v/>
      </c>
      <c r="D55" s="25">
        <f>IF(B55="","",IFERROR(IF(INDEX(Data!$G$2:$G$700,MATCH(43,Data!$B$2:$B$700,0))="","",INDEX(Data!$G$2:$G$700,MATCH(43,Data!$B$2:$B$700,0))),"")&amp;CHAR(10)&amp;IFERROR(IF(INDEX(Data!$H$2:$H$700,MATCH(43,Data!$B$2:$B$700,0))="","",INDEX(Data!$H$2:$H$700,MATCH(43,Data!$B$2:$B$700,0))),""))</f>
        <v/>
      </c>
      <c r="E55" s="23">
        <f>IF(B55="","",IFERROR(IF(INDEX(Data!$I$2:$I$700,MATCH(43,Data!$B$2:$B$700,0))="","",INDEX(Data!$I$2:$I$700,MATCH(43,Data!$B$2:$B$700,0))),""))</f>
        <v/>
      </c>
      <c r="F55" s="23">
        <f>IF(B55="","",IFERROR(IF(INDEX(Data!$D$2:$D$700,MATCH(43,Data!$B$2:$B$700,0))="","",INDEX(Data!$D$2:$D$700,MATCH(43,Data!$B$2:$B$700,0))),""))</f>
        <v/>
      </c>
      <c r="G55" s="23">
        <f>IF(B55="","",IFERROR(IF(INDEX(Data!$E$2:$E$700,MATCH(43,Data!$B$2:$B$700,0))="","",INDEX(Data!$E$2:$E$700,MATCH(43,Data!$B$2:$B$700,0))),""))</f>
        <v/>
      </c>
      <c r="H55" s="26">
        <f>IF(B55="","",IFERROR(IF(INDEX(Data!$N$2:$N$700,MATCH(43,Data!$B$2:$B$700,0))="","",INDEX(Data!$N$2:$N$700,MATCH(43,Data!$B$2:$B$700,0))),""))</f>
        <v/>
      </c>
      <c r="I55" s="26">
        <f>IF(B55="","",IFERROR(IF(INDEX(Data!$O$2:$O$700,MATCH(43,Data!$B$2:$B$700,0))="","",INDEX(Data!$O$2:$O$700,MATCH(43,Data!$B$2:$B$700,0))),""))</f>
        <v/>
      </c>
      <c r="J55" s="27">
        <f>IF(B55="","",IFERROR(IF(INDEX(Data!$P$2:$P$700,MATCH(43,Data!$B$2:$B$700,0))="","",INDEX(Data!$P$2:$P$700,MATCH(43,Data!$B$2:$B$700,0))),""))</f>
        <v/>
      </c>
      <c r="K55" s="28">
        <f>IF(B55="","",IFERROR(IF(INDEX(Data!$R$2:$R$700,MATCH(43,Data!$B$2:$B$700,0))="","",INDEX(Data!$R$2:$R$700,MATCH(43,Data!$B$2:$B$700,0))),""))</f>
        <v/>
      </c>
      <c r="L55" s="29">
        <f>IF(B55="","",IFERROR(IF(INDEX(Data!$S$2:$S$700,MATCH(43,Data!$B$2:$B$700,0))="","",INDEX(Data!$S$2:$S$700,MATCH(43,Data!$B$2:$B$700,0))),""))</f>
        <v/>
      </c>
      <c r="M55" s="29">
        <f>IF(B55="","",IFERROR(IF(INDEX(Data!$T$2:$T$700,MATCH(43,Data!$B$2:$B$700,0))="","",INDEX(Data!$T$2:$T$700,MATCH(43,Data!$B$2:$B$700,0))),""))</f>
        <v/>
      </c>
      <c r="N55" s="30">
        <f>IF(B55="","",IFERROR(IF(INDEX(Data!$U$2:$U$700,MATCH(43,Data!$B$2:$B$700,0))="","",INDEX(Data!$U$2:$U$700,MATCH(43,Data!$B$2:$B$700,0))),""))</f>
        <v/>
      </c>
      <c r="O55" s="29">
        <f>IF(B55="","",IFERROR(IF(INDEX(Data!$V$2:$V$700,MATCH(43,Data!$B$2:$B$700,0))="","",INDEX(Data!$V$2:$V$700,MATCH(43,Data!$B$2:$B$700,0))),""))</f>
        <v/>
      </c>
      <c r="P55" s="29">
        <f>IF(B55="","",IFERROR(IF(INDEX(Data!$M$2:$M$700,MATCH(43,Data!$B$2:$B$700,0))="","",INDEX(Data!$M$2:$M$700,MATCH(43,Data!$B$2:$B$700,0))),""))</f>
        <v/>
      </c>
      <c r="Q55" s="23">
        <f>IF(OR(B55="",IFERROR(IF(INDEX(Data!$Y$2:$Y$700,MATCH(43,Data!$B$2:$B$700,0))="","",INDEX(Data!$Y$2:$Y$700,MATCH(43,Data!$B$2:$B$700,0))),"")=""),"",IFERROR(IF(INDEX(Data!$Y$2:$Y$700,MATCH(43,Data!$B$2:$B$700,0))="","",INDEX(Data!$Y$2:$Y$700,MATCH(43,Data!$B$2:$B$700,0))),"")&amp;" / "&amp;IFERROR(IF(INDEX(Data!$Z$2:$Z$700,MATCH(43,Data!$B$2:$B$700,0))="","",INDEX(Data!$Z$2:$Z$700,MATCH(43,Data!$B$2:$B$700,0))),""))</f>
        <v/>
      </c>
      <c r="R55" s="23">
        <f>IF(B55="","",IFERROR(IF(INDEX(Data!$L$2:$L$700,MATCH(43,Data!$B$2:$B$700,0))="","",INDEX(Data!$L$2:$L$700,MATCH(43,Data!$B$2:$B$700,0))),""))</f>
        <v/>
      </c>
    </row>
    <row r="56" ht="62" customHeight="1">
      <c r="B56" s="23">
        <f>IF(44&lt;=COUNTIF(Data!$A$2:$A$700,TRUE),44,"")</f>
        <v/>
      </c>
      <c r="C56" s="24">
        <f>IF(B56="","",IFERROR(_xlfn.IMAGE(IFERROR(IF(INDEX(Data!$J$2:$J$700,MATCH(44,Data!$B$2:$B$700,0))="","",INDEX(Data!$J$2:$J$700,MATCH(44,Data!$B$2:$B$700,0))),"")),"IMAGE MISSING"))</f>
        <v/>
      </c>
      <c r="D56" s="25">
        <f>IF(B56="","",IFERROR(IF(INDEX(Data!$G$2:$G$700,MATCH(44,Data!$B$2:$B$700,0))="","",INDEX(Data!$G$2:$G$700,MATCH(44,Data!$B$2:$B$700,0))),"")&amp;CHAR(10)&amp;IFERROR(IF(INDEX(Data!$H$2:$H$700,MATCH(44,Data!$B$2:$B$700,0))="","",INDEX(Data!$H$2:$H$700,MATCH(44,Data!$B$2:$B$700,0))),""))</f>
        <v/>
      </c>
      <c r="E56" s="23">
        <f>IF(B56="","",IFERROR(IF(INDEX(Data!$I$2:$I$700,MATCH(44,Data!$B$2:$B$700,0))="","",INDEX(Data!$I$2:$I$700,MATCH(44,Data!$B$2:$B$700,0))),""))</f>
        <v/>
      </c>
      <c r="F56" s="23">
        <f>IF(B56="","",IFERROR(IF(INDEX(Data!$D$2:$D$700,MATCH(44,Data!$B$2:$B$700,0))="","",INDEX(Data!$D$2:$D$700,MATCH(44,Data!$B$2:$B$700,0))),""))</f>
        <v/>
      </c>
      <c r="G56" s="23">
        <f>IF(B56="","",IFERROR(IF(INDEX(Data!$E$2:$E$700,MATCH(44,Data!$B$2:$B$700,0))="","",INDEX(Data!$E$2:$E$700,MATCH(44,Data!$B$2:$B$700,0))),""))</f>
        <v/>
      </c>
      <c r="H56" s="26">
        <f>IF(B56="","",IFERROR(IF(INDEX(Data!$N$2:$N$700,MATCH(44,Data!$B$2:$B$700,0))="","",INDEX(Data!$N$2:$N$700,MATCH(44,Data!$B$2:$B$700,0))),""))</f>
        <v/>
      </c>
      <c r="I56" s="26">
        <f>IF(B56="","",IFERROR(IF(INDEX(Data!$O$2:$O$700,MATCH(44,Data!$B$2:$B$700,0))="","",INDEX(Data!$O$2:$O$700,MATCH(44,Data!$B$2:$B$700,0))),""))</f>
        <v/>
      </c>
      <c r="J56" s="27">
        <f>IF(B56="","",IFERROR(IF(INDEX(Data!$P$2:$P$700,MATCH(44,Data!$B$2:$B$700,0))="","",INDEX(Data!$P$2:$P$700,MATCH(44,Data!$B$2:$B$700,0))),""))</f>
        <v/>
      </c>
      <c r="K56" s="28">
        <f>IF(B56="","",IFERROR(IF(INDEX(Data!$R$2:$R$700,MATCH(44,Data!$B$2:$B$700,0))="","",INDEX(Data!$R$2:$R$700,MATCH(44,Data!$B$2:$B$700,0))),""))</f>
        <v/>
      </c>
      <c r="L56" s="29">
        <f>IF(B56="","",IFERROR(IF(INDEX(Data!$S$2:$S$700,MATCH(44,Data!$B$2:$B$700,0))="","",INDEX(Data!$S$2:$S$700,MATCH(44,Data!$B$2:$B$700,0))),""))</f>
        <v/>
      </c>
      <c r="M56" s="29">
        <f>IF(B56="","",IFERROR(IF(INDEX(Data!$T$2:$T$700,MATCH(44,Data!$B$2:$B$700,0))="","",INDEX(Data!$T$2:$T$700,MATCH(44,Data!$B$2:$B$700,0))),""))</f>
        <v/>
      </c>
      <c r="N56" s="30">
        <f>IF(B56="","",IFERROR(IF(INDEX(Data!$U$2:$U$700,MATCH(44,Data!$B$2:$B$700,0))="","",INDEX(Data!$U$2:$U$700,MATCH(44,Data!$B$2:$B$700,0))),""))</f>
        <v/>
      </c>
      <c r="O56" s="29">
        <f>IF(B56="","",IFERROR(IF(INDEX(Data!$V$2:$V$700,MATCH(44,Data!$B$2:$B$700,0))="","",INDEX(Data!$V$2:$V$700,MATCH(44,Data!$B$2:$B$700,0))),""))</f>
        <v/>
      </c>
      <c r="P56" s="29">
        <f>IF(B56="","",IFERROR(IF(INDEX(Data!$M$2:$M$700,MATCH(44,Data!$B$2:$B$700,0))="","",INDEX(Data!$M$2:$M$700,MATCH(44,Data!$B$2:$B$700,0))),""))</f>
        <v/>
      </c>
      <c r="Q56" s="23">
        <f>IF(OR(B56="",IFERROR(IF(INDEX(Data!$Y$2:$Y$700,MATCH(44,Data!$B$2:$B$700,0))="","",INDEX(Data!$Y$2:$Y$700,MATCH(44,Data!$B$2:$B$700,0))),"")=""),"",IFERROR(IF(INDEX(Data!$Y$2:$Y$700,MATCH(44,Data!$B$2:$B$700,0))="","",INDEX(Data!$Y$2:$Y$700,MATCH(44,Data!$B$2:$B$700,0))),"")&amp;" / "&amp;IFERROR(IF(INDEX(Data!$Z$2:$Z$700,MATCH(44,Data!$B$2:$B$700,0))="","",INDEX(Data!$Z$2:$Z$700,MATCH(44,Data!$B$2:$B$700,0))),""))</f>
        <v/>
      </c>
      <c r="R56" s="23">
        <f>IF(B56="","",IFERROR(IF(INDEX(Data!$L$2:$L$700,MATCH(44,Data!$B$2:$B$700,0))="","",INDEX(Data!$L$2:$L$700,MATCH(44,Data!$B$2:$B$700,0))),""))</f>
        <v/>
      </c>
    </row>
    <row r="57" ht="62" customHeight="1">
      <c r="B57" s="23">
        <f>IF(45&lt;=COUNTIF(Data!$A$2:$A$700,TRUE),45,"")</f>
        <v/>
      </c>
      <c r="C57" s="24">
        <f>IF(B57="","",IFERROR(_xlfn.IMAGE(IFERROR(IF(INDEX(Data!$J$2:$J$700,MATCH(45,Data!$B$2:$B$700,0))="","",INDEX(Data!$J$2:$J$700,MATCH(45,Data!$B$2:$B$700,0))),"")),"IMAGE MISSING"))</f>
        <v/>
      </c>
      <c r="D57" s="25">
        <f>IF(B57="","",IFERROR(IF(INDEX(Data!$G$2:$G$700,MATCH(45,Data!$B$2:$B$700,0))="","",INDEX(Data!$G$2:$G$700,MATCH(45,Data!$B$2:$B$700,0))),"")&amp;CHAR(10)&amp;IFERROR(IF(INDEX(Data!$H$2:$H$700,MATCH(45,Data!$B$2:$B$700,0))="","",INDEX(Data!$H$2:$H$700,MATCH(45,Data!$B$2:$B$700,0))),""))</f>
        <v/>
      </c>
      <c r="E57" s="23">
        <f>IF(B57="","",IFERROR(IF(INDEX(Data!$I$2:$I$700,MATCH(45,Data!$B$2:$B$700,0))="","",INDEX(Data!$I$2:$I$700,MATCH(45,Data!$B$2:$B$700,0))),""))</f>
        <v/>
      </c>
      <c r="F57" s="23">
        <f>IF(B57="","",IFERROR(IF(INDEX(Data!$D$2:$D$700,MATCH(45,Data!$B$2:$B$700,0))="","",INDEX(Data!$D$2:$D$700,MATCH(45,Data!$B$2:$B$700,0))),""))</f>
        <v/>
      </c>
      <c r="G57" s="23">
        <f>IF(B57="","",IFERROR(IF(INDEX(Data!$E$2:$E$700,MATCH(45,Data!$B$2:$B$700,0))="","",INDEX(Data!$E$2:$E$700,MATCH(45,Data!$B$2:$B$700,0))),""))</f>
        <v/>
      </c>
      <c r="H57" s="26">
        <f>IF(B57="","",IFERROR(IF(INDEX(Data!$N$2:$N$700,MATCH(45,Data!$B$2:$B$700,0))="","",INDEX(Data!$N$2:$N$700,MATCH(45,Data!$B$2:$B$700,0))),""))</f>
        <v/>
      </c>
      <c r="I57" s="26">
        <f>IF(B57="","",IFERROR(IF(INDEX(Data!$O$2:$O$700,MATCH(45,Data!$B$2:$B$700,0))="","",INDEX(Data!$O$2:$O$700,MATCH(45,Data!$B$2:$B$700,0))),""))</f>
        <v/>
      </c>
      <c r="J57" s="27">
        <f>IF(B57="","",IFERROR(IF(INDEX(Data!$P$2:$P$700,MATCH(45,Data!$B$2:$B$700,0))="","",INDEX(Data!$P$2:$P$700,MATCH(45,Data!$B$2:$B$700,0))),""))</f>
        <v/>
      </c>
      <c r="K57" s="28">
        <f>IF(B57="","",IFERROR(IF(INDEX(Data!$R$2:$R$700,MATCH(45,Data!$B$2:$B$700,0))="","",INDEX(Data!$R$2:$R$700,MATCH(45,Data!$B$2:$B$700,0))),""))</f>
        <v/>
      </c>
      <c r="L57" s="29">
        <f>IF(B57="","",IFERROR(IF(INDEX(Data!$S$2:$S$700,MATCH(45,Data!$B$2:$B$700,0))="","",INDEX(Data!$S$2:$S$700,MATCH(45,Data!$B$2:$B$700,0))),""))</f>
        <v/>
      </c>
      <c r="M57" s="29">
        <f>IF(B57="","",IFERROR(IF(INDEX(Data!$T$2:$T$700,MATCH(45,Data!$B$2:$B$700,0))="","",INDEX(Data!$T$2:$T$700,MATCH(45,Data!$B$2:$B$700,0))),""))</f>
        <v/>
      </c>
      <c r="N57" s="30">
        <f>IF(B57="","",IFERROR(IF(INDEX(Data!$U$2:$U$700,MATCH(45,Data!$B$2:$B$700,0))="","",INDEX(Data!$U$2:$U$700,MATCH(45,Data!$B$2:$B$700,0))),""))</f>
        <v/>
      </c>
      <c r="O57" s="29">
        <f>IF(B57="","",IFERROR(IF(INDEX(Data!$V$2:$V$700,MATCH(45,Data!$B$2:$B$700,0))="","",INDEX(Data!$V$2:$V$700,MATCH(45,Data!$B$2:$B$700,0))),""))</f>
        <v/>
      </c>
      <c r="P57" s="29">
        <f>IF(B57="","",IFERROR(IF(INDEX(Data!$M$2:$M$700,MATCH(45,Data!$B$2:$B$700,0))="","",INDEX(Data!$M$2:$M$700,MATCH(45,Data!$B$2:$B$700,0))),""))</f>
        <v/>
      </c>
      <c r="Q57" s="23">
        <f>IF(OR(B57="",IFERROR(IF(INDEX(Data!$Y$2:$Y$700,MATCH(45,Data!$B$2:$B$700,0))="","",INDEX(Data!$Y$2:$Y$700,MATCH(45,Data!$B$2:$B$700,0))),"")=""),"",IFERROR(IF(INDEX(Data!$Y$2:$Y$700,MATCH(45,Data!$B$2:$B$700,0))="","",INDEX(Data!$Y$2:$Y$700,MATCH(45,Data!$B$2:$B$700,0))),"")&amp;" / "&amp;IFERROR(IF(INDEX(Data!$Z$2:$Z$700,MATCH(45,Data!$B$2:$B$700,0))="","",INDEX(Data!$Z$2:$Z$700,MATCH(45,Data!$B$2:$B$700,0))),""))</f>
        <v/>
      </c>
      <c r="R57" s="23">
        <f>IF(B57="","",IFERROR(IF(INDEX(Data!$L$2:$L$700,MATCH(45,Data!$B$2:$B$700,0))="","",INDEX(Data!$L$2:$L$700,MATCH(45,Data!$B$2:$B$700,0))),""))</f>
        <v/>
      </c>
    </row>
    <row r="58" ht="62" customHeight="1">
      <c r="B58" s="23">
        <f>IF(46&lt;=COUNTIF(Data!$A$2:$A$700,TRUE),46,"")</f>
        <v/>
      </c>
      <c r="C58" s="24">
        <f>IF(B58="","",IFERROR(_xlfn.IMAGE(IFERROR(IF(INDEX(Data!$J$2:$J$700,MATCH(46,Data!$B$2:$B$700,0))="","",INDEX(Data!$J$2:$J$700,MATCH(46,Data!$B$2:$B$700,0))),"")),"IMAGE MISSING"))</f>
        <v/>
      </c>
      <c r="D58" s="25">
        <f>IF(B58="","",IFERROR(IF(INDEX(Data!$G$2:$G$700,MATCH(46,Data!$B$2:$B$700,0))="","",INDEX(Data!$G$2:$G$700,MATCH(46,Data!$B$2:$B$700,0))),"")&amp;CHAR(10)&amp;IFERROR(IF(INDEX(Data!$H$2:$H$700,MATCH(46,Data!$B$2:$B$700,0))="","",INDEX(Data!$H$2:$H$700,MATCH(46,Data!$B$2:$B$700,0))),""))</f>
        <v/>
      </c>
      <c r="E58" s="23">
        <f>IF(B58="","",IFERROR(IF(INDEX(Data!$I$2:$I$700,MATCH(46,Data!$B$2:$B$700,0))="","",INDEX(Data!$I$2:$I$700,MATCH(46,Data!$B$2:$B$700,0))),""))</f>
        <v/>
      </c>
      <c r="F58" s="23">
        <f>IF(B58="","",IFERROR(IF(INDEX(Data!$D$2:$D$700,MATCH(46,Data!$B$2:$B$700,0))="","",INDEX(Data!$D$2:$D$700,MATCH(46,Data!$B$2:$B$700,0))),""))</f>
        <v/>
      </c>
      <c r="G58" s="23">
        <f>IF(B58="","",IFERROR(IF(INDEX(Data!$E$2:$E$700,MATCH(46,Data!$B$2:$B$700,0))="","",INDEX(Data!$E$2:$E$700,MATCH(46,Data!$B$2:$B$700,0))),""))</f>
        <v/>
      </c>
      <c r="H58" s="26">
        <f>IF(B58="","",IFERROR(IF(INDEX(Data!$N$2:$N$700,MATCH(46,Data!$B$2:$B$700,0))="","",INDEX(Data!$N$2:$N$700,MATCH(46,Data!$B$2:$B$700,0))),""))</f>
        <v/>
      </c>
      <c r="I58" s="26">
        <f>IF(B58="","",IFERROR(IF(INDEX(Data!$O$2:$O$700,MATCH(46,Data!$B$2:$B$700,0))="","",INDEX(Data!$O$2:$O$700,MATCH(46,Data!$B$2:$B$700,0))),""))</f>
        <v/>
      </c>
      <c r="J58" s="27">
        <f>IF(B58="","",IFERROR(IF(INDEX(Data!$P$2:$P$700,MATCH(46,Data!$B$2:$B$700,0))="","",INDEX(Data!$P$2:$P$700,MATCH(46,Data!$B$2:$B$700,0))),""))</f>
        <v/>
      </c>
      <c r="K58" s="28">
        <f>IF(B58="","",IFERROR(IF(INDEX(Data!$R$2:$R$700,MATCH(46,Data!$B$2:$B$700,0))="","",INDEX(Data!$R$2:$R$700,MATCH(46,Data!$B$2:$B$700,0))),""))</f>
        <v/>
      </c>
      <c r="L58" s="29">
        <f>IF(B58="","",IFERROR(IF(INDEX(Data!$S$2:$S$700,MATCH(46,Data!$B$2:$B$700,0))="","",INDEX(Data!$S$2:$S$700,MATCH(46,Data!$B$2:$B$700,0))),""))</f>
        <v/>
      </c>
      <c r="M58" s="29">
        <f>IF(B58="","",IFERROR(IF(INDEX(Data!$T$2:$T$700,MATCH(46,Data!$B$2:$B$700,0))="","",INDEX(Data!$T$2:$T$700,MATCH(46,Data!$B$2:$B$700,0))),""))</f>
        <v/>
      </c>
      <c r="N58" s="30">
        <f>IF(B58="","",IFERROR(IF(INDEX(Data!$U$2:$U$700,MATCH(46,Data!$B$2:$B$700,0))="","",INDEX(Data!$U$2:$U$700,MATCH(46,Data!$B$2:$B$700,0))),""))</f>
        <v/>
      </c>
      <c r="O58" s="29">
        <f>IF(B58="","",IFERROR(IF(INDEX(Data!$V$2:$V$700,MATCH(46,Data!$B$2:$B$700,0))="","",INDEX(Data!$V$2:$V$700,MATCH(46,Data!$B$2:$B$700,0))),""))</f>
        <v/>
      </c>
      <c r="P58" s="29">
        <f>IF(B58="","",IFERROR(IF(INDEX(Data!$M$2:$M$700,MATCH(46,Data!$B$2:$B$700,0))="","",INDEX(Data!$M$2:$M$700,MATCH(46,Data!$B$2:$B$700,0))),""))</f>
        <v/>
      </c>
      <c r="Q58" s="23">
        <f>IF(OR(B58="",IFERROR(IF(INDEX(Data!$Y$2:$Y$700,MATCH(46,Data!$B$2:$B$700,0))="","",INDEX(Data!$Y$2:$Y$700,MATCH(46,Data!$B$2:$B$700,0))),"")=""),"",IFERROR(IF(INDEX(Data!$Y$2:$Y$700,MATCH(46,Data!$B$2:$B$700,0))="","",INDEX(Data!$Y$2:$Y$700,MATCH(46,Data!$B$2:$B$700,0))),"")&amp;" / "&amp;IFERROR(IF(INDEX(Data!$Z$2:$Z$700,MATCH(46,Data!$B$2:$B$700,0))="","",INDEX(Data!$Z$2:$Z$700,MATCH(46,Data!$B$2:$B$700,0))),""))</f>
        <v/>
      </c>
      <c r="R58" s="23">
        <f>IF(B58="","",IFERROR(IF(INDEX(Data!$L$2:$L$700,MATCH(46,Data!$B$2:$B$700,0))="","",INDEX(Data!$L$2:$L$700,MATCH(46,Data!$B$2:$B$700,0))),""))</f>
        <v/>
      </c>
    </row>
    <row r="59" ht="62" customHeight="1">
      <c r="B59" s="23">
        <f>IF(47&lt;=COUNTIF(Data!$A$2:$A$700,TRUE),47,"")</f>
        <v/>
      </c>
      <c r="C59" s="24">
        <f>IF(B59="","",IFERROR(_xlfn.IMAGE(IFERROR(IF(INDEX(Data!$J$2:$J$700,MATCH(47,Data!$B$2:$B$700,0))="","",INDEX(Data!$J$2:$J$700,MATCH(47,Data!$B$2:$B$700,0))),"")),"IMAGE MISSING"))</f>
        <v/>
      </c>
      <c r="D59" s="25">
        <f>IF(B59="","",IFERROR(IF(INDEX(Data!$G$2:$G$700,MATCH(47,Data!$B$2:$B$700,0))="","",INDEX(Data!$G$2:$G$700,MATCH(47,Data!$B$2:$B$700,0))),"")&amp;CHAR(10)&amp;IFERROR(IF(INDEX(Data!$H$2:$H$700,MATCH(47,Data!$B$2:$B$700,0))="","",INDEX(Data!$H$2:$H$700,MATCH(47,Data!$B$2:$B$700,0))),""))</f>
        <v/>
      </c>
      <c r="E59" s="23">
        <f>IF(B59="","",IFERROR(IF(INDEX(Data!$I$2:$I$700,MATCH(47,Data!$B$2:$B$700,0))="","",INDEX(Data!$I$2:$I$700,MATCH(47,Data!$B$2:$B$700,0))),""))</f>
        <v/>
      </c>
      <c r="F59" s="23">
        <f>IF(B59="","",IFERROR(IF(INDEX(Data!$D$2:$D$700,MATCH(47,Data!$B$2:$B$700,0))="","",INDEX(Data!$D$2:$D$700,MATCH(47,Data!$B$2:$B$700,0))),""))</f>
        <v/>
      </c>
      <c r="G59" s="23">
        <f>IF(B59="","",IFERROR(IF(INDEX(Data!$E$2:$E$700,MATCH(47,Data!$B$2:$B$700,0))="","",INDEX(Data!$E$2:$E$700,MATCH(47,Data!$B$2:$B$700,0))),""))</f>
        <v/>
      </c>
      <c r="H59" s="26">
        <f>IF(B59="","",IFERROR(IF(INDEX(Data!$N$2:$N$700,MATCH(47,Data!$B$2:$B$700,0))="","",INDEX(Data!$N$2:$N$700,MATCH(47,Data!$B$2:$B$700,0))),""))</f>
        <v/>
      </c>
      <c r="I59" s="26">
        <f>IF(B59="","",IFERROR(IF(INDEX(Data!$O$2:$O$700,MATCH(47,Data!$B$2:$B$700,0))="","",INDEX(Data!$O$2:$O$700,MATCH(47,Data!$B$2:$B$700,0))),""))</f>
        <v/>
      </c>
      <c r="J59" s="27">
        <f>IF(B59="","",IFERROR(IF(INDEX(Data!$P$2:$P$700,MATCH(47,Data!$B$2:$B$700,0))="","",INDEX(Data!$P$2:$P$700,MATCH(47,Data!$B$2:$B$700,0))),""))</f>
        <v/>
      </c>
      <c r="K59" s="28">
        <f>IF(B59="","",IFERROR(IF(INDEX(Data!$R$2:$R$700,MATCH(47,Data!$B$2:$B$700,0))="","",INDEX(Data!$R$2:$R$700,MATCH(47,Data!$B$2:$B$700,0))),""))</f>
        <v/>
      </c>
      <c r="L59" s="29">
        <f>IF(B59="","",IFERROR(IF(INDEX(Data!$S$2:$S$700,MATCH(47,Data!$B$2:$B$700,0))="","",INDEX(Data!$S$2:$S$700,MATCH(47,Data!$B$2:$B$700,0))),""))</f>
        <v/>
      </c>
      <c r="M59" s="29">
        <f>IF(B59="","",IFERROR(IF(INDEX(Data!$T$2:$T$700,MATCH(47,Data!$B$2:$B$700,0))="","",INDEX(Data!$T$2:$T$700,MATCH(47,Data!$B$2:$B$700,0))),""))</f>
        <v/>
      </c>
      <c r="N59" s="30">
        <f>IF(B59="","",IFERROR(IF(INDEX(Data!$U$2:$U$700,MATCH(47,Data!$B$2:$B$700,0))="","",INDEX(Data!$U$2:$U$700,MATCH(47,Data!$B$2:$B$700,0))),""))</f>
        <v/>
      </c>
      <c r="O59" s="29">
        <f>IF(B59="","",IFERROR(IF(INDEX(Data!$V$2:$V$700,MATCH(47,Data!$B$2:$B$700,0))="","",INDEX(Data!$V$2:$V$700,MATCH(47,Data!$B$2:$B$700,0))),""))</f>
        <v/>
      </c>
      <c r="P59" s="29">
        <f>IF(B59="","",IFERROR(IF(INDEX(Data!$M$2:$M$700,MATCH(47,Data!$B$2:$B$700,0))="","",INDEX(Data!$M$2:$M$700,MATCH(47,Data!$B$2:$B$700,0))),""))</f>
        <v/>
      </c>
      <c r="Q59" s="23">
        <f>IF(OR(B59="",IFERROR(IF(INDEX(Data!$Y$2:$Y$700,MATCH(47,Data!$B$2:$B$700,0))="","",INDEX(Data!$Y$2:$Y$700,MATCH(47,Data!$B$2:$B$700,0))),"")=""),"",IFERROR(IF(INDEX(Data!$Y$2:$Y$700,MATCH(47,Data!$B$2:$B$700,0))="","",INDEX(Data!$Y$2:$Y$700,MATCH(47,Data!$B$2:$B$700,0))),"")&amp;" / "&amp;IFERROR(IF(INDEX(Data!$Z$2:$Z$700,MATCH(47,Data!$B$2:$B$700,0))="","",INDEX(Data!$Z$2:$Z$700,MATCH(47,Data!$B$2:$B$700,0))),""))</f>
        <v/>
      </c>
      <c r="R59" s="23">
        <f>IF(B59="","",IFERROR(IF(INDEX(Data!$L$2:$L$700,MATCH(47,Data!$B$2:$B$700,0))="","",INDEX(Data!$L$2:$L$700,MATCH(47,Data!$B$2:$B$700,0))),""))</f>
        <v/>
      </c>
    </row>
    <row r="60" ht="62" customHeight="1">
      <c r="B60" s="23">
        <f>IF(48&lt;=COUNTIF(Data!$A$2:$A$700,TRUE),48,"")</f>
        <v/>
      </c>
      <c r="C60" s="24">
        <f>IF(B60="","",IFERROR(_xlfn.IMAGE(IFERROR(IF(INDEX(Data!$J$2:$J$700,MATCH(48,Data!$B$2:$B$700,0))="","",INDEX(Data!$J$2:$J$700,MATCH(48,Data!$B$2:$B$700,0))),"")),"IMAGE MISSING"))</f>
        <v/>
      </c>
      <c r="D60" s="25">
        <f>IF(B60="","",IFERROR(IF(INDEX(Data!$G$2:$G$700,MATCH(48,Data!$B$2:$B$700,0))="","",INDEX(Data!$G$2:$G$700,MATCH(48,Data!$B$2:$B$700,0))),"")&amp;CHAR(10)&amp;IFERROR(IF(INDEX(Data!$H$2:$H$700,MATCH(48,Data!$B$2:$B$700,0))="","",INDEX(Data!$H$2:$H$700,MATCH(48,Data!$B$2:$B$700,0))),""))</f>
        <v/>
      </c>
      <c r="E60" s="23">
        <f>IF(B60="","",IFERROR(IF(INDEX(Data!$I$2:$I$700,MATCH(48,Data!$B$2:$B$700,0))="","",INDEX(Data!$I$2:$I$700,MATCH(48,Data!$B$2:$B$700,0))),""))</f>
        <v/>
      </c>
      <c r="F60" s="23">
        <f>IF(B60="","",IFERROR(IF(INDEX(Data!$D$2:$D$700,MATCH(48,Data!$B$2:$B$700,0))="","",INDEX(Data!$D$2:$D$700,MATCH(48,Data!$B$2:$B$700,0))),""))</f>
        <v/>
      </c>
      <c r="G60" s="23">
        <f>IF(B60="","",IFERROR(IF(INDEX(Data!$E$2:$E$700,MATCH(48,Data!$B$2:$B$700,0))="","",INDEX(Data!$E$2:$E$700,MATCH(48,Data!$B$2:$B$700,0))),""))</f>
        <v/>
      </c>
      <c r="H60" s="26">
        <f>IF(B60="","",IFERROR(IF(INDEX(Data!$N$2:$N$700,MATCH(48,Data!$B$2:$B$700,0))="","",INDEX(Data!$N$2:$N$700,MATCH(48,Data!$B$2:$B$700,0))),""))</f>
        <v/>
      </c>
      <c r="I60" s="26">
        <f>IF(B60="","",IFERROR(IF(INDEX(Data!$O$2:$O$700,MATCH(48,Data!$B$2:$B$700,0))="","",INDEX(Data!$O$2:$O$700,MATCH(48,Data!$B$2:$B$700,0))),""))</f>
        <v/>
      </c>
      <c r="J60" s="27">
        <f>IF(B60="","",IFERROR(IF(INDEX(Data!$P$2:$P$700,MATCH(48,Data!$B$2:$B$700,0))="","",INDEX(Data!$P$2:$P$700,MATCH(48,Data!$B$2:$B$700,0))),""))</f>
        <v/>
      </c>
      <c r="K60" s="28">
        <f>IF(B60="","",IFERROR(IF(INDEX(Data!$R$2:$R$700,MATCH(48,Data!$B$2:$B$700,0))="","",INDEX(Data!$R$2:$R$700,MATCH(48,Data!$B$2:$B$700,0))),""))</f>
        <v/>
      </c>
      <c r="L60" s="29">
        <f>IF(B60="","",IFERROR(IF(INDEX(Data!$S$2:$S$700,MATCH(48,Data!$B$2:$B$700,0))="","",INDEX(Data!$S$2:$S$700,MATCH(48,Data!$B$2:$B$700,0))),""))</f>
        <v/>
      </c>
      <c r="M60" s="29">
        <f>IF(B60="","",IFERROR(IF(INDEX(Data!$T$2:$T$700,MATCH(48,Data!$B$2:$B$700,0))="","",INDEX(Data!$T$2:$T$700,MATCH(48,Data!$B$2:$B$700,0))),""))</f>
        <v/>
      </c>
      <c r="N60" s="30">
        <f>IF(B60="","",IFERROR(IF(INDEX(Data!$U$2:$U$700,MATCH(48,Data!$B$2:$B$700,0))="","",INDEX(Data!$U$2:$U$700,MATCH(48,Data!$B$2:$B$700,0))),""))</f>
        <v/>
      </c>
      <c r="O60" s="29">
        <f>IF(B60="","",IFERROR(IF(INDEX(Data!$V$2:$V$700,MATCH(48,Data!$B$2:$B$700,0))="","",INDEX(Data!$V$2:$V$700,MATCH(48,Data!$B$2:$B$700,0))),""))</f>
        <v/>
      </c>
      <c r="P60" s="29">
        <f>IF(B60="","",IFERROR(IF(INDEX(Data!$M$2:$M$700,MATCH(48,Data!$B$2:$B$700,0))="","",INDEX(Data!$M$2:$M$700,MATCH(48,Data!$B$2:$B$700,0))),""))</f>
        <v/>
      </c>
      <c r="Q60" s="23">
        <f>IF(OR(B60="",IFERROR(IF(INDEX(Data!$Y$2:$Y$700,MATCH(48,Data!$B$2:$B$700,0))="","",INDEX(Data!$Y$2:$Y$700,MATCH(48,Data!$B$2:$B$700,0))),"")=""),"",IFERROR(IF(INDEX(Data!$Y$2:$Y$700,MATCH(48,Data!$B$2:$B$700,0))="","",INDEX(Data!$Y$2:$Y$700,MATCH(48,Data!$B$2:$B$700,0))),"")&amp;" / "&amp;IFERROR(IF(INDEX(Data!$Z$2:$Z$700,MATCH(48,Data!$B$2:$B$700,0))="","",INDEX(Data!$Z$2:$Z$700,MATCH(48,Data!$B$2:$B$700,0))),""))</f>
        <v/>
      </c>
      <c r="R60" s="23">
        <f>IF(B60="","",IFERROR(IF(INDEX(Data!$L$2:$L$700,MATCH(48,Data!$B$2:$B$700,0))="","",INDEX(Data!$L$2:$L$700,MATCH(48,Data!$B$2:$B$700,0))),""))</f>
        <v/>
      </c>
    </row>
    <row r="61" ht="62" customHeight="1">
      <c r="B61" s="23">
        <f>IF(49&lt;=COUNTIF(Data!$A$2:$A$700,TRUE),49,"")</f>
        <v/>
      </c>
      <c r="C61" s="24">
        <f>IF(B61="","",IFERROR(_xlfn.IMAGE(IFERROR(IF(INDEX(Data!$J$2:$J$700,MATCH(49,Data!$B$2:$B$700,0))="","",INDEX(Data!$J$2:$J$700,MATCH(49,Data!$B$2:$B$700,0))),"")),"IMAGE MISSING"))</f>
        <v/>
      </c>
      <c r="D61" s="25">
        <f>IF(B61="","",IFERROR(IF(INDEX(Data!$G$2:$G$700,MATCH(49,Data!$B$2:$B$700,0))="","",INDEX(Data!$G$2:$G$700,MATCH(49,Data!$B$2:$B$700,0))),"")&amp;CHAR(10)&amp;IFERROR(IF(INDEX(Data!$H$2:$H$700,MATCH(49,Data!$B$2:$B$700,0))="","",INDEX(Data!$H$2:$H$700,MATCH(49,Data!$B$2:$B$700,0))),""))</f>
        <v/>
      </c>
      <c r="E61" s="23">
        <f>IF(B61="","",IFERROR(IF(INDEX(Data!$I$2:$I$700,MATCH(49,Data!$B$2:$B$700,0))="","",INDEX(Data!$I$2:$I$700,MATCH(49,Data!$B$2:$B$700,0))),""))</f>
        <v/>
      </c>
      <c r="F61" s="23">
        <f>IF(B61="","",IFERROR(IF(INDEX(Data!$D$2:$D$700,MATCH(49,Data!$B$2:$B$700,0))="","",INDEX(Data!$D$2:$D$700,MATCH(49,Data!$B$2:$B$700,0))),""))</f>
        <v/>
      </c>
      <c r="G61" s="23">
        <f>IF(B61="","",IFERROR(IF(INDEX(Data!$E$2:$E$700,MATCH(49,Data!$B$2:$B$700,0))="","",INDEX(Data!$E$2:$E$700,MATCH(49,Data!$B$2:$B$700,0))),""))</f>
        <v/>
      </c>
      <c r="H61" s="26">
        <f>IF(B61="","",IFERROR(IF(INDEX(Data!$N$2:$N$700,MATCH(49,Data!$B$2:$B$700,0))="","",INDEX(Data!$N$2:$N$700,MATCH(49,Data!$B$2:$B$700,0))),""))</f>
        <v/>
      </c>
      <c r="I61" s="26">
        <f>IF(B61="","",IFERROR(IF(INDEX(Data!$O$2:$O$700,MATCH(49,Data!$B$2:$B$700,0))="","",INDEX(Data!$O$2:$O$700,MATCH(49,Data!$B$2:$B$700,0))),""))</f>
        <v/>
      </c>
      <c r="J61" s="27">
        <f>IF(B61="","",IFERROR(IF(INDEX(Data!$P$2:$P$700,MATCH(49,Data!$B$2:$B$700,0))="","",INDEX(Data!$P$2:$P$700,MATCH(49,Data!$B$2:$B$700,0))),""))</f>
        <v/>
      </c>
      <c r="K61" s="28">
        <f>IF(B61="","",IFERROR(IF(INDEX(Data!$R$2:$R$700,MATCH(49,Data!$B$2:$B$700,0))="","",INDEX(Data!$R$2:$R$700,MATCH(49,Data!$B$2:$B$700,0))),""))</f>
        <v/>
      </c>
      <c r="L61" s="29">
        <f>IF(B61="","",IFERROR(IF(INDEX(Data!$S$2:$S$700,MATCH(49,Data!$B$2:$B$700,0))="","",INDEX(Data!$S$2:$S$700,MATCH(49,Data!$B$2:$B$700,0))),""))</f>
        <v/>
      </c>
      <c r="M61" s="29">
        <f>IF(B61="","",IFERROR(IF(INDEX(Data!$T$2:$T$700,MATCH(49,Data!$B$2:$B$700,0))="","",INDEX(Data!$T$2:$T$700,MATCH(49,Data!$B$2:$B$700,0))),""))</f>
        <v/>
      </c>
      <c r="N61" s="30">
        <f>IF(B61="","",IFERROR(IF(INDEX(Data!$U$2:$U$700,MATCH(49,Data!$B$2:$B$700,0))="","",INDEX(Data!$U$2:$U$700,MATCH(49,Data!$B$2:$B$700,0))),""))</f>
        <v/>
      </c>
      <c r="O61" s="29">
        <f>IF(B61="","",IFERROR(IF(INDEX(Data!$V$2:$V$700,MATCH(49,Data!$B$2:$B$700,0))="","",INDEX(Data!$V$2:$V$700,MATCH(49,Data!$B$2:$B$700,0))),""))</f>
        <v/>
      </c>
      <c r="P61" s="29">
        <f>IF(B61="","",IFERROR(IF(INDEX(Data!$M$2:$M$700,MATCH(49,Data!$B$2:$B$700,0))="","",INDEX(Data!$M$2:$M$700,MATCH(49,Data!$B$2:$B$700,0))),""))</f>
        <v/>
      </c>
      <c r="Q61" s="23">
        <f>IF(OR(B61="",IFERROR(IF(INDEX(Data!$Y$2:$Y$700,MATCH(49,Data!$B$2:$B$700,0))="","",INDEX(Data!$Y$2:$Y$700,MATCH(49,Data!$B$2:$B$700,0))),"")=""),"",IFERROR(IF(INDEX(Data!$Y$2:$Y$700,MATCH(49,Data!$B$2:$B$700,0))="","",INDEX(Data!$Y$2:$Y$700,MATCH(49,Data!$B$2:$B$700,0))),"")&amp;" / "&amp;IFERROR(IF(INDEX(Data!$Z$2:$Z$700,MATCH(49,Data!$B$2:$B$700,0))="","",INDEX(Data!$Z$2:$Z$700,MATCH(49,Data!$B$2:$B$700,0))),""))</f>
        <v/>
      </c>
      <c r="R61" s="23">
        <f>IF(B61="","",IFERROR(IF(INDEX(Data!$L$2:$L$700,MATCH(49,Data!$B$2:$B$700,0))="","",INDEX(Data!$L$2:$L$700,MATCH(49,Data!$B$2:$B$700,0))),""))</f>
        <v/>
      </c>
    </row>
    <row r="62" ht="62" customHeight="1">
      <c r="B62" s="23">
        <f>IF(50&lt;=COUNTIF(Data!$A$2:$A$700,TRUE),50,"")</f>
        <v/>
      </c>
      <c r="C62" s="24">
        <f>IF(B62="","",IFERROR(_xlfn.IMAGE(IFERROR(IF(INDEX(Data!$J$2:$J$700,MATCH(50,Data!$B$2:$B$700,0))="","",INDEX(Data!$J$2:$J$700,MATCH(50,Data!$B$2:$B$700,0))),"")),"IMAGE MISSING"))</f>
        <v/>
      </c>
      <c r="D62" s="25">
        <f>IF(B62="","",IFERROR(IF(INDEX(Data!$G$2:$G$700,MATCH(50,Data!$B$2:$B$700,0))="","",INDEX(Data!$G$2:$G$700,MATCH(50,Data!$B$2:$B$700,0))),"")&amp;CHAR(10)&amp;IFERROR(IF(INDEX(Data!$H$2:$H$700,MATCH(50,Data!$B$2:$B$700,0))="","",INDEX(Data!$H$2:$H$700,MATCH(50,Data!$B$2:$B$700,0))),""))</f>
        <v/>
      </c>
      <c r="E62" s="23">
        <f>IF(B62="","",IFERROR(IF(INDEX(Data!$I$2:$I$700,MATCH(50,Data!$B$2:$B$700,0))="","",INDEX(Data!$I$2:$I$700,MATCH(50,Data!$B$2:$B$700,0))),""))</f>
        <v/>
      </c>
      <c r="F62" s="23">
        <f>IF(B62="","",IFERROR(IF(INDEX(Data!$D$2:$D$700,MATCH(50,Data!$B$2:$B$700,0))="","",INDEX(Data!$D$2:$D$700,MATCH(50,Data!$B$2:$B$700,0))),""))</f>
        <v/>
      </c>
      <c r="G62" s="23">
        <f>IF(B62="","",IFERROR(IF(INDEX(Data!$E$2:$E$700,MATCH(50,Data!$B$2:$B$700,0))="","",INDEX(Data!$E$2:$E$700,MATCH(50,Data!$B$2:$B$700,0))),""))</f>
        <v/>
      </c>
      <c r="H62" s="26">
        <f>IF(B62="","",IFERROR(IF(INDEX(Data!$N$2:$N$700,MATCH(50,Data!$B$2:$B$700,0))="","",INDEX(Data!$N$2:$N$700,MATCH(50,Data!$B$2:$B$700,0))),""))</f>
        <v/>
      </c>
      <c r="I62" s="26">
        <f>IF(B62="","",IFERROR(IF(INDEX(Data!$O$2:$O$700,MATCH(50,Data!$B$2:$B$700,0))="","",INDEX(Data!$O$2:$O$700,MATCH(50,Data!$B$2:$B$700,0))),""))</f>
        <v/>
      </c>
      <c r="J62" s="27">
        <f>IF(B62="","",IFERROR(IF(INDEX(Data!$P$2:$P$700,MATCH(50,Data!$B$2:$B$700,0))="","",INDEX(Data!$P$2:$P$700,MATCH(50,Data!$B$2:$B$700,0))),""))</f>
        <v/>
      </c>
      <c r="K62" s="28">
        <f>IF(B62="","",IFERROR(IF(INDEX(Data!$R$2:$R$700,MATCH(50,Data!$B$2:$B$700,0))="","",INDEX(Data!$R$2:$R$700,MATCH(50,Data!$B$2:$B$700,0))),""))</f>
        <v/>
      </c>
      <c r="L62" s="29">
        <f>IF(B62="","",IFERROR(IF(INDEX(Data!$S$2:$S$700,MATCH(50,Data!$B$2:$B$700,0))="","",INDEX(Data!$S$2:$S$700,MATCH(50,Data!$B$2:$B$700,0))),""))</f>
        <v/>
      </c>
      <c r="M62" s="29">
        <f>IF(B62="","",IFERROR(IF(INDEX(Data!$T$2:$T$700,MATCH(50,Data!$B$2:$B$700,0))="","",INDEX(Data!$T$2:$T$700,MATCH(50,Data!$B$2:$B$700,0))),""))</f>
        <v/>
      </c>
      <c r="N62" s="30">
        <f>IF(B62="","",IFERROR(IF(INDEX(Data!$U$2:$U$700,MATCH(50,Data!$B$2:$B$700,0))="","",INDEX(Data!$U$2:$U$700,MATCH(50,Data!$B$2:$B$700,0))),""))</f>
        <v/>
      </c>
      <c r="O62" s="29">
        <f>IF(B62="","",IFERROR(IF(INDEX(Data!$V$2:$V$700,MATCH(50,Data!$B$2:$B$700,0))="","",INDEX(Data!$V$2:$V$700,MATCH(50,Data!$B$2:$B$700,0))),""))</f>
        <v/>
      </c>
      <c r="P62" s="29">
        <f>IF(B62="","",IFERROR(IF(INDEX(Data!$M$2:$M$700,MATCH(50,Data!$B$2:$B$700,0))="","",INDEX(Data!$M$2:$M$700,MATCH(50,Data!$B$2:$B$700,0))),""))</f>
        <v/>
      </c>
      <c r="Q62" s="23">
        <f>IF(OR(B62="",IFERROR(IF(INDEX(Data!$Y$2:$Y$700,MATCH(50,Data!$B$2:$B$700,0))="","",INDEX(Data!$Y$2:$Y$700,MATCH(50,Data!$B$2:$B$700,0))),"")=""),"",IFERROR(IF(INDEX(Data!$Y$2:$Y$700,MATCH(50,Data!$B$2:$B$700,0))="","",INDEX(Data!$Y$2:$Y$700,MATCH(50,Data!$B$2:$B$700,0))),"")&amp;" / "&amp;IFERROR(IF(INDEX(Data!$Z$2:$Z$700,MATCH(50,Data!$B$2:$B$700,0))="","",INDEX(Data!$Z$2:$Z$700,MATCH(50,Data!$B$2:$B$700,0))),""))</f>
        <v/>
      </c>
      <c r="R62" s="23">
        <f>IF(B62="","",IFERROR(IF(INDEX(Data!$L$2:$L$700,MATCH(50,Data!$B$2:$B$700,0))="","",INDEX(Data!$L$2:$L$700,MATCH(50,Data!$B$2:$B$700,0))),""))</f>
        <v/>
      </c>
    </row>
    <row r="63" ht="62" customHeight="1">
      <c r="B63" s="23">
        <f>IF(51&lt;=COUNTIF(Data!$A$2:$A$700,TRUE),51,"")</f>
        <v/>
      </c>
      <c r="C63" s="24">
        <f>IF(B63="","",IFERROR(_xlfn.IMAGE(IFERROR(IF(INDEX(Data!$J$2:$J$700,MATCH(51,Data!$B$2:$B$700,0))="","",INDEX(Data!$J$2:$J$700,MATCH(51,Data!$B$2:$B$700,0))),"")),"IMAGE MISSING"))</f>
        <v/>
      </c>
      <c r="D63" s="25">
        <f>IF(B63="","",IFERROR(IF(INDEX(Data!$G$2:$G$700,MATCH(51,Data!$B$2:$B$700,0))="","",INDEX(Data!$G$2:$G$700,MATCH(51,Data!$B$2:$B$700,0))),"")&amp;CHAR(10)&amp;IFERROR(IF(INDEX(Data!$H$2:$H$700,MATCH(51,Data!$B$2:$B$700,0))="","",INDEX(Data!$H$2:$H$700,MATCH(51,Data!$B$2:$B$700,0))),""))</f>
        <v/>
      </c>
      <c r="E63" s="23">
        <f>IF(B63="","",IFERROR(IF(INDEX(Data!$I$2:$I$700,MATCH(51,Data!$B$2:$B$700,0))="","",INDEX(Data!$I$2:$I$700,MATCH(51,Data!$B$2:$B$700,0))),""))</f>
        <v/>
      </c>
      <c r="F63" s="23">
        <f>IF(B63="","",IFERROR(IF(INDEX(Data!$D$2:$D$700,MATCH(51,Data!$B$2:$B$700,0))="","",INDEX(Data!$D$2:$D$700,MATCH(51,Data!$B$2:$B$700,0))),""))</f>
        <v/>
      </c>
      <c r="G63" s="23">
        <f>IF(B63="","",IFERROR(IF(INDEX(Data!$E$2:$E$700,MATCH(51,Data!$B$2:$B$700,0))="","",INDEX(Data!$E$2:$E$700,MATCH(51,Data!$B$2:$B$700,0))),""))</f>
        <v/>
      </c>
      <c r="H63" s="26">
        <f>IF(B63="","",IFERROR(IF(INDEX(Data!$N$2:$N$700,MATCH(51,Data!$B$2:$B$700,0))="","",INDEX(Data!$N$2:$N$700,MATCH(51,Data!$B$2:$B$700,0))),""))</f>
        <v/>
      </c>
      <c r="I63" s="26">
        <f>IF(B63="","",IFERROR(IF(INDEX(Data!$O$2:$O$700,MATCH(51,Data!$B$2:$B$700,0))="","",INDEX(Data!$O$2:$O$700,MATCH(51,Data!$B$2:$B$700,0))),""))</f>
        <v/>
      </c>
      <c r="J63" s="27">
        <f>IF(B63="","",IFERROR(IF(INDEX(Data!$P$2:$P$700,MATCH(51,Data!$B$2:$B$700,0))="","",INDEX(Data!$P$2:$P$700,MATCH(51,Data!$B$2:$B$700,0))),""))</f>
        <v/>
      </c>
      <c r="K63" s="28">
        <f>IF(B63="","",IFERROR(IF(INDEX(Data!$R$2:$R$700,MATCH(51,Data!$B$2:$B$700,0))="","",INDEX(Data!$R$2:$R$700,MATCH(51,Data!$B$2:$B$700,0))),""))</f>
        <v/>
      </c>
      <c r="L63" s="29">
        <f>IF(B63="","",IFERROR(IF(INDEX(Data!$S$2:$S$700,MATCH(51,Data!$B$2:$B$700,0))="","",INDEX(Data!$S$2:$S$700,MATCH(51,Data!$B$2:$B$700,0))),""))</f>
        <v/>
      </c>
      <c r="M63" s="29">
        <f>IF(B63="","",IFERROR(IF(INDEX(Data!$T$2:$T$700,MATCH(51,Data!$B$2:$B$700,0))="","",INDEX(Data!$T$2:$T$700,MATCH(51,Data!$B$2:$B$700,0))),""))</f>
        <v/>
      </c>
      <c r="N63" s="30">
        <f>IF(B63="","",IFERROR(IF(INDEX(Data!$U$2:$U$700,MATCH(51,Data!$B$2:$B$700,0))="","",INDEX(Data!$U$2:$U$700,MATCH(51,Data!$B$2:$B$700,0))),""))</f>
        <v/>
      </c>
      <c r="O63" s="29">
        <f>IF(B63="","",IFERROR(IF(INDEX(Data!$V$2:$V$700,MATCH(51,Data!$B$2:$B$700,0))="","",INDEX(Data!$V$2:$V$700,MATCH(51,Data!$B$2:$B$700,0))),""))</f>
        <v/>
      </c>
      <c r="P63" s="29">
        <f>IF(B63="","",IFERROR(IF(INDEX(Data!$M$2:$M$700,MATCH(51,Data!$B$2:$B$700,0))="","",INDEX(Data!$M$2:$M$700,MATCH(51,Data!$B$2:$B$700,0))),""))</f>
        <v/>
      </c>
      <c r="Q63" s="23">
        <f>IF(OR(B63="",IFERROR(IF(INDEX(Data!$Y$2:$Y$700,MATCH(51,Data!$B$2:$B$700,0))="","",INDEX(Data!$Y$2:$Y$700,MATCH(51,Data!$B$2:$B$700,0))),"")=""),"",IFERROR(IF(INDEX(Data!$Y$2:$Y$700,MATCH(51,Data!$B$2:$B$700,0))="","",INDEX(Data!$Y$2:$Y$700,MATCH(51,Data!$B$2:$B$700,0))),"")&amp;" / "&amp;IFERROR(IF(INDEX(Data!$Z$2:$Z$700,MATCH(51,Data!$B$2:$B$700,0))="","",INDEX(Data!$Z$2:$Z$700,MATCH(51,Data!$B$2:$B$700,0))),""))</f>
        <v/>
      </c>
      <c r="R63" s="23">
        <f>IF(B63="","",IFERROR(IF(INDEX(Data!$L$2:$L$700,MATCH(51,Data!$B$2:$B$700,0))="","",INDEX(Data!$L$2:$L$700,MATCH(51,Data!$B$2:$B$700,0))),""))</f>
        <v/>
      </c>
    </row>
    <row r="64" ht="62" customHeight="1">
      <c r="B64" s="23">
        <f>IF(52&lt;=COUNTIF(Data!$A$2:$A$700,TRUE),52,"")</f>
        <v/>
      </c>
      <c r="C64" s="24">
        <f>IF(B64="","",IFERROR(_xlfn.IMAGE(IFERROR(IF(INDEX(Data!$J$2:$J$700,MATCH(52,Data!$B$2:$B$700,0))="","",INDEX(Data!$J$2:$J$700,MATCH(52,Data!$B$2:$B$700,0))),"")),"IMAGE MISSING"))</f>
        <v/>
      </c>
      <c r="D64" s="25">
        <f>IF(B64="","",IFERROR(IF(INDEX(Data!$G$2:$G$700,MATCH(52,Data!$B$2:$B$700,0))="","",INDEX(Data!$G$2:$G$700,MATCH(52,Data!$B$2:$B$700,0))),"")&amp;CHAR(10)&amp;IFERROR(IF(INDEX(Data!$H$2:$H$700,MATCH(52,Data!$B$2:$B$700,0))="","",INDEX(Data!$H$2:$H$700,MATCH(52,Data!$B$2:$B$700,0))),""))</f>
        <v/>
      </c>
      <c r="E64" s="23">
        <f>IF(B64="","",IFERROR(IF(INDEX(Data!$I$2:$I$700,MATCH(52,Data!$B$2:$B$700,0))="","",INDEX(Data!$I$2:$I$700,MATCH(52,Data!$B$2:$B$700,0))),""))</f>
        <v/>
      </c>
      <c r="F64" s="23">
        <f>IF(B64="","",IFERROR(IF(INDEX(Data!$D$2:$D$700,MATCH(52,Data!$B$2:$B$700,0))="","",INDEX(Data!$D$2:$D$700,MATCH(52,Data!$B$2:$B$700,0))),""))</f>
        <v/>
      </c>
      <c r="G64" s="23">
        <f>IF(B64="","",IFERROR(IF(INDEX(Data!$E$2:$E$700,MATCH(52,Data!$B$2:$B$700,0))="","",INDEX(Data!$E$2:$E$700,MATCH(52,Data!$B$2:$B$700,0))),""))</f>
        <v/>
      </c>
      <c r="H64" s="26">
        <f>IF(B64="","",IFERROR(IF(INDEX(Data!$N$2:$N$700,MATCH(52,Data!$B$2:$B$700,0))="","",INDEX(Data!$N$2:$N$700,MATCH(52,Data!$B$2:$B$700,0))),""))</f>
        <v/>
      </c>
      <c r="I64" s="26">
        <f>IF(B64="","",IFERROR(IF(INDEX(Data!$O$2:$O$700,MATCH(52,Data!$B$2:$B$700,0))="","",INDEX(Data!$O$2:$O$700,MATCH(52,Data!$B$2:$B$700,0))),""))</f>
        <v/>
      </c>
      <c r="J64" s="27">
        <f>IF(B64="","",IFERROR(IF(INDEX(Data!$P$2:$P$700,MATCH(52,Data!$B$2:$B$700,0))="","",INDEX(Data!$P$2:$P$700,MATCH(52,Data!$B$2:$B$700,0))),""))</f>
        <v/>
      </c>
      <c r="K64" s="28">
        <f>IF(B64="","",IFERROR(IF(INDEX(Data!$R$2:$R$700,MATCH(52,Data!$B$2:$B$700,0))="","",INDEX(Data!$R$2:$R$700,MATCH(52,Data!$B$2:$B$700,0))),""))</f>
        <v/>
      </c>
      <c r="L64" s="29">
        <f>IF(B64="","",IFERROR(IF(INDEX(Data!$S$2:$S$700,MATCH(52,Data!$B$2:$B$700,0))="","",INDEX(Data!$S$2:$S$700,MATCH(52,Data!$B$2:$B$700,0))),""))</f>
        <v/>
      </c>
      <c r="M64" s="29">
        <f>IF(B64="","",IFERROR(IF(INDEX(Data!$T$2:$T$700,MATCH(52,Data!$B$2:$B$700,0))="","",INDEX(Data!$T$2:$T$700,MATCH(52,Data!$B$2:$B$700,0))),""))</f>
        <v/>
      </c>
      <c r="N64" s="30">
        <f>IF(B64="","",IFERROR(IF(INDEX(Data!$U$2:$U$700,MATCH(52,Data!$B$2:$B$700,0))="","",INDEX(Data!$U$2:$U$700,MATCH(52,Data!$B$2:$B$700,0))),""))</f>
        <v/>
      </c>
      <c r="O64" s="29">
        <f>IF(B64="","",IFERROR(IF(INDEX(Data!$V$2:$V$700,MATCH(52,Data!$B$2:$B$700,0))="","",INDEX(Data!$V$2:$V$700,MATCH(52,Data!$B$2:$B$700,0))),""))</f>
        <v/>
      </c>
      <c r="P64" s="29">
        <f>IF(B64="","",IFERROR(IF(INDEX(Data!$M$2:$M$700,MATCH(52,Data!$B$2:$B$700,0))="","",INDEX(Data!$M$2:$M$700,MATCH(52,Data!$B$2:$B$700,0))),""))</f>
        <v/>
      </c>
      <c r="Q64" s="23">
        <f>IF(OR(B64="",IFERROR(IF(INDEX(Data!$Y$2:$Y$700,MATCH(52,Data!$B$2:$B$700,0))="","",INDEX(Data!$Y$2:$Y$700,MATCH(52,Data!$B$2:$B$700,0))),"")=""),"",IFERROR(IF(INDEX(Data!$Y$2:$Y$700,MATCH(52,Data!$B$2:$B$700,0))="","",INDEX(Data!$Y$2:$Y$700,MATCH(52,Data!$B$2:$B$700,0))),"")&amp;" / "&amp;IFERROR(IF(INDEX(Data!$Z$2:$Z$700,MATCH(52,Data!$B$2:$B$700,0))="","",INDEX(Data!$Z$2:$Z$700,MATCH(52,Data!$B$2:$B$700,0))),""))</f>
        <v/>
      </c>
      <c r="R64" s="23">
        <f>IF(B64="","",IFERROR(IF(INDEX(Data!$L$2:$L$700,MATCH(52,Data!$B$2:$B$700,0))="","",INDEX(Data!$L$2:$L$700,MATCH(52,Data!$B$2:$B$700,0))),""))</f>
        <v/>
      </c>
    </row>
    <row r="65" ht="62" customHeight="1">
      <c r="B65" s="23">
        <f>IF(53&lt;=COUNTIF(Data!$A$2:$A$700,TRUE),53,"")</f>
        <v/>
      </c>
      <c r="C65" s="24">
        <f>IF(B65="","",IFERROR(_xlfn.IMAGE(IFERROR(IF(INDEX(Data!$J$2:$J$700,MATCH(53,Data!$B$2:$B$700,0))="","",INDEX(Data!$J$2:$J$700,MATCH(53,Data!$B$2:$B$700,0))),"")),"IMAGE MISSING"))</f>
        <v/>
      </c>
      <c r="D65" s="25">
        <f>IF(B65="","",IFERROR(IF(INDEX(Data!$G$2:$G$700,MATCH(53,Data!$B$2:$B$700,0))="","",INDEX(Data!$G$2:$G$700,MATCH(53,Data!$B$2:$B$700,0))),"")&amp;CHAR(10)&amp;IFERROR(IF(INDEX(Data!$H$2:$H$700,MATCH(53,Data!$B$2:$B$700,0))="","",INDEX(Data!$H$2:$H$700,MATCH(53,Data!$B$2:$B$700,0))),""))</f>
        <v/>
      </c>
      <c r="E65" s="23">
        <f>IF(B65="","",IFERROR(IF(INDEX(Data!$I$2:$I$700,MATCH(53,Data!$B$2:$B$700,0))="","",INDEX(Data!$I$2:$I$700,MATCH(53,Data!$B$2:$B$700,0))),""))</f>
        <v/>
      </c>
      <c r="F65" s="23">
        <f>IF(B65="","",IFERROR(IF(INDEX(Data!$D$2:$D$700,MATCH(53,Data!$B$2:$B$700,0))="","",INDEX(Data!$D$2:$D$700,MATCH(53,Data!$B$2:$B$700,0))),""))</f>
        <v/>
      </c>
      <c r="G65" s="23">
        <f>IF(B65="","",IFERROR(IF(INDEX(Data!$E$2:$E$700,MATCH(53,Data!$B$2:$B$700,0))="","",INDEX(Data!$E$2:$E$700,MATCH(53,Data!$B$2:$B$700,0))),""))</f>
        <v/>
      </c>
      <c r="H65" s="26">
        <f>IF(B65="","",IFERROR(IF(INDEX(Data!$N$2:$N$700,MATCH(53,Data!$B$2:$B$700,0))="","",INDEX(Data!$N$2:$N$700,MATCH(53,Data!$B$2:$B$700,0))),""))</f>
        <v/>
      </c>
      <c r="I65" s="26">
        <f>IF(B65="","",IFERROR(IF(INDEX(Data!$O$2:$O$700,MATCH(53,Data!$B$2:$B$700,0))="","",INDEX(Data!$O$2:$O$700,MATCH(53,Data!$B$2:$B$700,0))),""))</f>
        <v/>
      </c>
      <c r="J65" s="27">
        <f>IF(B65="","",IFERROR(IF(INDEX(Data!$P$2:$P$700,MATCH(53,Data!$B$2:$B$700,0))="","",INDEX(Data!$P$2:$P$700,MATCH(53,Data!$B$2:$B$700,0))),""))</f>
        <v/>
      </c>
      <c r="K65" s="28">
        <f>IF(B65="","",IFERROR(IF(INDEX(Data!$R$2:$R$700,MATCH(53,Data!$B$2:$B$700,0))="","",INDEX(Data!$R$2:$R$700,MATCH(53,Data!$B$2:$B$700,0))),""))</f>
        <v/>
      </c>
      <c r="L65" s="29">
        <f>IF(B65="","",IFERROR(IF(INDEX(Data!$S$2:$S$700,MATCH(53,Data!$B$2:$B$700,0))="","",INDEX(Data!$S$2:$S$700,MATCH(53,Data!$B$2:$B$700,0))),""))</f>
        <v/>
      </c>
      <c r="M65" s="29">
        <f>IF(B65="","",IFERROR(IF(INDEX(Data!$T$2:$T$700,MATCH(53,Data!$B$2:$B$700,0))="","",INDEX(Data!$T$2:$T$700,MATCH(53,Data!$B$2:$B$700,0))),""))</f>
        <v/>
      </c>
      <c r="N65" s="30">
        <f>IF(B65="","",IFERROR(IF(INDEX(Data!$U$2:$U$700,MATCH(53,Data!$B$2:$B$700,0))="","",INDEX(Data!$U$2:$U$700,MATCH(53,Data!$B$2:$B$700,0))),""))</f>
        <v/>
      </c>
      <c r="O65" s="29">
        <f>IF(B65="","",IFERROR(IF(INDEX(Data!$V$2:$V$700,MATCH(53,Data!$B$2:$B$700,0))="","",INDEX(Data!$V$2:$V$700,MATCH(53,Data!$B$2:$B$700,0))),""))</f>
        <v/>
      </c>
      <c r="P65" s="29">
        <f>IF(B65="","",IFERROR(IF(INDEX(Data!$M$2:$M$700,MATCH(53,Data!$B$2:$B$700,0))="","",INDEX(Data!$M$2:$M$700,MATCH(53,Data!$B$2:$B$700,0))),""))</f>
        <v/>
      </c>
      <c r="Q65" s="23">
        <f>IF(OR(B65="",IFERROR(IF(INDEX(Data!$Y$2:$Y$700,MATCH(53,Data!$B$2:$B$700,0))="","",INDEX(Data!$Y$2:$Y$700,MATCH(53,Data!$B$2:$B$700,0))),"")=""),"",IFERROR(IF(INDEX(Data!$Y$2:$Y$700,MATCH(53,Data!$B$2:$B$700,0))="","",INDEX(Data!$Y$2:$Y$700,MATCH(53,Data!$B$2:$B$700,0))),"")&amp;" / "&amp;IFERROR(IF(INDEX(Data!$Z$2:$Z$700,MATCH(53,Data!$B$2:$B$700,0))="","",INDEX(Data!$Z$2:$Z$700,MATCH(53,Data!$B$2:$B$700,0))),""))</f>
        <v/>
      </c>
      <c r="R65" s="23">
        <f>IF(B65="","",IFERROR(IF(INDEX(Data!$L$2:$L$700,MATCH(53,Data!$B$2:$B$700,0))="","",INDEX(Data!$L$2:$L$700,MATCH(53,Data!$B$2:$B$700,0))),""))</f>
        <v/>
      </c>
    </row>
    <row r="66" ht="62" customHeight="1">
      <c r="B66" s="23">
        <f>IF(54&lt;=COUNTIF(Data!$A$2:$A$700,TRUE),54,"")</f>
        <v/>
      </c>
      <c r="C66" s="24">
        <f>IF(B66="","",IFERROR(_xlfn.IMAGE(IFERROR(IF(INDEX(Data!$J$2:$J$700,MATCH(54,Data!$B$2:$B$700,0))="","",INDEX(Data!$J$2:$J$700,MATCH(54,Data!$B$2:$B$700,0))),"")),"IMAGE MISSING"))</f>
        <v/>
      </c>
      <c r="D66" s="25">
        <f>IF(B66="","",IFERROR(IF(INDEX(Data!$G$2:$G$700,MATCH(54,Data!$B$2:$B$700,0))="","",INDEX(Data!$G$2:$G$700,MATCH(54,Data!$B$2:$B$700,0))),"")&amp;CHAR(10)&amp;IFERROR(IF(INDEX(Data!$H$2:$H$700,MATCH(54,Data!$B$2:$B$700,0))="","",INDEX(Data!$H$2:$H$700,MATCH(54,Data!$B$2:$B$700,0))),""))</f>
        <v/>
      </c>
      <c r="E66" s="23">
        <f>IF(B66="","",IFERROR(IF(INDEX(Data!$I$2:$I$700,MATCH(54,Data!$B$2:$B$700,0))="","",INDEX(Data!$I$2:$I$700,MATCH(54,Data!$B$2:$B$700,0))),""))</f>
        <v/>
      </c>
      <c r="F66" s="23">
        <f>IF(B66="","",IFERROR(IF(INDEX(Data!$D$2:$D$700,MATCH(54,Data!$B$2:$B$700,0))="","",INDEX(Data!$D$2:$D$700,MATCH(54,Data!$B$2:$B$700,0))),""))</f>
        <v/>
      </c>
      <c r="G66" s="23">
        <f>IF(B66="","",IFERROR(IF(INDEX(Data!$E$2:$E$700,MATCH(54,Data!$B$2:$B$700,0))="","",INDEX(Data!$E$2:$E$700,MATCH(54,Data!$B$2:$B$700,0))),""))</f>
        <v/>
      </c>
      <c r="H66" s="26">
        <f>IF(B66="","",IFERROR(IF(INDEX(Data!$N$2:$N$700,MATCH(54,Data!$B$2:$B$700,0))="","",INDEX(Data!$N$2:$N$700,MATCH(54,Data!$B$2:$B$700,0))),""))</f>
        <v/>
      </c>
      <c r="I66" s="26">
        <f>IF(B66="","",IFERROR(IF(INDEX(Data!$O$2:$O$700,MATCH(54,Data!$B$2:$B$700,0))="","",INDEX(Data!$O$2:$O$700,MATCH(54,Data!$B$2:$B$700,0))),""))</f>
        <v/>
      </c>
      <c r="J66" s="27">
        <f>IF(B66="","",IFERROR(IF(INDEX(Data!$P$2:$P$700,MATCH(54,Data!$B$2:$B$700,0))="","",INDEX(Data!$P$2:$P$700,MATCH(54,Data!$B$2:$B$700,0))),""))</f>
        <v/>
      </c>
      <c r="K66" s="28">
        <f>IF(B66="","",IFERROR(IF(INDEX(Data!$R$2:$R$700,MATCH(54,Data!$B$2:$B$700,0))="","",INDEX(Data!$R$2:$R$700,MATCH(54,Data!$B$2:$B$700,0))),""))</f>
        <v/>
      </c>
      <c r="L66" s="29">
        <f>IF(B66="","",IFERROR(IF(INDEX(Data!$S$2:$S$700,MATCH(54,Data!$B$2:$B$700,0))="","",INDEX(Data!$S$2:$S$700,MATCH(54,Data!$B$2:$B$700,0))),""))</f>
        <v/>
      </c>
      <c r="M66" s="29">
        <f>IF(B66="","",IFERROR(IF(INDEX(Data!$T$2:$T$700,MATCH(54,Data!$B$2:$B$700,0))="","",INDEX(Data!$T$2:$T$700,MATCH(54,Data!$B$2:$B$700,0))),""))</f>
        <v/>
      </c>
      <c r="N66" s="30">
        <f>IF(B66="","",IFERROR(IF(INDEX(Data!$U$2:$U$700,MATCH(54,Data!$B$2:$B$700,0))="","",INDEX(Data!$U$2:$U$700,MATCH(54,Data!$B$2:$B$700,0))),""))</f>
        <v/>
      </c>
      <c r="O66" s="29">
        <f>IF(B66="","",IFERROR(IF(INDEX(Data!$V$2:$V$700,MATCH(54,Data!$B$2:$B$700,0))="","",INDEX(Data!$V$2:$V$700,MATCH(54,Data!$B$2:$B$700,0))),""))</f>
        <v/>
      </c>
      <c r="P66" s="29">
        <f>IF(B66="","",IFERROR(IF(INDEX(Data!$M$2:$M$700,MATCH(54,Data!$B$2:$B$700,0))="","",INDEX(Data!$M$2:$M$700,MATCH(54,Data!$B$2:$B$700,0))),""))</f>
        <v/>
      </c>
      <c r="Q66" s="23">
        <f>IF(OR(B66="",IFERROR(IF(INDEX(Data!$Y$2:$Y$700,MATCH(54,Data!$B$2:$B$700,0))="","",INDEX(Data!$Y$2:$Y$700,MATCH(54,Data!$B$2:$B$700,0))),"")=""),"",IFERROR(IF(INDEX(Data!$Y$2:$Y$700,MATCH(54,Data!$B$2:$B$700,0))="","",INDEX(Data!$Y$2:$Y$700,MATCH(54,Data!$B$2:$B$700,0))),"")&amp;" / "&amp;IFERROR(IF(INDEX(Data!$Z$2:$Z$700,MATCH(54,Data!$B$2:$B$700,0))="","",INDEX(Data!$Z$2:$Z$700,MATCH(54,Data!$B$2:$B$700,0))),""))</f>
        <v/>
      </c>
      <c r="R66" s="23">
        <f>IF(B66="","",IFERROR(IF(INDEX(Data!$L$2:$L$700,MATCH(54,Data!$B$2:$B$700,0))="","",INDEX(Data!$L$2:$L$700,MATCH(54,Data!$B$2:$B$700,0))),""))</f>
        <v/>
      </c>
    </row>
    <row r="67" ht="62" customHeight="1">
      <c r="B67" s="23">
        <f>IF(55&lt;=COUNTIF(Data!$A$2:$A$700,TRUE),55,"")</f>
        <v/>
      </c>
      <c r="C67" s="24">
        <f>IF(B67="","",IFERROR(_xlfn.IMAGE(IFERROR(IF(INDEX(Data!$J$2:$J$700,MATCH(55,Data!$B$2:$B$700,0))="","",INDEX(Data!$J$2:$J$700,MATCH(55,Data!$B$2:$B$700,0))),"")),"IMAGE MISSING"))</f>
        <v/>
      </c>
      <c r="D67" s="25">
        <f>IF(B67="","",IFERROR(IF(INDEX(Data!$G$2:$G$700,MATCH(55,Data!$B$2:$B$700,0))="","",INDEX(Data!$G$2:$G$700,MATCH(55,Data!$B$2:$B$700,0))),"")&amp;CHAR(10)&amp;IFERROR(IF(INDEX(Data!$H$2:$H$700,MATCH(55,Data!$B$2:$B$700,0))="","",INDEX(Data!$H$2:$H$700,MATCH(55,Data!$B$2:$B$700,0))),""))</f>
        <v/>
      </c>
      <c r="E67" s="23">
        <f>IF(B67="","",IFERROR(IF(INDEX(Data!$I$2:$I$700,MATCH(55,Data!$B$2:$B$700,0))="","",INDEX(Data!$I$2:$I$700,MATCH(55,Data!$B$2:$B$700,0))),""))</f>
        <v/>
      </c>
      <c r="F67" s="23">
        <f>IF(B67="","",IFERROR(IF(INDEX(Data!$D$2:$D$700,MATCH(55,Data!$B$2:$B$700,0))="","",INDEX(Data!$D$2:$D$700,MATCH(55,Data!$B$2:$B$700,0))),""))</f>
        <v/>
      </c>
      <c r="G67" s="23">
        <f>IF(B67="","",IFERROR(IF(INDEX(Data!$E$2:$E$700,MATCH(55,Data!$B$2:$B$700,0))="","",INDEX(Data!$E$2:$E$700,MATCH(55,Data!$B$2:$B$700,0))),""))</f>
        <v/>
      </c>
      <c r="H67" s="26">
        <f>IF(B67="","",IFERROR(IF(INDEX(Data!$N$2:$N$700,MATCH(55,Data!$B$2:$B$700,0))="","",INDEX(Data!$N$2:$N$700,MATCH(55,Data!$B$2:$B$700,0))),""))</f>
        <v/>
      </c>
      <c r="I67" s="26">
        <f>IF(B67="","",IFERROR(IF(INDEX(Data!$O$2:$O$700,MATCH(55,Data!$B$2:$B$700,0))="","",INDEX(Data!$O$2:$O$700,MATCH(55,Data!$B$2:$B$700,0))),""))</f>
        <v/>
      </c>
      <c r="J67" s="27">
        <f>IF(B67="","",IFERROR(IF(INDEX(Data!$P$2:$P$700,MATCH(55,Data!$B$2:$B$700,0))="","",INDEX(Data!$P$2:$P$700,MATCH(55,Data!$B$2:$B$700,0))),""))</f>
        <v/>
      </c>
      <c r="K67" s="28">
        <f>IF(B67="","",IFERROR(IF(INDEX(Data!$R$2:$R$700,MATCH(55,Data!$B$2:$B$700,0))="","",INDEX(Data!$R$2:$R$700,MATCH(55,Data!$B$2:$B$700,0))),""))</f>
        <v/>
      </c>
      <c r="L67" s="29">
        <f>IF(B67="","",IFERROR(IF(INDEX(Data!$S$2:$S$700,MATCH(55,Data!$B$2:$B$700,0))="","",INDEX(Data!$S$2:$S$700,MATCH(55,Data!$B$2:$B$700,0))),""))</f>
        <v/>
      </c>
      <c r="M67" s="29">
        <f>IF(B67="","",IFERROR(IF(INDEX(Data!$T$2:$T$700,MATCH(55,Data!$B$2:$B$700,0))="","",INDEX(Data!$T$2:$T$700,MATCH(55,Data!$B$2:$B$700,0))),""))</f>
        <v/>
      </c>
      <c r="N67" s="30">
        <f>IF(B67="","",IFERROR(IF(INDEX(Data!$U$2:$U$700,MATCH(55,Data!$B$2:$B$700,0))="","",INDEX(Data!$U$2:$U$700,MATCH(55,Data!$B$2:$B$700,0))),""))</f>
        <v/>
      </c>
      <c r="O67" s="29">
        <f>IF(B67="","",IFERROR(IF(INDEX(Data!$V$2:$V$700,MATCH(55,Data!$B$2:$B$700,0))="","",INDEX(Data!$V$2:$V$700,MATCH(55,Data!$B$2:$B$700,0))),""))</f>
        <v/>
      </c>
      <c r="P67" s="29">
        <f>IF(B67="","",IFERROR(IF(INDEX(Data!$M$2:$M$700,MATCH(55,Data!$B$2:$B$700,0))="","",INDEX(Data!$M$2:$M$700,MATCH(55,Data!$B$2:$B$700,0))),""))</f>
        <v/>
      </c>
      <c r="Q67" s="23">
        <f>IF(OR(B67="",IFERROR(IF(INDEX(Data!$Y$2:$Y$700,MATCH(55,Data!$B$2:$B$700,0))="","",INDEX(Data!$Y$2:$Y$700,MATCH(55,Data!$B$2:$B$700,0))),"")=""),"",IFERROR(IF(INDEX(Data!$Y$2:$Y$700,MATCH(55,Data!$B$2:$B$700,0))="","",INDEX(Data!$Y$2:$Y$700,MATCH(55,Data!$B$2:$B$700,0))),"")&amp;" / "&amp;IFERROR(IF(INDEX(Data!$Z$2:$Z$700,MATCH(55,Data!$B$2:$B$700,0))="","",INDEX(Data!$Z$2:$Z$700,MATCH(55,Data!$B$2:$B$700,0))),""))</f>
        <v/>
      </c>
      <c r="R67" s="23">
        <f>IF(B67="","",IFERROR(IF(INDEX(Data!$L$2:$L$700,MATCH(55,Data!$B$2:$B$700,0))="","",INDEX(Data!$L$2:$L$700,MATCH(55,Data!$B$2:$B$700,0))),""))</f>
        <v/>
      </c>
    </row>
    <row r="68" ht="62" customHeight="1">
      <c r="B68" s="23">
        <f>IF(56&lt;=COUNTIF(Data!$A$2:$A$700,TRUE),56,"")</f>
        <v/>
      </c>
      <c r="C68" s="24">
        <f>IF(B68="","",IFERROR(_xlfn.IMAGE(IFERROR(IF(INDEX(Data!$J$2:$J$700,MATCH(56,Data!$B$2:$B$700,0))="","",INDEX(Data!$J$2:$J$700,MATCH(56,Data!$B$2:$B$700,0))),"")),"IMAGE MISSING"))</f>
        <v/>
      </c>
      <c r="D68" s="25">
        <f>IF(B68="","",IFERROR(IF(INDEX(Data!$G$2:$G$700,MATCH(56,Data!$B$2:$B$700,0))="","",INDEX(Data!$G$2:$G$700,MATCH(56,Data!$B$2:$B$700,0))),"")&amp;CHAR(10)&amp;IFERROR(IF(INDEX(Data!$H$2:$H$700,MATCH(56,Data!$B$2:$B$700,0))="","",INDEX(Data!$H$2:$H$700,MATCH(56,Data!$B$2:$B$700,0))),""))</f>
        <v/>
      </c>
      <c r="E68" s="23">
        <f>IF(B68="","",IFERROR(IF(INDEX(Data!$I$2:$I$700,MATCH(56,Data!$B$2:$B$700,0))="","",INDEX(Data!$I$2:$I$700,MATCH(56,Data!$B$2:$B$700,0))),""))</f>
        <v/>
      </c>
      <c r="F68" s="23">
        <f>IF(B68="","",IFERROR(IF(INDEX(Data!$D$2:$D$700,MATCH(56,Data!$B$2:$B$700,0))="","",INDEX(Data!$D$2:$D$700,MATCH(56,Data!$B$2:$B$700,0))),""))</f>
        <v/>
      </c>
      <c r="G68" s="23">
        <f>IF(B68="","",IFERROR(IF(INDEX(Data!$E$2:$E$700,MATCH(56,Data!$B$2:$B$700,0))="","",INDEX(Data!$E$2:$E$700,MATCH(56,Data!$B$2:$B$700,0))),""))</f>
        <v/>
      </c>
      <c r="H68" s="26">
        <f>IF(B68="","",IFERROR(IF(INDEX(Data!$N$2:$N$700,MATCH(56,Data!$B$2:$B$700,0))="","",INDEX(Data!$N$2:$N$700,MATCH(56,Data!$B$2:$B$700,0))),""))</f>
        <v/>
      </c>
      <c r="I68" s="26">
        <f>IF(B68="","",IFERROR(IF(INDEX(Data!$O$2:$O$700,MATCH(56,Data!$B$2:$B$700,0))="","",INDEX(Data!$O$2:$O$700,MATCH(56,Data!$B$2:$B$700,0))),""))</f>
        <v/>
      </c>
      <c r="J68" s="27">
        <f>IF(B68="","",IFERROR(IF(INDEX(Data!$P$2:$P$700,MATCH(56,Data!$B$2:$B$700,0))="","",INDEX(Data!$P$2:$P$700,MATCH(56,Data!$B$2:$B$700,0))),""))</f>
        <v/>
      </c>
      <c r="K68" s="28">
        <f>IF(B68="","",IFERROR(IF(INDEX(Data!$R$2:$R$700,MATCH(56,Data!$B$2:$B$700,0))="","",INDEX(Data!$R$2:$R$700,MATCH(56,Data!$B$2:$B$700,0))),""))</f>
        <v/>
      </c>
      <c r="L68" s="29">
        <f>IF(B68="","",IFERROR(IF(INDEX(Data!$S$2:$S$700,MATCH(56,Data!$B$2:$B$700,0))="","",INDEX(Data!$S$2:$S$700,MATCH(56,Data!$B$2:$B$700,0))),""))</f>
        <v/>
      </c>
      <c r="M68" s="29">
        <f>IF(B68="","",IFERROR(IF(INDEX(Data!$T$2:$T$700,MATCH(56,Data!$B$2:$B$700,0))="","",INDEX(Data!$T$2:$T$700,MATCH(56,Data!$B$2:$B$700,0))),""))</f>
        <v/>
      </c>
      <c r="N68" s="30">
        <f>IF(B68="","",IFERROR(IF(INDEX(Data!$U$2:$U$700,MATCH(56,Data!$B$2:$B$700,0))="","",INDEX(Data!$U$2:$U$700,MATCH(56,Data!$B$2:$B$700,0))),""))</f>
        <v/>
      </c>
      <c r="O68" s="29">
        <f>IF(B68="","",IFERROR(IF(INDEX(Data!$V$2:$V$700,MATCH(56,Data!$B$2:$B$700,0))="","",INDEX(Data!$V$2:$V$700,MATCH(56,Data!$B$2:$B$700,0))),""))</f>
        <v/>
      </c>
      <c r="P68" s="29">
        <f>IF(B68="","",IFERROR(IF(INDEX(Data!$M$2:$M$700,MATCH(56,Data!$B$2:$B$700,0))="","",INDEX(Data!$M$2:$M$700,MATCH(56,Data!$B$2:$B$700,0))),""))</f>
        <v/>
      </c>
      <c r="Q68" s="23">
        <f>IF(OR(B68="",IFERROR(IF(INDEX(Data!$Y$2:$Y$700,MATCH(56,Data!$B$2:$B$700,0))="","",INDEX(Data!$Y$2:$Y$700,MATCH(56,Data!$B$2:$B$700,0))),"")=""),"",IFERROR(IF(INDEX(Data!$Y$2:$Y$700,MATCH(56,Data!$B$2:$B$700,0))="","",INDEX(Data!$Y$2:$Y$700,MATCH(56,Data!$B$2:$B$700,0))),"")&amp;" / "&amp;IFERROR(IF(INDEX(Data!$Z$2:$Z$700,MATCH(56,Data!$B$2:$B$700,0))="","",INDEX(Data!$Z$2:$Z$700,MATCH(56,Data!$B$2:$B$700,0))),""))</f>
        <v/>
      </c>
      <c r="R68" s="23">
        <f>IF(B68="","",IFERROR(IF(INDEX(Data!$L$2:$L$700,MATCH(56,Data!$B$2:$B$700,0))="","",INDEX(Data!$L$2:$L$700,MATCH(56,Data!$B$2:$B$700,0))),""))</f>
        <v/>
      </c>
    </row>
    <row r="69" ht="62" customHeight="1">
      <c r="B69" s="23">
        <f>IF(57&lt;=COUNTIF(Data!$A$2:$A$700,TRUE),57,"")</f>
        <v/>
      </c>
      <c r="C69" s="24">
        <f>IF(B69="","",IFERROR(_xlfn.IMAGE(IFERROR(IF(INDEX(Data!$J$2:$J$700,MATCH(57,Data!$B$2:$B$700,0))="","",INDEX(Data!$J$2:$J$700,MATCH(57,Data!$B$2:$B$700,0))),"")),"IMAGE MISSING"))</f>
        <v/>
      </c>
      <c r="D69" s="25">
        <f>IF(B69="","",IFERROR(IF(INDEX(Data!$G$2:$G$700,MATCH(57,Data!$B$2:$B$700,0))="","",INDEX(Data!$G$2:$G$700,MATCH(57,Data!$B$2:$B$700,0))),"")&amp;CHAR(10)&amp;IFERROR(IF(INDEX(Data!$H$2:$H$700,MATCH(57,Data!$B$2:$B$700,0))="","",INDEX(Data!$H$2:$H$700,MATCH(57,Data!$B$2:$B$700,0))),""))</f>
        <v/>
      </c>
      <c r="E69" s="23">
        <f>IF(B69="","",IFERROR(IF(INDEX(Data!$I$2:$I$700,MATCH(57,Data!$B$2:$B$700,0))="","",INDEX(Data!$I$2:$I$700,MATCH(57,Data!$B$2:$B$700,0))),""))</f>
        <v/>
      </c>
      <c r="F69" s="23">
        <f>IF(B69="","",IFERROR(IF(INDEX(Data!$D$2:$D$700,MATCH(57,Data!$B$2:$B$700,0))="","",INDEX(Data!$D$2:$D$700,MATCH(57,Data!$B$2:$B$700,0))),""))</f>
        <v/>
      </c>
      <c r="G69" s="23">
        <f>IF(B69="","",IFERROR(IF(INDEX(Data!$E$2:$E$700,MATCH(57,Data!$B$2:$B$700,0))="","",INDEX(Data!$E$2:$E$700,MATCH(57,Data!$B$2:$B$700,0))),""))</f>
        <v/>
      </c>
      <c r="H69" s="26">
        <f>IF(B69="","",IFERROR(IF(INDEX(Data!$N$2:$N$700,MATCH(57,Data!$B$2:$B$700,0))="","",INDEX(Data!$N$2:$N$700,MATCH(57,Data!$B$2:$B$700,0))),""))</f>
        <v/>
      </c>
      <c r="I69" s="26">
        <f>IF(B69="","",IFERROR(IF(INDEX(Data!$O$2:$O$700,MATCH(57,Data!$B$2:$B$700,0))="","",INDEX(Data!$O$2:$O$700,MATCH(57,Data!$B$2:$B$700,0))),""))</f>
        <v/>
      </c>
      <c r="J69" s="27">
        <f>IF(B69="","",IFERROR(IF(INDEX(Data!$P$2:$P$700,MATCH(57,Data!$B$2:$B$700,0))="","",INDEX(Data!$P$2:$P$700,MATCH(57,Data!$B$2:$B$700,0))),""))</f>
        <v/>
      </c>
      <c r="K69" s="28">
        <f>IF(B69="","",IFERROR(IF(INDEX(Data!$R$2:$R$700,MATCH(57,Data!$B$2:$B$700,0))="","",INDEX(Data!$R$2:$R$700,MATCH(57,Data!$B$2:$B$700,0))),""))</f>
        <v/>
      </c>
      <c r="L69" s="29">
        <f>IF(B69="","",IFERROR(IF(INDEX(Data!$S$2:$S$700,MATCH(57,Data!$B$2:$B$700,0))="","",INDEX(Data!$S$2:$S$700,MATCH(57,Data!$B$2:$B$700,0))),""))</f>
        <v/>
      </c>
      <c r="M69" s="29">
        <f>IF(B69="","",IFERROR(IF(INDEX(Data!$T$2:$T$700,MATCH(57,Data!$B$2:$B$700,0))="","",INDEX(Data!$T$2:$T$700,MATCH(57,Data!$B$2:$B$700,0))),""))</f>
        <v/>
      </c>
      <c r="N69" s="30">
        <f>IF(B69="","",IFERROR(IF(INDEX(Data!$U$2:$U$700,MATCH(57,Data!$B$2:$B$700,0))="","",INDEX(Data!$U$2:$U$700,MATCH(57,Data!$B$2:$B$700,0))),""))</f>
        <v/>
      </c>
      <c r="O69" s="29">
        <f>IF(B69="","",IFERROR(IF(INDEX(Data!$V$2:$V$700,MATCH(57,Data!$B$2:$B$700,0))="","",INDEX(Data!$V$2:$V$700,MATCH(57,Data!$B$2:$B$700,0))),""))</f>
        <v/>
      </c>
      <c r="P69" s="29">
        <f>IF(B69="","",IFERROR(IF(INDEX(Data!$M$2:$M$700,MATCH(57,Data!$B$2:$B$700,0))="","",INDEX(Data!$M$2:$M$700,MATCH(57,Data!$B$2:$B$700,0))),""))</f>
        <v/>
      </c>
      <c r="Q69" s="23">
        <f>IF(OR(B69="",IFERROR(IF(INDEX(Data!$Y$2:$Y$700,MATCH(57,Data!$B$2:$B$700,0))="","",INDEX(Data!$Y$2:$Y$700,MATCH(57,Data!$B$2:$B$700,0))),"")=""),"",IFERROR(IF(INDEX(Data!$Y$2:$Y$700,MATCH(57,Data!$B$2:$B$700,0))="","",INDEX(Data!$Y$2:$Y$700,MATCH(57,Data!$B$2:$B$700,0))),"")&amp;" / "&amp;IFERROR(IF(INDEX(Data!$Z$2:$Z$700,MATCH(57,Data!$B$2:$B$700,0))="","",INDEX(Data!$Z$2:$Z$700,MATCH(57,Data!$B$2:$B$700,0))),""))</f>
        <v/>
      </c>
      <c r="R69" s="23">
        <f>IF(B69="","",IFERROR(IF(INDEX(Data!$L$2:$L$700,MATCH(57,Data!$B$2:$B$700,0))="","",INDEX(Data!$L$2:$L$700,MATCH(57,Data!$B$2:$B$700,0))),""))</f>
        <v/>
      </c>
    </row>
    <row r="70" ht="62" customHeight="1">
      <c r="B70" s="23">
        <f>IF(58&lt;=COUNTIF(Data!$A$2:$A$700,TRUE),58,"")</f>
        <v/>
      </c>
      <c r="C70" s="24">
        <f>IF(B70="","",IFERROR(_xlfn.IMAGE(IFERROR(IF(INDEX(Data!$J$2:$J$700,MATCH(58,Data!$B$2:$B$700,0))="","",INDEX(Data!$J$2:$J$700,MATCH(58,Data!$B$2:$B$700,0))),"")),"IMAGE MISSING"))</f>
        <v/>
      </c>
      <c r="D70" s="25">
        <f>IF(B70="","",IFERROR(IF(INDEX(Data!$G$2:$G$700,MATCH(58,Data!$B$2:$B$700,0))="","",INDEX(Data!$G$2:$G$700,MATCH(58,Data!$B$2:$B$700,0))),"")&amp;CHAR(10)&amp;IFERROR(IF(INDEX(Data!$H$2:$H$700,MATCH(58,Data!$B$2:$B$700,0))="","",INDEX(Data!$H$2:$H$700,MATCH(58,Data!$B$2:$B$700,0))),""))</f>
        <v/>
      </c>
      <c r="E70" s="23">
        <f>IF(B70="","",IFERROR(IF(INDEX(Data!$I$2:$I$700,MATCH(58,Data!$B$2:$B$700,0))="","",INDEX(Data!$I$2:$I$700,MATCH(58,Data!$B$2:$B$700,0))),""))</f>
        <v/>
      </c>
      <c r="F70" s="23">
        <f>IF(B70="","",IFERROR(IF(INDEX(Data!$D$2:$D$700,MATCH(58,Data!$B$2:$B$700,0))="","",INDEX(Data!$D$2:$D$700,MATCH(58,Data!$B$2:$B$700,0))),""))</f>
        <v/>
      </c>
      <c r="G70" s="23">
        <f>IF(B70="","",IFERROR(IF(INDEX(Data!$E$2:$E$700,MATCH(58,Data!$B$2:$B$700,0))="","",INDEX(Data!$E$2:$E$700,MATCH(58,Data!$B$2:$B$700,0))),""))</f>
        <v/>
      </c>
      <c r="H70" s="26">
        <f>IF(B70="","",IFERROR(IF(INDEX(Data!$N$2:$N$700,MATCH(58,Data!$B$2:$B$700,0))="","",INDEX(Data!$N$2:$N$700,MATCH(58,Data!$B$2:$B$700,0))),""))</f>
        <v/>
      </c>
      <c r="I70" s="26">
        <f>IF(B70="","",IFERROR(IF(INDEX(Data!$O$2:$O$700,MATCH(58,Data!$B$2:$B$700,0))="","",INDEX(Data!$O$2:$O$700,MATCH(58,Data!$B$2:$B$700,0))),""))</f>
        <v/>
      </c>
      <c r="J70" s="27">
        <f>IF(B70="","",IFERROR(IF(INDEX(Data!$P$2:$P$700,MATCH(58,Data!$B$2:$B$700,0))="","",INDEX(Data!$P$2:$P$700,MATCH(58,Data!$B$2:$B$700,0))),""))</f>
        <v/>
      </c>
      <c r="K70" s="28">
        <f>IF(B70="","",IFERROR(IF(INDEX(Data!$R$2:$R$700,MATCH(58,Data!$B$2:$B$700,0))="","",INDEX(Data!$R$2:$R$700,MATCH(58,Data!$B$2:$B$700,0))),""))</f>
        <v/>
      </c>
      <c r="L70" s="29">
        <f>IF(B70="","",IFERROR(IF(INDEX(Data!$S$2:$S$700,MATCH(58,Data!$B$2:$B$700,0))="","",INDEX(Data!$S$2:$S$700,MATCH(58,Data!$B$2:$B$700,0))),""))</f>
        <v/>
      </c>
      <c r="M70" s="29">
        <f>IF(B70="","",IFERROR(IF(INDEX(Data!$T$2:$T$700,MATCH(58,Data!$B$2:$B$700,0))="","",INDEX(Data!$T$2:$T$700,MATCH(58,Data!$B$2:$B$700,0))),""))</f>
        <v/>
      </c>
      <c r="N70" s="30">
        <f>IF(B70="","",IFERROR(IF(INDEX(Data!$U$2:$U$700,MATCH(58,Data!$B$2:$B$700,0))="","",INDEX(Data!$U$2:$U$700,MATCH(58,Data!$B$2:$B$700,0))),""))</f>
        <v/>
      </c>
      <c r="O70" s="29">
        <f>IF(B70="","",IFERROR(IF(INDEX(Data!$V$2:$V$700,MATCH(58,Data!$B$2:$B$700,0))="","",INDEX(Data!$V$2:$V$700,MATCH(58,Data!$B$2:$B$700,0))),""))</f>
        <v/>
      </c>
      <c r="P70" s="29">
        <f>IF(B70="","",IFERROR(IF(INDEX(Data!$M$2:$M$700,MATCH(58,Data!$B$2:$B$700,0))="","",INDEX(Data!$M$2:$M$700,MATCH(58,Data!$B$2:$B$700,0))),""))</f>
        <v/>
      </c>
      <c r="Q70" s="23">
        <f>IF(OR(B70="",IFERROR(IF(INDEX(Data!$Y$2:$Y$700,MATCH(58,Data!$B$2:$B$700,0))="","",INDEX(Data!$Y$2:$Y$700,MATCH(58,Data!$B$2:$B$700,0))),"")=""),"",IFERROR(IF(INDEX(Data!$Y$2:$Y$700,MATCH(58,Data!$B$2:$B$700,0))="","",INDEX(Data!$Y$2:$Y$700,MATCH(58,Data!$B$2:$B$700,0))),"")&amp;" / "&amp;IFERROR(IF(INDEX(Data!$Z$2:$Z$700,MATCH(58,Data!$B$2:$B$700,0))="","",INDEX(Data!$Z$2:$Z$700,MATCH(58,Data!$B$2:$B$700,0))),""))</f>
        <v/>
      </c>
      <c r="R70" s="23">
        <f>IF(B70="","",IFERROR(IF(INDEX(Data!$L$2:$L$700,MATCH(58,Data!$B$2:$B$700,0))="","",INDEX(Data!$L$2:$L$700,MATCH(58,Data!$B$2:$B$700,0))),""))</f>
        <v/>
      </c>
    </row>
    <row r="71" ht="62" customHeight="1">
      <c r="B71" s="23">
        <f>IF(59&lt;=COUNTIF(Data!$A$2:$A$700,TRUE),59,"")</f>
        <v/>
      </c>
      <c r="C71" s="24">
        <f>IF(B71="","",IFERROR(_xlfn.IMAGE(IFERROR(IF(INDEX(Data!$J$2:$J$700,MATCH(59,Data!$B$2:$B$700,0))="","",INDEX(Data!$J$2:$J$700,MATCH(59,Data!$B$2:$B$700,0))),"")),"IMAGE MISSING"))</f>
        <v/>
      </c>
      <c r="D71" s="25">
        <f>IF(B71="","",IFERROR(IF(INDEX(Data!$G$2:$G$700,MATCH(59,Data!$B$2:$B$700,0))="","",INDEX(Data!$G$2:$G$700,MATCH(59,Data!$B$2:$B$700,0))),"")&amp;CHAR(10)&amp;IFERROR(IF(INDEX(Data!$H$2:$H$700,MATCH(59,Data!$B$2:$B$700,0))="","",INDEX(Data!$H$2:$H$700,MATCH(59,Data!$B$2:$B$700,0))),""))</f>
        <v/>
      </c>
      <c r="E71" s="23">
        <f>IF(B71="","",IFERROR(IF(INDEX(Data!$I$2:$I$700,MATCH(59,Data!$B$2:$B$700,0))="","",INDEX(Data!$I$2:$I$700,MATCH(59,Data!$B$2:$B$700,0))),""))</f>
        <v/>
      </c>
      <c r="F71" s="23">
        <f>IF(B71="","",IFERROR(IF(INDEX(Data!$D$2:$D$700,MATCH(59,Data!$B$2:$B$700,0))="","",INDEX(Data!$D$2:$D$700,MATCH(59,Data!$B$2:$B$700,0))),""))</f>
        <v/>
      </c>
      <c r="G71" s="23">
        <f>IF(B71="","",IFERROR(IF(INDEX(Data!$E$2:$E$700,MATCH(59,Data!$B$2:$B$700,0))="","",INDEX(Data!$E$2:$E$700,MATCH(59,Data!$B$2:$B$700,0))),""))</f>
        <v/>
      </c>
      <c r="H71" s="26">
        <f>IF(B71="","",IFERROR(IF(INDEX(Data!$N$2:$N$700,MATCH(59,Data!$B$2:$B$700,0))="","",INDEX(Data!$N$2:$N$700,MATCH(59,Data!$B$2:$B$700,0))),""))</f>
        <v/>
      </c>
      <c r="I71" s="26">
        <f>IF(B71="","",IFERROR(IF(INDEX(Data!$O$2:$O$700,MATCH(59,Data!$B$2:$B$700,0))="","",INDEX(Data!$O$2:$O$700,MATCH(59,Data!$B$2:$B$700,0))),""))</f>
        <v/>
      </c>
      <c r="J71" s="27">
        <f>IF(B71="","",IFERROR(IF(INDEX(Data!$P$2:$P$700,MATCH(59,Data!$B$2:$B$700,0))="","",INDEX(Data!$P$2:$P$700,MATCH(59,Data!$B$2:$B$700,0))),""))</f>
        <v/>
      </c>
      <c r="K71" s="28">
        <f>IF(B71="","",IFERROR(IF(INDEX(Data!$R$2:$R$700,MATCH(59,Data!$B$2:$B$700,0))="","",INDEX(Data!$R$2:$R$700,MATCH(59,Data!$B$2:$B$700,0))),""))</f>
        <v/>
      </c>
      <c r="L71" s="29">
        <f>IF(B71="","",IFERROR(IF(INDEX(Data!$S$2:$S$700,MATCH(59,Data!$B$2:$B$700,0))="","",INDEX(Data!$S$2:$S$700,MATCH(59,Data!$B$2:$B$700,0))),""))</f>
        <v/>
      </c>
      <c r="M71" s="29">
        <f>IF(B71="","",IFERROR(IF(INDEX(Data!$T$2:$T$700,MATCH(59,Data!$B$2:$B$700,0))="","",INDEX(Data!$T$2:$T$700,MATCH(59,Data!$B$2:$B$700,0))),""))</f>
        <v/>
      </c>
      <c r="N71" s="30">
        <f>IF(B71="","",IFERROR(IF(INDEX(Data!$U$2:$U$700,MATCH(59,Data!$B$2:$B$700,0))="","",INDEX(Data!$U$2:$U$700,MATCH(59,Data!$B$2:$B$700,0))),""))</f>
        <v/>
      </c>
      <c r="O71" s="29">
        <f>IF(B71="","",IFERROR(IF(INDEX(Data!$V$2:$V$700,MATCH(59,Data!$B$2:$B$700,0))="","",INDEX(Data!$V$2:$V$700,MATCH(59,Data!$B$2:$B$700,0))),""))</f>
        <v/>
      </c>
      <c r="P71" s="29">
        <f>IF(B71="","",IFERROR(IF(INDEX(Data!$M$2:$M$700,MATCH(59,Data!$B$2:$B$700,0))="","",INDEX(Data!$M$2:$M$700,MATCH(59,Data!$B$2:$B$700,0))),""))</f>
        <v/>
      </c>
      <c r="Q71" s="23">
        <f>IF(OR(B71="",IFERROR(IF(INDEX(Data!$Y$2:$Y$700,MATCH(59,Data!$B$2:$B$700,0))="","",INDEX(Data!$Y$2:$Y$700,MATCH(59,Data!$B$2:$B$700,0))),"")=""),"",IFERROR(IF(INDEX(Data!$Y$2:$Y$700,MATCH(59,Data!$B$2:$B$700,0))="","",INDEX(Data!$Y$2:$Y$700,MATCH(59,Data!$B$2:$B$700,0))),"")&amp;" / "&amp;IFERROR(IF(INDEX(Data!$Z$2:$Z$700,MATCH(59,Data!$B$2:$B$700,0))="","",INDEX(Data!$Z$2:$Z$700,MATCH(59,Data!$B$2:$B$700,0))),""))</f>
        <v/>
      </c>
      <c r="R71" s="23">
        <f>IF(B71="","",IFERROR(IF(INDEX(Data!$L$2:$L$700,MATCH(59,Data!$B$2:$B$700,0))="","",INDEX(Data!$L$2:$L$700,MATCH(59,Data!$B$2:$B$700,0))),""))</f>
        <v/>
      </c>
    </row>
    <row r="72" ht="62" customHeight="1">
      <c r="B72" s="23">
        <f>IF(60&lt;=COUNTIF(Data!$A$2:$A$700,TRUE),60,"")</f>
        <v/>
      </c>
      <c r="C72" s="24">
        <f>IF(B72="","",IFERROR(_xlfn.IMAGE(IFERROR(IF(INDEX(Data!$J$2:$J$700,MATCH(60,Data!$B$2:$B$700,0))="","",INDEX(Data!$J$2:$J$700,MATCH(60,Data!$B$2:$B$700,0))),"")),"IMAGE MISSING"))</f>
        <v/>
      </c>
      <c r="D72" s="25">
        <f>IF(B72="","",IFERROR(IF(INDEX(Data!$G$2:$G$700,MATCH(60,Data!$B$2:$B$700,0))="","",INDEX(Data!$G$2:$G$700,MATCH(60,Data!$B$2:$B$700,0))),"")&amp;CHAR(10)&amp;IFERROR(IF(INDEX(Data!$H$2:$H$700,MATCH(60,Data!$B$2:$B$700,0))="","",INDEX(Data!$H$2:$H$700,MATCH(60,Data!$B$2:$B$700,0))),""))</f>
        <v/>
      </c>
      <c r="E72" s="23">
        <f>IF(B72="","",IFERROR(IF(INDEX(Data!$I$2:$I$700,MATCH(60,Data!$B$2:$B$700,0))="","",INDEX(Data!$I$2:$I$700,MATCH(60,Data!$B$2:$B$700,0))),""))</f>
        <v/>
      </c>
      <c r="F72" s="23">
        <f>IF(B72="","",IFERROR(IF(INDEX(Data!$D$2:$D$700,MATCH(60,Data!$B$2:$B$700,0))="","",INDEX(Data!$D$2:$D$700,MATCH(60,Data!$B$2:$B$700,0))),""))</f>
        <v/>
      </c>
      <c r="G72" s="23">
        <f>IF(B72="","",IFERROR(IF(INDEX(Data!$E$2:$E$700,MATCH(60,Data!$B$2:$B$700,0))="","",INDEX(Data!$E$2:$E$700,MATCH(60,Data!$B$2:$B$700,0))),""))</f>
        <v/>
      </c>
      <c r="H72" s="26">
        <f>IF(B72="","",IFERROR(IF(INDEX(Data!$N$2:$N$700,MATCH(60,Data!$B$2:$B$700,0))="","",INDEX(Data!$N$2:$N$700,MATCH(60,Data!$B$2:$B$700,0))),""))</f>
        <v/>
      </c>
      <c r="I72" s="26">
        <f>IF(B72="","",IFERROR(IF(INDEX(Data!$O$2:$O$700,MATCH(60,Data!$B$2:$B$700,0))="","",INDEX(Data!$O$2:$O$700,MATCH(60,Data!$B$2:$B$700,0))),""))</f>
        <v/>
      </c>
      <c r="J72" s="27">
        <f>IF(B72="","",IFERROR(IF(INDEX(Data!$P$2:$P$700,MATCH(60,Data!$B$2:$B$700,0))="","",INDEX(Data!$P$2:$P$700,MATCH(60,Data!$B$2:$B$700,0))),""))</f>
        <v/>
      </c>
      <c r="K72" s="28">
        <f>IF(B72="","",IFERROR(IF(INDEX(Data!$R$2:$R$700,MATCH(60,Data!$B$2:$B$700,0))="","",INDEX(Data!$R$2:$R$700,MATCH(60,Data!$B$2:$B$700,0))),""))</f>
        <v/>
      </c>
      <c r="L72" s="29">
        <f>IF(B72="","",IFERROR(IF(INDEX(Data!$S$2:$S$700,MATCH(60,Data!$B$2:$B$700,0))="","",INDEX(Data!$S$2:$S$700,MATCH(60,Data!$B$2:$B$700,0))),""))</f>
        <v/>
      </c>
      <c r="M72" s="29">
        <f>IF(B72="","",IFERROR(IF(INDEX(Data!$T$2:$T$700,MATCH(60,Data!$B$2:$B$700,0))="","",INDEX(Data!$T$2:$T$700,MATCH(60,Data!$B$2:$B$700,0))),""))</f>
        <v/>
      </c>
      <c r="N72" s="30">
        <f>IF(B72="","",IFERROR(IF(INDEX(Data!$U$2:$U$700,MATCH(60,Data!$B$2:$B$700,0))="","",INDEX(Data!$U$2:$U$700,MATCH(60,Data!$B$2:$B$700,0))),""))</f>
        <v/>
      </c>
      <c r="O72" s="29">
        <f>IF(B72="","",IFERROR(IF(INDEX(Data!$V$2:$V$700,MATCH(60,Data!$B$2:$B$700,0))="","",INDEX(Data!$V$2:$V$700,MATCH(60,Data!$B$2:$B$700,0))),""))</f>
        <v/>
      </c>
      <c r="P72" s="29">
        <f>IF(B72="","",IFERROR(IF(INDEX(Data!$M$2:$M$700,MATCH(60,Data!$B$2:$B$700,0))="","",INDEX(Data!$M$2:$M$700,MATCH(60,Data!$B$2:$B$700,0))),""))</f>
        <v/>
      </c>
      <c r="Q72" s="23">
        <f>IF(OR(B72="",IFERROR(IF(INDEX(Data!$Y$2:$Y$700,MATCH(60,Data!$B$2:$B$700,0))="","",INDEX(Data!$Y$2:$Y$700,MATCH(60,Data!$B$2:$B$700,0))),"")=""),"",IFERROR(IF(INDEX(Data!$Y$2:$Y$700,MATCH(60,Data!$B$2:$B$700,0))="","",INDEX(Data!$Y$2:$Y$700,MATCH(60,Data!$B$2:$B$700,0))),"")&amp;" / "&amp;IFERROR(IF(INDEX(Data!$Z$2:$Z$700,MATCH(60,Data!$B$2:$B$700,0))="","",INDEX(Data!$Z$2:$Z$700,MATCH(60,Data!$B$2:$B$700,0))),""))</f>
        <v/>
      </c>
      <c r="R72" s="23">
        <f>IF(B72="","",IFERROR(IF(INDEX(Data!$L$2:$L$700,MATCH(60,Data!$B$2:$B$700,0))="","",INDEX(Data!$L$2:$L$700,MATCH(60,Data!$B$2:$B$700,0))),""))</f>
        <v/>
      </c>
    </row>
    <row r="73" ht="62" customHeight="1">
      <c r="B73" s="23">
        <f>IF(61&lt;=COUNTIF(Data!$A$2:$A$700,TRUE),61,"")</f>
        <v/>
      </c>
      <c r="C73" s="24">
        <f>IF(B73="","",IFERROR(_xlfn.IMAGE(IFERROR(IF(INDEX(Data!$J$2:$J$700,MATCH(61,Data!$B$2:$B$700,0))="","",INDEX(Data!$J$2:$J$700,MATCH(61,Data!$B$2:$B$700,0))),"")),"IMAGE MISSING"))</f>
        <v/>
      </c>
      <c r="D73" s="25">
        <f>IF(B73="","",IFERROR(IF(INDEX(Data!$G$2:$G$700,MATCH(61,Data!$B$2:$B$700,0))="","",INDEX(Data!$G$2:$G$700,MATCH(61,Data!$B$2:$B$700,0))),"")&amp;CHAR(10)&amp;IFERROR(IF(INDEX(Data!$H$2:$H$700,MATCH(61,Data!$B$2:$B$700,0))="","",INDEX(Data!$H$2:$H$700,MATCH(61,Data!$B$2:$B$700,0))),""))</f>
        <v/>
      </c>
      <c r="E73" s="23">
        <f>IF(B73="","",IFERROR(IF(INDEX(Data!$I$2:$I$700,MATCH(61,Data!$B$2:$B$700,0))="","",INDEX(Data!$I$2:$I$700,MATCH(61,Data!$B$2:$B$700,0))),""))</f>
        <v/>
      </c>
      <c r="F73" s="23">
        <f>IF(B73="","",IFERROR(IF(INDEX(Data!$D$2:$D$700,MATCH(61,Data!$B$2:$B$700,0))="","",INDEX(Data!$D$2:$D$700,MATCH(61,Data!$B$2:$B$700,0))),""))</f>
        <v/>
      </c>
      <c r="G73" s="23">
        <f>IF(B73="","",IFERROR(IF(INDEX(Data!$E$2:$E$700,MATCH(61,Data!$B$2:$B$700,0))="","",INDEX(Data!$E$2:$E$700,MATCH(61,Data!$B$2:$B$700,0))),""))</f>
        <v/>
      </c>
      <c r="H73" s="26">
        <f>IF(B73="","",IFERROR(IF(INDEX(Data!$N$2:$N$700,MATCH(61,Data!$B$2:$B$700,0))="","",INDEX(Data!$N$2:$N$700,MATCH(61,Data!$B$2:$B$700,0))),""))</f>
        <v/>
      </c>
      <c r="I73" s="26">
        <f>IF(B73="","",IFERROR(IF(INDEX(Data!$O$2:$O$700,MATCH(61,Data!$B$2:$B$700,0))="","",INDEX(Data!$O$2:$O$700,MATCH(61,Data!$B$2:$B$700,0))),""))</f>
        <v/>
      </c>
      <c r="J73" s="27">
        <f>IF(B73="","",IFERROR(IF(INDEX(Data!$P$2:$P$700,MATCH(61,Data!$B$2:$B$700,0))="","",INDEX(Data!$P$2:$P$700,MATCH(61,Data!$B$2:$B$700,0))),""))</f>
        <v/>
      </c>
      <c r="K73" s="28">
        <f>IF(B73="","",IFERROR(IF(INDEX(Data!$R$2:$R$700,MATCH(61,Data!$B$2:$B$700,0))="","",INDEX(Data!$R$2:$R$700,MATCH(61,Data!$B$2:$B$700,0))),""))</f>
        <v/>
      </c>
      <c r="L73" s="29">
        <f>IF(B73="","",IFERROR(IF(INDEX(Data!$S$2:$S$700,MATCH(61,Data!$B$2:$B$700,0))="","",INDEX(Data!$S$2:$S$700,MATCH(61,Data!$B$2:$B$700,0))),""))</f>
        <v/>
      </c>
      <c r="M73" s="29">
        <f>IF(B73="","",IFERROR(IF(INDEX(Data!$T$2:$T$700,MATCH(61,Data!$B$2:$B$700,0))="","",INDEX(Data!$T$2:$T$700,MATCH(61,Data!$B$2:$B$700,0))),""))</f>
        <v/>
      </c>
      <c r="N73" s="30">
        <f>IF(B73="","",IFERROR(IF(INDEX(Data!$U$2:$U$700,MATCH(61,Data!$B$2:$B$700,0))="","",INDEX(Data!$U$2:$U$700,MATCH(61,Data!$B$2:$B$700,0))),""))</f>
        <v/>
      </c>
      <c r="O73" s="29">
        <f>IF(B73="","",IFERROR(IF(INDEX(Data!$V$2:$V$700,MATCH(61,Data!$B$2:$B$700,0))="","",INDEX(Data!$V$2:$V$700,MATCH(61,Data!$B$2:$B$700,0))),""))</f>
        <v/>
      </c>
      <c r="P73" s="29">
        <f>IF(B73="","",IFERROR(IF(INDEX(Data!$M$2:$M$700,MATCH(61,Data!$B$2:$B$700,0))="","",INDEX(Data!$M$2:$M$700,MATCH(61,Data!$B$2:$B$700,0))),""))</f>
        <v/>
      </c>
      <c r="Q73" s="23">
        <f>IF(OR(B73="",IFERROR(IF(INDEX(Data!$Y$2:$Y$700,MATCH(61,Data!$B$2:$B$700,0))="","",INDEX(Data!$Y$2:$Y$700,MATCH(61,Data!$B$2:$B$700,0))),"")=""),"",IFERROR(IF(INDEX(Data!$Y$2:$Y$700,MATCH(61,Data!$B$2:$B$700,0))="","",INDEX(Data!$Y$2:$Y$700,MATCH(61,Data!$B$2:$B$700,0))),"")&amp;" / "&amp;IFERROR(IF(INDEX(Data!$Z$2:$Z$700,MATCH(61,Data!$B$2:$B$700,0))="","",INDEX(Data!$Z$2:$Z$700,MATCH(61,Data!$B$2:$B$700,0))),""))</f>
        <v/>
      </c>
      <c r="R73" s="23">
        <f>IF(B73="","",IFERROR(IF(INDEX(Data!$L$2:$L$700,MATCH(61,Data!$B$2:$B$700,0))="","",INDEX(Data!$L$2:$L$700,MATCH(61,Data!$B$2:$B$700,0))),""))</f>
        <v/>
      </c>
    </row>
    <row r="74" ht="62" customHeight="1">
      <c r="B74" s="23">
        <f>IF(62&lt;=COUNTIF(Data!$A$2:$A$700,TRUE),62,"")</f>
        <v/>
      </c>
      <c r="C74" s="24">
        <f>IF(B74="","",IFERROR(_xlfn.IMAGE(IFERROR(IF(INDEX(Data!$J$2:$J$700,MATCH(62,Data!$B$2:$B$700,0))="","",INDEX(Data!$J$2:$J$700,MATCH(62,Data!$B$2:$B$700,0))),"")),"IMAGE MISSING"))</f>
        <v/>
      </c>
      <c r="D74" s="25">
        <f>IF(B74="","",IFERROR(IF(INDEX(Data!$G$2:$G$700,MATCH(62,Data!$B$2:$B$700,0))="","",INDEX(Data!$G$2:$G$700,MATCH(62,Data!$B$2:$B$700,0))),"")&amp;CHAR(10)&amp;IFERROR(IF(INDEX(Data!$H$2:$H$700,MATCH(62,Data!$B$2:$B$700,0))="","",INDEX(Data!$H$2:$H$700,MATCH(62,Data!$B$2:$B$700,0))),""))</f>
        <v/>
      </c>
      <c r="E74" s="23">
        <f>IF(B74="","",IFERROR(IF(INDEX(Data!$I$2:$I$700,MATCH(62,Data!$B$2:$B$700,0))="","",INDEX(Data!$I$2:$I$700,MATCH(62,Data!$B$2:$B$700,0))),""))</f>
        <v/>
      </c>
      <c r="F74" s="23">
        <f>IF(B74="","",IFERROR(IF(INDEX(Data!$D$2:$D$700,MATCH(62,Data!$B$2:$B$700,0))="","",INDEX(Data!$D$2:$D$700,MATCH(62,Data!$B$2:$B$700,0))),""))</f>
        <v/>
      </c>
      <c r="G74" s="23">
        <f>IF(B74="","",IFERROR(IF(INDEX(Data!$E$2:$E$700,MATCH(62,Data!$B$2:$B$700,0))="","",INDEX(Data!$E$2:$E$700,MATCH(62,Data!$B$2:$B$700,0))),""))</f>
        <v/>
      </c>
      <c r="H74" s="26">
        <f>IF(B74="","",IFERROR(IF(INDEX(Data!$N$2:$N$700,MATCH(62,Data!$B$2:$B$700,0))="","",INDEX(Data!$N$2:$N$700,MATCH(62,Data!$B$2:$B$700,0))),""))</f>
        <v/>
      </c>
      <c r="I74" s="26">
        <f>IF(B74="","",IFERROR(IF(INDEX(Data!$O$2:$O$700,MATCH(62,Data!$B$2:$B$700,0))="","",INDEX(Data!$O$2:$O$700,MATCH(62,Data!$B$2:$B$700,0))),""))</f>
        <v/>
      </c>
      <c r="J74" s="27">
        <f>IF(B74="","",IFERROR(IF(INDEX(Data!$P$2:$P$700,MATCH(62,Data!$B$2:$B$700,0))="","",INDEX(Data!$P$2:$P$700,MATCH(62,Data!$B$2:$B$700,0))),""))</f>
        <v/>
      </c>
      <c r="K74" s="28">
        <f>IF(B74="","",IFERROR(IF(INDEX(Data!$R$2:$R$700,MATCH(62,Data!$B$2:$B$700,0))="","",INDEX(Data!$R$2:$R$700,MATCH(62,Data!$B$2:$B$700,0))),""))</f>
        <v/>
      </c>
      <c r="L74" s="29">
        <f>IF(B74="","",IFERROR(IF(INDEX(Data!$S$2:$S$700,MATCH(62,Data!$B$2:$B$700,0))="","",INDEX(Data!$S$2:$S$700,MATCH(62,Data!$B$2:$B$700,0))),""))</f>
        <v/>
      </c>
      <c r="M74" s="29">
        <f>IF(B74="","",IFERROR(IF(INDEX(Data!$T$2:$T$700,MATCH(62,Data!$B$2:$B$700,0))="","",INDEX(Data!$T$2:$T$700,MATCH(62,Data!$B$2:$B$700,0))),""))</f>
        <v/>
      </c>
      <c r="N74" s="30">
        <f>IF(B74="","",IFERROR(IF(INDEX(Data!$U$2:$U$700,MATCH(62,Data!$B$2:$B$700,0))="","",INDEX(Data!$U$2:$U$700,MATCH(62,Data!$B$2:$B$700,0))),""))</f>
        <v/>
      </c>
      <c r="O74" s="29">
        <f>IF(B74="","",IFERROR(IF(INDEX(Data!$V$2:$V$700,MATCH(62,Data!$B$2:$B$700,0))="","",INDEX(Data!$V$2:$V$700,MATCH(62,Data!$B$2:$B$700,0))),""))</f>
        <v/>
      </c>
      <c r="P74" s="29">
        <f>IF(B74="","",IFERROR(IF(INDEX(Data!$M$2:$M$700,MATCH(62,Data!$B$2:$B$700,0))="","",INDEX(Data!$M$2:$M$700,MATCH(62,Data!$B$2:$B$700,0))),""))</f>
        <v/>
      </c>
      <c r="Q74" s="23">
        <f>IF(OR(B74="",IFERROR(IF(INDEX(Data!$Y$2:$Y$700,MATCH(62,Data!$B$2:$B$700,0))="","",INDEX(Data!$Y$2:$Y$700,MATCH(62,Data!$B$2:$B$700,0))),"")=""),"",IFERROR(IF(INDEX(Data!$Y$2:$Y$700,MATCH(62,Data!$B$2:$B$700,0))="","",INDEX(Data!$Y$2:$Y$700,MATCH(62,Data!$B$2:$B$700,0))),"")&amp;" / "&amp;IFERROR(IF(INDEX(Data!$Z$2:$Z$700,MATCH(62,Data!$B$2:$B$700,0))="","",INDEX(Data!$Z$2:$Z$700,MATCH(62,Data!$B$2:$B$700,0))),""))</f>
        <v/>
      </c>
      <c r="R74" s="23">
        <f>IF(B74="","",IFERROR(IF(INDEX(Data!$L$2:$L$700,MATCH(62,Data!$B$2:$B$700,0))="","",INDEX(Data!$L$2:$L$700,MATCH(62,Data!$B$2:$B$700,0))),""))</f>
        <v/>
      </c>
    </row>
    <row r="75" ht="62" customHeight="1">
      <c r="B75" s="23">
        <f>IF(63&lt;=COUNTIF(Data!$A$2:$A$700,TRUE),63,"")</f>
        <v/>
      </c>
      <c r="C75" s="24">
        <f>IF(B75="","",IFERROR(_xlfn.IMAGE(IFERROR(IF(INDEX(Data!$J$2:$J$700,MATCH(63,Data!$B$2:$B$700,0))="","",INDEX(Data!$J$2:$J$700,MATCH(63,Data!$B$2:$B$700,0))),"")),"IMAGE MISSING"))</f>
        <v/>
      </c>
      <c r="D75" s="25">
        <f>IF(B75="","",IFERROR(IF(INDEX(Data!$G$2:$G$700,MATCH(63,Data!$B$2:$B$700,0))="","",INDEX(Data!$G$2:$G$700,MATCH(63,Data!$B$2:$B$700,0))),"")&amp;CHAR(10)&amp;IFERROR(IF(INDEX(Data!$H$2:$H$700,MATCH(63,Data!$B$2:$B$700,0))="","",INDEX(Data!$H$2:$H$700,MATCH(63,Data!$B$2:$B$700,0))),""))</f>
        <v/>
      </c>
      <c r="E75" s="23">
        <f>IF(B75="","",IFERROR(IF(INDEX(Data!$I$2:$I$700,MATCH(63,Data!$B$2:$B$700,0))="","",INDEX(Data!$I$2:$I$700,MATCH(63,Data!$B$2:$B$700,0))),""))</f>
        <v/>
      </c>
      <c r="F75" s="23">
        <f>IF(B75="","",IFERROR(IF(INDEX(Data!$D$2:$D$700,MATCH(63,Data!$B$2:$B$700,0))="","",INDEX(Data!$D$2:$D$700,MATCH(63,Data!$B$2:$B$700,0))),""))</f>
        <v/>
      </c>
      <c r="G75" s="23">
        <f>IF(B75="","",IFERROR(IF(INDEX(Data!$E$2:$E$700,MATCH(63,Data!$B$2:$B$700,0))="","",INDEX(Data!$E$2:$E$700,MATCH(63,Data!$B$2:$B$700,0))),""))</f>
        <v/>
      </c>
      <c r="H75" s="26">
        <f>IF(B75="","",IFERROR(IF(INDEX(Data!$N$2:$N$700,MATCH(63,Data!$B$2:$B$700,0))="","",INDEX(Data!$N$2:$N$700,MATCH(63,Data!$B$2:$B$700,0))),""))</f>
        <v/>
      </c>
      <c r="I75" s="26">
        <f>IF(B75="","",IFERROR(IF(INDEX(Data!$O$2:$O$700,MATCH(63,Data!$B$2:$B$700,0))="","",INDEX(Data!$O$2:$O$700,MATCH(63,Data!$B$2:$B$700,0))),""))</f>
        <v/>
      </c>
      <c r="J75" s="27">
        <f>IF(B75="","",IFERROR(IF(INDEX(Data!$P$2:$P$700,MATCH(63,Data!$B$2:$B$700,0))="","",INDEX(Data!$P$2:$P$700,MATCH(63,Data!$B$2:$B$700,0))),""))</f>
        <v/>
      </c>
      <c r="K75" s="28">
        <f>IF(B75="","",IFERROR(IF(INDEX(Data!$R$2:$R$700,MATCH(63,Data!$B$2:$B$700,0))="","",INDEX(Data!$R$2:$R$700,MATCH(63,Data!$B$2:$B$700,0))),""))</f>
        <v/>
      </c>
      <c r="L75" s="29">
        <f>IF(B75="","",IFERROR(IF(INDEX(Data!$S$2:$S$700,MATCH(63,Data!$B$2:$B$700,0))="","",INDEX(Data!$S$2:$S$700,MATCH(63,Data!$B$2:$B$700,0))),""))</f>
        <v/>
      </c>
      <c r="M75" s="29">
        <f>IF(B75="","",IFERROR(IF(INDEX(Data!$T$2:$T$700,MATCH(63,Data!$B$2:$B$700,0))="","",INDEX(Data!$T$2:$T$700,MATCH(63,Data!$B$2:$B$700,0))),""))</f>
        <v/>
      </c>
      <c r="N75" s="30">
        <f>IF(B75="","",IFERROR(IF(INDEX(Data!$U$2:$U$700,MATCH(63,Data!$B$2:$B$700,0))="","",INDEX(Data!$U$2:$U$700,MATCH(63,Data!$B$2:$B$700,0))),""))</f>
        <v/>
      </c>
      <c r="O75" s="29">
        <f>IF(B75="","",IFERROR(IF(INDEX(Data!$V$2:$V$700,MATCH(63,Data!$B$2:$B$700,0))="","",INDEX(Data!$V$2:$V$700,MATCH(63,Data!$B$2:$B$700,0))),""))</f>
        <v/>
      </c>
      <c r="P75" s="29">
        <f>IF(B75="","",IFERROR(IF(INDEX(Data!$M$2:$M$700,MATCH(63,Data!$B$2:$B$700,0))="","",INDEX(Data!$M$2:$M$700,MATCH(63,Data!$B$2:$B$700,0))),""))</f>
        <v/>
      </c>
      <c r="Q75" s="23">
        <f>IF(OR(B75="",IFERROR(IF(INDEX(Data!$Y$2:$Y$700,MATCH(63,Data!$B$2:$B$700,0))="","",INDEX(Data!$Y$2:$Y$700,MATCH(63,Data!$B$2:$B$700,0))),"")=""),"",IFERROR(IF(INDEX(Data!$Y$2:$Y$700,MATCH(63,Data!$B$2:$B$700,0))="","",INDEX(Data!$Y$2:$Y$700,MATCH(63,Data!$B$2:$B$700,0))),"")&amp;" / "&amp;IFERROR(IF(INDEX(Data!$Z$2:$Z$700,MATCH(63,Data!$B$2:$B$700,0))="","",INDEX(Data!$Z$2:$Z$700,MATCH(63,Data!$B$2:$B$700,0))),""))</f>
        <v/>
      </c>
      <c r="R75" s="23">
        <f>IF(B75="","",IFERROR(IF(INDEX(Data!$L$2:$L$700,MATCH(63,Data!$B$2:$B$700,0))="","",INDEX(Data!$L$2:$L$700,MATCH(63,Data!$B$2:$B$700,0))),""))</f>
        <v/>
      </c>
    </row>
    <row r="76" ht="62" customHeight="1">
      <c r="B76" s="23">
        <f>IF(64&lt;=COUNTIF(Data!$A$2:$A$700,TRUE),64,"")</f>
        <v/>
      </c>
      <c r="C76" s="24">
        <f>IF(B76="","",IFERROR(_xlfn.IMAGE(IFERROR(IF(INDEX(Data!$J$2:$J$700,MATCH(64,Data!$B$2:$B$700,0))="","",INDEX(Data!$J$2:$J$700,MATCH(64,Data!$B$2:$B$700,0))),"")),"IMAGE MISSING"))</f>
        <v/>
      </c>
      <c r="D76" s="25">
        <f>IF(B76="","",IFERROR(IF(INDEX(Data!$G$2:$G$700,MATCH(64,Data!$B$2:$B$700,0))="","",INDEX(Data!$G$2:$G$700,MATCH(64,Data!$B$2:$B$700,0))),"")&amp;CHAR(10)&amp;IFERROR(IF(INDEX(Data!$H$2:$H$700,MATCH(64,Data!$B$2:$B$700,0))="","",INDEX(Data!$H$2:$H$700,MATCH(64,Data!$B$2:$B$700,0))),""))</f>
        <v/>
      </c>
      <c r="E76" s="23">
        <f>IF(B76="","",IFERROR(IF(INDEX(Data!$I$2:$I$700,MATCH(64,Data!$B$2:$B$700,0))="","",INDEX(Data!$I$2:$I$700,MATCH(64,Data!$B$2:$B$700,0))),""))</f>
        <v/>
      </c>
      <c r="F76" s="23">
        <f>IF(B76="","",IFERROR(IF(INDEX(Data!$D$2:$D$700,MATCH(64,Data!$B$2:$B$700,0))="","",INDEX(Data!$D$2:$D$700,MATCH(64,Data!$B$2:$B$700,0))),""))</f>
        <v/>
      </c>
      <c r="G76" s="23">
        <f>IF(B76="","",IFERROR(IF(INDEX(Data!$E$2:$E$700,MATCH(64,Data!$B$2:$B$700,0))="","",INDEX(Data!$E$2:$E$700,MATCH(64,Data!$B$2:$B$700,0))),""))</f>
        <v/>
      </c>
      <c r="H76" s="26">
        <f>IF(B76="","",IFERROR(IF(INDEX(Data!$N$2:$N$700,MATCH(64,Data!$B$2:$B$700,0))="","",INDEX(Data!$N$2:$N$700,MATCH(64,Data!$B$2:$B$700,0))),""))</f>
        <v/>
      </c>
      <c r="I76" s="26">
        <f>IF(B76="","",IFERROR(IF(INDEX(Data!$O$2:$O$700,MATCH(64,Data!$B$2:$B$700,0))="","",INDEX(Data!$O$2:$O$700,MATCH(64,Data!$B$2:$B$700,0))),""))</f>
        <v/>
      </c>
      <c r="J76" s="27">
        <f>IF(B76="","",IFERROR(IF(INDEX(Data!$P$2:$P$700,MATCH(64,Data!$B$2:$B$700,0))="","",INDEX(Data!$P$2:$P$700,MATCH(64,Data!$B$2:$B$700,0))),""))</f>
        <v/>
      </c>
      <c r="K76" s="28">
        <f>IF(B76="","",IFERROR(IF(INDEX(Data!$R$2:$R$700,MATCH(64,Data!$B$2:$B$700,0))="","",INDEX(Data!$R$2:$R$700,MATCH(64,Data!$B$2:$B$700,0))),""))</f>
        <v/>
      </c>
      <c r="L76" s="29">
        <f>IF(B76="","",IFERROR(IF(INDEX(Data!$S$2:$S$700,MATCH(64,Data!$B$2:$B$700,0))="","",INDEX(Data!$S$2:$S$700,MATCH(64,Data!$B$2:$B$700,0))),""))</f>
        <v/>
      </c>
      <c r="M76" s="29">
        <f>IF(B76="","",IFERROR(IF(INDEX(Data!$T$2:$T$700,MATCH(64,Data!$B$2:$B$700,0))="","",INDEX(Data!$T$2:$T$700,MATCH(64,Data!$B$2:$B$700,0))),""))</f>
        <v/>
      </c>
      <c r="N76" s="30">
        <f>IF(B76="","",IFERROR(IF(INDEX(Data!$U$2:$U$700,MATCH(64,Data!$B$2:$B$700,0))="","",INDEX(Data!$U$2:$U$700,MATCH(64,Data!$B$2:$B$700,0))),""))</f>
        <v/>
      </c>
      <c r="O76" s="29">
        <f>IF(B76="","",IFERROR(IF(INDEX(Data!$V$2:$V$700,MATCH(64,Data!$B$2:$B$700,0))="","",INDEX(Data!$V$2:$V$700,MATCH(64,Data!$B$2:$B$700,0))),""))</f>
        <v/>
      </c>
      <c r="P76" s="29">
        <f>IF(B76="","",IFERROR(IF(INDEX(Data!$M$2:$M$700,MATCH(64,Data!$B$2:$B$700,0))="","",INDEX(Data!$M$2:$M$700,MATCH(64,Data!$B$2:$B$700,0))),""))</f>
        <v/>
      </c>
      <c r="Q76" s="23">
        <f>IF(OR(B76="",IFERROR(IF(INDEX(Data!$Y$2:$Y$700,MATCH(64,Data!$B$2:$B$700,0))="","",INDEX(Data!$Y$2:$Y$700,MATCH(64,Data!$B$2:$B$700,0))),"")=""),"",IFERROR(IF(INDEX(Data!$Y$2:$Y$700,MATCH(64,Data!$B$2:$B$700,0))="","",INDEX(Data!$Y$2:$Y$700,MATCH(64,Data!$B$2:$B$700,0))),"")&amp;" / "&amp;IFERROR(IF(INDEX(Data!$Z$2:$Z$700,MATCH(64,Data!$B$2:$B$700,0))="","",INDEX(Data!$Z$2:$Z$700,MATCH(64,Data!$B$2:$B$700,0))),""))</f>
        <v/>
      </c>
      <c r="R76" s="23">
        <f>IF(B76="","",IFERROR(IF(INDEX(Data!$L$2:$L$700,MATCH(64,Data!$B$2:$B$700,0))="","",INDEX(Data!$L$2:$L$700,MATCH(64,Data!$B$2:$B$700,0))),""))</f>
        <v/>
      </c>
    </row>
    <row r="77" ht="62" customHeight="1">
      <c r="B77" s="23">
        <f>IF(65&lt;=COUNTIF(Data!$A$2:$A$700,TRUE),65,"")</f>
        <v/>
      </c>
      <c r="C77" s="24">
        <f>IF(B77="","",IFERROR(_xlfn.IMAGE(IFERROR(IF(INDEX(Data!$J$2:$J$700,MATCH(65,Data!$B$2:$B$700,0))="","",INDEX(Data!$J$2:$J$700,MATCH(65,Data!$B$2:$B$700,0))),"")),"IMAGE MISSING"))</f>
        <v/>
      </c>
      <c r="D77" s="25">
        <f>IF(B77="","",IFERROR(IF(INDEX(Data!$G$2:$G$700,MATCH(65,Data!$B$2:$B$700,0))="","",INDEX(Data!$G$2:$G$700,MATCH(65,Data!$B$2:$B$700,0))),"")&amp;CHAR(10)&amp;IFERROR(IF(INDEX(Data!$H$2:$H$700,MATCH(65,Data!$B$2:$B$700,0))="","",INDEX(Data!$H$2:$H$700,MATCH(65,Data!$B$2:$B$700,0))),""))</f>
        <v/>
      </c>
      <c r="E77" s="23">
        <f>IF(B77="","",IFERROR(IF(INDEX(Data!$I$2:$I$700,MATCH(65,Data!$B$2:$B$700,0))="","",INDEX(Data!$I$2:$I$700,MATCH(65,Data!$B$2:$B$700,0))),""))</f>
        <v/>
      </c>
      <c r="F77" s="23">
        <f>IF(B77="","",IFERROR(IF(INDEX(Data!$D$2:$D$700,MATCH(65,Data!$B$2:$B$700,0))="","",INDEX(Data!$D$2:$D$700,MATCH(65,Data!$B$2:$B$700,0))),""))</f>
        <v/>
      </c>
      <c r="G77" s="23">
        <f>IF(B77="","",IFERROR(IF(INDEX(Data!$E$2:$E$700,MATCH(65,Data!$B$2:$B$700,0))="","",INDEX(Data!$E$2:$E$700,MATCH(65,Data!$B$2:$B$700,0))),""))</f>
        <v/>
      </c>
      <c r="H77" s="26">
        <f>IF(B77="","",IFERROR(IF(INDEX(Data!$N$2:$N$700,MATCH(65,Data!$B$2:$B$700,0))="","",INDEX(Data!$N$2:$N$700,MATCH(65,Data!$B$2:$B$700,0))),""))</f>
        <v/>
      </c>
      <c r="I77" s="26">
        <f>IF(B77="","",IFERROR(IF(INDEX(Data!$O$2:$O$700,MATCH(65,Data!$B$2:$B$700,0))="","",INDEX(Data!$O$2:$O$700,MATCH(65,Data!$B$2:$B$700,0))),""))</f>
        <v/>
      </c>
      <c r="J77" s="27">
        <f>IF(B77="","",IFERROR(IF(INDEX(Data!$P$2:$P$700,MATCH(65,Data!$B$2:$B$700,0))="","",INDEX(Data!$P$2:$P$700,MATCH(65,Data!$B$2:$B$700,0))),""))</f>
        <v/>
      </c>
      <c r="K77" s="28">
        <f>IF(B77="","",IFERROR(IF(INDEX(Data!$R$2:$R$700,MATCH(65,Data!$B$2:$B$700,0))="","",INDEX(Data!$R$2:$R$700,MATCH(65,Data!$B$2:$B$700,0))),""))</f>
        <v/>
      </c>
      <c r="L77" s="29">
        <f>IF(B77="","",IFERROR(IF(INDEX(Data!$S$2:$S$700,MATCH(65,Data!$B$2:$B$700,0))="","",INDEX(Data!$S$2:$S$700,MATCH(65,Data!$B$2:$B$700,0))),""))</f>
        <v/>
      </c>
      <c r="M77" s="29">
        <f>IF(B77="","",IFERROR(IF(INDEX(Data!$T$2:$T$700,MATCH(65,Data!$B$2:$B$700,0))="","",INDEX(Data!$T$2:$T$700,MATCH(65,Data!$B$2:$B$700,0))),""))</f>
        <v/>
      </c>
      <c r="N77" s="30">
        <f>IF(B77="","",IFERROR(IF(INDEX(Data!$U$2:$U$700,MATCH(65,Data!$B$2:$B$700,0))="","",INDEX(Data!$U$2:$U$700,MATCH(65,Data!$B$2:$B$700,0))),""))</f>
        <v/>
      </c>
      <c r="O77" s="29">
        <f>IF(B77="","",IFERROR(IF(INDEX(Data!$V$2:$V$700,MATCH(65,Data!$B$2:$B$700,0))="","",INDEX(Data!$V$2:$V$700,MATCH(65,Data!$B$2:$B$700,0))),""))</f>
        <v/>
      </c>
      <c r="P77" s="29">
        <f>IF(B77="","",IFERROR(IF(INDEX(Data!$M$2:$M$700,MATCH(65,Data!$B$2:$B$700,0))="","",INDEX(Data!$M$2:$M$700,MATCH(65,Data!$B$2:$B$700,0))),""))</f>
        <v/>
      </c>
      <c r="Q77" s="23">
        <f>IF(OR(B77="",IFERROR(IF(INDEX(Data!$Y$2:$Y$700,MATCH(65,Data!$B$2:$B$700,0))="","",INDEX(Data!$Y$2:$Y$700,MATCH(65,Data!$B$2:$B$700,0))),"")=""),"",IFERROR(IF(INDEX(Data!$Y$2:$Y$700,MATCH(65,Data!$B$2:$B$700,0))="","",INDEX(Data!$Y$2:$Y$700,MATCH(65,Data!$B$2:$B$700,0))),"")&amp;" / "&amp;IFERROR(IF(INDEX(Data!$Z$2:$Z$700,MATCH(65,Data!$B$2:$B$700,0))="","",INDEX(Data!$Z$2:$Z$700,MATCH(65,Data!$B$2:$B$700,0))),""))</f>
        <v/>
      </c>
      <c r="R77" s="23">
        <f>IF(B77="","",IFERROR(IF(INDEX(Data!$L$2:$L$700,MATCH(65,Data!$B$2:$B$700,0))="","",INDEX(Data!$L$2:$L$700,MATCH(65,Data!$B$2:$B$700,0))),""))</f>
        <v/>
      </c>
    </row>
    <row r="78" ht="62" customHeight="1">
      <c r="B78" s="23">
        <f>IF(66&lt;=COUNTIF(Data!$A$2:$A$700,TRUE),66,"")</f>
        <v/>
      </c>
      <c r="C78" s="24">
        <f>IF(B78="","",IFERROR(_xlfn.IMAGE(IFERROR(IF(INDEX(Data!$J$2:$J$700,MATCH(66,Data!$B$2:$B$700,0))="","",INDEX(Data!$J$2:$J$700,MATCH(66,Data!$B$2:$B$700,0))),"")),"IMAGE MISSING"))</f>
        <v/>
      </c>
      <c r="D78" s="25">
        <f>IF(B78="","",IFERROR(IF(INDEX(Data!$G$2:$G$700,MATCH(66,Data!$B$2:$B$700,0))="","",INDEX(Data!$G$2:$G$700,MATCH(66,Data!$B$2:$B$700,0))),"")&amp;CHAR(10)&amp;IFERROR(IF(INDEX(Data!$H$2:$H$700,MATCH(66,Data!$B$2:$B$700,0))="","",INDEX(Data!$H$2:$H$700,MATCH(66,Data!$B$2:$B$700,0))),""))</f>
        <v/>
      </c>
      <c r="E78" s="23">
        <f>IF(B78="","",IFERROR(IF(INDEX(Data!$I$2:$I$700,MATCH(66,Data!$B$2:$B$700,0))="","",INDEX(Data!$I$2:$I$700,MATCH(66,Data!$B$2:$B$700,0))),""))</f>
        <v/>
      </c>
      <c r="F78" s="23">
        <f>IF(B78="","",IFERROR(IF(INDEX(Data!$D$2:$D$700,MATCH(66,Data!$B$2:$B$700,0))="","",INDEX(Data!$D$2:$D$700,MATCH(66,Data!$B$2:$B$700,0))),""))</f>
        <v/>
      </c>
      <c r="G78" s="23">
        <f>IF(B78="","",IFERROR(IF(INDEX(Data!$E$2:$E$700,MATCH(66,Data!$B$2:$B$700,0))="","",INDEX(Data!$E$2:$E$700,MATCH(66,Data!$B$2:$B$700,0))),""))</f>
        <v/>
      </c>
      <c r="H78" s="26">
        <f>IF(B78="","",IFERROR(IF(INDEX(Data!$N$2:$N$700,MATCH(66,Data!$B$2:$B$700,0))="","",INDEX(Data!$N$2:$N$700,MATCH(66,Data!$B$2:$B$700,0))),""))</f>
        <v/>
      </c>
      <c r="I78" s="26">
        <f>IF(B78="","",IFERROR(IF(INDEX(Data!$O$2:$O$700,MATCH(66,Data!$B$2:$B$700,0))="","",INDEX(Data!$O$2:$O$700,MATCH(66,Data!$B$2:$B$700,0))),""))</f>
        <v/>
      </c>
      <c r="J78" s="27">
        <f>IF(B78="","",IFERROR(IF(INDEX(Data!$P$2:$P$700,MATCH(66,Data!$B$2:$B$700,0))="","",INDEX(Data!$P$2:$P$700,MATCH(66,Data!$B$2:$B$700,0))),""))</f>
        <v/>
      </c>
      <c r="K78" s="28">
        <f>IF(B78="","",IFERROR(IF(INDEX(Data!$R$2:$R$700,MATCH(66,Data!$B$2:$B$700,0))="","",INDEX(Data!$R$2:$R$700,MATCH(66,Data!$B$2:$B$700,0))),""))</f>
        <v/>
      </c>
      <c r="L78" s="29">
        <f>IF(B78="","",IFERROR(IF(INDEX(Data!$S$2:$S$700,MATCH(66,Data!$B$2:$B$700,0))="","",INDEX(Data!$S$2:$S$700,MATCH(66,Data!$B$2:$B$700,0))),""))</f>
        <v/>
      </c>
      <c r="M78" s="29">
        <f>IF(B78="","",IFERROR(IF(INDEX(Data!$T$2:$T$700,MATCH(66,Data!$B$2:$B$700,0))="","",INDEX(Data!$T$2:$T$700,MATCH(66,Data!$B$2:$B$700,0))),""))</f>
        <v/>
      </c>
      <c r="N78" s="30">
        <f>IF(B78="","",IFERROR(IF(INDEX(Data!$U$2:$U$700,MATCH(66,Data!$B$2:$B$700,0))="","",INDEX(Data!$U$2:$U$700,MATCH(66,Data!$B$2:$B$700,0))),""))</f>
        <v/>
      </c>
      <c r="O78" s="29">
        <f>IF(B78="","",IFERROR(IF(INDEX(Data!$V$2:$V$700,MATCH(66,Data!$B$2:$B$700,0))="","",INDEX(Data!$V$2:$V$700,MATCH(66,Data!$B$2:$B$700,0))),""))</f>
        <v/>
      </c>
      <c r="P78" s="29">
        <f>IF(B78="","",IFERROR(IF(INDEX(Data!$M$2:$M$700,MATCH(66,Data!$B$2:$B$700,0))="","",INDEX(Data!$M$2:$M$700,MATCH(66,Data!$B$2:$B$700,0))),""))</f>
        <v/>
      </c>
      <c r="Q78" s="23">
        <f>IF(OR(B78="",IFERROR(IF(INDEX(Data!$Y$2:$Y$700,MATCH(66,Data!$B$2:$B$700,0))="","",INDEX(Data!$Y$2:$Y$700,MATCH(66,Data!$B$2:$B$700,0))),"")=""),"",IFERROR(IF(INDEX(Data!$Y$2:$Y$700,MATCH(66,Data!$B$2:$B$700,0))="","",INDEX(Data!$Y$2:$Y$700,MATCH(66,Data!$B$2:$B$700,0))),"")&amp;" / "&amp;IFERROR(IF(INDEX(Data!$Z$2:$Z$700,MATCH(66,Data!$B$2:$B$700,0))="","",INDEX(Data!$Z$2:$Z$700,MATCH(66,Data!$B$2:$B$700,0))),""))</f>
        <v/>
      </c>
      <c r="R78" s="23">
        <f>IF(B78="","",IFERROR(IF(INDEX(Data!$L$2:$L$700,MATCH(66,Data!$B$2:$B$700,0))="","",INDEX(Data!$L$2:$L$700,MATCH(66,Data!$B$2:$B$700,0))),""))</f>
        <v/>
      </c>
    </row>
    <row r="79" ht="62" customHeight="1">
      <c r="B79" s="23">
        <f>IF(67&lt;=COUNTIF(Data!$A$2:$A$700,TRUE),67,"")</f>
        <v/>
      </c>
      <c r="C79" s="24">
        <f>IF(B79="","",IFERROR(_xlfn.IMAGE(IFERROR(IF(INDEX(Data!$J$2:$J$700,MATCH(67,Data!$B$2:$B$700,0))="","",INDEX(Data!$J$2:$J$700,MATCH(67,Data!$B$2:$B$700,0))),"")),"IMAGE MISSING"))</f>
        <v/>
      </c>
      <c r="D79" s="25">
        <f>IF(B79="","",IFERROR(IF(INDEX(Data!$G$2:$G$700,MATCH(67,Data!$B$2:$B$700,0))="","",INDEX(Data!$G$2:$G$700,MATCH(67,Data!$B$2:$B$700,0))),"")&amp;CHAR(10)&amp;IFERROR(IF(INDEX(Data!$H$2:$H$700,MATCH(67,Data!$B$2:$B$700,0))="","",INDEX(Data!$H$2:$H$700,MATCH(67,Data!$B$2:$B$700,0))),""))</f>
        <v/>
      </c>
      <c r="E79" s="23">
        <f>IF(B79="","",IFERROR(IF(INDEX(Data!$I$2:$I$700,MATCH(67,Data!$B$2:$B$700,0))="","",INDEX(Data!$I$2:$I$700,MATCH(67,Data!$B$2:$B$700,0))),""))</f>
        <v/>
      </c>
      <c r="F79" s="23">
        <f>IF(B79="","",IFERROR(IF(INDEX(Data!$D$2:$D$700,MATCH(67,Data!$B$2:$B$700,0))="","",INDEX(Data!$D$2:$D$700,MATCH(67,Data!$B$2:$B$700,0))),""))</f>
        <v/>
      </c>
      <c r="G79" s="23">
        <f>IF(B79="","",IFERROR(IF(INDEX(Data!$E$2:$E$700,MATCH(67,Data!$B$2:$B$700,0))="","",INDEX(Data!$E$2:$E$700,MATCH(67,Data!$B$2:$B$700,0))),""))</f>
        <v/>
      </c>
      <c r="H79" s="26">
        <f>IF(B79="","",IFERROR(IF(INDEX(Data!$N$2:$N$700,MATCH(67,Data!$B$2:$B$700,0))="","",INDEX(Data!$N$2:$N$700,MATCH(67,Data!$B$2:$B$700,0))),""))</f>
        <v/>
      </c>
      <c r="I79" s="26">
        <f>IF(B79="","",IFERROR(IF(INDEX(Data!$O$2:$O$700,MATCH(67,Data!$B$2:$B$700,0))="","",INDEX(Data!$O$2:$O$700,MATCH(67,Data!$B$2:$B$700,0))),""))</f>
        <v/>
      </c>
      <c r="J79" s="27">
        <f>IF(B79="","",IFERROR(IF(INDEX(Data!$P$2:$P$700,MATCH(67,Data!$B$2:$B$700,0))="","",INDEX(Data!$P$2:$P$700,MATCH(67,Data!$B$2:$B$700,0))),""))</f>
        <v/>
      </c>
      <c r="K79" s="28">
        <f>IF(B79="","",IFERROR(IF(INDEX(Data!$R$2:$R$700,MATCH(67,Data!$B$2:$B$700,0))="","",INDEX(Data!$R$2:$R$700,MATCH(67,Data!$B$2:$B$700,0))),""))</f>
        <v/>
      </c>
      <c r="L79" s="29">
        <f>IF(B79="","",IFERROR(IF(INDEX(Data!$S$2:$S$700,MATCH(67,Data!$B$2:$B$700,0))="","",INDEX(Data!$S$2:$S$700,MATCH(67,Data!$B$2:$B$700,0))),""))</f>
        <v/>
      </c>
      <c r="M79" s="29">
        <f>IF(B79="","",IFERROR(IF(INDEX(Data!$T$2:$T$700,MATCH(67,Data!$B$2:$B$700,0))="","",INDEX(Data!$T$2:$T$700,MATCH(67,Data!$B$2:$B$700,0))),""))</f>
        <v/>
      </c>
      <c r="N79" s="30">
        <f>IF(B79="","",IFERROR(IF(INDEX(Data!$U$2:$U$700,MATCH(67,Data!$B$2:$B$700,0))="","",INDEX(Data!$U$2:$U$700,MATCH(67,Data!$B$2:$B$700,0))),""))</f>
        <v/>
      </c>
      <c r="O79" s="29">
        <f>IF(B79="","",IFERROR(IF(INDEX(Data!$V$2:$V$700,MATCH(67,Data!$B$2:$B$700,0))="","",INDEX(Data!$V$2:$V$700,MATCH(67,Data!$B$2:$B$700,0))),""))</f>
        <v/>
      </c>
      <c r="P79" s="29">
        <f>IF(B79="","",IFERROR(IF(INDEX(Data!$M$2:$M$700,MATCH(67,Data!$B$2:$B$700,0))="","",INDEX(Data!$M$2:$M$700,MATCH(67,Data!$B$2:$B$700,0))),""))</f>
        <v/>
      </c>
      <c r="Q79" s="23">
        <f>IF(OR(B79="",IFERROR(IF(INDEX(Data!$Y$2:$Y$700,MATCH(67,Data!$B$2:$B$700,0))="","",INDEX(Data!$Y$2:$Y$700,MATCH(67,Data!$B$2:$B$700,0))),"")=""),"",IFERROR(IF(INDEX(Data!$Y$2:$Y$700,MATCH(67,Data!$B$2:$B$700,0))="","",INDEX(Data!$Y$2:$Y$700,MATCH(67,Data!$B$2:$B$700,0))),"")&amp;" / "&amp;IFERROR(IF(INDEX(Data!$Z$2:$Z$700,MATCH(67,Data!$B$2:$B$700,0))="","",INDEX(Data!$Z$2:$Z$700,MATCH(67,Data!$B$2:$B$700,0))),""))</f>
        <v/>
      </c>
      <c r="R79" s="23">
        <f>IF(B79="","",IFERROR(IF(INDEX(Data!$L$2:$L$700,MATCH(67,Data!$B$2:$B$700,0))="","",INDEX(Data!$L$2:$L$700,MATCH(67,Data!$B$2:$B$700,0))),""))</f>
        <v/>
      </c>
    </row>
    <row r="80" ht="62" customHeight="1">
      <c r="B80" s="23">
        <f>IF(68&lt;=COUNTIF(Data!$A$2:$A$700,TRUE),68,"")</f>
        <v/>
      </c>
      <c r="C80" s="24">
        <f>IF(B80="","",IFERROR(_xlfn.IMAGE(IFERROR(IF(INDEX(Data!$J$2:$J$700,MATCH(68,Data!$B$2:$B$700,0))="","",INDEX(Data!$J$2:$J$700,MATCH(68,Data!$B$2:$B$700,0))),"")),"IMAGE MISSING"))</f>
        <v/>
      </c>
      <c r="D80" s="25">
        <f>IF(B80="","",IFERROR(IF(INDEX(Data!$G$2:$G$700,MATCH(68,Data!$B$2:$B$700,0))="","",INDEX(Data!$G$2:$G$700,MATCH(68,Data!$B$2:$B$700,0))),"")&amp;CHAR(10)&amp;IFERROR(IF(INDEX(Data!$H$2:$H$700,MATCH(68,Data!$B$2:$B$700,0))="","",INDEX(Data!$H$2:$H$700,MATCH(68,Data!$B$2:$B$700,0))),""))</f>
        <v/>
      </c>
      <c r="E80" s="23">
        <f>IF(B80="","",IFERROR(IF(INDEX(Data!$I$2:$I$700,MATCH(68,Data!$B$2:$B$700,0))="","",INDEX(Data!$I$2:$I$700,MATCH(68,Data!$B$2:$B$700,0))),""))</f>
        <v/>
      </c>
      <c r="F80" s="23">
        <f>IF(B80="","",IFERROR(IF(INDEX(Data!$D$2:$D$700,MATCH(68,Data!$B$2:$B$700,0))="","",INDEX(Data!$D$2:$D$700,MATCH(68,Data!$B$2:$B$700,0))),""))</f>
        <v/>
      </c>
      <c r="G80" s="23">
        <f>IF(B80="","",IFERROR(IF(INDEX(Data!$E$2:$E$700,MATCH(68,Data!$B$2:$B$700,0))="","",INDEX(Data!$E$2:$E$700,MATCH(68,Data!$B$2:$B$700,0))),""))</f>
        <v/>
      </c>
      <c r="H80" s="26">
        <f>IF(B80="","",IFERROR(IF(INDEX(Data!$N$2:$N$700,MATCH(68,Data!$B$2:$B$700,0))="","",INDEX(Data!$N$2:$N$700,MATCH(68,Data!$B$2:$B$700,0))),""))</f>
        <v/>
      </c>
      <c r="I80" s="26">
        <f>IF(B80="","",IFERROR(IF(INDEX(Data!$O$2:$O$700,MATCH(68,Data!$B$2:$B$700,0))="","",INDEX(Data!$O$2:$O$700,MATCH(68,Data!$B$2:$B$700,0))),""))</f>
        <v/>
      </c>
      <c r="J80" s="27">
        <f>IF(B80="","",IFERROR(IF(INDEX(Data!$P$2:$P$700,MATCH(68,Data!$B$2:$B$700,0))="","",INDEX(Data!$P$2:$P$700,MATCH(68,Data!$B$2:$B$700,0))),""))</f>
        <v/>
      </c>
      <c r="K80" s="28">
        <f>IF(B80="","",IFERROR(IF(INDEX(Data!$R$2:$R$700,MATCH(68,Data!$B$2:$B$700,0))="","",INDEX(Data!$R$2:$R$700,MATCH(68,Data!$B$2:$B$700,0))),""))</f>
        <v/>
      </c>
      <c r="L80" s="29">
        <f>IF(B80="","",IFERROR(IF(INDEX(Data!$S$2:$S$700,MATCH(68,Data!$B$2:$B$700,0))="","",INDEX(Data!$S$2:$S$700,MATCH(68,Data!$B$2:$B$700,0))),""))</f>
        <v/>
      </c>
      <c r="M80" s="29">
        <f>IF(B80="","",IFERROR(IF(INDEX(Data!$T$2:$T$700,MATCH(68,Data!$B$2:$B$700,0))="","",INDEX(Data!$T$2:$T$700,MATCH(68,Data!$B$2:$B$700,0))),""))</f>
        <v/>
      </c>
      <c r="N80" s="30">
        <f>IF(B80="","",IFERROR(IF(INDEX(Data!$U$2:$U$700,MATCH(68,Data!$B$2:$B$700,0))="","",INDEX(Data!$U$2:$U$700,MATCH(68,Data!$B$2:$B$700,0))),""))</f>
        <v/>
      </c>
      <c r="O80" s="29">
        <f>IF(B80="","",IFERROR(IF(INDEX(Data!$V$2:$V$700,MATCH(68,Data!$B$2:$B$700,0))="","",INDEX(Data!$V$2:$V$700,MATCH(68,Data!$B$2:$B$700,0))),""))</f>
        <v/>
      </c>
      <c r="P80" s="29">
        <f>IF(B80="","",IFERROR(IF(INDEX(Data!$M$2:$M$700,MATCH(68,Data!$B$2:$B$700,0))="","",INDEX(Data!$M$2:$M$700,MATCH(68,Data!$B$2:$B$700,0))),""))</f>
        <v/>
      </c>
      <c r="Q80" s="23">
        <f>IF(OR(B80="",IFERROR(IF(INDEX(Data!$Y$2:$Y$700,MATCH(68,Data!$B$2:$B$700,0))="","",INDEX(Data!$Y$2:$Y$700,MATCH(68,Data!$B$2:$B$700,0))),"")=""),"",IFERROR(IF(INDEX(Data!$Y$2:$Y$700,MATCH(68,Data!$B$2:$B$700,0))="","",INDEX(Data!$Y$2:$Y$700,MATCH(68,Data!$B$2:$B$700,0))),"")&amp;" / "&amp;IFERROR(IF(INDEX(Data!$Z$2:$Z$700,MATCH(68,Data!$B$2:$B$700,0))="","",INDEX(Data!$Z$2:$Z$700,MATCH(68,Data!$B$2:$B$700,0))),""))</f>
        <v/>
      </c>
      <c r="R80" s="23">
        <f>IF(B80="","",IFERROR(IF(INDEX(Data!$L$2:$L$700,MATCH(68,Data!$B$2:$B$700,0))="","",INDEX(Data!$L$2:$L$700,MATCH(68,Data!$B$2:$B$700,0))),""))</f>
        <v/>
      </c>
    </row>
    <row r="81" ht="62" customHeight="1">
      <c r="B81" s="23">
        <f>IF(69&lt;=COUNTIF(Data!$A$2:$A$700,TRUE),69,"")</f>
        <v/>
      </c>
      <c r="C81" s="24">
        <f>IF(B81="","",IFERROR(_xlfn.IMAGE(IFERROR(IF(INDEX(Data!$J$2:$J$700,MATCH(69,Data!$B$2:$B$700,0))="","",INDEX(Data!$J$2:$J$700,MATCH(69,Data!$B$2:$B$700,0))),"")),"IMAGE MISSING"))</f>
        <v/>
      </c>
      <c r="D81" s="25">
        <f>IF(B81="","",IFERROR(IF(INDEX(Data!$G$2:$G$700,MATCH(69,Data!$B$2:$B$700,0))="","",INDEX(Data!$G$2:$G$700,MATCH(69,Data!$B$2:$B$700,0))),"")&amp;CHAR(10)&amp;IFERROR(IF(INDEX(Data!$H$2:$H$700,MATCH(69,Data!$B$2:$B$700,0))="","",INDEX(Data!$H$2:$H$700,MATCH(69,Data!$B$2:$B$700,0))),""))</f>
        <v/>
      </c>
      <c r="E81" s="23">
        <f>IF(B81="","",IFERROR(IF(INDEX(Data!$I$2:$I$700,MATCH(69,Data!$B$2:$B$700,0))="","",INDEX(Data!$I$2:$I$700,MATCH(69,Data!$B$2:$B$700,0))),""))</f>
        <v/>
      </c>
      <c r="F81" s="23">
        <f>IF(B81="","",IFERROR(IF(INDEX(Data!$D$2:$D$700,MATCH(69,Data!$B$2:$B$700,0))="","",INDEX(Data!$D$2:$D$700,MATCH(69,Data!$B$2:$B$700,0))),""))</f>
        <v/>
      </c>
      <c r="G81" s="23">
        <f>IF(B81="","",IFERROR(IF(INDEX(Data!$E$2:$E$700,MATCH(69,Data!$B$2:$B$700,0))="","",INDEX(Data!$E$2:$E$700,MATCH(69,Data!$B$2:$B$700,0))),""))</f>
        <v/>
      </c>
      <c r="H81" s="26">
        <f>IF(B81="","",IFERROR(IF(INDEX(Data!$N$2:$N$700,MATCH(69,Data!$B$2:$B$700,0))="","",INDEX(Data!$N$2:$N$700,MATCH(69,Data!$B$2:$B$700,0))),""))</f>
        <v/>
      </c>
      <c r="I81" s="26">
        <f>IF(B81="","",IFERROR(IF(INDEX(Data!$O$2:$O$700,MATCH(69,Data!$B$2:$B$700,0))="","",INDEX(Data!$O$2:$O$700,MATCH(69,Data!$B$2:$B$700,0))),""))</f>
        <v/>
      </c>
      <c r="J81" s="27">
        <f>IF(B81="","",IFERROR(IF(INDEX(Data!$P$2:$P$700,MATCH(69,Data!$B$2:$B$700,0))="","",INDEX(Data!$P$2:$P$700,MATCH(69,Data!$B$2:$B$700,0))),""))</f>
        <v/>
      </c>
      <c r="K81" s="28">
        <f>IF(B81="","",IFERROR(IF(INDEX(Data!$R$2:$R$700,MATCH(69,Data!$B$2:$B$700,0))="","",INDEX(Data!$R$2:$R$700,MATCH(69,Data!$B$2:$B$700,0))),""))</f>
        <v/>
      </c>
      <c r="L81" s="29">
        <f>IF(B81="","",IFERROR(IF(INDEX(Data!$S$2:$S$700,MATCH(69,Data!$B$2:$B$700,0))="","",INDEX(Data!$S$2:$S$700,MATCH(69,Data!$B$2:$B$700,0))),""))</f>
        <v/>
      </c>
      <c r="M81" s="29">
        <f>IF(B81="","",IFERROR(IF(INDEX(Data!$T$2:$T$700,MATCH(69,Data!$B$2:$B$700,0))="","",INDEX(Data!$T$2:$T$700,MATCH(69,Data!$B$2:$B$700,0))),""))</f>
        <v/>
      </c>
      <c r="N81" s="30">
        <f>IF(B81="","",IFERROR(IF(INDEX(Data!$U$2:$U$700,MATCH(69,Data!$B$2:$B$700,0))="","",INDEX(Data!$U$2:$U$700,MATCH(69,Data!$B$2:$B$700,0))),""))</f>
        <v/>
      </c>
      <c r="O81" s="29">
        <f>IF(B81="","",IFERROR(IF(INDEX(Data!$V$2:$V$700,MATCH(69,Data!$B$2:$B$700,0))="","",INDEX(Data!$V$2:$V$700,MATCH(69,Data!$B$2:$B$700,0))),""))</f>
        <v/>
      </c>
      <c r="P81" s="29">
        <f>IF(B81="","",IFERROR(IF(INDEX(Data!$M$2:$M$700,MATCH(69,Data!$B$2:$B$700,0))="","",INDEX(Data!$M$2:$M$700,MATCH(69,Data!$B$2:$B$700,0))),""))</f>
        <v/>
      </c>
      <c r="Q81" s="23">
        <f>IF(OR(B81="",IFERROR(IF(INDEX(Data!$Y$2:$Y$700,MATCH(69,Data!$B$2:$B$700,0))="","",INDEX(Data!$Y$2:$Y$700,MATCH(69,Data!$B$2:$B$700,0))),"")=""),"",IFERROR(IF(INDEX(Data!$Y$2:$Y$700,MATCH(69,Data!$B$2:$B$700,0))="","",INDEX(Data!$Y$2:$Y$700,MATCH(69,Data!$B$2:$B$700,0))),"")&amp;" / "&amp;IFERROR(IF(INDEX(Data!$Z$2:$Z$700,MATCH(69,Data!$B$2:$B$700,0))="","",INDEX(Data!$Z$2:$Z$700,MATCH(69,Data!$B$2:$B$700,0))),""))</f>
        <v/>
      </c>
      <c r="R81" s="23">
        <f>IF(B81="","",IFERROR(IF(INDEX(Data!$L$2:$L$700,MATCH(69,Data!$B$2:$B$700,0))="","",INDEX(Data!$L$2:$L$700,MATCH(69,Data!$B$2:$B$700,0))),""))</f>
        <v/>
      </c>
    </row>
    <row r="82" ht="62" customHeight="1">
      <c r="B82" s="23">
        <f>IF(70&lt;=COUNTIF(Data!$A$2:$A$700,TRUE),70,"")</f>
        <v/>
      </c>
      <c r="C82" s="24">
        <f>IF(B82="","",IFERROR(_xlfn.IMAGE(IFERROR(IF(INDEX(Data!$J$2:$J$700,MATCH(70,Data!$B$2:$B$700,0))="","",INDEX(Data!$J$2:$J$700,MATCH(70,Data!$B$2:$B$700,0))),"")),"IMAGE MISSING"))</f>
        <v/>
      </c>
      <c r="D82" s="25">
        <f>IF(B82="","",IFERROR(IF(INDEX(Data!$G$2:$G$700,MATCH(70,Data!$B$2:$B$700,0))="","",INDEX(Data!$G$2:$G$700,MATCH(70,Data!$B$2:$B$700,0))),"")&amp;CHAR(10)&amp;IFERROR(IF(INDEX(Data!$H$2:$H$700,MATCH(70,Data!$B$2:$B$700,0))="","",INDEX(Data!$H$2:$H$700,MATCH(70,Data!$B$2:$B$700,0))),""))</f>
        <v/>
      </c>
      <c r="E82" s="23">
        <f>IF(B82="","",IFERROR(IF(INDEX(Data!$I$2:$I$700,MATCH(70,Data!$B$2:$B$700,0))="","",INDEX(Data!$I$2:$I$700,MATCH(70,Data!$B$2:$B$700,0))),""))</f>
        <v/>
      </c>
      <c r="F82" s="23">
        <f>IF(B82="","",IFERROR(IF(INDEX(Data!$D$2:$D$700,MATCH(70,Data!$B$2:$B$700,0))="","",INDEX(Data!$D$2:$D$700,MATCH(70,Data!$B$2:$B$700,0))),""))</f>
        <v/>
      </c>
      <c r="G82" s="23">
        <f>IF(B82="","",IFERROR(IF(INDEX(Data!$E$2:$E$700,MATCH(70,Data!$B$2:$B$700,0))="","",INDEX(Data!$E$2:$E$700,MATCH(70,Data!$B$2:$B$700,0))),""))</f>
        <v/>
      </c>
      <c r="H82" s="26">
        <f>IF(B82="","",IFERROR(IF(INDEX(Data!$N$2:$N$700,MATCH(70,Data!$B$2:$B$700,0))="","",INDEX(Data!$N$2:$N$700,MATCH(70,Data!$B$2:$B$700,0))),""))</f>
        <v/>
      </c>
      <c r="I82" s="26">
        <f>IF(B82="","",IFERROR(IF(INDEX(Data!$O$2:$O$700,MATCH(70,Data!$B$2:$B$700,0))="","",INDEX(Data!$O$2:$O$700,MATCH(70,Data!$B$2:$B$700,0))),""))</f>
        <v/>
      </c>
      <c r="J82" s="27">
        <f>IF(B82="","",IFERROR(IF(INDEX(Data!$P$2:$P$700,MATCH(70,Data!$B$2:$B$700,0))="","",INDEX(Data!$P$2:$P$700,MATCH(70,Data!$B$2:$B$700,0))),""))</f>
        <v/>
      </c>
      <c r="K82" s="28">
        <f>IF(B82="","",IFERROR(IF(INDEX(Data!$R$2:$R$700,MATCH(70,Data!$B$2:$B$700,0))="","",INDEX(Data!$R$2:$R$700,MATCH(70,Data!$B$2:$B$700,0))),""))</f>
        <v/>
      </c>
      <c r="L82" s="29">
        <f>IF(B82="","",IFERROR(IF(INDEX(Data!$S$2:$S$700,MATCH(70,Data!$B$2:$B$700,0))="","",INDEX(Data!$S$2:$S$700,MATCH(70,Data!$B$2:$B$700,0))),""))</f>
        <v/>
      </c>
      <c r="M82" s="29">
        <f>IF(B82="","",IFERROR(IF(INDEX(Data!$T$2:$T$700,MATCH(70,Data!$B$2:$B$700,0))="","",INDEX(Data!$T$2:$T$700,MATCH(70,Data!$B$2:$B$700,0))),""))</f>
        <v/>
      </c>
      <c r="N82" s="30">
        <f>IF(B82="","",IFERROR(IF(INDEX(Data!$U$2:$U$700,MATCH(70,Data!$B$2:$B$700,0))="","",INDEX(Data!$U$2:$U$700,MATCH(70,Data!$B$2:$B$700,0))),""))</f>
        <v/>
      </c>
      <c r="O82" s="29">
        <f>IF(B82="","",IFERROR(IF(INDEX(Data!$V$2:$V$700,MATCH(70,Data!$B$2:$B$700,0))="","",INDEX(Data!$V$2:$V$700,MATCH(70,Data!$B$2:$B$700,0))),""))</f>
        <v/>
      </c>
      <c r="P82" s="29">
        <f>IF(B82="","",IFERROR(IF(INDEX(Data!$M$2:$M$700,MATCH(70,Data!$B$2:$B$700,0))="","",INDEX(Data!$M$2:$M$700,MATCH(70,Data!$B$2:$B$700,0))),""))</f>
        <v/>
      </c>
      <c r="Q82" s="23">
        <f>IF(OR(B82="",IFERROR(IF(INDEX(Data!$Y$2:$Y$700,MATCH(70,Data!$B$2:$B$700,0))="","",INDEX(Data!$Y$2:$Y$700,MATCH(70,Data!$B$2:$B$700,0))),"")=""),"",IFERROR(IF(INDEX(Data!$Y$2:$Y$700,MATCH(70,Data!$B$2:$B$700,0))="","",INDEX(Data!$Y$2:$Y$700,MATCH(70,Data!$B$2:$B$700,0))),"")&amp;" / "&amp;IFERROR(IF(INDEX(Data!$Z$2:$Z$700,MATCH(70,Data!$B$2:$B$700,0))="","",INDEX(Data!$Z$2:$Z$700,MATCH(70,Data!$B$2:$B$700,0))),""))</f>
        <v/>
      </c>
      <c r="R82" s="23">
        <f>IF(B82="","",IFERROR(IF(INDEX(Data!$L$2:$L$700,MATCH(70,Data!$B$2:$B$700,0))="","",INDEX(Data!$L$2:$L$700,MATCH(70,Data!$B$2:$B$700,0))),""))</f>
        <v/>
      </c>
    </row>
    <row r="83" ht="62" customHeight="1">
      <c r="B83" s="23">
        <f>IF(71&lt;=COUNTIF(Data!$A$2:$A$700,TRUE),71,"")</f>
        <v/>
      </c>
      <c r="C83" s="24">
        <f>IF(B83="","",IFERROR(_xlfn.IMAGE(IFERROR(IF(INDEX(Data!$J$2:$J$700,MATCH(71,Data!$B$2:$B$700,0))="","",INDEX(Data!$J$2:$J$700,MATCH(71,Data!$B$2:$B$700,0))),"")),"IMAGE MISSING"))</f>
        <v/>
      </c>
      <c r="D83" s="25">
        <f>IF(B83="","",IFERROR(IF(INDEX(Data!$G$2:$G$700,MATCH(71,Data!$B$2:$B$700,0))="","",INDEX(Data!$G$2:$G$700,MATCH(71,Data!$B$2:$B$700,0))),"")&amp;CHAR(10)&amp;IFERROR(IF(INDEX(Data!$H$2:$H$700,MATCH(71,Data!$B$2:$B$700,0))="","",INDEX(Data!$H$2:$H$700,MATCH(71,Data!$B$2:$B$700,0))),""))</f>
        <v/>
      </c>
      <c r="E83" s="23">
        <f>IF(B83="","",IFERROR(IF(INDEX(Data!$I$2:$I$700,MATCH(71,Data!$B$2:$B$700,0))="","",INDEX(Data!$I$2:$I$700,MATCH(71,Data!$B$2:$B$700,0))),""))</f>
        <v/>
      </c>
      <c r="F83" s="23">
        <f>IF(B83="","",IFERROR(IF(INDEX(Data!$D$2:$D$700,MATCH(71,Data!$B$2:$B$700,0))="","",INDEX(Data!$D$2:$D$700,MATCH(71,Data!$B$2:$B$700,0))),""))</f>
        <v/>
      </c>
      <c r="G83" s="23">
        <f>IF(B83="","",IFERROR(IF(INDEX(Data!$E$2:$E$700,MATCH(71,Data!$B$2:$B$700,0))="","",INDEX(Data!$E$2:$E$700,MATCH(71,Data!$B$2:$B$700,0))),""))</f>
        <v/>
      </c>
      <c r="H83" s="26">
        <f>IF(B83="","",IFERROR(IF(INDEX(Data!$N$2:$N$700,MATCH(71,Data!$B$2:$B$700,0))="","",INDEX(Data!$N$2:$N$700,MATCH(71,Data!$B$2:$B$700,0))),""))</f>
        <v/>
      </c>
      <c r="I83" s="26">
        <f>IF(B83="","",IFERROR(IF(INDEX(Data!$O$2:$O$700,MATCH(71,Data!$B$2:$B$700,0))="","",INDEX(Data!$O$2:$O$700,MATCH(71,Data!$B$2:$B$700,0))),""))</f>
        <v/>
      </c>
      <c r="J83" s="27">
        <f>IF(B83="","",IFERROR(IF(INDEX(Data!$P$2:$P$700,MATCH(71,Data!$B$2:$B$700,0))="","",INDEX(Data!$P$2:$P$700,MATCH(71,Data!$B$2:$B$700,0))),""))</f>
        <v/>
      </c>
      <c r="K83" s="28">
        <f>IF(B83="","",IFERROR(IF(INDEX(Data!$R$2:$R$700,MATCH(71,Data!$B$2:$B$700,0))="","",INDEX(Data!$R$2:$R$700,MATCH(71,Data!$B$2:$B$700,0))),""))</f>
        <v/>
      </c>
      <c r="L83" s="29">
        <f>IF(B83="","",IFERROR(IF(INDEX(Data!$S$2:$S$700,MATCH(71,Data!$B$2:$B$700,0))="","",INDEX(Data!$S$2:$S$700,MATCH(71,Data!$B$2:$B$700,0))),""))</f>
        <v/>
      </c>
      <c r="M83" s="29">
        <f>IF(B83="","",IFERROR(IF(INDEX(Data!$T$2:$T$700,MATCH(71,Data!$B$2:$B$700,0))="","",INDEX(Data!$T$2:$T$700,MATCH(71,Data!$B$2:$B$700,0))),""))</f>
        <v/>
      </c>
      <c r="N83" s="30">
        <f>IF(B83="","",IFERROR(IF(INDEX(Data!$U$2:$U$700,MATCH(71,Data!$B$2:$B$700,0))="","",INDEX(Data!$U$2:$U$700,MATCH(71,Data!$B$2:$B$700,0))),""))</f>
        <v/>
      </c>
      <c r="O83" s="29">
        <f>IF(B83="","",IFERROR(IF(INDEX(Data!$V$2:$V$700,MATCH(71,Data!$B$2:$B$700,0))="","",INDEX(Data!$V$2:$V$700,MATCH(71,Data!$B$2:$B$700,0))),""))</f>
        <v/>
      </c>
      <c r="P83" s="29">
        <f>IF(B83="","",IFERROR(IF(INDEX(Data!$M$2:$M$700,MATCH(71,Data!$B$2:$B$700,0))="","",INDEX(Data!$M$2:$M$700,MATCH(71,Data!$B$2:$B$700,0))),""))</f>
        <v/>
      </c>
      <c r="Q83" s="23">
        <f>IF(OR(B83="",IFERROR(IF(INDEX(Data!$Y$2:$Y$700,MATCH(71,Data!$B$2:$B$700,0))="","",INDEX(Data!$Y$2:$Y$700,MATCH(71,Data!$B$2:$B$700,0))),"")=""),"",IFERROR(IF(INDEX(Data!$Y$2:$Y$700,MATCH(71,Data!$B$2:$B$700,0))="","",INDEX(Data!$Y$2:$Y$700,MATCH(71,Data!$B$2:$B$700,0))),"")&amp;" / "&amp;IFERROR(IF(INDEX(Data!$Z$2:$Z$700,MATCH(71,Data!$B$2:$B$700,0))="","",INDEX(Data!$Z$2:$Z$700,MATCH(71,Data!$B$2:$B$700,0))),""))</f>
        <v/>
      </c>
      <c r="R83" s="23">
        <f>IF(B83="","",IFERROR(IF(INDEX(Data!$L$2:$L$700,MATCH(71,Data!$B$2:$B$700,0))="","",INDEX(Data!$L$2:$L$700,MATCH(71,Data!$B$2:$B$700,0))),""))</f>
        <v/>
      </c>
    </row>
    <row r="84" ht="62" customHeight="1">
      <c r="B84" s="23">
        <f>IF(72&lt;=COUNTIF(Data!$A$2:$A$700,TRUE),72,"")</f>
        <v/>
      </c>
      <c r="C84" s="24">
        <f>IF(B84="","",IFERROR(_xlfn.IMAGE(IFERROR(IF(INDEX(Data!$J$2:$J$700,MATCH(72,Data!$B$2:$B$700,0))="","",INDEX(Data!$J$2:$J$700,MATCH(72,Data!$B$2:$B$700,0))),"")),"IMAGE MISSING"))</f>
        <v/>
      </c>
      <c r="D84" s="25">
        <f>IF(B84="","",IFERROR(IF(INDEX(Data!$G$2:$G$700,MATCH(72,Data!$B$2:$B$700,0))="","",INDEX(Data!$G$2:$G$700,MATCH(72,Data!$B$2:$B$700,0))),"")&amp;CHAR(10)&amp;IFERROR(IF(INDEX(Data!$H$2:$H$700,MATCH(72,Data!$B$2:$B$700,0))="","",INDEX(Data!$H$2:$H$700,MATCH(72,Data!$B$2:$B$700,0))),""))</f>
        <v/>
      </c>
      <c r="E84" s="23">
        <f>IF(B84="","",IFERROR(IF(INDEX(Data!$I$2:$I$700,MATCH(72,Data!$B$2:$B$700,0))="","",INDEX(Data!$I$2:$I$700,MATCH(72,Data!$B$2:$B$700,0))),""))</f>
        <v/>
      </c>
      <c r="F84" s="23">
        <f>IF(B84="","",IFERROR(IF(INDEX(Data!$D$2:$D$700,MATCH(72,Data!$B$2:$B$700,0))="","",INDEX(Data!$D$2:$D$700,MATCH(72,Data!$B$2:$B$700,0))),""))</f>
        <v/>
      </c>
      <c r="G84" s="23">
        <f>IF(B84="","",IFERROR(IF(INDEX(Data!$E$2:$E$700,MATCH(72,Data!$B$2:$B$700,0))="","",INDEX(Data!$E$2:$E$700,MATCH(72,Data!$B$2:$B$700,0))),""))</f>
        <v/>
      </c>
      <c r="H84" s="26">
        <f>IF(B84="","",IFERROR(IF(INDEX(Data!$N$2:$N$700,MATCH(72,Data!$B$2:$B$700,0))="","",INDEX(Data!$N$2:$N$700,MATCH(72,Data!$B$2:$B$700,0))),""))</f>
        <v/>
      </c>
      <c r="I84" s="26">
        <f>IF(B84="","",IFERROR(IF(INDEX(Data!$O$2:$O$700,MATCH(72,Data!$B$2:$B$700,0))="","",INDEX(Data!$O$2:$O$700,MATCH(72,Data!$B$2:$B$700,0))),""))</f>
        <v/>
      </c>
      <c r="J84" s="27">
        <f>IF(B84="","",IFERROR(IF(INDEX(Data!$P$2:$P$700,MATCH(72,Data!$B$2:$B$700,0))="","",INDEX(Data!$P$2:$P$700,MATCH(72,Data!$B$2:$B$700,0))),""))</f>
        <v/>
      </c>
      <c r="K84" s="28">
        <f>IF(B84="","",IFERROR(IF(INDEX(Data!$R$2:$R$700,MATCH(72,Data!$B$2:$B$700,0))="","",INDEX(Data!$R$2:$R$700,MATCH(72,Data!$B$2:$B$700,0))),""))</f>
        <v/>
      </c>
      <c r="L84" s="29">
        <f>IF(B84="","",IFERROR(IF(INDEX(Data!$S$2:$S$700,MATCH(72,Data!$B$2:$B$700,0))="","",INDEX(Data!$S$2:$S$700,MATCH(72,Data!$B$2:$B$700,0))),""))</f>
        <v/>
      </c>
      <c r="M84" s="29">
        <f>IF(B84="","",IFERROR(IF(INDEX(Data!$T$2:$T$700,MATCH(72,Data!$B$2:$B$700,0))="","",INDEX(Data!$T$2:$T$700,MATCH(72,Data!$B$2:$B$700,0))),""))</f>
        <v/>
      </c>
      <c r="N84" s="30">
        <f>IF(B84="","",IFERROR(IF(INDEX(Data!$U$2:$U$700,MATCH(72,Data!$B$2:$B$700,0))="","",INDEX(Data!$U$2:$U$700,MATCH(72,Data!$B$2:$B$700,0))),""))</f>
        <v/>
      </c>
      <c r="O84" s="29">
        <f>IF(B84="","",IFERROR(IF(INDEX(Data!$V$2:$V$700,MATCH(72,Data!$B$2:$B$700,0))="","",INDEX(Data!$V$2:$V$700,MATCH(72,Data!$B$2:$B$700,0))),""))</f>
        <v/>
      </c>
      <c r="P84" s="29">
        <f>IF(B84="","",IFERROR(IF(INDEX(Data!$M$2:$M$700,MATCH(72,Data!$B$2:$B$700,0))="","",INDEX(Data!$M$2:$M$700,MATCH(72,Data!$B$2:$B$700,0))),""))</f>
        <v/>
      </c>
      <c r="Q84" s="23">
        <f>IF(OR(B84="",IFERROR(IF(INDEX(Data!$Y$2:$Y$700,MATCH(72,Data!$B$2:$B$700,0))="","",INDEX(Data!$Y$2:$Y$700,MATCH(72,Data!$B$2:$B$700,0))),"")=""),"",IFERROR(IF(INDEX(Data!$Y$2:$Y$700,MATCH(72,Data!$B$2:$B$700,0))="","",INDEX(Data!$Y$2:$Y$700,MATCH(72,Data!$B$2:$B$700,0))),"")&amp;" / "&amp;IFERROR(IF(INDEX(Data!$Z$2:$Z$700,MATCH(72,Data!$B$2:$B$700,0))="","",INDEX(Data!$Z$2:$Z$700,MATCH(72,Data!$B$2:$B$700,0))),""))</f>
        <v/>
      </c>
      <c r="R84" s="23">
        <f>IF(B84="","",IFERROR(IF(INDEX(Data!$L$2:$L$700,MATCH(72,Data!$B$2:$B$700,0))="","",INDEX(Data!$L$2:$L$700,MATCH(72,Data!$B$2:$B$700,0))),""))</f>
        <v/>
      </c>
    </row>
    <row r="85" ht="62" customHeight="1">
      <c r="B85" s="23">
        <f>IF(73&lt;=COUNTIF(Data!$A$2:$A$700,TRUE),73,"")</f>
        <v/>
      </c>
      <c r="C85" s="24">
        <f>IF(B85="","",IFERROR(_xlfn.IMAGE(IFERROR(IF(INDEX(Data!$J$2:$J$700,MATCH(73,Data!$B$2:$B$700,0))="","",INDEX(Data!$J$2:$J$700,MATCH(73,Data!$B$2:$B$700,0))),"")),"IMAGE MISSING"))</f>
        <v/>
      </c>
      <c r="D85" s="25">
        <f>IF(B85="","",IFERROR(IF(INDEX(Data!$G$2:$G$700,MATCH(73,Data!$B$2:$B$700,0))="","",INDEX(Data!$G$2:$G$700,MATCH(73,Data!$B$2:$B$700,0))),"")&amp;CHAR(10)&amp;IFERROR(IF(INDEX(Data!$H$2:$H$700,MATCH(73,Data!$B$2:$B$700,0))="","",INDEX(Data!$H$2:$H$700,MATCH(73,Data!$B$2:$B$700,0))),""))</f>
        <v/>
      </c>
      <c r="E85" s="23">
        <f>IF(B85="","",IFERROR(IF(INDEX(Data!$I$2:$I$700,MATCH(73,Data!$B$2:$B$700,0))="","",INDEX(Data!$I$2:$I$700,MATCH(73,Data!$B$2:$B$700,0))),""))</f>
        <v/>
      </c>
      <c r="F85" s="23">
        <f>IF(B85="","",IFERROR(IF(INDEX(Data!$D$2:$D$700,MATCH(73,Data!$B$2:$B$700,0))="","",INDEX(Data!$D$2:$D$700,MATCH(73,Data!$B$2:$B$700,0))),""))</f>
        <v/>
      </c>
      <c r="G85" s="23">
        <f>IF(B85="","",IFERROR(IF(INDEX(Data!$E$2:$E$700,MATCH(73,Data!$B$2:$B$700,0))="","",INDEX(Data!$E$2:$E$700,MATCH(73,Data!$B$2:$B$700,0))),""))</f>
        <v/>
      </c>
      <c r="H85" s="26">
        <f>IF(B85="","",IFERROR(IF(INDEX(Data!$N$2:$N$700,MATCH(73,Data!$B$2:$B$700,0))="","",INDEX(Data!$N$2:$N$700,MATCH(73,Data!$B$2:$B$700,0))),""))</f>
        <v/>
      </c>
      <c r="I85" s="26">
        <f>IF(B85="","",IFERROR(IF(INDEX(Data!$O$2:$O$700,MATCH(73,Data!$B$2:$B$700,0))="","",INDEX(Data!$O$2:$O$700,MATCH(73,Data!$B$2:$B$700,0))),""))</f>
        <v/>
      </c>
      <c r="J85" s="27">
        <f>IF(B85="","",IFERROR(IF(INDEX(Data!$P$2:$P$700,MATCH(73,Data!$B$2:$B$700,0))="","",INDEX(Data!$P$2:$P$700,MATCH(73,Data!$B$2:$B$700,0))),""))</f>
        <v/>
      </c>
      <c r="K85" s="28">
        <f>IF(B85="","",IFERROR(IF(INDEX(Data!$R$2:$R$700,MATCH(73,Data!$B$2:$B$700,0))="","",INDEX(Data!$R$2:$R$700,MATCH(73,Data!$B$2:$B$700,0))),""))</f>
        <v/>
      </c>
      <c r="L85" s="29">
        <f>IF(B85="","",IFERROR(IF(INDEX(Data!$S$2:$S$700,MATCH(73,Data!$B$2:$B$700,0))="","",INDEX(Data!$S$2:$S$700,MATCH(73,Data!$B$2:$B$700,0))),""))</f>
        <v/>
      </c>
      <c r="M85" s="29">
        <f>IF(B85="","",IFERROR(IF(INDEX(Data!$T$2:$T$700,MATCH(73,Data!$B$2:$B$700,0))="","",INDEX(Data!$T$2:$T$700,MATCH(73,Data!$B$2:$B$700,0))),""))</f>
        <v/>
      </c>
      <c r="N85" s="30">
        <f>IF(B85="","",IFERROR(IF(INDEX(Data!$U$2:$U$700,MATCH(73,Data!$B$2:$B$700,0))="","",INDEX(Data!$U$2:$U$700,MATCH(73,Data!$B$2:$B$700,0))),""))</f>
        <v/>
      </c>
      <c r="O85" s="29">
        <f>IF(B85="","",IFERROR(IF(INDEX(Data!$V$2:$V$700,MATCH(73,Data!$B$2:$B$700,0))="","",INDEX(Data!$V$2:$V$700,MATCH(73,Data!$B$2:$B$700,0))),""))</f>
        <v/>
      </c>
      <c r="P85" s="29">
        <f>IF(B85="","",IFERROR(IF(INDEX(Data!$M$2:$M$700,MATCH(73,Data!$B$2:$B$700,0))="","",INDEX(Data!$M$2:$M$700,MATCH(73,Data!$B$2:$B$700,0))),""))</f>
        <v/>
      </c>
      <c r="Q85" s="23">
        <f>IF(OR(B85="",IFERROR(IF(INDEX(Data!$Y$2:$Y$700,MATCH(73,Data!$B$2:$B$700,0))="","",INDEX(Data!$Y$2:$Y$700,MATCH(73,Data!$B$2:$B$700,0))),"")=""),"",IFERROR(IF(INDEX(Data!$Y$2:$Y$700,MATCH(73,Data!$B$2:$B$700,0))="","",INDEX(Data!$Y$2:$Y$700,MATCH(73,Data!$B$2:$B$700,0))),"")&amp;" / "&amp;IFERROR(IF(INDEX(Data!$Z$2:$Z$700,MATCH(73,Data!$B$2:$B$700,0))="","",INDEX(Data!$Z$2:$Z$700,MATCH(73,Data!$B$2:$B$700,0))),""))</f>
        <v/>
      </c>
      <c r="R85" s="23">
        <f>IF(B85="","",IFERROR(IF(INDEX(Data!$L$2:$L$700,MATCH(73,Data!$B$2:$B$700,0))="","",INDEX(Data!$L$2:$L$700,MATCH(73,Data!$B$2:$B$700,0))),""))</f>
        <v/>
      </c>
    </row>
    <row r="86" ht="62" customHeight="1">
      <c r="B86" s="23">
        <f>IF(74&lt;=COUNTIF(Data!$A$2:$A$700,TRUE),74,"")</f>
        <v/>
      </c>
      <c r="C86" s="24">
        <f>IF(B86="","",IFERROR(_xlfn.IMAGE(IFERROR(IF(INDEX(Data!$J$2:$J$700,MATCH(74,Data!$B$2:$B$700,0))="","",INDEX(Data!$J$2:$J$700,MATCH(74,Data!$B$2:$B$700,0))),"")),"IMAGE MISSING"))</f>
        <v/>
      </c>
      <c r="D86" s="25">
        <f>IF(B86="","",IFERROR(IF(INDEX(Data!$G$2:$G$700,MATCH(74,Data!$B$2:$B$700,0))="","",INDEX(Data!$G$2:$G$700,MATCH(74,Data!$B$2:$B$700,0))),"")&amp;CHAR(10)&amp;IFERROR(IF(INDEX(Data!$H$2:$H$700,MATCH(74,Data!$B$2:$B$700,0))="","",INDEX(Data!$H$2:$H$700,MATCH(74,Data!$B$2:$B$700,0))),""))</f>
        <v/>
      </c>
      <c r="E86" s="23">
        <f>IF(B86="","",IFERROR(IF(INDEX(Data!$I$2:$I$700,MATCH(74,Data!$B$2:$B$700,0))="","",INDEX(Data!$I$2:$I$700,MATCH(74,Data!$B$2:$B$700,0))),""))</f>
        <v/>
      </c>
      <c r="F86" s="23">
        <f>IF(B86="","",IFERROR(IF(INDEX(Data!$D$2:$D$700,MATCH(74,Data!$B$2:$B$700,0))="","",INDEX(Data!$D$2:$D$700,MATCH(74,Data!$B$2:$B$700,0))),""))</f>
        <v/>
      </c>
      <c r="G86" s="23">
        <f>IF(B86="","",IFERROR(IF(INDEX(Data!$E$2:$E$700,MATCH(74,Data!$B$2:$B$700,0))="","",INDEX(Data!$E$2:$E$700,MATCH(74,Data!$B$2:$B$700,0))),""))</f>
        <v/>
      </c>
      <c r="H86" s="26">
        <f>IF(B86="","",IFERROR(IF(INDEX(Data!$N$2:$N$700,MATCH(74,Data!$B$2:$B$700,0))="","",INDEX(Data!$N$2:$N$700,MATCH(74,Data!$B$2:$B$700,0))),""))</f>
        <v/>
      </c>
      <c r="I86" s="26">
        <f>IF(B86="","",IFERROR(IF(INDEX(Data!$O$2:$O$700,MATCH(74,Data!$B$2:$B$700,0))="","",INDEX(Data!$O$2:$O$700,MATCH(74,Data!$B$2:$B$700,0))),""))</f>
        <v/>
      </c>
      <c r="J86" s="27">
        <f>IF(B86="","",IFERROR(IF(INDEX(Data!$P$2:$P$700,MATCH(74,Data!$B$2:$B$700,0))="","",INDEX(Data!$P$2:$P$700,MATCH(74,Data!$B$2:$B$700,0))),""))</f>
        <v/>
      </c>
      <c r="K86" s="28">
        <f>IF(B86="","",IFERROR(IF(INDEX(Data!$R$2:$R$700,MATCH(74,Data!$B$2:$B$700,0))="","",INDEX(Data!$R$2:$R$700,MATCH(74,Data!$B$2:$B$700,0))),""))</f>
        <v/>
      </c>
      <c r="L86" s="29">
        <f>IF(B86="","",IFERROR(IF(INDEX(Data!$S$2:$S$700,MATCH(74,Data!$B$2:$B$700,0))="","",INDEX(Data!$S$2:$S$700,MATCH(74,Data!$B$2:$B$700,0))),""))</f>
        <v/>
      </c>
      <c r="M86" s="29">
        <f>IF(B86="","",IFERROR(IF(INDEX(Data!$T$2:$T$700,MATCH(74,Data!$B$2:$B$700,0))="","",INDEX(Data!$T$2:$T$700,MATCH(74,Data!$B$2:$B$700,0))),""))</f>
        <v/>
      </c>
      <c r="N86" s="30">
        <f>IF(B86="","",IFERROR(IF(INDEX(Data!$U$2:$U$700,MATCH(74,Data!$B$2:$B$700,0))="","",INDEX(Data!$U$2:$U$700,MATCH(74,Data!$B$2:$B$700,0))),""))</f>
        <v/>
      </c>
      <c r="O86" s="29">
        <f>IF(B86="","",IFERROR(IF(INDEX(Data!$V$2:$V$700,MATCH(74,Data!$B$2:$B$700,0))="","",INDEX(Data!$V$2:$V$700,MATCH(74,Data!$B$2:$B$700,0))),""))</f>
        <v/>
      </c>
      <c r="P86" s="29">
        <f>IF(B86="","",IFERROR(IF(INDEX(Data!$M$2:$M$700,MATCH(74,Data!$B$2:$B$700,0))="","",INDEX(Data!$M$2:$M$700,MATCH(74,Data!$B$2:$B$700,0))),""))</f>
        <v/>
      </c>
      <c r="Q86" s="23">
        <f>IF(OR(B86="",IFERROR(IF(INDEX(Data!$Y$2:$Y$700,MATCH(74,Data!$B$2:$B$700,0))="","",INDEX(Data!$Y$2:$Y$700,MATCH(74,Data!$B$2:$B$700,0))),"")=""),"",IFERROR(IF(INDEX(Data!$Y$2:$Y$700,MATCH(74,Data!$B$2:$B$700,0))="","",INDEX(Data!$Y$2:$Y$700,MATCH(74,Data!$B$2:$B$700,0))),"")&amp;" / "&amp;IFERROR(IF(INDEX(Data!$Z$2:$Z$700,MATCH(74,Data!$B$2:$B$700,0))="","",INDEX(Data!$Z$2:$Z$700,MATCH(74,Data!$B$2:$B$700,0))),""))</f>
        <v/>
      </c>
      <c r="R86" s="23">
        <f>IF(B86="","",IFERROR(IF(INDEX(Data!$L$2:$L$700,MATCH(74,Data!$B$2:$B$700,0))="","",INDEX(Data!$L$2:$L$700,MATCH(74,Data!$B$2:$B$700,0))),""))</f>
        <v/>
      </c>
    </row>
    <row r="87" ht="62" customHeight="1">
      <c r="B87" s="23">
        <f>IF(75&lt;=COUNTIF(Data!$A$2:$A$700,TRUE),75,"")</f>
        <v/>
      </c>
      <c r="C87" s="24">
        <f>IF(B87="","",IFERROR(_xlfn.IMAGE(IFERROR(IF(INDEX(Data!$J$2:$J$700,MATCH(75,Data!$B$2:$B$700,0))="","",INDEX(Data!$J$2:$J$700,MATCH(75,Data!$B$2:$B$700,0))),"")),"IMAGE MISSING"))</f>
        <v/>
      </c>
      <c r="D87" s="25">
        <f>IF(B87="","",IFERROR(IF(INDEX(Data!$G$2:$G$700,MATCH(75,Data!$B$2:$B$700,0))="","",INDEX(Data!$G$2:$G$700,MATCH(75,Data!$B$2:$B$700,0))),"")&amp;CHAR(10)&amp;IFERROR(IF(INDEX(Data!$H$2:$H$700,MATCH(75,Data!$B$2:$B$700,0))="","",INDEX(Data!$H$2:$H$700,MATCH(75,Data!$B$2:$B$700,0))),""))</f>
        <v/>
      </c>
      <c r="E87" s="23">
        <f>IF(B87="","",IFERROR(IF(INDEX(Data!$I$2:$I$700,MATCH(75,Data!$B$2:$B$700,0))="","",INDEX(Data!$I$2:$I$700,MATCH(75,Data!$B$2:$B$700,0))),""))</f>
        <v/>
      </c>
      <c r="F87" s="23">
        <f>IF(B87="","",IFERROR(IF(INDEX(Data!$D$2:$D$700,MATCH(75,Data!$B$2:$B$700,0))="","",INDEX(Data!$D$2:$D$700,MATCH(75,Data!$B$2:$B$700,0))),""))</f>
        <v/>
      </c>
      <c r="G87" s="23">
        <f>IF(B87="","",IFERROR(IF(INDEX(Data!$E$2:$E$700,MATCH(75,Data!$B$2:$B$700,0))="","",INDEX(Data!$E$2:$E$700,MATCH(75,Data!$B$2:$B$700,0))),""))</f>
        <v/>
      </c>
      <c r="H87" s="26">
        <f>IF(B87="","",IFERROR(IF(INDEX(Data!$N$2:$N$700,MATCH(75,Data!$B$2:$B$700,0))="","",INDEX(Data!$N$2:$N$700,MATCH(75,Data!$B$2:$B$700,0))),""))</f>
        <v/>
      </c>
      <c r="I87" s="26">
        <f>IF(B87="","",IFERROR(IF(INDEX(Data!$O$2:$O$700,MATCH(75,Data!$B$2:$B$700,0))="","",INDEX(Data!$O$2:$O$700,MATCH(75,Data!$B$2:$B$700,0))),""))</f>
        <v/>
      </c>
      <c r="J87" s="27">
        <f>IF(B87="","",IFERROR(IF(INDEX(Data!$P$2:$P$700,MATCH(75,Data!$B$2:$B$700,0))="","",INDEX(Data!$P$2:$P$700,MATCH(75,Data!$B$2:$B$700,0))),""))</f>
        <v/>
      </c>
      <c r="K87" s="28">
        <f>IF(B87="","",IFERROR(IF(INDEX(Data!$R$2:$R$700,MATCH(75,Data!$B$2:$B$700,0))="","",INDEX(Data!$R$2:$R$700,MATCH(75,Data!$B$2:$B$700,0))),""))</f>
        <v/>
      </c>
      <c r="L87" s="29">
        <f>IF(B87="","",IFERROR(IF(INDEX(Data!$S$2:$S$700,MATCH(75,Data!$B$2:$B$700,0))="","",INDEX(Data!$S$2:$S$700,MATCH(75,Data!$B$2:$B$700,0))),""))</f>
        <v/>
      </c>
      <c r="M87" s="29">
        <f>IF(B87="","",IFERROR(IF(INDEX(Data!$T$2:$T$700,MATCH(75,Data!$B$2:$B$700,0))="","",INDEX(Data!$T$2:$T$700,MATCH(75,Data!$B$2:$B$700,0))),""))</f>
        <v/>
      </c>
      <c r="N87" s="30">
        <f>IF(B87="","",IFERROR(IF(INDEX(Data!$U$2:$U$700,MATCH(75,Data!$B$2:$B$700,0))="","",INDEX(Data!$U$2:$U$700,MATCH(75,Data!$B$2:$B$700,0))),""))</f>
        <v/>
      </c>
      <c r="O87" s="29">
        <f>IF(B87="","",IFERROR(IF(INDEX(Data!$V$2:$V$700,MATCH(75,Data!$B$2:$B$700,0))="","",INDEX(Data!$V$2:$V$700,MATCH(75,Data!$B$2:$B$700,0))),""))</f>
        <v/>
      </c>
      <c r="P87" s="29">
        <f>IF(B87="","",IFERROR(IF(INDEX(Data!$M$2:$M$700,MATCH(75,Data!$B$2:$B$700,0))="","",INDEX(Data!$M$2:$M$700,MATCH(75,Data!$B$2:$B$700,0))),""))</f>
        <v/>
      </c>
      <c r="Q87" s="23">
        <f>IF(OR(B87="",IFERROR(IF(INDEX(Data!$Y$2:$Y$700,MATCH(75,Data!$B$2:$B$700,0))="","",INDEX(Data!$Y$2:$Y$700,MATCH(75,Data!$B$2:$B$700,0))),"")=""),"",IFERROR(IF(INDEX(Data!$Y$2:$Y$700,MATCH(75,Data!$B$2:$B$700,0))="","",INDEX(Data!$Y$2:$Y$700,MATCH(75,Data!$B$2:$B$700,0))),"")&amp;" / "&amp;IFERROR(IF(INDEX(Data!$Z$2:$Z$700,MATCH(75,Data!$B$2:$B$700,0))="","",INDEX(Data!$Z$2:$Z$700,MATCH(75,Data!$B$2:$B$700,0))),""))</f>
        <v/>
      </c>
      <c r="R87" s="23">
        <f>IF(B87="","",IFERROR(IF(INDEX(Data!$L$2:$L$700,MATCH(75,Data!$B$2:$B$700,0))="","",INDEX(Data!$L$2:$L$700,MATCH(75,Data!$B$2:$B$700,0))),""))</f>
        <v/>
      </c>
    </row>
    <row r="88" ht="62" customHeight="1">
      <c r="B88" s="23">
        <f>IF(76&lt;=COUNTIF(Data!$A$2:$A$700,TRUE),76,"")</f>
        <v/>
      </c>
      <c r="C88" s="24">
        <f>IF(B88="","",IFERROR(_xlfn.IMAGE(IFERROR(IF(INDEX(Data!$J$2:$J$700,MATCH(76,Data!$B$2:$B$700,0))="","",INDEX(Data!$J$2:$J$700,MATCH(76,Data!$B$2:$B$700,0))),"")),"IMAGE MISSING"))</f>
        <v/>
      </c>
      <c r="D88" s="25">
        <f>IF(B88="","",IFERROR(IF(INDEX(Data!$G$2:$G$700,MATCH(76,Data!$B$2:$B$700,0))="","",INDEX(Data!$G$2:$G$700,MATCH(76,Data!$B$2:$B$700,0))),"")&amp;CHAR(10)&amp;IFERROR(IF(INDEX(Data!$H$2:$H$700,MATCH(76,Data!$B$2:$B$700,0))="","",INDEX(Data!$H$2:$H$700,MATCH(76,Data!$B$2:$B$700,0))),""))</f>
        <v/>
      </c>
      <c r="E88" s="23">
        <f>IF(B88="","",IFERROR(IF(INDEX(Data!$I$2:$I$700,MATCH(76,Data!$B$2:$B$700,0))="","",INDEX(Data!$I$2:$I$700,MATCH(76,Data!$B$2:$B$700,0))),""))</f>
        <v/>
      </c>
      <c r="F88" s="23">
        <f>IF(B88="","",IFERROR(IF(INDEX(Data!$D$2:$D$700,MATCH(76,Data!$B$2:$B$700,0))="","",INDEX(Data!$D$2:$D$700,MATCH(76,Data!$B$2:$B$700,0))),""))</f>
        <v/>
      </c>
      <c r="G88" s="23">
        <f>IF(B88="","",IFERROR(IF(INDEX(Data!$E$2:$E$700,MATCH(76,Data!$B$2:$B$700,0))="","",INDEX(Data!$E$2:$E$700,MATCH(76,Data!$B$2:$B$700,0))),""))</f>
        <v/>
      </c>
      <c r="H88" s="26">
        <f>IF(B88="","",IFERROR(IF(INDEX(Data!$N$2:$N$700,MATCH(76,Data!$B$2:$B$700,0))="","",INDEX(Data!$N$2:$N$700,MATCH(76,Data!$B$2:$B$700,0))),""))</f>
        <v/>
      </c>
      <c r="I88" s="26">
        <f>IF(B88="","",IFERROR(IF(INDEX(Data!$O$2:$O$700,MATCH(76,Data!$B$2:$B$700,0))="","",INDEX(Data!$O$2:$O$700,MATCH(76,Data!$B$2:$B$700,0))),""))</f>
        <v/>
      </c>
      <c r="J88" s="27">
        <f>IF(B88="","",IFERROR(IF(INDEX(Data!$P$2:$P$700,MATCH(76,Data!$B$2:$B$700,0))="","",INDEX(Data!$P$2:$P$700,MATCH(76,Data!$B$2:$B$700,0))),""))</f>
        <v/>
      </c>
      <c r="K88" s="28">
        <f>IF(B88="","",IFERROR(IF(INDEX(Data!$R$2:$R$700,MATCH(76,Data!$B$2:$B$700,0))="","",INDEX(Data!$R$2:$R$700,MATCH(76,Data!$B$2:$B$700,0))),""))</f>
        <v/>
      </c>
      <c r="L88" s="29">
        <f>IF(B88="","",IFERROR(IF(INDEX(Data!$S$2:$S$700,MATCH(76,Data!$B$2:$B$700,0))="","",INDEX(Data!$S$2:$S$700,MATCH(76,Data!$B$2:$B$700,0))),""))</f>
        <v/>
      </c>
      <c r="M88" s="29">
        <f>IF(B88="","",IFERROR(IF(INDEX(Data!$T$2:$T$700,MATCH(76,Data!$B$2:$B$700,0))="","",INDEX(Data!$T$2:$T$700,MATCH(76,Data!$B$2:$B$700,0))),""))</f>
        <v/>
      </c>
      <c r="N88" s="30">
        <f>IF(B88="","",IFERROR(IF(INDEX(Data!$U$2:$U$700,MATCH(76,Data!$B$2:$B$700,0))="","",INDEX(Data!$U$2:$U$700,MATCH(76,Data!$B$2:$B$700,0))),""))</f>
        <v/>
      </c>
      <c r="O88" s="29">
        <f>IF(B88="","",IFERROR(IF(INDEX(Data!$V$2:$V$700,MATCH(76,Data!$B$2:$B$700,0))="","",INDEX(Data!$V$2:$V$700,MATCH(76,Data!$B$2:$B$700,0))),""))</f>
        <v/>
      </c>
      <c r="P88" s="29">
        <f>IF(B88="","",IFERROR(IF(INDEX(Data!$M$2:$M$700,MATCH(76,Data!$B$2:$B$700,0))="","",INDEX(Data!$M$2:$M$700,MATCH(76,Data!$B$2:$B$700,0))),""))</f>
        <v/>
      </c>
      <c r="Q88" s="23">
        <f>IF(OR(B88="",IFERROR(IF(INDEX(Data!$Y$2:$Y$700,MATCH(76,Data!$B$2:$B$700,0))="","",INDEX(Data!$Y$2:$Y$700,MATCH(76,Data!$B$2:$B$700,0))),"")=""),"",IFERROR(IF(INDEX(Data!$Y$2:$Y$700,MATCH(76,Data!$B$2:$B$700,0))="","",INDEX(Data!$Y$2:$Y$700,MATCH(76,Data!$B$2:$B$700,0))),"")&amp;" / "&amp;IFERROR(IF(INDEX(Data!$Z$2:$Z$700,MATCH(76,Data!$B$2:$B$700,0))="","",INDEX(Data!$Z$2:$Z$700,MATCH(76,Data!$B$2:$B$700,0))),""))</f>
        <v/>
      </c>
      <c r="R88" s="23">
        <f>IF(B88="","",IFERROR(IF(INDEX(Data!$L$2:$L$700,MATCH(76,Data!$B$2:$B$700,0))="","",INDEX(Data!$L$2:$L$700,MATCH(76,Data!$B$2:$B$700,0))),""))</f>
        <v/>
      </c>
    </row>
    <row r="89" ht="62" customHeight="1">
      <c r="B89" s="23">
        <f>IF(77&lt;=COUNTIF(Data!$A$2:$A$700,TRUE),77,"")</f>
        <v/>
      </c>
      <c r="C89" s="24">
        <f>IF(B89="","",IFERROR(_xlfn.IMAGE(IFERROR(IF(INDEX(Data!$J$2:$J$700,MATCH(77,Data!$B$2:$B$700,0))="","",INDEX(Data!$J$2:$J$700,MATCH(77,Data!$B$2:$B$700,0))),"")),"IMAGE MISSING"))</f>
        <v/>
      </c>
      <c r="D89" s="25">
        <f>IF(B89="","",IFERROR(IF(INDEX(Data!$G$2:$G$700,MATCH(77,Data!$B$2:$B$700,0))="","",INDEX(Data!$G$2:$G$700,MATCH(77,Data!$B$2:$B$700,0))),"")&amp;CHAR(10)&amp;IFERROR(IF(INDEX(Data!$H$2:$H$700,MATCH(77,Data!$B$2:$B$700,0))="","",INDEX(Data!$H$2:$H$700,MATCH(77,Data!$B$2:$B$700,0))),""))</f>
        <v/>
      </c>
      <c r="E89" s="23">
        <f>IF(B89="","",IFERROR(IF(INDEX(Data!$I$2:$I$700,MATCH(77,Data!$B$2:$B$700,0))="","",INDEX(Data!$I$2:$I$700,MATCH(77,Data!$B$2:$B$700,0))),""))</f>
        <v/>
      </c>
      <c r="F89" s="23">
        <f>IF(B89="","",IFERROR(IF(INDEX(Data!$D$2:$D$700,MATCH(77,Data!$B$2:$B$700,0))="","",INDEX(Data!$D$2:$D$700,MATCH(77,Data!$B$2:$B$700,0))),""))</f>
        <v/>
      </c>
      <c r="G89" s="23">
        <f>IF(B89="","",IFERROR(IF(INDEX(Data!$E$2:$E$700,MATCH(77,Data!$B$2:$B$700,0))="","",INDEX(Data!$E$2:$E$700,MATCH(77,Data!$B$2:$B$700,0))),""))</f>
        <v/>
      </c>
      <c r="H89" s="26">
        <f>IF(B89="","",IFERROR(IF(INDEX(Data!$N$2:$N$700,MATCH(77,Data!$B$2:$B$700,0))="","",INDEX(Data!$N$2:$N$700,MATCH(77,Data!$B$2:$B$700,0))),""))</f>
        <v/>
      </c>
      <c r="I89" s="26">
        <f>IF(B89="","",IFERROR(IF(INDEX(Data!$O$2:$O$700,MATCH(77,Data!$B$2:$B$700,0))="","",INDEX(Data!$O$2:$O$700,MATCH(77,Data!$B$2:$B$700,0))),""))</f>
        <v/>
      </c>
      <c r="J89" s="27">
        <f>IF(B89="","",IFERROR(IF(INDEX(Data!$P$2:$P$700,MATCH(77,Data!$B$2:$B$700,0))="","",INDEX(Data!$P$2:$P$700,MATCH(77,Data!$B$2:$B$700,0))),""))</f>
        <v/>
      </c>
      <c r="K89" s="28">
        <f>IF(B89="","",IFERROR(IF(INDEX(Data!$R$2:$R$700,MATCH(77,Data!$B$2:$B$700,0))="","",INDEX(Data!$R$2:$R$700,MATCH(77,Data!$B$2:$B$700,0))),""))</f>
        <v/>
      </c>
      <c r="L89" s="29">
        <f>IF(B89="","",IFERROR(IF(INDEX(Data!$S$2:$S$700,MATCH(77,Data!$B$2:$B$700,0))="","",INDEX(Data!$S$2:$S$700,MATCH(77,Data!$B$2:$B$700,0))),""))</f>
        <v/>
      </c>
      <c r="M89" s="29">
        <f>IF(B89="","",IFERROR(IF(INDEX(Data!$T$2:$T$700,MATCH(77,Data!$B$2:$B$700,0))="","",INDEX(Data!$T$2:$T$700,MATCH(77,Data!$B$2:$B$700,0))),""))</f>
        <v/>
      </c>
      <c r="N89" s="30">
        <f>IF(B89="","",IFERROR(IF(INDEX(Data!$U$2:$U$700,MATCH(77,Data!$B$2:$B$700,0))="","",INDEX(Data!$U$2:$U$700,MATCH(77,Data!$B$2:$B$700,0))),""))</f>
        <v/>
      </c>
      <c r="O89" s="29">
        <f>IF(B89="","",IFERROR(IF(INDEX(Data!$V$2:$V$700,MATCH(77,Data!$B$2:$B$700,0))="","",INDEX(Data!$V$2:$V$700,MATCH(77,Data!$B$2:$B$700,0))),""))</f>
        <v/>
      </c>
      <c r="P89" s="29">
        <f>IF(B89="","",IFERROR(IF(INDEX(Data!$M$2:$M$700,MATCH(77,Data!$B$2:$B$700,0))="","",INDEX(Data!$M$2:$M$700,MATCH(77,Data!$B$2:$B$700,0))),""))</f>
        <v/>
      </c>
      <c r="Q89" s="23">
        <f>IF(OR(B89="",IFERROR(IF(INDEX(Data!$Y$2:$Y$700,MATCH(77,Data!$B$2:$B$700,0))="","",INDEX(Data!$Y$2:$Y$700,MATCH(77,Data!$B$2:$B$700,0))),"")=""),"",IFERROR(IF(INDEX(Data!$Y$2:$Y$700,MATCH(77,Data!$B$2:$B$700,0))="","",INDEX(Data!$Y$2:$Y$700,MATCH(77,Data!$B$2:$B$700,0))),"")&amp;" / "&amp;IFERROR(IF(INDEX(Data!$Z$2:$Z$700,MATCH(77,Data!$B$2:$B$700,0))="","",INDEX(Data!$Z$2:$Z$700,MATCH(77,Data!$B$2:$B$700,0))),""))</f>
        <v/>
      </c>
      <c r="R89" s="23">
        <f>IF(B89="","",IFERROR(IF(INDEX(Data!$L$2:$L$700,MATCH(77,Data!$B$2:$B$700,0))="","",INDEX(Data!$L$2:$L$700,MATCH(77,Data!$B$2:$B$700,0))),""))</f>
        <v/>
      </c>
    </row>
    <row r="90" ht="62" customHeight="1">
      <c r="B90" s="23">
        <f>IF(78&lt;=COUNTIF(Data!$A$2:$A$700,TRUE),78,"")</f>
        <v/>
      </c>
      <c r="C90" s="24">
        <f>IF(B90="","",IFERROR(_xlfn.IMAGE(IFERROR(IF(INDEX(Data!$J$2:$J$700,MATCH(78,Data!$B$2:$B$700,0))="","",INDEX(Data!$J$2:$J$700,MATCH(78,Data!$B$2:$B$700,0))),"")),"IMAGE MISSING"))</f>
        <v/>
      </c>
      <c r="D90" s="25">
        <f>IF(B90="","",IFERROR(IF(INDEX(Data!$G$2:$G$700,MATCH(78,Data!$B$2:$B$700,0))="","",INDEX(Data!$G$2:$G$700,MATCH(78,Data!$B$2:$B$700,0))),"")&amp;CHAR(10)&amp;IFERROR(IF(INDEX(Data!$H$2:$H$700,MATCH(78,Data!$B$2:$B$700,0))="","",INDEX(Data!$H$2:$H$700,MATCH(78,Data!$B$2:$B$700,0))),""))</f>
        <v/>
      </c>
      <c r="E90" s="23">
        <f>IF(B90="","",IFERROR(IF(INDEX(Data!$I$2:$I$700,MATCH(78,Data!$B$2:$B$700,0))="","",INDEX(Data!$I$2:$I$700,MATCH(78,Data!$B$2:$B$700,0))),""))</f>
        <v/>
      </c>
      <c r="F90" s="23">
        <f>IF(B90="","",IFERROR(IF(INDEX(Data!$D$2:$D$700,MATCH(78,Data!$B$2:$B$700,0))="","",INDEX(Data!$D$2:$D$700,MATCH(78,Data!$B$2:$B$700,0))),""))</f>
        <v/>
      </c>
      <c r="G90" s="23">
        <f>IF(B90="","",IFERROR(IF(INDEX(Data!$E$2:$E$700,MATCH(78,Data!$B$2:$B$700,0))="","",INDEX(Data!$E$2:$E$700,MATCH(78,Data!$B$2:$B$700,0))),""))</f>
        <v/>
      </c>
      <c r="H90" s="26">
        <f>IF(B90="","",IFERROR(IF(INDEX(Data!$N$2:$N$700,MATCH(78,Data!$B$2:$B$700,0))="","",INDEX(Data!$N$2:$N$700,MATCH(78,Data!$B$2:$B$700,0))),""))</f>
        <v/>
      </c>
      <c r="I90" s="26">
        <f>IF(B90="","",IFERROR(IF(INDEX(Data!$O$2:$O$700,MATCH(78,Data!$B$2:$B$700,0))="","",INDEX(Data!$O$2:$O$700,MATCH(78,Data!$B$2:$B$700,0))),""))</f>
        <v/>
      </c>
      <c r="J90" s="27">
        <f>IF(B90="","",IFERROR(IF(INDEX(Data!$P$2:$P$700,MATCH(78,Data!$B$2:$B$700,0))="","",INDEX(Data!$P$2:$P$700,MATCH(78,Data!$B$2:$B$700,0))),""))</f>
        <v/>
      </c>
      <c r="K90" s="28">
        <f>IF(B90="","",IFERROR(IF(INDEX(Data!$R$2:$R$700,MATCH(78,Data!$B$2:$B$700,0))="","",INDEX(Data!$R$2:$R$700,MATCH(78,Data!$B$2:$B$700,0))),""))</f>
        <v/>
      </c>
      <c r="L90" s="29">
        <f>IF(B90="","",IFERROR(IF(INDEX(Data!$S$2:$S$700,MATCH(78,Data!$B$2:$B$700,0))="","",INDEX(Data!$S$2:$S$700,MATCH(78,Data!$B$2:$B$700,0))),""))</f>
        <v/>
      </c>
      <c r="M90" s="29">
        <f>IF(B90="","",IFERROR(IF(INDEX(Data!$T$2:$T$700,MATCH(78,Data!$B$2:$B$700,0))="","",INDEX(Data!$T$2:$T$700,MATCH(78,Data!$B$2:$B$700,0))),""))</f>
        <v/>
      </c>
      <c r="N90" s="30">
        <f>IF(B90="","",IFERROR(IF(INDEX(Data!$U$2:$U$700,MATCH(78,Data!$B$2:$B$700,0))="","",INDEX(Data!$U$2:$U$700,MATCH(78,Data!$B$2:$B$700,0))),""))</f>
        <v/>
      </c>
      <c r="O90" s="29">
        <f>IF(B90="","",IFERROR(IF(INDEX(Data!$V$2:$V$700,MATCH(78,Data!$B$2:$B$700,0))="","",INDEX(Data!$V$2:$V$700,MATCH(78,Data!$B$2:$B$700,0))),""))</f>
        <v/>
      </c>
      <c r="P90" s="29">
        <f>IF(B90="","",IFERROR(IF(INDEX(Data!$M$2:$M$700,MATCH(78,Data!$B$2:$B$700,0))="","",INDEX(Data!$M$2:$M$700,MATCH(78,Data!$B$2:$B$700,0))),""))</f>
        <v/>
      </c>
      <c r="Q90" s="23">
        <f>IF(OR(B90="",IFERROR(IF(INDEX(Data!$Y$2:$Y$700,MATCH(78,Data!$B$2:$B$700,0))="","",INDEX(Data!$Y$2:$Y$700,MATCH(78,Data!$B$2:$B$700,0))),"")=""),"",IFERROR(IF(INDEX(Data!$Y$2:$Y$700,MATCH(78,Data!$B$2:$B$700,0))="","",INDEX(Data!$Y$2:$Y$700,MATCH(78,Data!$B$2:$B$700,0))),"")&amp;" / "&amp;IFERROR(IF(INDEX(Data!$Z$2:$Z$700,MATCH(78,Data!$B$2:$B$700,0))="","",INDEX(Data!$Z$2:$Z$700,MATCH(78,Data!$B$2:$B$700,0))),""))</f>
        <v/>
      </c>
      <c r="R90" s="23">
        <f>IF(B90="","",IFERROR(IF(INDEX(Data!$L$2:$L$700,MATCH(78,Data!$B$2:$B$700,0))="","",INDEX(Data!$L$2:$L$700,MATCH(78,Data!$B$2:$B$700,0))),""))</f>
        <v/>
      </c>
    </row>
    <row r="91" ht="62" customHeight="1">
      <c r="B91" s="23">
        <f>IF(79&lt;=COUNTIF(Data!$A$2:$A$700,TRUE),79,"")</f>
        <v/>
      </c>
      <c r="C91" s="24">
        <f>IF(B91="","",IFERROR(_xlfn.IMAGE(IFERROR(IF(INDEX(Data!$J$2:$J$700,MATCH(79,Data!$B$2:$B$700,0))="","",INDEX(Data!$J$2:$J$700,MATCH(79,Data!$B$2:$B$700,0))),"")),"IMAGE MISSING"))</f>
        <v/>
      </c>
      <c r="D91" s="25">
        <f>IF(B91="","",IFERROR(IF(INDEX(Data!$G$2:$G$700,MATCH(79,Data!$B$2:$B$700,0))="","",INDEX(Data!$G$2:$G$700,MATCH(79,Data!$B$2:$B$700,0))),"")&amp;CHAR(10)&amp;IFERROR(IF(INDEX(Data!$H$2:$H$700,MATCH(79,Data!$B$2:$B$700,0))="","",INDEX(Data!$H$2:$H$700,MATCH(79,Data!$B$2:$B$700,0))),""))</f>
        <v/>
      </c>
      <c r="E91" s="23">
        <f>IF(B91="","",IFERROR(IF(INDEX(Data!$I$2:$I$700,MATCH(79,Data!$B$2:$B$700,0))="","",INDEX(Data!$I$2:$I$700,MATCH(79,Data!$B$2:$B$700,0))),""))</f>
        <v/>
      </c>
      <c r="F91" s="23">
        <f>IF(B91="","",IFERROR(IF(INDEX(Data!$D$2:$D$700,MATCH(79,Data!$B$2:$B$700,0))="","",INDEX(Data!$D$2:$D$700,MATCH(79,Data!$B$2:$B$700,0))),""))</f>
        <v/>
      </c>
      <c r="G91" s="23">
        <f>IF(B91="","",IFERROR(IF(INDEX(Data!$E$2:$E$700,MATCH(79,Data!$B$2:$B$700,0))="","",INDEX(Data!$E$2:$E$700,MATCH(79,Data!$B$2:$B$700,0))),""))</f>
        <v/>
      </c>
      <c r="H91" s="26">
        <f>IF(B91="","",IFERROR(IF(INDEX(Data!$N$2:$N$700,MATCH(79,Data!$B$2:$B$700,0))="","",INDEX(Data!$N$2:$N$700,MATCH(79,Data!$B$2:$B$700,0))),""))</f>
        <v/>
      </c>
      <c r="I91" s="26">
        <f>IF(B91="","",IFERROR(IF(INDEX(Data!$O$2:$O$700,MATCH(79,Data!$B$2:$B$700,0))="","",INDEX(Data!$O$2:$O$700,MATCH(79,Data!$B$2:$B$700,0))),""))</f>
        <v/>
      </c>
      <c r="J91" s="27">
        <f>IF(B91="","",IFERROR(IF(INDEX(Data!$P$2:$P$700,MATCH(79,Data!$B$2:$B$700,0))="","",INDEX(Data!$P$2:$P$700,MATCH(79,Data!$B$2:$B$700,0))),""))</f>
        <v/>
      </c>
      <c r="K91" s="28">
        <f>IF(B91="","",IFERROR(IF(INDEX(Data!$R$2:$R$700,MATCH(79,Data!$B$2:$B$700,0))="","",INDEX(Data!$R$2:$R$700,MATCH(79,Data!$B$2:$B$700,0))),""))</f>
        <v/>
      </c>
      <c r="L91" s="29">
        <f>IF(B91="","",IFERROR(IF(INDEX(Data!$S$2:$S$700,MATCH(79,Data!$B$2:$B$700,0))="","",INDEX(Data!$S$2:$S$700,MATCH(79,Data!$B$2:$B$700,0))),""))</f>
        <v/>
      </c>
      <c r="M91" s="29">
        <f>IF(B91="","",IFERROR(IF(INDEX(Data!$T$2:$T$700,MATCH(79,Data!$B$2:$B$700,0))="","",INDEX(Data!$T$2:$T$700,MATCH(79,Data!$B$2:$B$700,0))),""))</f>
        <v/>
      </c>
      <c r="N91" s="30">
        <f>IF(B91="","",IFERROR(IF(INDEX(Data!$U$2:$U$700,MATCH(79,Data!$B$2:$B$700,0))="","",INDEX(Data!$U$2:$U$700,MATCH(79,Data!$B$2:$B$700,0))),""))</f>
        <v/>
      </c>
      <c r="O91" s="29">
        <f>IF(B91="","",IFERROR(IF(INDEX(Data!$V$2:$V$700,MATCH(79,Data!$B$2:$B$700,0))="","",INDEX(Data!$V$2:$V$700,MATCH(79,Data!$B$2:$B$700,0))),""))</f>
        <v/>
      </c>
      <c r="P91" s="29">
        <f>IF(B91="","",IFERROR(IF(INDEX(Data!$M$2:$M$700,MATCH(79,Data!$B$2:$B$700,0))="","",INDEX(Data!$M$2:$M$700,MATCH(79,Data!$B$2:$B$700,0))),""))</f>
        <v/>
      </c>
      <c r="Q91" s="23">
        <f>IF(OR(B91="",IFERROR(IF(INDEX(Data!$Y$2:$Y$700,MATCH(79,Data!$B$2:$B$700,0))="","",INDEX(Data!$Y$2:$Y$700,MATCH(79,Data!$B$2:$B$700,0))),"")=""),"",IFERROR(IF(INDEX(Data!$Y$2:$Y$700,MATCH(79,Data!$B$2:$B$700,0))="","",INDEX(Data!$Y$2:$Y$700,MATCH(79,Data!$B$2:$B$700,0))),"")&amp;" / "&amp;IFERROR(IF(INDEX(Data!$Z$2:$Z$700,MATCH(79,Data!$B$2:$B$700,0))="","",INDEX(Data!$Z$2:$Z$700,MATCH(79,Data!$B$2:$B$700,0))),""))</f>
        <v/>
      </c>
      <c r="R91" s="23">
        <f>IF(B91="","",IFERROR(IF(INDEX(Data!$L$2:$L$700,MATCH(79,Data!$B$2:$B$700,0))="","",INDEX(Data!$L$2:$L$700,MATCH(79,Data!$B$2:$B$700,0))),""))</f>
        <v/>
      </c>
    </row>
    <row r="92" ht="62" customHeight="1">
      <c r="B92" s="23">
        <f>IF(80&lt;=COUNTIF(Data!$A$2:$A$700,TRUE),80,"")</f>
        <v/>
      </c>
      <c r="C92" s="24">
        <f>IF(B92="","",IFERROR(_xlfn.IMAGE(IFERROR(IF(INDEX(Data!$J$2:$J$700,MATCH(80,Data!$B$2:$B$700,0))="","",INDEX(Data!$J$2:$J$700,MATCH(80,Data!$B$2:$B$700,0))),"")),"IMAGE MISSING"))</f>
        <v/>
      </c>
      <c r="D92" s="25">
        <f>IF(B92="","",IFERROR(IF(INDEX(Data!$G$2:$G$700,MATCH(80,Data!$B$2:$B$700,0))="","",INDEX(Data!$G$2:$G$700,MATCH(80,Data!$B$2:$B$700,0))),"")&amp;CHAR(10)&amp;IFERROR(IF(INDEX(Data!$H$2:$H$700,MATCH(80,Data!$B$2:$B$700,0))="","",INDEX(Data!$H$2:$H$700,MATCH(80,Data!$B$2:$B$700,0))),""))</f>
        <v/>
      </c>
      <c r="E92" s="23">
        <f>IF(B92="","",IFERROR(IF(INDEX(Data!$I$2:$I$700,MATCH(80,Data!$B$2:$B$700,0))="","",INDEX(Data!$I$2:$I$700,MATCH(80,Data!$B$2:$B$700,0))),""))</f>
        <v/>
      </c>
      <c r="F92" s="23">
        <f>IF(B92="","",IFERROR(IF(INDEX(Data!$D$2:$D$700,MATCH(80,Data!$B$2:$B$700,0))="","",INDEX(Data!$D$2:$D$700,MATCH(80,Data!$B$2:$B$700,0))),""))</f>
        <v/>
      </c>
      <c r="G92" s="23">
        <f>IF(B92="","",IFERROR(IF(INDEX(Data!$E$2:$E$700,MATCH(80,Data!$B$2:$B$700,0))="","",INDEX(Data!$E$2:$E$700,MATCH(80,Data!$B$2:$B$700,0))),""))</f>
        <v/>
      </c>
      <c r="H92" s="26">
        <f>IF(B92="","",IFERROR(IF(INDEX(Data!$N$2:$N$700,MATCH(80,Data!$B$2:$B$700,0))="","",INDEX(Data!$N$2:$N$700,MATCH(80,Data!$B$2:$B$700,0))),""))</f>
        <v/>
      </c>
      <c r="I92" s="26">
        <f>IF(B92="","",IFERROR(IF(INDEX(Data!$O$2:$O$700,MATCH(80,Data!$B$2:$B$700,0))="","",INDEX(Data!$O$2:$O$700,MATCH(80,Data!$B$2:$B$700,0))),""))</f>
        <v/>
      </c>
      <c r="J92" s="27">
        <f>IF(B92="","",IFERROR(IF(INDEX(Data!$P$2:$P$700,MATCH(80,Data!$B$2:$B$700,0))="","",INDEX(Data!$P$2:$P$700,MATCH(80,Data!$B$2:$B$700,0))),""))</f>
        <v/>
      </c>
      <c r="K92" s="28">
        <f>IF(B92="","",IFERROR(IF(INDEX(Data!$R$2:$R$700,MATCH(80,Data!$B$2:$B$700,0))="","",INDEX(Data!$R$2:$R$700,MATCH(80,Data!$B$2:$B$700,0))),""))</f>
        <v/>
      </c>
      <c r="L92" s="29">
        <f>IF(B92="","",IFERROR(IF(INDEX(Data!$S$2:$S$700,MATCH(80,Data!$B$2:$B$700,0))="","",INDEX(Data!$S$2:$S$700,MATCH(80,Data!$B$2:$B$700,0))),""))</f>
        <v/>
      </c>
      <c r="M92" s="29">
        <f>IF(B92="","",IFERROR(IF(INDEX(Data!$T$2:$T$700,MATCH(80,Data!$B$2:$B$700,0))="","",INDEX(Data!$T$2:$T$700,MATCH(80,Data!$B$2:$B$700,0))),""))</f>
        <v/>
      </c>
      <c r="N92" s="30">
        <f>IF(B92="","",IFERROR(IF(INDEX(Data!$U$2:$U$700,MATCH(80,Data!$B$2:$B$700,0))="","",INDEX(Data!$U$2:$U$700,MATCH(80,Data!$B$2:$B$700,0))),""))</f>
        <v/>
      </c>
      <c r="O92" s="29">
        <f>IF(B92="","",IFERROR(IF(INDEX(Data!$V$2:$V$700,MATCH(80,Data!$B$2:$B$700,0))="","",INDEX(Data!$V$2:$V$700,MATCH(80,Data!$B$2:$B$700,0))),""))</f>
        <v/>
      </c>
      <c r="P92" s="29">
        <f>IF(B92="","",IFERROR(IF(INDEX(Data!$M$2:$M$700,MATCH(80,Data!$B$2:$B$700,0))="","",INDEX(Data!$M$2:$M$700,MATCH(80,Data!$B$2:$B$700,0))),""))</f>
        <v/>
      </c>
      <c r="Q92" s="23">
        <f>IF(OR(B92="",IFERROR(IF(INDEX(Data!$Y$2:$Y$700,MATCH(80,Data!$B$2:$B$700,0))="","",INDEX(Data!$Y$2:$Y$700,MATCH(80,Data!$B$2:$B$700,0))),"")=""),"",IFERROR(IF(INDEX(Data!$Y$2:$Y$700,MATCH(80,Data!$B$2:$B$700,0))="","",INDEX(Data!$Y$2:$Y$700,MATCH(80,Data!$B$2:$B$700,0))),"")&amp;" / "&amp;IFERROR(IF(INDEX(Data!$Z$2:$Z$700,MATCH(80,Data!$B$2:$B$700,0))="","",INDEX(Data!$Z$2:$Z$700,MATCH(80,Data!$B$2:$B$700,0))),""))</f>
        <v/>
      </c>
      <c r="R92" s="23">
        <f>IF(B92="","",IFERROR(IF(INDEX(Data!$L$2:$L$700,MATCH(80,Data!$B$2:$B$700,0))="","",INDEX(Data!$L$2:$L$700,MATCH(80,Data!$B$2:$B$700,0))),""))</f>
        <v/>
      </c>
    </row>
  </sheetData>
  <mergeCells count="26">
    <mergeCell ref="P4:Q4"/>
    <mergeCell ref="P8:Q9"/>
    <mergeCell ref="L7:M7"/>
    <mergeCell ref="N7:O7"/>
    <mergeCell ref="R4:S4"/>
    <mergeCell ref="G8:K8"/>
    <mergeCell ref="G7:K7"/>
    <mergeCell ref="R7:S7"/>
    <mergeCell ref="B2:R2"/>
    <mergeCell ref="B11:R11"/>
    <mergeCell ref="P5:Q6"/>
    <mergeCell ref="G6:K6"/>
    <mergeCell ref="R5:S6"/>
    <mergeCell ref="B1:R1"/>
    <mergeCell ref="R8:S9"/>
    <mergeCell ref="L4:M4"/>
    <mergeCell ref="P7:Q7"/>
    <mergeCell ref="G5:K5"/>
    <mergeCell ref="E4:E8"/>
    <mergeCell ref="G4:K4"/>
    <mergeCell ref="L5:M6"/>
    <mergeCell ref="N5:O6"/>
    <mergeCell ref="L8:M9"/>
    <mergeCell ref="G9:K9"/>
    <mergeCell ref="N4:O4"/>
    <mergeCell ref="N8:O9"/>
  </mergeCells>
  <conditionalFormatting sqref="K13:K92">
    <cfRule type="expression" priority="1" dxfId="0">
      <formula>AND(ISNUMBER(K13),K13&lt;0)</formula>
    </cfRule>
  </conditionalFormatting>
  <conditionalFormatting sqref="J13:J92">
    <cfRule type="expression" priority="2" dxfId="1">
      <formula>AND(ISNUMBER(J13),J13&gt;0,J13&lt;=0.12)</formula>
    </cfRule>
  </conditionalFormatting>
  <dataValidations count="5">
    <dataValidation sqref="C4" showDropDown="0" showInputMessage="0" showErrorMessage="0" allowBlank="0" type="list">
      <formula1>=Products</formula1>
    </dataValidation>
    <dataValidation sqref="C5" showDropDown="0" showInputMessage="0" showErrorMessage="0" allowBlank="0" type="list">
      <formula1>=Markets</formula1>
    </dataValidation>
    <dataValidation sqref="C6" showDropDown="0" showInputMessage="0" showErrorMessage="0" allowBlank="0" type="list">
      <formula1>=Brands</formula1>
    </dataValidation>
    <dataValidation sqref="C7" showDropDown="0" showInputMessage="0" showErrorMessage="0" allowBlank="0" type="list">
      <formula1>=Tiers</formula1>
    </dataValidation>
    <dataValidation sqref="C8" showDropDown="0" showInputMessage="0" showErrorMessage="0" allowBlank="0" type="list">
      <formula1>=Families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8" customWidth="1" min="2" max="2"/>
    <col width="8" customWidth="1" min="3" max="3"/>
    <col width="10" customWidth="1" min="4" max="4"/>
    <col width="40" customWidth="1" min="5" max="5"/>
    <col width="5" customWidth="1" min="6" max="6"/>
    <col width="11" customWidth="1" min="7" max="7"/>
    <col width="8" customWidth="1" min="8" max="8"/>
    <col width="14" customWidth="1" min="9" max="9"/>
    <col width="8" customWidth="1" min="10" max="10"/>
    <col width="9" customWidth="1" min="11" max="11"/>
    <col width="14" customWidth="1" min="12" max="12"/>
    <col width="8" customWidth="1" min="13" max="13"/>
    <col width="9" customWidth="1" min="14" max="14"/>
    <col width="8" customWidth="1" min="15" max="15"/>
    <col width="8" customWidth="1" min="16" max="16"/>
    <col width="20" customWidth="1" min="17" max="17"/>
    <col width="14" customWidth="1" min="18" max="18"/>
  </cols>
  <sheetData>
    <row r="1" ht="30" customHeight="1">
      <c r="A1" s="22" t="inlineStr">
        <is>
          <t>Image</t>
        </is>
      </c>
      <c r="B1" s="22" t="inlineStr">
        <is>
          <t>Product tab</t>
        </is>
      </c>
      <c r="C1" s="22" t="inlineStr">
        <is>
          <t>Family</t>
        </is>
      </c>
      <c r="D1" s="22" t="inlineStr">
        <is>
          <t>Brand</t>
        </is>
      </c>
      <c r="E1" s="22" t="inlineStr">
        <is>
          <t>Title</t>
        </is>
      </c>
      <c r="F1" s="22" t="inlineStr">
        <is>
          <t>Mkt</t>
        </is>
      </c>
      <c r="G1" s="22" t="inlineStr">
        <is>
          <t>Parent ASIN (Amazon)</t>
        </is>
      </c>
      <c r="H1" s="22" t="inlineStr">
        <is>
          <t>Variations</t>
        </is>
      </c>
      <c r="I1" s="22" t="inlineStr">
        <is>
          <t>Sizes</t>
        </is>
      </c>
      <c r="J1" s="22" t="inlineStr">
        <is>
          <t>Colours</t>
        </is>
      </c>
      <c r="K1" s="22" t="inlineStr">
        <is>
          <t>Our price ($)</t>
        </is>
      </c>
      <c r="L1" s="22" t="inlineStr">
        <is>
          <t>Our price: source, date</t>
        </is>
      </c>
      <c r="M1" s="22" t="inlineStr">
        <is>
          <t>Units 28d</t>
        </is>
      </c>
      <c r="N1" s="22" t="inlineStr">
        <is>
          <t>Competitors mapped</t>
        </is>
      </c>
      <c r="O1" s="22" t="inlineStr">
        <is>
          <t>BFCM 2025 lift</t>
        </is>
      </c>
      <c r="P1" s="22" t="inlineStr">
        <is>
          <t>BFCM 2025 TACoS</t>
        </is>
      </c>
      <c r="Q1" s="22" t="inlineStr">
        <is>
          <t>BFCM role</t>
        </is>
      </c>
      <c r="R1" s="22" t="inlineStr">
        <is>
          <t>Scope</t>
        </is>
      </c>
    </row>
    <row r="2" ht="62" customHeight="1">
      <c r="A2" s="10">
        <f>_xlfn.IMAGE("https://m.media-amazon.com/images/I/81E9bvs4TYL._AC_SL1500_.jpg")</f>
        <v/>
      </c>
      <c r="B2" s="31" t="inlineStr">
        <is>
          <t>US DC B4</t>
        </is>
      </c>
      <c r="C2" s="32" t="inlineStr">
        <is>
          <t>Bamboo</t>
        </is>
      </c>
      <c r="D2" s="32" t="inlineStr">
        <is>
          <t>Decolure</t>
        </is>
      </c>
      <c r="E2" s="32" t="inlineStr">
        <is>
          <t>DECOLURE 100% Viscose from Bamboo Sheets King Size | 4 Pc Cooling Bed Set</t>
        </is>
      </c>
      <c r="F2" s="32" t="inlineStr">
        <is>
          <t>US</t>
        </is>
      </c>
      <c r="G2" s="32" t="inlineStr">
        <is>
          <t>B0HJCSXJQ6</t>
        </is>
      </c>
      <c r="H2" s="32" t="n">
        <v>81</v>
      </c>
      <c r="I2" s="32" t="inlineStr">
        <is>
          <t>California King, Full, King, Queen, Twin</t>
        </is>
      </c>
      <c r="J2" s="32" t="n">
        <v>16</v>
      </c>
      <c r="K2" s="33" t="n">
        <v>94.98999999999999</v>
      </c>
      <c r="L2" s="32" t="inlineStr">
        <is>
          <t>Helium 10 Xray, 2026-10-13</t>
        </is>
      </c>
      <c r="M2" s="32" t="n">
        <v>1813</v>
      </c>
      <c r="N2" s="32" t="n">
        <v>55</v>
      </c>
      <c r="O2" s="34" t="n">
        <v>4.254998421726247</v>
      </c>
      <c r="P2" s="35" t="n">
        <v>0.06252858933328141</v>
      </c>
      <c r="Q2" s="32" t="inlineStr">
        <is>
          <t>Hero: rank and profit</t>
        </is>
      </c>
      <c r="R2" s="36" t="inlineStr">
        <is>
          <t>Core</t>
        </is>
      </c>
    </row>
    <row r="3" ht="62" customHeight="1">
      <c r="A3" s="10">
        <f>_xlfn.IMAGE("https://m.media-amazon.com/images/I/81E9bvs4TYL._AC_SL1500_.jpg")</f>
        <v/>
      </c>
      <c r="B3" s="31" t="inlineStr">
        <is>
          <t>CA DC B4</t>
        </is>
      </c>
      <c r="C3" s="32" t="inlineStr">
        <is>
          <t>Bamboo</t>
        </is>
      </c>
      <c r="D3" s="32" t="inlineStr">
        <is>
          <t>Decolure</t>
        </is>
      </c>
      <c r="E3" s="32" t="inlineStr">
        <is>
          <t>DECOLURE 100% Organic Bamboo Viscose Sheets Queen Size 4 pcs - Ultra Soft &amp; Luxuriously Cooling, 16" Deep Pocket, Double Stitching, Perfect for Hot Sleepers - Luxury Queen Bed Sheets Set (White)</t>
        </is>
      </c>
      <c r="F3" s="32" t="inlineStr">
        <is>
          <t>CA</t>
        </is>
      </c>
      <c r="G3" s="32" t="inlineStr">
        <is>
          <t>B08LW37SB9</t>
        </is>
      </c>
      <c r="H3" s="32" t="n">
        <v>80</v>
      </c>
      <c r="I3" s="32" t="inlineStr">
        <is>
          <t>California King, Full, King, Queen, Twin</t>
        </is>
      </c>
      <c r="J3" s="32" t="n">
        <v>16</v>
      </c>
      <c r="K3" s="33" t="n">
        <v>98.13855345911949</v>
      </c>
      <c r="L3" s="37" t="inlineStr">
        <is>
          <t>Command Center blended, Mar 2026 - STALE</t>
        </is>
      </c>
      <c r="M3" s="32" t="n">
        <v>479</v>
      </c>
      <c r="N3" s="32" t="n">
        <v>15</v>
      </c>
      <c r="O3" s="34" t="n">
        <v>3.078191309030253</v>
      </c>
      <c r="P3" s="35" t="n">
        <v>0.1150265547667106</v>
      </c>
      <c r="Q3" s="32" t="inlineStr">
        <is>
          <t>Hero: rank and profit</t>
        </is>
      </c>
      <c r="R3" s="36" t="inlineStr">
        <is>
          <t>Core</t>
        </is>
      </c>
    </row>
    <row r="4" ht="62" customHeight="1">
      <c r="A4" s="10">
        <f>_xlfn.IMAGE("https://m.media-amazon.com/images/I/81fJLSDJpFL._AC_SL1500_.jpg")</f>
        <v/>
      </c>
      <c r="B4" s="31" t="inlineStr">
        <is>
          <t>US DC B6</t>
        </is>
      </c>
      <c r="C4" s="32" t="inlineStr">
        <is>
          <t>Bamboo</t>
        </is>
      </c>
      <c r="D4" s="32" t="inlineStr">
        <is>
          <t>Decolure</t>
        </is>
      </c>
      <c r="E4" s="32" t="inlineStr">
        <is>
          <t>DECOLURE 100% Viscose from Bamboo Sheets King Size | 6 Pc Cooling Bed Set</t>
        </is>
      </c>
      <c r="F4" s="32" t="inlineStr">
        <is>
          <t>US</t>
        </is>
      </c>
      <c r="G4" s="32" t="inlineStr">
        <is>
          <t>B0H6335KNV</t>
        </is>
      </c>
      <c r="H4" s="32" t="n">
        <v>86</v>
      </c>
      <c r="I4" s="32" t="inlineStr">
        <is>
          <t>California King, Cal King, Full, King, Queen, Twin</t>
        </is>
      </c>
      <c r="J4" s="32" t="n">
        <v>17</v>
      </c>
      <c r="K4" s="33" t="n">
        <v>99.98999999999999</v>
      </c>
      <c r="L4" s="32" t="inlineStr">
        <is>
          <t>Helium 10 Xray, 2026-10-13</t>
        </is>
      </c>
      <c r="M4" s="32" t="n">
        <v>1905</v>
      </c>
      <c r="N4" s="32" t="n">
        <v>46</v>
      </c>
      <c r="O4" s="34" t="n">
        <v>2.488302390613161</v>
      </c>
      <c r="P4" s="35" t="n">
        <v>0.06403236527090554</v>
      </c>
      <c r="Q4" s="32" t="inlineStr">
        <is>
          <t>Hero: rank and profit</t>
        </is>
      </c>
      <c r="R4" s="36" t="inlineStr">
        <is>
          <t>Core</t>
        </is>
      </c>
    </row>
    <row r="5" ht="62" customHeight="1">
      <c r="A5" s="10">
        <f>_xlfn.IMAGE("https://m.media-amazon.com/images/I/81JHZOIZl1L._AC_SL1500_.jpg")</f>
        <v/>
      </c>
      <c r="B5" s="31" t="inlineStr">
        <is>
          <t>CA DC B6</t>
        </is>
      </c>
      <c r="C5" s="32" t="inlineStr">
        <is>
          <t>Bamboo</t>
        </is>
      </c>
      <c r="D5" s="32" t="inlineStr">
        <is>
          <t>Decolure</t>
        </is>
      </c>
      <c r="E5" s="32" t="inlineStr">
        <is>
          <t>DECOLURE 100% Organic Viscose Derived from Bamboo Sheets King Size 6pcs - Ultra Soft &amp; Luxuriously Cooling, 17" Deep Pocket, Double Stitching, Perfect for Hot Sleepers - King Bed Sheets (Taupe)</t>
        </is>
      </c>
      <c r="F5" s="32" t="inlineStr">
        <is>
          <t>CA</t>
        </is>
      </c>
      <c r="G5" s="32" t="inlineStr">
        <is>
          <t>B0D71YJYNL</t>
        </is>
      </c>
      <c r="H5" s="32" t="n">
        <v>80</v>
      </c>
      <c r="I5" s="32" t="inlineStr">
        <is>
          <t>California King, Full, King, Queen, Twin</t>
        </is>
      </c>
      <c r="J5" s="32" t="n">
        <v>16</v>
      </c>
      <c r="K5" s="33" t="n">
        <v>92.62070911722142</v>
      </c>
      <c r="L5" s="37" t="inlineStr">
        <is>
          <t>Command Center blended, Mar 2026 - STALE</t>
        </is>
      </c>
      <c r="M5" s="32" t="n">
        <v>714</v>
      </c>
      <c r="N5" s="32" t="n">
        <v>8</v>
      </c>
      <c r="O5" s="34" t="n">
        <v>3.068801601841503</v>
      </c>
      <c r="P5" s="35" t="n">
        <v>0.06088840788657071</v>
      </c>
      <c r="Q5" s="32" t="inlineStr">
        <is>
          <t>Hero: rank and profit</t>
        </is>
      </c>
      <c r="R5" s="36" t="inlineStr">
        <is>
          <t>Core</t>
        </is>
      </c>
    </row>
    <row r="6" ht="62" customHeight="1">
      <c r="A6" s="10">
        <f>_xlfn.IMAGE("https://m.media-amazon.com/images/I/81rHI1QN6jL._AC_SL1500_.jpg")</f>
        <v/>
      </c>
      <c r="B6" s="31" t="inlineStr">
        <is>
          <t>US SL B6</t>
        </is>
      </c>
      <c r="C6" s="32" t="inlineStr">
        <is>
          <t>Bamboo</t>
        </is>
      </c>
      <c r="D6" s="32" t="inlineStr">
        <is>
          <t>Sleephoria</t>
        </is>
      </c>
      <c r="E6" s="32" t="inlineStr">
        <is>
          <t>SLEEP SANCTUARY 100% Viscose Derived from Bamboo Sheets King Size, 6 Pc Set | Cooling BamBliss Comfort for Hot Sleepers | Cloud Soft | Deep 17" Pocket w Corner Straps | Luxury Bed Set | Taupe</t>
        </is>
      </c>
      <c r="F6" s="32" t="inlineStr">
        <is>
          <t>US</t>
        </is>
      </c>
      <c r="G6" s="32" t="inlineStr">
        <is>
          <t>B0HBWXDWJ5</t>
        </is>
      </c>
      <c r="H6" s="32" t="n">
        <v>78</v>
      </c>
      <c r="I6" s="32" t="inlineStr">
        <is>
          <t>California King, Full, King, Queen, Twin</t>
        </is>
      </c>
      <c r="J6" s="32" t="n">
        <v>16</v>
      </c>
      <c r="K6" s="33" t="n">
        <v>69.98999999999999</v>
      </c>
      <c r="L6" s="32" t="inlineStr">
        <is>
          <t>Helium 10 Xray, 2026-10-13</t>
        </is>
      </c>
      <c r="M6" s="32" t="n">
        <v>91</v>
      </c>
      <c r="N6" s="32" t="n">
        <v>30</v>
      </c>
      <c r="O6" s="34" t="n">
        <v>1.201290037023195</v>
      </c>
      <c r="P6" s="35" t="n">
        <v>0.1870162054834399</v>
      </c>
      <c r="Q6" s="32" t="inlineStr">
        <is>
          <t>Core</t>
        </is>
      </c>
      <c r="R6" s="36" t="inlineStr">
        <is>
          <t>Core</t>
        </is>
      </c>
    </row>
    <row r="7" ht="62" customHeight="1">
      <c r="A7" s="10">
        <f>_xlfn.IMAGE("https://m.media-amazon.com/images/I/81ukKa0CsPL._AC_SL1500_.jpg")</f>
        <v/>
      </c>
      <c r="B7" s="31" t="inlineStr">
        <is>
          <t>US SL B4</t>
        </is>
      </c>
      <c r="C7" s="32" t="inlineStr">
        <is>
          <t>Bamboo</t>
        </is>
      </c>
      <c r="D7" s="32" t="inlineStr">
        <is>
          <t>Sleephoria</t>
        </is>
      </c>
      <c r="E7" s="32" t="inlineStr">
        <is>
          <t>SLEEP SANCTUARY 100% Viscose Derived from Bamboo Sheets Twin Size, 4 Pc Set</t>
        </is>
      </c>
      <c r="F7" s="32" t="inlineStr">
        <is>
          <t>US</t>
        </is>
      </c>
      <c r="G7" s="32" t="inlineStr">
        <is>
          <t>B0F54RNQPT</t>
        </is>
      </c>
      <c r="H7" s="32" t="n">
        <v>84</v>
      </c>
      <c r="I7" s="32" t="inlineStr">
        <is>
          <t>California King, Full, King, Queen, Twin</t>
        </is>
      </c>
      <c r="J7" s="32" t="n">
        <v>16</v>
      </c>
      <c r="K7" s="33" t="n">
        <v>61.99</v>
      </c>
      <c r="L7" s="32" t="inlineStr">
        <is>
          <t>Helium 10 Xray, 2026-10-13</t>
        </is>
      </c>
      <c r="M7" s="32" t="n">
        <v>2</v>
      </c>
      <c r="N7" s="32" t="n">
        <v>28</v>
      </c>
      <c r="O7" s="34" t="n"/>
      <c r="P7" s="35" t="n"/>
      <c r="Q7" s="32" t="inlineStr">
        <is>
          <t>Not launched yet</t>
        </is>
      </c>
      <c r="R7" s="38" t="inlineStr">
        <is>
          <t>Not launched</t>
        </is>
      </c>
    </row>
    <row r="8" ht="62" customHeight="1">
      <c r="A8" s="10">
        <f>_xlfn.IMAGE("https://m.media-amazon.com/images/I/81pO8+MuzxL._AC_SL1500_.jpg")</f>
        <v/>
      </c>
      <c r="B8" s="31" t="inlineStr">
        <is>
          <t>US DC Bamboo Fitted</t>
        </is>
      </c>
      <c r="C8" s="32" t="inlineStr">
        <is>
          <t>Bamboo</t>
        </is>
      </c>
      <c r="D8" s="32" t="inlineStr">
        <is>
          <t>Decolure</t>
        </is>
      </c>
      <c r="E8" s="32" t="inlineStr">
        <is>
          <t>DECOLURE 100% Viscose Derived from Bamboo Fitted Sheet | King Size Fitted Sheet Only | Ultra Soft Cooling Sheets for Hot Sleepers, 17" Deep Pocket w/Corner Straps, Breathable, Oeko-Tex (Burgundy)</t>
        </is>
      </c>
      <c r="F8" s="32" t="inlineStr">
        <is>
          <t>US</t>
        </is>
      </c>
      <c r="G8" s="32" t="inlineStr">
        <is>
          <t>B0H8596KK1</t>
        </is>
      </c>
      <c r="H8" s="32" t="n">
        <v>22</v>
      </c>
      <c r="I8" s="32" t="inlineStr">
        <is>
          <t>King, Queen</t>
        </is>
      </c>
      <c r="J8" s="32" t="n">
        <v>11</v>
      </c>
      <c r="K8" s="33" t="n">
        <v>39.95</v>
      </c>
      <c r="L8" s="32" t="inlineStr">
        <is>
          <t>Helium 10 Xray, 2026-10-13</t>
        </is>
      </c>
      <c r="M8" s="32" t="n">
        <v>102</v>
      </c>
      <c r="N8" s="32" t="n">
        <v>15</v>
      </c>
      <c r="O8" s="34" t="n"/>
      <c r="P8" s="35" t="n"/>
      <c r="Q8" s="32" t="inlineStr">
        <is>
          <t>Excluded (ranking variations OOS to Dec 3)</t>
        </is>
      </c>
      <c r="R8" s="36" t="inlineStr">
        <is>
          <t>Core</t>
        </is>
      </c>
    </row>
    <row r="9" ht="62" customHeight="1">
      <c r="A9" s="39" t="inlineStr">
        <is>
          <t>IMAGE MISSING</t>
        </is>
      </c>
      <c r="B9" s="31" t="inlineStr">
        <is>
          <t>US SL Bamboo Pillowcase</t>
        </is>
      </c>
      <c r="C9" s="32" t="inlineStr">
        <is>
          <t>Bamboo</t>
        </is>
      </c>
      <c r="D9" s="32" t="inlineStr">
        <is>
          <t>Sleephoria</t>
        </is>
      </c>
      <c r="E9" s="32" t="inlineStr">
        <is>
          <t>SLEEPHORIA 100% Viscose Dervied from Bamboo Pillowcase King Size 2-Pieces (Black)</t>
        </is>
      </c>
      <c r="F9" s="32" t="inlineStr">
        <is>
          <t>US</t>
        </is>
      </c>
      <c r="G9" s="32" t="inlineStr">
        <is>
          <t>B0FX2RDXXR</t>
        </is>
      </c>
      <c r="H9" s="32" t="n">
        <v>54</v>
      </c>
      <c r="I9" s="32" t="inlineStr">
        <is>
          <t>King, Queen, Standard</t>
        </is>
      </c>
      <c r="J9" s="32" t="n">
        <v>18</v>
      </c>
      <c r="K9" s="33" t="n"/>
      <c r="L9" s="32" t="inlineStr">
        <is>
          <t>No price</t>
        </is>
      </c>
      <c r="M9" s="32" t="n">
        <v>0</v>
      </c>
      <c r="N9" s="32" t="n">
        <v>6</v>
      </c>
      <c r="O9" s="34" t="n"/>
      <c r="P9" s="35" t="n"/>
      <c r="Q9" s="32" t="inlineStr">
        <is>
          <t>Other</t>
        </is>
      </c>
      <c r="R9" s="38" t="inlineStr">
        <is>
          <t>Not launched</t>
        </is>
      </c>
    </row>
    <row r="10" ht="62" customHeight="1">
      <c r="A10" s="10">
        <f>_xlfn.IMAGE("https://m.media-amazon.com/images/I/81s3ROxMWEL._AC_SL1500_.jpg")</f>
        <v/>
      </c>
      <c r="B10" s="31" t="inlineStr">
        <is>
          <t>US DC S4</t>
        </is>
      </c>
      <c r="C10" s="32" t="inlineStr">
        <is>
          <t>Satin</t>
        </is>
      </c>
      <c r="D10" s="32" t="inlineStr">
        <is>
          <t>Decolure</t>
        </is>
      </c>
      <c r="E10" s="32" t="inlineStr">
        <is>
          <t>DECOLURE Satin Sheets Queen Size | Softer Than Silk | Luxury 4 Pc Bed Set</t>
        </is>
      </c>
      <c r="F10" s="32" t="inlineStr">
        <is>
          <t>US</t>
        </is>
      </c>
      <c r="G10" s="32" t="inlineStr">
        <is>
          <t>B0H631FLT8</t>
        </is>
      </c>
      <c r="H10" s="32" t="n">
        <v>118</v>
      </c>
      <c r="I10" s="32" t="inlineStr">
        <is>
          <t>Full, King, Queen, Twin</t>
        </is>
      </c>
      <c r="J10" s="32" t="n">
        <v>29</v>
      </c>
      <c r="K10" s="33" t="n">
        <v>29.95</v>
      </c>
      <c r="L10" s="32" t="inlineStr">
        <is>
          <t>Helium 10 Xray, 2026-10-13</t>
        </is>
      </c>
      <c r="M10" s="32" t="n">
        <v>2620</v>
      </c>
      <c r="N10" s="32" t="n">
        <v>26</v>
      </c>
      <c r="O10" s="34" t="n">
        <v>2.637148735359062</v>
      </c>
      <c r="P10" s="35" t="n">
        <v>0.04860525396789848</v>
      </c>
      <c r="Q10" s="32" t="inlineStr">
        <is>
          <t>Clearance with margin</t>
        </is>
      </c>
      <c r="R10" s="36" t="inlineStr">
        <is>
          <t>Core</t>
        </is>
      </c>
    </row>
    <row r="11" ht="62" customHeight="1">
      <c r="A11" s="10">
        <f>_xlfn.IMAGE("https://m.media-amazon.com/images/I/81s3ROxMWEL._AC_SL1500_.jpg")</f>
        <v/>
      </c>
      <c r="B11" s="31" t="inlineStr">
        <is>
          <t>CA DC S4</t>
        </is>
      </c>
      <c r="C11" s="32" t="inlineStr">
        <is>
          <t>Satin</t>
        </is>
      </c>
      <c r="D11" s="32" t="inlineStr">
        <is>
          <t>Decolure</t>
        </is>
      </c>
      <c r="E11" s="32" t="inlineStr">
        <is>
          <t>DECOLURE Satin Bed Sheets - 4 Piece Luxury Silky Queen Size Bedding Set - Softer Than Silk, Wrinkle-Free with 15” Deep Pocket Fitted Sheet, Perfect for Hair &amp; Skin, Gifts for Women (Black)</t>
        </is>
      </c>
      <c r="F11" s="32" t="inlineStr">
        <is>
          <t>CA</t>
        </is>
      </c>
      <c r="G11" s="32" t="inlineStr">
        <is>
          <t>B0CT3HF44M</t>
        </is>
      </c>
      <c r="H11" s="32" t="n">
        <v>127</v>
      </c>
      <c r="I11" s="32" t="inlineStr">
        <is>
          <t>Full, King, Queen, Twin</t>
        </is>
      </c>
      <c r="J11" s="32" t="n">
        <v>36</v>
      </c>
      <c r="K11" s="33" t="n">
        <v>46.12202380952382</v>
      </c>
      <c r="L11" s="37" t="inlineStr">
        <is>
          <t>Command Center blended, Mar 2026 - STALE</t>
        </is>
      </c>
      <c r="M11" s="32" t="n">
        <v>455</v>
      </c>
      <c r="N11" s="32" t="n">
        <v>15</v>
      </c>
      <c r="O11" s="34" t="n">
        <v>3.269015911297535</v>
      </c>
      <c r="P11" s="35" t="n">
        <v>0.1005642820456278</v>
      </c>
      <c r="Q11" s="32" t="inlineStr">
        <is>
          <t>Clearance with margin</t>
        </is>
      </c>
      <c r="R11" s="36" t="inlineStr">
        <is>
          <t>Core</t>
        </is>
      </c>
    </row>
    <row r="12" ht="62" customHeight="1">
      <c r="A12" s="10">
        <f>_xlfn.IMAGE("https://m.media-amazon.com/images/I/81C4Dr0ylML._AC_SL1500_.jpg")</f>
        <v/>
      </c>
      <c r="B12" s="31" t="inlineStr">
        <is>
          <t>US DC S6</t>
        </is>
      </c>
      <c r="C12" s="32" t="inlineStr">
        <is>
          <t>Satin</t>
        </is>
      </c>
      <c r="D12" s="32" t="inlineStr">
        <is>
          <t>Decolure</t>
        </is>
      </c>
      <c r="E12" s="32" t="inlineStr">
        <is>
          <t>DECOLURE Satin Sheets King Size | Softer Than Silk | Luxury 6 Pc Bed Set</t>
        </is>
      </c>
      <c r="F12" s="32" t="inlineStr">
        <is>
          <t>US</t>
        </is>
      </c>
      <c r="G12" s="32" t="inlineStr">
        <is>
          <t>B0HDTF4MN2</t>
        </is>
      </c>
      <c r="H12" s="32" t="n">
        <v>118</v>
      </c>
      <c r="I12" s="32" t="inlineStr">
        <is>
          <t>Full, King, Queen, Twin</t>
        </is>
      </c>
      <c r="J12" s="32" t="n">
        <v>29</v>
      </c>
      <c r="K12" s="33" t="n">
        <v>33.95</v>
      </c>
      <c r="L12" s="32" t="inlineStr">
        <is>
          <t>Helium 10 Xray, 2026-10-13</t>
        </is>
      </c>
      <c r="M12" s="32" t="n">
        <v>486</v>
      </c>
      <c r="N12" s="32" t="n">
        <v>26</v>
      </c>
      <c r="O12" s="34" t="n">
        <v>3.076042012896364</v>
      </c>
      <c r="P12" s="35" t="n">
        <v>0.1484492240692087</v>
      </c>
      <c r="Q12" s="32" t="inlineStr">
        <is>
          <t>Clearance with margin</t>
        </is>
      </c>
      <c r="R12" s="36" t="inlineStr">
        <is>
          <t>Core</t>
        </is>
      </c>
    </row>
    <row r="13" ht="62" customHeight="1">
      <c r="A13" s="10">
        <f>_xlfn.IMAGE("https://m.media-amazon.com/images/I/81C4Dr0ylML._AC_SL1500_.jpg")</f>
        <v/>
      </c>
      <c r="B13" s="31" t="inlineStr">
        <is>
          <t>CA DC S6</t>
        </is>
      </c>
      <c r="C13" s="32" t="inlineStr">
        <is>
          <t>Satin</t>
        </is>
      </c>
      <c r="D13" s="32" t="inlineStr">
        <is>
          <t>Decolure</t>
        </is>
      </c>
      <c r="E13" s="32" t="inlineStr">
        <is>
          <t>DECOLURE Satin Bed Sheets - 6 Piece Luxury Silky Queen Size Bedding Set - Softer Than Silk, Wrinkle-Free with 15” Deep Pocket Fitted Sheet, Perfect for Hair &amp; Skin, Gifts for Women (Black)</t>
        </is>
      </c>
      <c r="F13" s="32" t="inlineStr">
        <is>
          <t>CA</t>
        </is>
      </c>
      <c r="G13" s="32" t="inlineStr">
        <is>
          <t>B0CJSDXDJW</t>
        </is>
      </c>
      <c r="H13" s="32" t="n">
        <v>111</v>
      </c>
      <c r="I13" s="32" t="inlineStr">
        <is>
          <t>Full, King, Queen, Twin</t>
        </is>
      </c>
      <c r="J13" s="32" t="n">
        <v>31</v>
      </c>
      <c r="K13" s="33" t="n">
        <v>49.170736196319</v>
      </c>
      <c r="L13" s="37" t="inlineStr">
        <is>
          <t>Command Center blended, Mar 2026 - STALE</t>
        </is>
      </c>
      <c r="M13" s="32" t="n">
        <v>326</v>
      </c>
      <c r="N13" s="32" t="n">
        <v>15</v>
      </c>
      <c r="O13" s="34" t="n">
        <v>2.976101755543345</v>
      </c>
      <c r="P13" s="35" t="n">
        <v>0.1350115077192009</v>
      </c>
      <c r="Q13" s="32" t="inlineStr">
        <is>
          <t>Clearance with margin</t>
        </is>
      </c>
      <c r="R13" s="36" t="inlineStr">
        <is>
          <t>Core</t>
        </is>
      </c>
    </row>
    <row r="14" ht="62" customHeight="1">
      <c r="A14" s="10">
        <f>_xlfn.IMAGE("https://m.media-amazon.com/images/I/81GoZ+gTjbL._AC_SL1500_.jpg")</f>
        <v/>
      </c>
      <c r="B14" s="31" t="inlineStr">
        <is>
          <t>US SSS4</t>
        </is>
      </c>
      <c r="C14" s="32" t="inlineStr">
        <is>
          <t>Satin</t>
        </is>
      </c>
      <c r="D14" s="32" t="inlineStr">
        <is>
          <t>Sleephoria</t>
        </is>
      </c>
      <c r="E14" s="32" t="inlineStr">
        <is>
          <t>SLEEP SANCTUARY Satin Sheets Queen Size – 4 Piece Luxury Silky Bed Set, Softer Than Silk, 15" Deep Pocket, Cooling &amp; Wrinkle-Free, Moisture-Wicking &amp; Breathable for Hair &amp; Skin (Navy Blue)</t>
        </is>
      </c>
      <c r="F14" s="32" t="inlineStr">
        <is>
          <t>US</t>
        </is>
      </c>
      <c r="G14" s="32" t="inlineStr">
        <is>
          <t>B0HFWXSCFP</t>
        </is>
      </c>
      <c r="H14" s="32" t="n">
        <v>116</v>
      </c>
      <c r="I14" s="32" t="inlineStr">
        <is>
          <t>Full, King, Queen, Twin</t>
        </is>
      </c>
      <c r="J14" s="32" t="n">
        <v>29</v>
      </c>
      <c r="K14" s="33" t="n">
        <v>33.95</v>
      </c>
      <c r="L14" s="32" t="inlineStr">
        <is>
          <t>Helium 10 Xray, 2026-10-13</t>
        </is>
      </c>
      <c r="M14" s="32" t="n">
        <v>700</v>
      </c>
      <c r="N14" s="32" t="n">
        <v>29</v>
      </c>
      <c r="O14" s="34" t="n">
        <v>2.589722433600953</v>
      </c>
      <c r="P14" s="35" t="n">
        <v>0.1576554888332635</v>
      </c>
      <c r="Q14" s="32" t="inlineStr">
        <is>
          <t>Clearance with margin</t>
        </is>
      </c>
      <c r="R14" s="36" t="inlineStr">
        <is>
          <t>Core</t>
        </is>
      </c>
    </row>
    <row r="15" ht="62" customHeight="1">
      <c r="A15" s="10">
        <f>_xlfn.IMAGE("https://m.media-amazon.com/images/I/816QTAjFcGL._AC_SL1500_.jpg")</f>
        <v/>
      </c>
      <c r="B15" s="31" t="inlineStr">
        <is>
          <t>CA SSS4</t>
        </is>
      </c>
      <c r="C15" s="32" t="inlineStr">
        <is>
          <t>Satin</t>
        </is>
      </c>
      <c r="D15" s="32" t="inlineStr">
        <is>
          <t>Sleephoria</t>
        </is>
      </c>
      <c r="E15" s="32" t="inlineStr">
        <is>
          <t>Sleep Sanctuary Satin Sheets King Size – 4 Piece Luxury Silky Bed Set, Softer Than Silk, 15" Deep Pocket, Cooling &amp; Wrinkle-Free, Moisture-Wicking &amp; Breathable for Hair &amp; Skin (Stone Grey)</t>
        </is>
      </c>
      <c r="F15" s="32" t="inlineStr">
        <is>
          <t>CA</t>
        </is>
      </c>
      <c r="G15" s="32" t="inlineStr">
        <is>
          <t>B0F2Z7C4ST</t>
        </is>
      </c>
      <c r="H15" s="32" t="n">
        <v>116</v>
      </c>
      <c r="I15" s="32" t="inlineStr">
        <is>
          <t>Full, King, Queen, Twin</t>
        </is>
      </c>
      <c r="J15" s="32" t="n">
        <v>29</v>
      </c>
      <c r="K15" s="33" t="n">
        <v>49.46580645161291</v>
      </c>
      <c r="L15" s="37" t="inlineStr">
        <is>
          <t>Command Center blended, Mar 2026 - STALE</t>
        </is>
      </c>
      <c r="M15" s="32" t="n">
        <v>31</v>
      </c>
      <c r="N15" s="32" t="n">
        <v>15</v>
      </c>
      <c r="O15" s="34" t="n">
        <v>1.515000903668896</v>
      </c>
      <c r="P15" s="35" t="n">
        <v>0</v>
      </c>
      <c r="Q15" s="32" t="inlineStr">
        <is>
          <t>Clearance with margin</t>
        </is>
      </c>
      <c r="R15" s="36" t="inlineStr">
        <is>
          <t>Core</t>
        </is>
      </c>
    </row>
    <row r="16" ht="62" customHeight="1">
      <c r="A16" s="39" t="inlineStr">
        <is>
          <t>IMAGE MISSING</t>
        </is>
      </c>
      <c r="B16" s="31" t="inlineStr">
        <is>
          <t>US SL Satin 6pc</t>
        </is>
      </c>
      <c r="C16" s="32" t="inlineStr">
        <is>
          <t>Satin</t>
        </is>
      </c>
      <c r="D16" s="32" t="inlineStr">
        <is>
          <t>Sleephoria</t>
        </is>
      </c>
      <c r="E16" s="32" t="inlineStr">
        <is>
          <t>SLEEPHORIA Satin Bed Sheets - 6 Piece Luxury Silky Full Size Bedding Set - Softer Than Silk, Wrinkle-Free with 15” Deep Pocket Fitted Sheet, Perfect for Hair &amp; Skin, Gifts for Women (Baby Blue)</t>
        </is>
      </c>
      <c r="F16" s="32" t="inlineStr">
        <is>
          <t>US</t>
        </is>
      </c>
      <c r="G16" s="32" t="inlineStr">
        <is>
          <t>B0H41WN38B</t>
        </is>
      </c>
      <c r="H16" s="32" t="n">
        <v>116</v>
      </c>
      <c r="I16" s="32" t="inlineStr">
        <is>
          <t>Full, King, Queen, Twin</t>
        </is>
      </c>
      <c r="J16" s="32" t="n">
        <v>29</v>
      </c>
      <c r="K16" s="33" t="n"/>
      <c r="L16" s="32" t="inlineStr">
        <is>
          <t>No price</t>
        </is>
      </c>
      <c r="M16" s="32" t="n">
        <v>0</v>
      </c>
      <c r="N16" s="32" t="n">
        <v>27</v>
      </c>
      <c r="O16" s="34" t="n"/>
      <c r="P16" s="35" t="n"/>
      <c r="Q16" s="32" t="inlineStr">
        <is>
          <t>Clearance with margin</t>
        </is>
      </c>
      <c r="R16" s="38" t="inlineStr">
        <is>
          <t>Not launched</t>
        </is>
      </c>
    </row>
    <row r="17" ht="62" customHeight="1">
      <c r="A17" s="10">
        <f>_xlfn.IMAGE("https://m.media-amazon.com/images/I/71APUp+JE3L._AC_SL1500_.jpg")</f>
        <v/>
      </c>
      <c r="B17" s="31" t="inlineStr">
        <is>
          <t>US DC Satin Fitted</t>
        </is>
      </c>
      <c r="C17" s="32" t="inlineStr">
        <is>
          <t>Satin</t>
        </is>
      </c>
      <c r="D17" s="32" t="inlineStr">
        <is>
          <t>Decolure</t>
        </is>
      </c>
      <c r="E17" s="32" t="inlineStr">
        <is>
          <t>DECOLURE Satin Fitted Sheet Queen Size | Softer Than Silk | Luxury 1 Pc Set</t>
        </is>
      </c>
      <c r="F17" s="32" t="inlineStr">
        <is>
          <t>US</t>
        </is>
      </c>
      <c r="G17" s="32" t="inlineStr">
        <is>
          <t>B0DZ17NCJ4</t>
        </is>
      </c>
      <c r="H17" s="32" t="n">
        <v>68</v>
      </c>
      <c r="I17" s="32" t="inlineStr">
        <is>
          <t>Full, King, Queen, Twin</t>
        </is>
      </c>
      <c r="J17" s="32" t="n">
        <v>17</v>
      </c>
      <c r="K17" s="33" t="n">
        <v>21.95</v>
      </c>
      <c r="L17" s="32" t="inlineStr">
        <is>
          <t>Helium 10 Xray, 2026-10-13</t>
        </is>
      </c>
      <c r="M17" s="32" t="n">
        <v>759</v>
      </c>
      <c r="N17" s="32" t="n">
        <v>14</v>
      </c>
      <c r="O17" s="34" t="n">
        <v>2.469333719911087</v>
      </c>
      <c r="P17" s="35" t="n">
        <v>0.07783778166607172</v>
      </c>
      <c r="Q17" s="32" t="inlineStr">
        <is>
          <t>Opportunistic</t>
        </is>
      </c>
      <c r="R17" s="36" t="inlineStr">
        <is>
          <t>Core</t>
        </is>
      </c>
    </row>
    <row r="18" ht="62" customHeight="1">
      <c r="A18" s="10">
        <f>_xlfn.IMAGE("https://m.media-amazon.com/images/I/71APUp+JE3L._AC_SL1500_.jpg")</f>
        <v/>
      </c>
      <c r="B18" s="31" t="inlineStr">
        <is>
          <t>CA DC Satin Fitted</t>
        </is>
      </c>
      <c r="C18" s="32" t="inlineStr">
        <is>
          <t>Satin</t>
        </is>
      </c>
      <c r="D18" s="32" t="inlineStr">
        <is>
          <t>Decolure</t>
        </is>
      </c>
      <c r="E18" s="32" t="inlineStr">
        <is>
          <t>DECOLURE Satin Fitted Sheet Queen Size (1 PC) – Luxuriously Smooth &amp; Softer Than Silk Bed Sheets w/ 15 Inch Deep Pocket Hypoallergenic Wrinkle Free, Secure Snug Fit, Elastic Corner Straps (Black)</t>
        </is>
      </c>
      <c r="F18" s="32" t="inlineStr">
        <is>
          <t>CA</t>
        </is>
      </c>
      <c r="G18" s="32" t="inlineStr">
        <is>
          <t>B0FQC9C5QT</t>
        </is>
      </c>
      <c r="H18" s="32" t="n">
        <v>68</v>
      </c>
      <c r="I18" s="32" t="inlineStr">
        <is>
          <t>Full, King, Queen, Twin</t>
        </is>
      </c>
      <c r="J18" s="32" t="n">
        <v>17</v>
      </c>
      <c r="K18" s="33" t="n">
        <v>26.10093137254901</v>
      </c>
      <c r="L18" s="37" t="inlineStr">
        <is>
          <t>Command Center blended, Mar 2026 - STALE</t>
        </is>
      </c>
      <c r="M18" s="32" t="n">
        <v>204</v>
      </c>
      <c r="N18" s="32" t="n">
        <v>15</v>
      </c>
      <c r="O18" s="34" t="n">
        <v>0.7378515542397971</v>
      </c>
      <c r="P18" s="35" t="n">
        <v>0.01296334064141131</v>
      </c>
      <c r="Q18" s="32" t="inlineStr">
        <is>
          <t>Opportunistic</t>
        </is>
      </c>
      <c r="R18" s="36" t="inlineStr">
        <is>
          <t>Core</t>
        </is>
      </c>
    </row>
    <row r="19" ht="62" customHeight="1">
      <c r="A19" s="10">
        <f>_xlfn.IMAGE("https://images-na.ssl-images-amazon.com/images/I/81Rbj21EicL.jpg")</f>
        <v/>
      </c>
      <c r="B19" s="31" t="inlineStr">
        <is>
          <t>US DC Silk Pillowcase</t>
        </is>
      </c>
      <c r="C19" s="32" t="inlineStr">
        <is>
          <t>Silk</t>
        </is>
      </c>
      <c r="D19" s="32" t="inlineStr">
        <is>
          <t>Decolure</t>
        </is>
      </c>
      <c r="E19" s="32" t="inlineStr">
        <is>
          <t>DECOLURE 100% Pure Mulberry Silk Pillow Case Standard Size – Highest Grade 30 Momme 6A+, Luxuriously Soft &amp; Cooling Silk Pillowcase for Hair &amp; Skin, Hypoallergenic, Breathable, Hidden Zipper (White)</t>
        </is>
      </c>
      <c r="F19" s="32" t="inlineStr">
        <is>
          <t>US</t>
        </is>
      </c>
      <c r="G19" s="32" t="inlineStr">
        <is>
          <t>B0DQQQWYPT</t>
        </is>
      </c>
      <c r="H19" s="32" t="n">
        <v>18</v>
      </c>
      <c r="I19" s="32" t="inlineStr">
        <is>
          <t>King, Queen, Standard</t>
        </is>
      </c>
      <c r="J19" s="32" t="n">
        <v>6</v>
      </c>
      <c r="K19" s="33" t="n">
        <v>44.95</v>
      </c>
      <c r="L19" s="32" t="inlineStr">
        <is>
          <t>Helium 10 Xray, 2026-10-13</t>
        </is>
      </c>
      <c r="M19" s="32" t="n">
        <v>125</v>
      </c>
      <c r="N19" s="32" t="n">
        <v>29</v>
      </c>
      <c r="O19" s="34" t="n">
        <v>1.352847893136792</v>
      </c>
      <c r="P19" s="35" t="n">
        <v>0.3357161191963349</v>
      </c>
      <c r="Q19" s="32" t="inlineStr">
        <is>
          <t>Gifting</t>
        </is>
      </c>
      <c r="R19" s="40" t="inlineStr">
        <is>
          <t>Other</t>
        </is>
      </c>
    </row>
    <row r="20" ht="62" customHeight="1">
      <c r="A20" s="10">
        <f>_xlfn.IMAGE("https://images-na.ssl-images-amazon.com/images/I/71JEybynRcL.jpg")</f>
        <v/>
      </c>
      <c r="B20" s="31" t="inlineStr">
        <is>
          <t>US SL Mask Contoured</t>
        </is>
      </c>
      <c r="C20" s="32" t="inlineStr">
        <is>
          <t>Silk</t>
        </is>
      </c>
      <c r="D20" s="32" t="inlineStr">
        <is>
          <t>Sleephoria</t>
        </is>
      </c>
      <c r="E20" s="32" t="inlineStr">
        <is>
          <t>SLEEP SANCTUARY 100% Pure Mulberry Silk Sleep Mask - 22 Momme Light Blocking 3D Contour Silk Eye Mask for Sleeping - Secure Fit for Side Sleepers, Women &amp; Men - Cloud Soft (Peacock Blue)</t>
        </is>
      </c>
      <c r="F20" s="32" t="inlineStr">
        <is>
          <t>US</t>
        </is>
      </c>
      <c r="G20" s="32" t="inlineStr">
        <is>
          <t>B0GDML4FK7</t>
        </is>
      </c>
      <c r="H20" s="32" t="n">
        <v>4</v>
      </c>
      <c r="I20" s="32" t="inlineStr">
        <is>
          <t>One Size</t>
        </is>
      </c>
      <c r="J20" s="32" t="n">
        <v>4</v>
      </c>
      <c r="K20" s="33" t="n">
        <v>25.95</v>
      </c>
      <c r="L20" s="37" t="inlineStr">
        <is>
          <t>Command Center blended, Mar 2026 - STALE</t>
        </is>
      </c>
      <c r="M20" s="32" t="n">
        <v>4</v>
      </c>
      <c r="N20" s="32" t="n">
        <v>27</v>
      </c>
      <c r="O20" s="34" t="n">
        <v>3.666666666666667</v>
      </c>
      <c r="P20" s="35" t="n"/>
      <c r="Q20" s="32" t="inlineStr">
        <is>
          <t>Gifting</t>
        </is>
      </c>
      <c r="R20" s="40" t="inlineStr">
        <is>
          <t>Other</t>
        </is>
      </c>
    </row>
    <row r="21" ht="62" customHeight="1">
      <c r="A21" s="10">
        <f>_xlfn.IMAGE("https://images-na.ssl-images-amazon.com/images/I/61Z2DkWXasL.jpg")</f>
        <v/>
      </c>
      <c r="B21" s="31" t="inlineStr">
        <is>
          <t>US SL Mask Velcro</t>
        </is>
      </c>
      <c r="C21" s="32" t="inlineStr">
        <is>
          <t>Silk</t>
        </is>
      </c>
      <c r="D21" s="32" t="inlineStr">
        <is>
          <t>Sleephoria</t>
        </is>
      </c>
      <c r="E21" s="32" t="inlineStr">
        <is>
          <t>SLEEP SANCTUARY 100% Pure Mulberry Silk Sleep Mask - 22 Momme Light Blocking Hook &amp; Loop Silk Eye Mask for Sleeping - Secure Fit for Side Sleepers, Women &amp; Men - Cloud Soft (Black)</t>
        </is>
      </c>
      <c r="F21" s="32" t="inlineStr">
        <is>
          <t>US</t>
        </is>
      </c>
      <c r="G21" s="32" t="inlineStr">
        <is>
          <t>B0GDMSK15Z</t>
        </is>
      </c>
      <c r="H21" s="32" t="n">
        <v>4</v>
      </c>
      <c r="I21" s="32" t="inlineStr">
        <is>
          <t>One Size</t>
        </is>
      </c>
      <c r="J21" s="32" t="n">
        <v>4</v>
      </c>
      <c r="K21" s="33" t="n">
        <v>17.99</v>
      </c>
      <c r="L21" s="32" t="inlineStr">
        <is>
          <t>Helium 10 Xray, 2026-10-13</t>
        </is>
      </c>
      <c r="M21" s="32" t="n">
        <v>13</v>
      </c>
      <c r="N21" s="32" t="n">
        <v>15</v>
      </c>
      <c r="O21" s="34" t="n">
        <v>1</v>
      </c>
      <c r="P21" s="35" t="n"/>
      <c r="Q21" s="32" t="inlineStr">
        <is>
          <t>Gifting</t>
        </is>
      </c>
      <c r="R21" s="40" t="inlineStr">
        <is>
          <t>Other</t>
        </is>
      </c>
    </row>
    <row r="22" ht="62" customHeight="1">
      <c r="A22" s="10">
        <f>_xlfn.IMAGE("https://m.media-amazon.com/images/I/81+QctNV9NL._AC_SL1500_.jpg")</f>
        <v/>
      </c>
      <c r="B22" s="31" t="inlineStr">
        <is>
          <t>US DC Cooling 4pc</t>
        </is>
      </c>
      <c r="C22" s="32" t="inlineStr">
        <is>
          <t>Cooling</t>
        </is>
      </c>
      <c r="D22" s="32" t="inlineStr">
        <is>
          <t>Decolure</t>
        </is>
      </c>
      <c r="E22" s="32" t="inlineStr">
        <is>
          <t>DECOLURE Cooling Sheets Queen Set 4pcs - Luxurious &amp; Ultra-Soft Cooling Bed Sheets Queen Size for Hot Sleepers - Comfortable Bamboo Viscose Microfiber Queen Bed Sheets Set Cooling (Navy)</t>
        </is>
      </c>
      <c r="F22" s="32" t="inlineStr">
        <is>
          <t>US</t>
        </is>
      </c>
      <c r="G22" s="32" t="inlineStr">
        <is>
          <t>B0HLLHYGLQ</t>
        </is>
      </c>
      <c r="H22" s="32" t="n">
        <v>61</v>
      </c>
      <c r="I22" s="32" t="inlineStr">
        <is>
          <t>California King, Cal King, Full, King, Queen, Twin</t>
        </is>
      </c>
      <c r="J22" s="32" t="n">
        <v>16</v>
      </c>
      <c r="K22" s="33" t="n">
        <v>37.95</v>
      </c>
      <c r="L22" s="32" t="inlineStr">
        <is>
          <t>Helium 10 Xray, 2026-10-13</t>
        </is>
      </c>
      <c r="M22" s="32" t="n">
        <v>89</v>
      </c>
      <c r="N22" s="32" t="n">
        <v>28</v>
      </c>
      <c r="O22" s="34" t="n">
        <v>1.628391436777328</v>
      </c>
      <c r="P22" s="35" t="n">
        <v>0.06846895500103245</v>
      </c>
      <c r="Q22" s="32" t="inlineStr">
        <is>
          <t>Off-season (aged variations only)</t>
        </is>
      </c>
      <c r="R22" s="36" t="inlineStr">
        <is>
          <t>Core</t>
        </is>
      </c>
    </row>
    <row r="23" ht="62" customHeight="1">
      <c r="A23" s="10">
        <f>_xlfn.IMAGE("https://m.media-amazon.com/images/I/71IsX4lcKOL._AC_SL1500_.jpg")</f>
        <v/>
      </c>
      <c r="B23" s="31" t="inlineStr">
        <is>
          <t>US SL Cooling 4pc</t>
        </is>
      </c>
      <c r="C23" s="32" t="inlineStr">
        <is>
          <t>Cooling</t>
        </is>
      </c>
      <c r="D23" s="32" t="inlineStr">
        <is>
          <t>Sleephoria</t>
        </is>
      </c>
      <c r="E23" s="32" t="inlineStr">
        <is>
          <t>SLEEPHORIA Cooling Sheets - BreezeWeave 4 PC King Size Cooling Bed Sheets for Hot Sleepers &amp; Deep, Cool Rest - Cloud Soft, Silky Smooth, 16 in Deep Pocket, Ultra Durable (Light Grey)</t>
        </is>
      </c>
      <c r="F23" s="32" t="inlineStr">
        <is>
          <t>US</t>
        </is>
      </c>
      <c r="G23" s="32" t="inlineStr">
        <is>
          <t>B0H8PNVWP1</t>
        </is>
      </c>
      <c r="H23" s="32" t="n">
        <v>61</v>
      </c>
      <c r="I23" s="32" t="inlineStr">
        <is>
          <t>Cal King, Full, King, Queen, Twin</t>
        </is>
      </c>
      <c r="J23" s="32" t="n">
        <v>13</v>
      </c>
      <c r="K23" s="33" t="n">
        <v>84.98999999999999</v>
      </c>
      <c r="L23" s="32" t="inlineStr">
        <is>
          <t>Helium 10 Xray, 2026-10-13</t>
        </is>
      </c>
      <c r="M23" s="32" t="n">
        <v>332</v>
      </c>
      <c r="N23" s="32" t="n">
        <v>36</v>
      </c>
      <c r="O23" s="34" t="n">
        <v>1.158552710930541</v>
      </c>
      <c r="P23" s="35" t="n">
        <v>0.01606180979144857</v>
      </c>
      <c r="Q23" s="32" t="inlineStr">
        <is>
          <t>Off-season (aged variations only)</t>
        </is>
      </c>
      <c r="R23" s="36" t="inlineStr">
        <is>
          <t>Core</t>
        </is>
      </c>
    </row>
    <row r="24" ht="62" customHeight="1">
      <c r="A24" s="39" t="inlineStr">
        <is>
          <t>IMAGE MISSING</t>
        </is>
      </c>
      <c r="B24" s="31" t="inlineStr">
        <is>
          <t>US SL Cooling 6pc</t>
        </is>
      </c>
      <c r="C24" s="32" t="inlineStr">
        <is>
          <t>Cooling</t>
        </is>
      </c>
      <c r="D24" s="32" t="inlineStr">
        <is>
          <t>Sleephoria</t>
        </is>
      </c>
      <c r="E24" s="32" t="inlineStr">
        <is>
          <t>SLEEPHORIA Cooling Sheets - BreezeWeave 6 PC California King Size Cooling Bed Sheets for Hot Sleepers &amp; Deep, Cool Rest - Cloud Soft, Silky Smooth, 16 in Deep Pocket, Ultra Durable (Beige)</t>
        </is>
      </c>
      <c r="F24" s="32" t="inlineStr">
        <is>
          <t>US</t>
        </is>
      </c>
      <c r="G24" s="32" t="inlineStr">
        <is>
          <t>B0H7JVGTZW</t>
        </is>
      </c>
      <c r="H24" s="32" t="n">
        <v>60</v>
      </c>
      <c r="I24" s="32" t="inlineStr">
        <is>
          <t>California King, Full, King, Queen, Twin</t>
        </is>
      </c>
      <c r="J24" s="32" t="n">
        <v>12</v>
      </c>
      <c r="K24" s="33" t="n"/>
      <c r="L24" s="32" t="inlineStr">
        <is>
          <t>No price</t>
        </is>
      </c>
      <c r="M24" s="32" t="n">
        <v>0</v>
      </c>
      <c r="N24" s="32" t="n">
        <v>7</v>
      </c>
      <c r="O24" s="34" t="n"/>
      <c r="P24" s="35" t="n"/>
      <c r="Q24" s="32" t="inlineStr">
        <is>
          <t>Off-season (aged variations only)</t>
        </is>
      </c>
      <c r="R24" s="38" t="inlineStr">
        <is>
          <t>Not launched</t>
        </is>
      </c>
    </row>
    <row r="25" ht="62" customHeight="1">
      <c r="A25" s="10">
        <f>_xlfn.IMAGE("https://m.media-amazon.com/images/I/81GLNCr7elL.jpg")</f>
        <v/>
      </c>
      <c r="B25" s="31" t="inlineStr">
        <is>
          <t>US CL Cooling Sheets</t>
        </is>
      </c>
      <c r="C25" s="32" t="inlineStr">
        <is>
          <t>Cooling</t>
        </is>
      </c>
      <c r="D25" s="32" t="inlineStr">
        <is>
          <t>CooLinens</t>
        </is>
      </c>
      <c r="E25" s="32" t="inlineStr">
        <is>
          <t>COOLINENS Cooling Sheets - BreezeWeave 4 PC California King Size Cooling Bed Sheets for Hot Sleepers &amp; Deep, Cool Rest - Cloud Soft, Silky Smooth, 16 in Deep Pocket, Ultra Durable (Beige)</t>
        </is>
      </c>
      <c r="F25" s="32" t="inlineStr">
        <is>
          <t>US</t>
        </is>
      </c>
      <c r="G25" s="32" t="inlineStr">
        <is>
          <t>B0H6K5RPX6</t>
        </is>
      </c>
      <c r="H25" s="32" t="n">
        <v>60</v>
      </c>
      <c r="I25" s="32" t="inlineStr">
        <is>
          <t>California King, Full, King, Queen, Twin</t>
        </is>
      </c>
      <c r="J25" s="32" t="n">
        <v>12</v>
      </c>
      <c r="K25" s="33" t="n"/>
      <c r="L25" s="32" t="inlineStr">
        <is>
          <t>No price</t>
        </is>
      </c>
      <c r="M25" s="32" t="n">
        <v>42</v>
      </c>
      <c r="N25" s="32" t="n">
        <v>14</v>
      </c>
      <c r="O25" s="34" t="n"/>
      <c r="P25" s="35" t="n"/>
      <c r="Q25" s="32" t="inlineStr">
        <is>
          <t>Launch</t>
        </is>
      </c>
      <c r="R25" s="41" t="inlineStr">
        <is>
          <t>Launching (partly live)</t>
        </is>
      </c>
    </row>
    <row r="26" ht="62" customHeight="1">
      <c r="A26" s="10">
        <f>_xlfn.IMAGE("https://m.media-amazon.com/images/I/71xw+HPSbYL._AC_SL1500_.jpg")</f>
        <v/>
      </c>
      <c r="B26" s="31" t="inlineStr">
        <is>
          <t>US CL Pillowcases</t>
        </is>
      </c>
      <c r="C26" s="32" t="inlineStr">
        <is>
          <t>Cooling</t>
        </is>
      </c>
      <c r="D26" s="32" t="inlineStr">
        <is>
          <t>CooLinens</t>
        </is>
      </c>
      <c r="E26" s="32" t="inlineStr">
        <is>
          <t>COOLINENS Cooling Pillow Cases Queen Size | Set of 2 for Hot Sleepers</t>
        </is>
      </c>
      <c r="F26" s="32" t="inlineStr">
        <is>
          <t>US</t>
        </is>
      </c>
      <c r="G26" s="32" t="inlineStr">
        <is>
          <t>B0HLSNQNCK</t>
        </is>
      </c>
      <c r="H26" s="32" t="n">
        <v>12</v>
      </c>
      <c r="I26" s="32" t="inlineStr">
        <is>
          <t>King, Queen, Standard</t>
        </is>
      </c>
      <c r="J26" s="32" t="n">
        <v>4</v>
      </c>
      <c r="K26" s="33" t="n">
        <v>19.99</v>
      </c>
      <c r="L26" s="32" t="inlineStr">
        <is>
          <t>Helium 10 Xray, 2026-10-13</t>
        </is>
      </c>
      <c r="M26" s="32" t="n">
        <v>310</v>
      </c>
      <c r="N26" s="32" t="n">
        <v>15</v>
      </c>
      <c r="O26" s="34" t="n"/>
      <c r="P26" s="35" t="n"/>
      <c r="Q26" s="32" t="inlineStr">
        <is>
          <t>Launch</t>
        </is>
      </c>
      <c r="R26" s="40" t="inlineStr">
        <is>
          <t>Other</t>
        </is>
      </c>
    </row>
    <row r="27" ht="62" customHeight="1">
      <c r="A27" s="10">
        <f>_xlfn.IMAGE("https://images-na.ssl-images-amazon.com/images/I/71Y1j274VYL.jpg")</f>
        <v/>
      </c>
      <c r="B27" s="31" t="inlineStr">
        <is>
          <t>US SL Cooling Pillowcase</t>
        </is>
      </c>
      <c r="C27" s="32" t="inlineStr">
        <is>
          <t>Cooling</t>
        </is>
      </c>
      <c r="D27" s="32" t="inlineStr">
        <is>
          <t>Sleephoria</t>
        </is>
      </c>
      <c r="E27" s="32" t="inlineStr">
        <is>
          <t>SLEEPHORIA Cooling Pillow Cases - BreezeWeave Queen Size Set of 2 Pillowcases for Hot Sleepers &amp; Cool, Deep Rest - Cloud Soft, Silky Smooth, Ultra Durable, Easy Care, Hidden Zipper (Blue)</t>
        </is>
      </c>
      <c r="F27" s="32" t="inlineStr">
        <is>
          <t>US</t>
        </is>
      </c>
      <c r="G27" s="32" t="inlineStr">
        <is>
          <t>B0FTSVDG77</t>
        </is>
      </c>
      <c r="H27" s="32" t="n">
        <v>12</v>
      </c>
      <c r="I27" s="32" t="inlineStr">
        <is>
          <t>King, Queen, Standard</t>
        </is>
      </c>
      <c r="J27" s="32" t="n">
        <v>4</v>
      </c>
      <c r="K27" s="33" t="n">
        <v>21.99</v>
      </c>
      <c r="L27" s="32" t="inlineStr">
        <is>
          <t>SellerBoard listing price, 2026-10-14</t>
        </is>
      </c>
      <c r="M27" s="32" t="n">
        <v>54</v>
      </c>
      <c r="N27" s="32" t="n">
        <v>21</v>
      </c>
      <c r="O27" s="34" t="n">
        <v>0.7673585255948454</v>
      </c>
      <c r="P27" s="35" t="n"/>
      <c r="Q27" s="32" t="inlineStr">
        <is>
          <t>Off-season</t>
        </is>
      </c>
      <c r="R27" s="36" t="inlineStr">
        <is>
          <t>Core</t>
        </is>
      </c>
    </row>
    <row r="28" ht="62" customHeight="1">
      <c r="A28" s="10">
        <f>_xlfn.IMAGE("https://images-na.ssl-images-amazon.com/images/I/81srgWQ0iXL.jpg")</f>
        <v/>
      </c>
      <c r="B28" s="31" t="inlineStr">
        <is>
          <t>US SL Cooling Comforter</t>
        </is>
      </c>
      <c r="C28" s="32" t="inlineStr">
        <is>
          <t>Cooling</t>
        </is>
      </c>
      <c r="D28" s="32" t="inlineStr">
        <is>
          <t>Sleephoria</t>
        </is>
      </c>
      <c r="E28" s="32" t="inlineStr">
        <is>
          <t>SLEEPHORIA Cooling Comforter - BreezeWeave Cooling Blanket King Size for Hot Sleepers &amp; Deep Rest - Cloud Soft, Breathable, Ultra Durable, Easy Care, Reversible - 108 x 90 in (Light Grey &amp; Dark Grey)</t>
        </is>
      </c>
      <c r="F28" s="32" t="inlineStr">
        <is>
          <t>US</t>
        </is>
      </c>
      <c r="G28" s="32" t="inlineStr">
        <is>
          <t>B0FTG1NNKG</t>
        </is>
      </c>
      <c r="H28" s="32" t="n">
        <v>20</v>
      </c>
      <c r="I28" s="32" t="inlineStr">
        <is>
          <t>Full, King, Queen, Twin</t>
        </is>
      </c>
      <c r="J28" s="32" t="n">
        <v>5</v>
      </c>
      <c r="K28" s="33" t="n">
        <v>79.98999999999999</v>
      </c>
      <c r="L28" s="32" t="inlineStr">
        <is>
          <t>SellerBoard listing price, 2026-10-14</t>
        </is>
      </c>
      <c r="M28" s="32" t="n">
        <v>78</v>
      </c>
      <c r="N28" s="32" t="n">
        <v>18</v>
      </c>
      <c r="O28" s="34" t="n">
        <v>3.393762896244322</v>
      </c>
      <c r="P28" s="35" t="n">
        <v>0.122837052752191</v>
      </c>
      <c r="Q28" s="32" t="inlineStr">
        <is>
          <t>Off-season (lost $2.4K at BFCM 2025)</t>
        </is>
      </c>
      <c r="R28" s="36" t="inlineStr">
        <is>
          <t>Core</t>
        </is>
      </c>
    </row>
    <row r="29" ht="62" customHeight="1">
      <c r="A29" s="10">
        <f>_xlfn.IMAGE("https://m.media-amazon.com/images/I/81G7yE5OfqL._AC_SL1500_.jpg")</f>
        <v/>
      </c>
      <c r="B29" s="31" t="inlineStr">
        <is>
          <t>US SL Cooling Fitted</t>
        </is>
      </c>
      <c r="C29" s="32" t="inlineStr">
        <is>
          <t>Cooling</t>
        </is>
      </c>
      <c r="D29" s="32" t="inlineStr">
        <is>
          <t>Sleephoria</t>
        </is>
      </c>
      <c r="E29" s="32" t="inlineStr">
        <is>
          <t>SLEEPHORIA Cooling Fitted Sheet King Size - 1 PC BreezeWeave Cooling Sheets for Hot Sleepers &amp; Cool Rest w/ 16 in Deep Pocket - Corner Straps, Cloud Soft, Ultra Durable - 73 x 77 in (White)</t>
        </is>
      </c>
      <c r="F29" s="32" t="inlineStr">
        <is>
          <t>US</t>
        </is>
      </c>
      <c r="G29" s="32" t="inlineStr">
        <is>
          <t>B0GR6GBJYC</t>
        </is>
      </c>
      <c r="H29" s="32" t="n">
        <v>65</v>
      </c>
      <c r="I29" s="32" t="inlineStr">
        <is>
          <t>Cal King, Full, King, Queen, Twin</t>
        </is>
      </c>
      <c r="J29" s="32" t="n">
        <v>13</v>
      </c>
      <c r="K29" s="33" t="n">
        <v>39.99</v>
      </c>
      <c r="L29" s="32" t="inlineStr">
        <is>
          <t>Helium 10 Xray, 2026-10-13</t>
        </is>
      </c>
      <c r="M29" s="32" t="n">
        <v>513</v>
      </c>
      <c r="N29" s="32" t="n">
        <v>11</v>
      </c>
      <c r="O29" s="34" t="n">
        <v>0.9827610124981451</v>
      </c>
      <c r="P29" s="35" t="n">
        <v>0</v>
      </c>
      <c r="Q29" s="32" t="inlineStr">
        <is>
          <t>Off-season</t>
        </is>
      </c>
      <c r="R29" s="36" t="inlineStr">
        <is>
          <t>Core</t>
        </is>
      </c>
    </row>
    <row r="30" ht="62" customHeight="1">
      <c r="A30" s="10">
        <f>_xlfn.IMAGE("https://images-na.ssl-images-amazon.com/images/I/81RVSwrWFUL.jpg")</f>
        <v/>
      </c>
      <c r="B30" s="31" t="inlineStr">
        <is>
          <t>US SL Quilt Set</t>
        </is>
      </c>
      <c r="C30" s="32" t="inlineStr">
        <is>
          <t>Other</t>
        </is>
      </c>
      <c r="D30" s="32" t="inlineStr">
        <is>
          <t>Sleephoria</t>
        </is>
      </c>
      <c r="E30" s="32" t="inlineStr">
        <is>
          <t>SLEEPHORIA Queen Quilt Bedding Set | Lightweight Summer Bedspread 3 Pc</t>
        </is>
      </c>
      <c r="F30" s="32" t="inlineStr">
        <is>
          <t>US</t>
        </is>
      </c>
      <c r="G30" s="32" t="inlineStr">
        <is>
          <t>B0GZW9QWJM</t>
        </is>
      </c>
      <c r="H30" s="32" t="n">
        <v>21</v>
      </c>
      <c r="I30" s="32" t="inlineStr">
        <is>
          <t>King, Queen, Twin</t>
        </is>
      </c>
      <c r="J30" s="32" t="n">
        <v>7</v>
      </c>
      <c r="K30" s="33" t="n">
        <v>41.99</v>
      </c>
      <c r="L30" s="32" t="inlineStr">
        <is>
          <t>Helium 10 Xray, 2026-10-13</t>
        </is>
      </c>
      <c r="M30" s="32" t="n">
        <v>32</v>
      </c>
      <c r="N30" s="32" t="n">
        <v>19</v>
      </c>
      <c r="O30" s="34" t="n"/>
      <c r="P30" s="35" t="n"/>
      <c r="Q30" s="32" t="inlineStr">
        <is>
          <t>Liquidation</t>
        </is>
      </c>
      <c r="R30" s="40" t="inlineStr">
        <is>
          <t>Other</t>
        </is>
      </c>
    </row>
    <row r="31" ht="62" customHeight="1">
      <c r="A31" s="10">
        <f>_xlfn.IMAGE("https://images-na.ssl-images-amazon.com/images/I/81sMgyPyWQL.jpg")</f>
        <v/>
      </c>
      <c r="B31" s="31" t="inlineStr">
        <is>
          <t>US DC Linen Curtains</t>
        </is>
      </c>
      <c r="C31" s="32" t="inlineStr">
        <is>
          <t>Other</t>
        </is>
      </c>
      <c r="D31" s="32" t="inlineStr">
        <is>
          <t>Decolure</t>
        </is>
      </c>
      <c r="E31" s="32" t="inlineStr">
        <is>
          <t>DECOLURE 100% Blackout Linen Curtains 108 Inches Long | Ivory</t>
        </is>
      </c>
      <c r="F31" s="32" t="inlineStr">
        <is>
          <t>US</t>
        </is>
      </c>
      <c r="G31" s="32" t="inlineStr">
        <is>
          <t>B0H2Z62MJZ</t>
        </is>
      </c>
      <c r="H31" s="32" t="n">
        <v>42</v>
      </c>
      <c r="I31" s="32" t="inlineStr">
        <is>
          <t>52x108, 52x120, 52x63, 52x72, 52x84, 52x90, 52x96</t>
        </is>
      </c>
      <c r="J31" s="32" t="n">
        <v>6</v>
      </c>
      <c r="K31" s="33" t="n">
        <v>34.99</v>
      </c>
      <c r="L31" s="32" t="inlineStr">
        <is>
          <t>Helium 10 Xray, 2026-10-13</t>
        </is>
      </c>
      <c r="M31" s="32" t="n">
        <v>12</v>
      </c>
      <c r="N31" s="32" t="n">
        <v>21</v>
      </c>
      <c r="O31" s="34" t="n"/>
      <c r="P31" s="35" t="n"/>
      <c r="Q31" s="32" t="inlineStr">
        <is>
          <t>Liquidation</t>
        </is>
      </c>
      <c r="R31" s="40" t="inlineStr">
        <is>
          <t>Other</t>
        </is>
      </c>
    </row>
    <row r="32" ht="62" customHeight="1">
      <c r="A32" s="10">
        <f>_xlfn.IMAGE("https://images-na.ssl-images-amazon.com/images/I/81ZamyVE0yL.jpg")</f>
        <v/>
      </c>
      <c r="B32" s="31" t="inlineStr">
        <is>
          <t>US DC Beach Towel</t>
        </is>
      </c>
      <c r="C32" s="32" t="inlineStr">
        <is>
          <t>Other</t>
        </is>
      </c>
      <c r="D32" s="32" t="inlineStr">
        <is>
          <t>Decolure</t>
        </is>
      </c>
      <c r="E32" s="32" t="inlineStr">
        <is>
          <t>DECOLURE Turkish Beach Towel Oversized 39x73 Inch - 100% Turkish Cotton, Quick Dry and Sand Free Beach Towels for Travel - Lightweight, Absorbent &amp; Soft Peshtemal Towel - (Gray Wave)</t>
        </is>
      </c>
      <c r="F32" s="32" t="inlineStr">
        <is>
          <t>US</t>
        </is>
      </c>
      <c r="G32" s="32" t="inlineStr">
        <is>
          <t>B0GZVXL6DZ</t>
        </is>
      </c>
      <c r="H32" s="32" t="n">
        <v>14</v>
      </c>
      <c r="I32" s="32" t="inlineStr">
        <is>
          <t>39" x 73"</t>
        </is>
      </c>
      <c r="J32" s="32" t="n">
        <v>7</v>
      </c>
      <c r="K32" s="33" t="n">
        <v>21.45</v>
      </c>
      <c r="L32" s="37" t="inlineStr">
        <is>
          <t>Command Center blended, Mar 2026 - STALE</t>
        </is>
      </c>
      <c r="M32" s="32" t="n">
        <v>2</v>
      </c>
      <c r="N32" s="32" t="n">
        <v>13</v>
      </c>
      <c r="O32" s="34" t="n"/>
      <c r="P32" s="35" t="n"/>
      <c r="Q32" s="32" t="inlineStr">
        <is>
          <t>Other</t>
        </is>
      </c>
      <c r="R32" s="40" t="inlineStr">
        <is>
          <t>Other</t>
        </is>
      </c>
    </row>
    <row r="33" ht="62" customHeight="1">
      <c r="A33" s="10">
        <f>_xlfn.IMAGE("https://images-na.ssl-images-amazon.com/images/I/71PaUaKaW9L.jpg")</f>
        <v/>
      </c>
      <c r="B33" s="31" t="inlineStr">
        <is>
          <t>US DC Welcome Sign</t>
        </is>
      </c>
      <c r="C33" s="32" t="inlineStr">
        <is>
          <t>Other</t>
        </is>
      </c>
      <c r="D33" s="32" t="inlineStr">
        <is>
          <t>Decolure</t>
        </is>
      </c>
      <c r="E33" s="32" t="inlineStr">
        <is>
          <t>DECOLURE Welcome Sign for Front Porch - Tall Solid Wood Porch Door Sign with 10 Magnetic Seasonal &amp; Holiday Pieces, Rustic Farmhouse Outdoor Decor for Year Round Welcoming Entryway (Porch Brown)</t>
        </is>
      </c>
      <c r="F33" s="32" t="inlineStr">
        <is>
          <t>US</t>
        </is>
      </c>
      <c r="G33" s="32" t="inlineStr">
        <is>
          <t>B0H1N61MK6</t>
        </is>
      </c>
      <c r="H33" s="32" t="n">
        <v>7</v>
      </c>
      <c r="I33" s="32" t="inlineStr">
        <is>
          <t>One Size</t>
        </is>
      </c>
      <c r="J33" s="32" t="n">
        <v>7</v>
      </c>
      <c r="K33" s="33" t="n">
        <v>64.95</v>
      </c>
      <c r="L33" s="32" t="inlineStr">
        <is>
          <t>Data Dive, 2026-10-12</t>
        </is>
      </c>
      <c r="M33" s="32" t="n">
        <v>2</v>
      </c>
      <c r="N33" s="32" t="n">
        <v>17</v>
      </c>
      <c r="O33" s="34" t="n"/>
      <c r="P33" s="35" t="n"/>
      <c r="Q33" s="32" t="inlineStr">
        <is>
          <t>Other</t>
        </is>
      </c>
      <c r="R33" s="40" t="inlineStr">
        <is>
          <t>Other</t>
        </is>
      </c>
    </row>
    <row r="34" ht="62" customHeight="1">
      <c r="A34" s="10">
        <f>_xlfn.IMAGE("https://images-na.ssl-images-amazon.com/images/I/814u78HU6WL.jpg")</f>
        <v/>
      </c>
      <c r="B34" s="31" t="inlineStr">
        <is>
          <t>US DC Chair Cover</t>
        </is>
      </c>
      <c r="C34" s="32" t="inlineStr">
        <is>
          <t>Other</t>
        </is>
      </c>
      <c r="D34" s="32" t="inlineStr">
        <is>
          <t>Decolure</t>
        </is>
      </c>
      <c r="E34" s="32" t="inlineStr">
        <is>
          <t>Waterproof Dining Chair Covers Set of 6 - 3 Layers Thick Fabric Parsons Chair Slip Covers - Jacquard Kitchen Chair Covers &amp; Stretch Protectors Dining Room, Restaurant - Removable Washable (Chocolate)</t>
        </is>
      </c>
      <c r="F34" s="32" t="inlineStr">
        <is>
          <t>US</t>
        </is>
      </c>
      <c r="G34" s="32" t="inlineStr">
        <is>
          <t>B0FB6DM5X9</t>
        </is>
      </c>
      <c r="H34" s="32" t="n">
        <v>12</v>
      </c>
      <c r="I34" s="32" t="inlineStr">
        <is>
          <t>Pack of 4, Pack of 6</t>
        </is>
      </c>
      <c r="J34" s="32" t="n">
        <v>6</v>
      </c>
      <c r="K34" s="33" t="n">
        <v>39.99</v>
      </c>
      <c r="L34" s="32" t="inlineStr">
        <is>
          <t>Helium 10 Xray, 2026-10-13</t>
        </is>
      </c>
      <c r="M34" s="32" t="n">
        <v>30</v>
      </c>
      <c r="N34" s="32" t="n">
        <v>23</v>
      </c>
      <c r="O34" s="34" t="n">
        <v>0.6578754953716566</v>
      </c>
      <c r="P34" s="35" t="n"/>
      <c r="Q34" s="32" t="inlineStr">
        <is>
          <t>Other</t>
        </is>
      </c>
      <c r="R34" s="40" t="inlineStr">
        <is>
          <t>Other</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3"/>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2" customWidth="1" min="6" max="6"/>
    <col width="60" customWidth="1" min="7" max="7"/>
  </cols>
  <sheetData>
    <row r="1">
      <c r="A1" s="42" t="inlineStr">
        <is>
          <t>Data Check - how current and how accurate every number is</t>
        </is>
      </c>
    </row>
    <row r="2">
      <c r="A2" s="43" t="inlineStr">
        <is>
          <t>Read this before quoting a number. Orange cells in product tabs = stale value; 'STALE' in Comparison basis = our price there is the Command Center fee-feed price, not today's.</t>
        </is>
      </c>
    </row>
    <row r="4">
      <c r="A4" s="44" t="inlineStr">
        <is>
          <t>Data</t>
        </is>
      </c>
      <c r="B4" s="44" t="inlineStr">
        <is>
          <t>Source</t>
        </is>
      </c>
      <c r="C4" s="44" t="inlineStr">
        <is>
          <t>As of</t>
        </is>
      </c>
      <c r="D4" s="44" t="inlineStr">
        <is>
          <t>Rows</t>
        </is>
      </c>
      <c r="E4" s="44" t="inlineStr">
        <is>
          <t>Status</t>
        </is>
      </c>
      <c r="F4" s="44" t="inlineStr"/>
      <c r="G4" s="44" t="inlineStr">
        <is>
          <t>Notes</t>
        </is>
      </c>
    </row>
    <row r="5">
      <c r="A5" s="45" t="inlineStr">
        <is>
          <t>Competitor price, List Price, BSR, rating, reviews</t>
        </is>
      </c>
      <c r="B5" s="45" t="inlineStr">
        <is>
          <t>Command Center</t>
        </is>
      </c>
      <c r="C5" s="45" t="inlineStr">
        <is>
          <t>2026-10-12</t>
        </is>
      </c>
      <c r="D5" s="45" t="n">
        <v>598</v>
      </c>
      <c r="E5" s="46" t="inlineStr">
        <is>
          <t>Current</t>
        </is>
      </c>
      <c r="F5" s="45" t="inlineStr"/>
      <c r="G5" s="45" t="inlineStr">
        <is>
          <t>18 US rows are older (Jul 20 - Sep 21, 2026) and are shaded orange in the 'Snapshot date' column. Price is for the one tracked child ASIN; Amazon search may show another size of the same listing.</t>
        </is>
      </c>
    </row>
    <row r="6">
      <c r="A6" s="45" t="inlineStr">
        <is>
          <t>Strikethrough now (shown / label / price)</t>
        </is>
      </c>
      <c r="B6" s="45" t="inlineStr">
        <is>
          <t>Amazon page check</t>
        </is>
      </c>
      <c r="C6" s="45" t="inlineStr">
        <is>
          <t>2026-10-13</t>
        </is>
      </c>
      <c r="D6" s="45" t="n">
        <v>371</v>
      </c>
      <c r="E6" s="46" t="inlineStr">
        <is>
          <t>Current</t>
        </is>
      </c>
      <c r="F6" s="45" t="inlineStr"/>
      <c r="G6" s="45" t="inlineStr">
        <is>
          <t>371 competitor ASINs checked on the Amazon page Oct 13 (70 P1 at 12:10 ET, 240 P2 at 23:35 ET; logged out, ZIP 10001). Blank = redirect or not shown, never assumed. Redirects left blank, not substituted: B0D1RBXBNG (David's Home) now opens B0DBHFTF8W, a different variation (3-pc Twin vs 4-pc Twin) of the same family; B0CP3NX181, B0DG2HRZKK, B09G8P3X6L, B0D4PKVNWB.</t>
        </is>
      </c>
    </row>
    <row r="7">
      <c r="A7" s="45" t="inlineStr">
        <is>
          <t>Our price now</t>
        </is>
      </c>
      <c r="B7" s="45" t="inlineStr">
        <is>
          <t>Helium 10 Xray (Oct 13) / SellerBoard listing price (Oct 14, gap-fill) / Data Dive / Amazon page check</t>
        </is>
      </c>
      <c r="C7" s="45" t="inlineStr">
        <is>
          <t>2026-10-13 to 14</t>
        </is>
      </c>
      <c r="D7" s="45" t="n">
        <v>895</v>
      </c>
      <c r="E7" s="47" t="inlineStr">
        <is>
          <t>Partial</t>
        </is>
      </c>
      <c r="F7" s="45" t="inlineStr"/>
      <c r="G7" s="45" t="inlineStr">
        <is>
          <t>Core products: US 895 of 917 variations live, Canada 0 of 590. Core US still without a live price: DC B6 7, SL Cooling 4pc 4, DC S4 3, DC S6 3, DC Cooling 4pc 2, DC B4 1, SL B6 1, SSS4 1. Not-launched products (SL B4, SL Satin 6pc, SL Cooling 6pc, SL Bamboo Pillowcase) are excluded. Without a live price the tabs show the Command Center fee-feed price (Mar 2026), which is out of date. Xray matched every price already verified on the Amazon page. Prompt 12 (our_price_request.csv, live_price_held = N) fills the rest; Canada has no live source yet.</t>
        </is>
      </c>
    </row>
    <row r="8">
      <c r="A8" s="45" t="inlineStr">
        <is>
          <t>Our listings outside the main review family</t>
        </is>
      </c>
      <c r="B8" s="45" t="inlineStr">
        <is>
          <t>Helium 10 Xray</t>
        </is>
      </c>
      <c r="C8" s="45" t="inlineStr">
        <is>
          <t>2026-10-13</t>
        </is>
      </c>
      <c r="D8" s="45" t="n">
        <v>9</v>
      </c>
      <c r="E8" s="47" t="inlineStr">
        <is>
          <t>Check</t>
        </is>
      </c>
      <c r="F8" s="45" t="inlineStr"/>
      <c r="G8" s="45" t="inlineStr">
        <is>
          <t>Variations with their own rating and review count instead of the product's main family, flagged in each tab's variation table: DC B4 Full Light Blue 3.9 / 61, DC S6 King White 4.0 / 28, DC Cooling Cal King Graphite 3.0 / 15, and CL Cooling launch variations not yet merged. Reassigned: 7 'SATIN-4PC-TWIN' SKUs moved from DC S4 to DC S6 (a Twin in the 6 Pc set is a 4-piece set; Amazon lists them in the Satin 6pc family). Their variations, units, deals and stock now count under DC S6; ad spend stays under DC S4 as the Command Center attributes it.</t>
        </is>
      </c>
    </row>
    <row r="9">
      <c r="A9" s="45" t="inlineStr">
        <is>
          <t>SKU reassignment vs Command Center</t>
        </is>
      </c>
      <c r="B9" s="45" t="inlineStr">
        <is>
          <t>Tracker rule (Shayan, Oct 14)</t>
        </is>
      </c>
      <c r="C9" s="45" t="inlineStr">
        <is>
          <t>2026-10-14</t>
        </is>
      </c>
      <c r="D9" s="45" t="n">
        <v>7</v>
      </c>
      <c r="E9" s="46" t="inlineStr">
        <is>
          <t>Fixed</t>
        </is>
      </c>
      <c r="F9" s="45" t="inlineStr"/>
      <c r="G9" s="45" t="inlineStr">
        <is>
          <t>DC S4 and DC S6 SKU counts and 28-day units differ from the Command Center by 7 SKUs / 7 units. Blended price and contribution are still the Command Center's (effect under 1%).</t>
        </is>
      </c>
    </row>
    <row r="10">
      <c r="A10" s="45" t="inlineStr">
        <is>
          <t>Same-size price gap vs ours</t>
        </is>
      </c>
      <c r="B10" s="45" t="inlineStr">
        <is>
          <t>Calculated</t>
        </is>
      </c>
      <c r="C10" s="45" t="inlineStr">
        <is>
          <t>2026-10-13</t>
        </is>
      </c>
      <c r="D10" s="45" t="n">
        <v>427</v>
      </c>
      <c r="E10" s="47" t="inlineStr">
        <is>
          <t>Partial</t>
        </is>
      </c>
      <c r="F10" s="45" t="inlineStr"/>
      <c r="G10" s="45" t="inlineStr">
        <is>
          <t>427 of 616 US competitor rows compare against our live price; the rest are marked STALE in 'Comparison basis'.</t>
        </is>
      </c>
    </row>
    <row r="11">
      <c r="A11" s="45" t="inlineStr">
        <is>
          <t>Our contribution / break-even ACoS</t>
        </is>
      </c>
      <c r="B11" s="45" t="inlineStr">
        <is>
          <t>Command Center</t>
        </is>
      </c>
      <c r="C11" s="45" t="inlineStr">
        <is>
          <t>2026-03-30 prices</t>
        </is>
      </c>
      <c r="D11" s="45" t="n"/>
      <c r="E11" s="48" t="inlineStr">
        <is>
          <t>Stale</t>
        </is>
      </c>
      <c r="F11" s="45" t="inlineStr"/>
      <c r="G11" s="45" t="inlineStr">
        <is>
          <t>Calculated on the Mar 2026 fee-feed price. Where our live price is higher (e.g. B6 King +$10, B4 King +$15) contribution and break-even ACoS are understated.</t>
        </is>
      </c>
    </row>
    <row r="12">
      <c r="A12" s="45" t="inlineStr">
        <is>
          <t>Our parent ASIN</t>
        </is>
      </c>
      <c r="B12" s="45" t="inlineStr">
        <is>
          <t>Data Dive seller catalog</t>
        </is>
      </c>
      <c r="C12" s="45" t="inlineStr">
        <is>
          <t>2026-10-13</t>
        </is>
      </c>
      <c r="D12" s="45" t="n">
        <v>33</v>
      </c>
      <c r="E12" s="46" t="inlineStr">
        <is>
          <t>Fixed</t>
        </is>
      </c>
      <c r="F12" s="45" t="inlineStr"/>
      <c r="G12" s="45" t="inlineStr">
        <is>
          <t>Command Center's 'parent_asin' is one of our child ASINs. Tabs now show the Amazon parent from the catalog; the Command Center ASIN is listed separately.</t>
        </is>
      </c>
    </row>
    <row r="13">
      <c r="A13" s="45" t="inlineStr">
        <is>
          <t>Our BFCM 2025 ad spend, ad sales, ACoS, TACoS, orders</t>
        </is>
      </c>
      <c r="B13" s="45" t="inlineStr">
        <is>
          <t>Command Center</t>
        </is>
      </c>
      <c r="C13" s="45" t="inlineStr">
        <is>
          <t>2025-11-20 to 2025-12-01</t>
        </is>
      </c>
      <c r="D13" s="45" t="n"/>
      <c r="E13" s="46" t="inlineStr">
        <is>
          <t>Exact</t>
        </is>
      </c>
      <c r="F13" s="45" t="inlineStr"/>
      <c r="G13" s="45" t="inlineStr">
        <is>
          <t>Ad metrics as reported by the Command Center.</t>
        </is>
      </c>
    </row>
    <row r="14">
      <c r="A14" s="45" t="inlineStr">
        <is>
          <t>Our BFCM 2025 total sales and lift</t>
        </is>
      </c>
      <c r="B14" s="45" t="inlineStr">
        <is>
          <t>SellerBoard (Ecotero account), via connector</t>
        </is>
      </c>
      <c r="C14" s="45" t="inlineStr">
        <is>
          <t>Oct 21 - Dec 31, 2025</t>
        </is>
      </c>
      <c r="D14" s="45" t="n">
        <v>127</v>
      </c>
      <c r="E14" s="46" t="inlineStr">
        <is>
          <t>Exact</t>
        </is>
      </c>
      <c r="F14" s="45" t="inlineStr"/>
      <c r="G14" s="45" t="inlineStr">
        <is>
          <t>Actual sales, units (organic / PPC / SD), ad cost, sessions and refunds per Amazon parent for the 30 days before, BFCM week and December, US and CA. Every file sums exactly to SellerBoard's period totals; 99%+ of US sales map to a tracked product. Actual lifts match the Command Center estimates (B4 4.25x, B6 2.49x, S4 2.64x). Amazon.ca amounts are in USD (SellerBoard converts).</t>
        </is>
      </c>
    </row>
    <row r="15">
      <c r="A15" s="45" t="inlineStr">
        <is>
          <t>Our BFCM 2025 deals</t>
        </is>
      </c>
      <c r="B15" s="45" t="inlineStr">
        <is>
          <t>DataHub promotions + Keepa (agent, v2 checkpoint)</t>
        </is>
      </c>
      <c r="C15" s="45" t="inlineStr">
        <is>
          <t>2026-10-13</t>
        </is>
      </c>
      <c r="D15" s="45" t="n"/>
      <c r="E15" s="47" t="inlineStr">
        <is>
          <t>Partial</t>
        </is>
      </c>
      <c r="F15" s="45" t="inlineStr"/>
      <c r="G15" s="45" t="inlineStr">
        <is>
          <t>Scheduled deal price, reference price and committed units are still blank. Keepa lowest Buy Box during each deal is filled for 24 of 3,080 rows (hero children; full pull ~3 days). Prime Exclusive Discounts on SL Bamboo 6pc and SL Cooling Comforter are Keepa observations only, not confirmed campaigns.</t>
        </is>
      </c>
    </row>
    <row r="16">
      <c r="A16" s="45" t="inlineStr">
        <is>
          <t>Our BFCM 2025 stock</t>
        </is>
      </c>
      <c r="B16" s="45" t="inlineStr">
        <is>
          <t>DataHub inventory, revision 2 (agent)</t>
        </is>
      </c>
      <c r="C16" s="45" t="inlineStr">
        <is>
          <t>2026-10-13</t>
        </is>
      </c>
      <c r="D16" s="45" t="n"/>
      <c r="E16" s="47" t="inlineStr">
        <is>
          <t>Partial</t>
        </is>
      </c>
      <c r="F16" s="45" t="inlineStr"/>
      <c r="G16" s="45" t="inlineStr">
        <is>
          <t>US Nov 26, 27, Dec 1 and CA Nov 24, 29, 30 have no snapshot.</t>
        </is>
      </c>
    </row>
    <row r="17">
      <c r="A17" s="45" t="inlineStr">
        <is>
          <t>Canada competitors</t>
        </is>
      </c>
      <c r="B17" s="45" t="inlineStr">
        <is>
          <t>Amazon.ca page research (agent, Prompt 9)</t>
        </is>
      </c>
      <c r="C17" s="45" t="inlineStr">
        <is>
          <t>2026-10-13</t>
        </is>
      </c>
      <c r="D17" s="45" t="n">
        <v>83</v>
      </c>
      <c r="E17" s="47" t="inlineStr">
        <is>
          <t>Partial</t>
        </is>
      </c>
      <c r="F17" s="45" t="inlineStr"/>
      <c r="G17" s="45" t="inlineStr">
        <is>
          <t>Page-1 organic results per product keyword, same material and piece count, Queen selected (2 King), CAD, logged out Toronto. 15 rivals each for DC B4, S4, S6, SSS4 (reuses S4) and Satin Fitted; 8 for DC B6 (only 8 qualifying 6-piece bamboo sets). No Command Center fields (weekly units, ASINsight) exist for Canada; Keepa .ca BFCM 2025 history follows after the US pulls. Our Canadian comparison price is the Command Center's Mar 2026 CAD price.</t>
        </is>
      </c>
    </row>
    <row r="18">
      <c r="A18" s="45" t="inlineStr">
        <is>
          <t>Competitors' BFCM 2025 history (US)</t>
        </is>
      </c>
      <c r="B18" s="45" t="inlineStr">
        <is>
          <t>Keepa via agent (keepa_history_p1.csv, keepa_history_p2_batch1.csv)</t>
        </is>
      </c>
      <c r="C18" s="45" t="inlineStr">
        <is>
          <t>Nov 1 - Dec 5, 2025</t>
        </is>
      </c>
      <c r="D18" s="45" t="n">
        <v>130</v>
      </c>
      <c r="E18" s="47" t="inlineStr">
        <is>
          <t>Partial</t>
        </is>
      </c>
      <c r="F18" s="45" t="inlineStr"/>
      <c r="G18" s="45" t="inlineStr">
        <is>
          <t>130 US competitor ASINs pulled (P1 70 + P2 delivered so far); 224 US rows still yellow until the remaining P2 batches arrive. Pre-event = Nov 1-19 (pull starts Nov 1), BFCM = Nov 20 - Dec 1. Daily end-of-day state, so a deal of a few hours can be missed. Coupons are listed, not netted into the low price.</t>
        </is>
      </c>
    </row>
    <row r="20">
      <c r="A20" s="49" t="inlineStr">
        <is>
          <t>Spot check: Amazon search 'DECOLURE 100% Viscose from Bamboo Sheets King Size | 6 Pc Cooling Bed Set' (screenshot shared by Shayan, Oct 13, 2026)</t>
        </is>
      </c>
    </row>
    <row r="21">
      <c r="A21" s="44" t="inlineStr">
        <is>
          <t>Listing on the search page</t>
        </is>
      </c>
      <c r="B21" s="44" t="inlineStr">
        <is>
          <t>Page price ($)</t>
        </is>
      </c>
      <c r="C21" s="44" t="inlineStr">
        <is>
          <t>Page rating / reviews</t>
        </is>
      </c>
      <c r="D21" s="44" t="inlineStr">
        <is>
          <t>Tracker price ($)</t>
        </is>
      </c>
      <c r="E21" s="44" t="inlineStr">
        <is>
          <t>Tracker rating / reviews</t>
        </is>
      </c>
      <c r="F21" s="44" t="inlineStr">
        <is>
          <t>Price match?</t>
        </is>
      </c>
      <c r="G21" s="44" t="inlineStr">
        <is>
          <t>Finding</t>
        </is>
      </c>
    </row>
    <row r="22">
      <c r="A22" s="45" t="inlineStr">
        <is>
          <t>DECOLURE Bamboo 6 Pc, King (B0CQ2XQF9N)</t>
        </is>
      </c>
      <c r="B22" s="50" t="n">
        <v>99.98999999999999</v>
      </c>
      <c r="C22" s="45" t="inlineStr">
        <is>
          <t>4.4 / 3.1K</t>
        </is>
      </c>
      <c r="D22" s="50" t="n">
        <v>99.98999999999999</v>
      </c>
      <c r="E22" s="45" t="inlineStr">
        <is>
          <t>4.4 / 3153.0</t>
        </is>
      </c>
      <c r="F22" s="45">
        <f>IF(OR(B22="",D22=""),"n/a",IF(ABS(B22-D22)&lt;0.01,"Match","Differs"))</f>
        <v/>
      </c>
      <c r="G22" s="45" t="inlineStr">
        <is>
          <t>Tracker now uses the live price (Helium 10 Xray, 2026-10-13). Command Center fee feed still says $89.99 (2026-03-30) - stale, no longer used for comparisons.</t>
        </is>
      </c>
    </row>
    <row r="23">
      <c r="A23" s="45" t="inlineStr">
        <is>
          <t>DECOLURE Bamboo 4 Pc, King (B08KQHRDDG)</t>
        </is>
      </c>
      <c r="B23" s="50" t="n">
        <v>94.98999999999999</v>
      </c>
      <c r="C23" s="45" t="inlineStr">
        <is>
          <t>4.5 / 5.9K</t>
        </is>
      </c>
      <c r="D23" s="50" t="n">
        <v>94.98999999999999</v>
      </c>
      <c r="E23" s="45" t="inlineStr">
        <is>
          <t>4.5 / 5972.0</t>
        </is>
      </c>
      <c r="F23" s="45">
        <f>IF(OR(B23="",D23=""),"n/a",IF(ABS(B23-D23)&lt;0.01,"Match","Differs"))</f>
        <v/>
      </c>
      <c r="G23" s="45" t="inlineStr">
        <is>
          <t>Live price from Helium 10 Xray, 2026-10-13. Command Center fee feed: $79.99 (2026-03-30) - stale.</t>
        </is>
      </c>
    </row>
    <row r="24">
      <c r="A24" s="45" t="inlineStr">
        <is>
          <t>DECOLURE Cooling 4pcs, King Purple (B0C9LS8Z18)</t>
        </is>
      </c>
      <c r="B24" s="50" t="n">
        <v>37.95</v>
      </c>
      <c r="C24" s="45" t="inlineStr">
        <is>
          <t>4.2 / 1.2K</t>
        </is>
      </c>
      <c r="D24" s="50" t="n">
        <v>37.95</v>
      </c>
      <c r="E24" s="45" t="inlineStr">
        <is>
          <t>4.2 / 1,296</t>
        </is>
      </c>
      <c r="F24" s="45">
        <f>IF(OR(B24="",D24=""),"n/a",IF(ABS(B24-D24)&lt;0.01,"Match","Differs"))</f>
        <v/>
      </c>
      <c r="G24" s="45" t="inlineStr">
        <is>
          <t>Live price from Helium 10 Xray, 2026-10-13.</t>
        </is>
      </c>
    </row>
    <row r="25">
      <c r="A25" s="45" t="inlineStr">
        <is>
          <t>Pure Bamboo, King (B07DZTQ4JC)</t>
        </is>
      </c>
      <c r="B25" s="50" t="n">
        <v>109.99</v>
      </c>
      <c r="C25" s="45" t="inlineStr">
        <is>
          <t>4.5 / 21.9K</t>
        </is>
      </c>
      <c r="D25" s="50" t="n">
        <v>109.99</v>
      </c>
      <c r="E25" s="45" t="inlineStr">
        <is>
          <t>4.5 / 21927</t>
        </is>
      </c>
      <c r="F25" s="45">
        <f>IF(OR(B25="",D25=""),"n/a",IF(ABS(B25-D25)&lt;0.01,"Match","Differs"))</f>
        <v/>
      </c>
      <c r="G25" s="45" t="inlineStr">
        <is>
          <t>Exact match (Command Center 2026-10-12).</t>
        </is>
      </c>
    </row>
    <row r="26">
      <c r="A26" s="45" t="inlineStr">
        <is>
          <t>Bamboo Bay 6 Piece, King</t>
        </is>
      </c>
      <c r="B26" s="50" t="n">
        <v>89.98999999999999</v>
      </c>
      <c r="C26" s="45" t="inlineStr">
        <is>
          <t>4.5 / 2.6K</t>
        </is>
      </c>
      <c r="D26" s="50" t="n">
        <v>79.98</v>
      </c>
      <c r="E26" s="45" t="inlineStr">
        <is>
          <t>4.5 / 2691</t>
        </is>
      </c>
      <c r="F26" s="45">
        <f>IF(OR(B26="",D26=""),"n/a",IF(ABS(B26-D26)&lt;0.01,"Match","Differs"))</f>
        <v/>
      </c>
      <c r="G26" s="45" t="inlineStr">
        <is>
          <t>Same family (reviews match). Tracker prices tracked child B07TBHLZJM (size not in title), not the King 6 Pc shown on the page.</t>
        </is>
      </c>
    </row>
    <row r="27">
      <c r="A27" s="45" t="inlineStr">
        <is>
          <t>Bamboo Bay 6 Piece, King ($27.99/count)</t>
        </is>
      </c>
      <c r="B27" s="50" t="n">
        <v>111.94</v>
      </c>
      <c r="C27" s="45" t="inlineStr">
        <is>
          <t>4.4 / 739</t>
        </is>
      </c>
      <c r="D27" s="50" t="n">
        <v>89.98</v>
      </c>
      <c r="E27" s="45" t="inlineStr">
        <is>
          <t>4.4 / 739</t>
        </is>
      </c>
      <c r="F27" s="45">
        <f>IF(OR(B27="",D27=""),"n/a",IF(ABS(B27-D27)&lt;0.01,"Match","Differs"))</f>
        <v/>
      </c>
      <c r="G27" s="45" t="inlineStr">
        <is>
          <t>Same family (739 reviews). Tracked child B08M9QK14J is a 4 Piece Queen, so the price differs by design; compare on the same-size basis.</t>
        </is>
      </c>
    </row>
    <row r="28">
      <c r="A28" s="45" t="inlineStr">
        <is>
          <t>Bella Coterie 6 Piece, King</t>
        </is>
      </c>
      <c r="B28" s="50" t="n">
        <v>194.99</v>
      </c>
      <c r="C28" s="45" t="inlineStr">
        <is>
          <t>4.4 / 5.8K</t>
        </is>
      </c>
      <c r="D28" s="50" t="n">
        <v>134.99</v>
      </c>
      <c r="E28" s="45" t="inlineStr">
        <is>
          <t>4.4 / 5871</t>
        </is>
      </c>
      <c r="F28" s="45">
        <f>IF(OR(B28="",D28=""),"n/a",IF(ABS(B28-D28)&lt;0.01,"Match","Differs"))</f>
        <v/>
      </c>
      <c r="G28" s="45" t="inlineStr">
        <is>
          <t>Same family. Tracked child B08L86VLZB is another size/pack; it also moved from $134.99 (Oct 12) to $169.99 on the Oct 13 page check.</t>
        </is>
      </c>
    </row>
    <row r="29">
      <c r="A29" s="45" t="inlineStr">
        <is>
          <t>TWK Real 100% Viscose, King</t>
        </is>
      </c>
      <c r="B29" s="50" t="n">
        <v>79</v>
      </c>
      <c r="C29" s="45" t="inlineStr">
        <is>
          <t>5.0 / 76</t>
        </is>
      </c>
      <c r="D29" s="50" t="n"/>
      <c r="E29" s="45" t="inlineStr">
        <is>
          <t>not in map</t>
        </is>
      </c>
      <c r="F29" s="45">
        <f>IF(OR(B29="",D29=""),"n/a",IF(ABS(B29-D29)&lt;0.01,"Match","Differs"))</f>
        <v/>
      </c>
      <c r="G29" s="45" t="inlineStr">
        <is>
          <t>Shows List $99.00, 'Limited time deal' and a 10% coupon. No TWK row in the map has 76 reviews - likely a TWK listing not yet mapped. Add it to the competitor map.</t>
        </is>
      </c>
    </row>
    <row r="30">
      <c r="A30" s="45" t="inlineStr">
        <is>
          <t>DECOLURE Bamboo 6 Pc, California King</t>
        </is>
      </c>
      <c r="B30" s="50" t="n">
        <v>106.99</v>
      </c>
      <c r="C30" s="45" t="inlineStr">
        <is>
          <t>3.5 / 16</t>
        </is>
      </c>
      <c r="D30" s="50" t="n"/>
      <c r="E30" s="45" t="inlineStr">
        <is>
          <t>not matched</t>
        </is>
      </c>
      <c r="F30" s="45">
        <f>IF(OR(B30="",D30=""),"n/a",IF(ABS(B30-D30)&lt;0.01,"Match","Differs"))</f>
        <v/>
      </c>
      <c r="G30" s="45" t="inlineStr">
        <is>
          <t>Our own detail page with only 16 reviews - looks split from the main family (B6 now sits under parent B0H6335KNV). Check the variation family in Seller Central.</t>
        </is>
      </c>
    </row>
    <row r="31">
      <c r="A31" s="45" t="inlineStr">
        <is>
          <t>DECOLURE Bamboo 6 Pc, Full</t>
        </is>
      </c>
      <c r="B31" s="50" t="n">
        <v>79.98999999999999</v>
      </c>
      <c r="C31" s="45" t="inlineStr">
        <is>
          <t>4.2 / 27</t>
        </is>
      </c>
      <c r="D31" s="50" t="n"/>
      <c r="E31" s="45" t="inlineStr">
        <is>
          <t>not matched</t>
        </is>
      </c>
      <c r="F31" s="45">
        <f>IF(OR(B31="",D31=""),"n/a",IF(ABS(B31-D31)&lt;0.01,"Match","Differs"))</f>
        <v/>
      </c>
      <c r="G31" s="45" t="inlineStr">
        <is>
          <t>Same as above: an own listing with 27 reviews, outside the main review pool.</t>
        </is>
      </c>
    </row>
    <row r="33">
      <c r="A33" s="51" t="inlineStr">
        <is>
          <t>Page values typed from the screenshot (Source: Amazon.com search, Oct 13, 2026, shared by Shayan). 'Differs' on a competitor is expected when the tracked child is a different size; it is an error only for the same ASIN.</t>
        </is>
      </c>
    </row>
  </sheetData>
  <conditionalFormatting sqref="F22:F31">
    <cfRule type="expression" priority="1" dxfId="1">
      <formula>F22="Match"</formula>
    </cfRule>
    <cfRule type="expression" priority="2" dxfId="2">
      <formula>F22="Differs"</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H18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Viscose from Bamboo Sheets King Size | 4 Pc Cooling Bed Set</t>
        </is>
      </c>
      <c r="K4" s="11" t="inlineStr">
        <is>
          <t>Sizes</t>
        </is>
      </c>
      <c r="L4" s="55" t="inlineStr">
        <is>
          <t>California King, Full, King, Queen, Twin</t>
        </is>
      </c>
      <c r="S4" s="11" t="inlineStr">
        <is>
          <t>Break-even ACoS</t>
        </is>
      </c>
      <c r="T4" s="55" t="inlineStr">
        <is>
          <t>43%</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1,813</t>
        </is>
      </c>
    </row>
    <row r="6" ht="22" customHeight="1">
      <c r="C6" s="11" t="inlineStr">
        <is>
          <t>Marketplace</t>
        </is>
      </c>
      <c r="D6" s="55" t="inlineStr">
        <is>
          <t>Amazon.com (US)</t>
        </is>
      </c>
      <c r="K6" s="11" t="inlineStr">
        <is>
          <t>Price now, best child</t>
        </is>
      </c>
      <c r="L6" s="55" t="inlineStr">
        <is>
          <t>$94.99 (Helium 10 Xray, 2026-10-13)</t>
        </is>
      </c>
      <c r="S6" s="11" t="inlineStr">
        <is>
          <t>Command Center product ASIN</t>
        </is>
      </c>
      <c r="T6" s="55" t="inlineStr">
        <is>
          <t>B0BZQ1G5B8 (one of our child ASINs, not the Amazon parent)</t>
        </is>
      </c>
    </row>
    <row r="7" ht="22" customHeight="1">
      <c r="C7" s="11" t="inlineStr">
        <is>
          <t>Parent ASIN (Amazon)</t>
        </is>
      </c>
      <c r="D7" s="55" t="inlineStr">
        <is>
          <t>B0HJCSXJQ6</t>
        </is>
      </c>
      <c r="K7" s="11" t="inlineStr">
        <is>
          <t>Rating / reviews now</t>
        </is>
      </c>
      <c r="L7" s="55" t="inlineStr">
        <is>
          <t>4.5 / 5,972 (Helium 10 Xray, 2026-10-13)</t>
        </is>
      </c>
    </row>
    <row r="8" ht="22" customHeight="1">
      <c r="C8" s="11" t="inlineStr">
        <is>
          <t>Best-selling child ASIN</t>
        </is>
      </c>
      <c r="D8" s="55" t="inlineStr">
        <is>
          <t>B08KQHRDDG</t>
        </is>
      </c>
      <c r="K8" s="11" t="inlineStr">
        <is>
          <t>Live prices held</t>
        </is>
      </c>
      <c r="L8" s="55" t="inlineStr">
        <is>
          <t>80 of 81 variations</t>
        </is>
      </c>
    </row>
    <row r="9" ht="22" customHeight="1">
      <c r="C9" s="11" t="inlineStr">
        <is>
          <t>Stage</t>
        </is>
      </c>
      <c r="D9" s="55" t="inlineStr">
        <is>
          <t>Re-Launch</t>
        </is>
      </c>
      <c r="K9" s="11" t="inlineStr">
        <is>
          <t>Blended price (Command Center)</t>
        </is>
      </c>
      <c r="L9" s="55" t="inlineStr">
        <is>
          <t>$80.69 - fee feed as of 2026-03-30, STALE</t>
        </is>
      </c>
    </row>
    <row r="10">
      <c r="C10" s="11" t="inlineStr">
        <is>
          <t>Total variations (SKUs)</t>
        </is>
      </c>
      <c r="D10" s="55" t="n">
        <v>81</v>
      </c>
      <c r="K10" s="11" t="inlineStr">
        <is>
          <t>Contribution / unit</t>
        </is>
      </c>
      <c r="L10" s="55" t="inlineStr">
        <is>
          <t>$34.45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4.25x</t>
        </is>
      </c>
      <c r="E12" s="57" t="inlineStr">
        <is>
          <t>6.3%</t>
        </is>
      </c>
      <c r="I12" s="57" t="inlineStr">
        <is>
          <t>1.86x</t>
        </is>
      </c>
      <c r="M12" s="57" t="inlineStr">
        <is>
          <t>55</t>
        </is>
      </c>
      <c r="Q12" s="57" t="inlineStr">
        <is>
          <t>35</t>
        </is>
      </c>
      <c r="U12" s="57" t="inlineStr">
        <is>
          <t>3</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B08KQHRDDG</t>
        </is>
      </c>
      <c r="C18" s="32" t="inlineStr">
        <is>
          <t>BAMBOO-KING-WHITE</t>
        </is>
      </c>
      <c r="D18" s="32" t="inlineStr">
        <is>
          <t>DECOLURE 100% Viscose from Bamboo Sheets King Size | 4 Pc Cooling Bed Set</t>
        </is>
      </c>
      <c r="E18" s="32" t="inlineStr">
        <is>
          <t>King</t>
        </is>
      </c>
      <c r="F18" s="32" t="inlineStr">
        <is>
          <t>White</t>
        </is>
      </c>
      <c r="G18" s="60" t="n">
        <v>94.98999999999999</v>
      </c>
      <c r="H18" s="32" t="inlineStr">
        <is>
          <t>Helium 10 Xray, 2026-10-13</t>
        </is>
      </c>
      <c r="I18" s="61" t="n">
        <v>79.98999999999999</v>
      </c>
      <c r="J18" s="62" t="inlineStr">
        <is>
          <t>2026-03-30</t>
        </is>
      </c>
      <c r="K18" s="33" t="n">
        <v>30.66999999999999</v>
      </c>
      <c r="L18" s="63" t="n">
        <v>0.3834229278659832</v>
      </c>
      <c r="M18" s="64" t="n">
        <v>198</v>
      </c>
      <c r="N18" s="32" t="inlineStr">
        <is>
          <t>Active</t>
        </is>
      </c>
      <c r="O18" s="32" t="inlineStr">
        <is>
          <t>Yes (43%)</t>
        </is>
      </c>
      <c r="P18" s="65" t="n">
        <v>4.5</v>
      </c>
      <c r="Q18" s="64" t="n">
        <v>5972</v>
      </c>
      <c r="R18" s="64" t="n">
        <v>19668</v>
      </c>
      <c r="S18" s="64" t="n">
        <v>214</v>
      </c>
      <c r="T18" s="32" t="n"/>
    </row>
    <row r="19" ht="62" customHeight="1">
      <c r="A19" s="10">
        <f>_xlfn.IMAGE("https://m.media-amazon.com/images/I/81E9bvs4TYL.jpg")</f>
        <v/>
      </c>
      <c r="B19" s="32" t="inlineStr">
        <is>
          <t>B08KQJGM74</t>
        </is>
      </c>
      <c r="C19" s="32" t="inlineStr">
        <is>
          <t>BAMBOO-QUEEN-WHITE</t>
        </is>
      </c>
      <c r="D19" s="32" t="inlineStr">
        <is>
          <t>DECOLURE 100% Viscose from Bamboo Sheets Queen Size | 4 Pc Cooling Bed Set</t>
        </is>
      </c>
      <c r="E19" s="32" t="inlineStr">
        <is>
          <t>Queen</t>
        </is>
      </c>
      <c r="F19" s="32" t="inlineStr">
        <is>
          <t>White</t>
        </is>
      </c>
      <c r="G19" s="60" t="n">
        <v>89.98999999999999</v>
      </c>
      <c r="H19" s="32" t="inlineStr">
        <is>
          <t>Helium 10 Xray, 2026-10-13</t>
        </is>
      </c>
      <c r="I19" s="61" t="n">
        <v>74.98999999999999</v>
      </c>
      <c r="J19" s="62" t="inlineStr">
        <is>
          <t>2026-03-26</t>
        </is>
      </c>
      <c r="K19" s="33" t="n">
        <v>31.23</v>
      </c>
      <c r="L19" s="63" t="n">
        <v>0.4164555274036538</v>
      </c>
      <c r="M19" s="64" t="n">
        <v>110</v>
      </c>
      <c r="N19" s="32" t="inlineStr">
        <is>
          <t>Active</t>
        </is>
      </c>
      <c r="O19" s="32" t="inlineStr">
        <is>
          <t>Yes (14%)</t>
        </is>
      </c>
      <c r="P19" s="65" t="n">
        <v>4.5</v>
      </c>
      <c r="Q19" s="64" t="n">
        <v>5972</v>
      </c>
      <c r="R19" s="64" t="n">
        <v>19665</v>
      </c>
      <c r="S19" s="64" t="n">
        <v>118</v>
      </c>
      <c r="T19" s="32" t="n"/>
    </row>
    <row r="20" ht="62" customHeight="1">
      <c r="A20" s="10">
        <f>_xlfn.IMAGE("https://m.media-amazon.com/images/I/81Jrmiuxy2L.jpg")</f>
        <v/>
      </c>
      <c r="B20" s="32" t="inlineStr">
        <is>
          <t>B08KQK9WCY</t>
        </is>
      </c>
      <c r="C20" s="32" t="inlineStr">
        <is>
          <t>BAMBOO-KING-NAVYBLUE</t>
        </is>
      </c>
      <c r="D20" s="32" t="inlineStr">
        <is>
          <t>DECOLURE 100% Viscose from Bamboo Sheets King Size | 4 Pc Cooling Bed Set</t>
        </is>
      </c>
      <c r="E20" s="32" t="inlineStr">
        <is>
          <t>King</t>
        </is>
      </c>
      <c r="F20" s="32" t="inlineStr">
        <is>
          <t>Navy Blue</t>
        </is>
      </c>
      <c r="G20" s="60" t="n">
        <v>94.98999999999999</v>
      </c>
      <c r="H20" s="32" t="inlineStr">
        <is>
          <t>Helium 10 Xray, 2026-10-13</t>
        </is>
      </c>
      <c r="I20" s="61" t="n">
        <v>79.98999999999999</v>
      </c>
      <c r="J20" s="62" t="inlineStr">
        <is>
          <t>2026-03-30</t>
        </is>
      </c>
      <c r="K20" s="33" t="n">
        <v>31.46999999999999</v>
      </c>
      <c r="L20" s="63" t="n">
        <v>0.3934241780222527</v>
      </c>
      <c r="M20" s="64" t="n">
        <v>96</v>
      </c>
      <c r="N20" s="32" t="inlineStr">
        <is>
          <t>Active</t>
        </is>
      </c>
      <c r="O20" s="32" t="inlineStr">
        <is>
          <t>Yes (6%)</t>
        </is>
      </c>
      <c r="P20" s="65" t="n">
        <v>4.5</v>
      </c>
      <c r="Q20" s="64" t="n">
        <v>5972</v>
      </c>
      <c r="R20" s="64" t="n">
        <v>19668</v>
      </c>
      <c r="S20" s="64" t="n">
        <v>82</v>
      </c>
      <c r="T20" s="32" t="n"/>
    </row>
    <row r="21" ht="62" customHeight="1">
      <c r="A21" s="10">
        <f>_xlfn.IMAGE("https://m.media-amazon.com/images/I/81jtUZ9WZqL.jpg")</f>
        <v/>
      </c>
      <c r="B21" s="32" t="inlineStr">
        <is>
          <t>B08KQJ62YC</t>
        </is>
      </c>
      <c r="C21" s="32" t="inlineStr">
        <is>
          <t>BAMBOO-KING-CREME</t>
        </is>
      </c>
      <c r="D21" s="32" t="inlineStr">
        <is>
          <t>DECOLURE 100% Viscose from Bamboo Sheets King Size | 4 Pc Cooling Bed Set</t>
        </is>
      </c>
      <c r="E21" s="32" t="inlineStr">
        <is>
          <t>King</t>
        </is>
      </c>
      <c r="F21" s="32" t="inlineStr">
        <is>
          <t>Creme</t>
        </is>
      </c>
      <c r="G21" s="60" t="n">
        <v>94.98999999999999</v>
      </c>
      <c r="H21" s="32" t="inlineStr">
        <is>
          <t>Helium 10 Xray, 2026-10-13</t>
        </is>
      </c>
      <c r="I21" s="61" t="n">
        <v>79.98999999999999</v>
      </c>
      <c r="J21" s="62" t="inlineStr">
        <is>
          <t>2026-03-30</t>
        </is>
      </c>
      <c r="K21" s="33" t="n">
        <v>30.56999999999999</v>
      </c>
      <c r="L21" s="63" t="n">
        <v>0.3821727715964495</v>
      </c>
      <c r="M21" s="64" t="n">
        <v>91</v>
      </c>
      <c r="N21" s="32" t="inlineStr">
        <is>
          <t>Active</t>
        </is>
      </c>
      <c r="O21" s="32" t="inlineStr">
        <is>
          <t>Yes (4%)</t>
        </is>
      </c>
      <c r="P21" s="65" t="n">
        <v>4.5</v>
      </c>
      <c r="Q21" s="64" t="n">
        <v>5972</v>
      </c>
      <c r="R21" s="64" t="n">
        <v>19668</v>
      </c>
      <c r="S21" s="64" t="n">
        <v>88</v>
      </c>
      <c r="T21" s="32" t="n"/>
    </row>
    <row r="22" ht="62" customHeight="1">
      <c r="A22" s="10">
        <f>_xlfn.IMAGE("https://m.media-amazon.com/images/I/81Mz595QL2L.jpg")</f>
        <v/>
      </c>
      <c r="B22" s="32" t="inlineStr">
        <is>
          <t>B08KQJ3M9N</t>
        </is>
      </c>
      <c r="C22" s="32" t="inlineStr">
        <is>
          <t>BAMBOO-KING-LIGHTGREY</t>
        </is>
      </c>
      <c r="D22" s="32" t="inlineStr">
        <is>
          <t>DECOLURE 100% Viscose from Bamboo Sheets King Size | 4 Pc Cooling Bed Set</t>
        </is>
      </c>
      <c r="E22" s="32" t="inlineStr">
        <is>
          <t>King</t>
        </is>
      </c>
      <c r="F22" s="32" t="inlineStr">
        <is>
          <t>Light Grey</t>
        </is>
      </c>
      <c r="G22" s="60" t="n">
        <v>94.98999999999999</v>
      </c>
      <c r="H22" s="32" t="inlineStr">
        <is>
          <t>Helium 10 Xray, 2026-10-13</t>
        </is>
      </c>
      <c r="I22" s="61" t="n">
        <v>84.98999999999999</v>
      </c>
      <c r="J22" s="62" t="inlineStr">
        <is>
          <t>2026-03-30</t>
        </is>
      </c>
      <c r="K22" s="33" t="n">
        <v>34.66</v>
      </c>
      <c r="L22" s="63" t="n">
        <v>0.4078126838451583</v>
      </c>
      <c r="M22" s="64" t="n">
        <v>80</v>
      </c>
      <c r="N22" s="32" t="inlineStr">
        <is>
          <t>Active</t>
        </is>
      </c>
      <c r="O22" s="32" t="n"/>
      <c r="P22" s="65" t="n">
        <v>4.5</v>
      </c>
      <c r="Q22" s="64" t="n">
        <v>5972</v>
      </c>
      <c r="R22" s="64" t="n">
        <v>19665</v>
      </c>
      <c r="S22" s="64" t="n">
        <v>85</v>
      </c>
      <c r="T22" s="32" t="n"/>
    </row>
    <row r="23" ht="62" customHeight="1">
      <c r="A23" s="10">
        <f>_xlfn.IMAGE("https://m.media-amazon.com/images/I/81kW25KnIDL.jpg")</f>
        <v/>
      </c>
      <c r="B23" s="32" t="inlineStr">
        <is>
          <t>B0CRHYYVZQ</t>
        </is>
      </c>
      <c r="C23" s="32" t="inlineStr">
        <is>
          <t>BAMBOO-KING-BURGUNDY-NEW</t>
        </is>
      </c>
      <c r="D23" s="32" t="inlineStr">
        <is>
          <t>DECOLURE 100% Viscose from Bamboo Sheets King Size | 4 Pc Cooling Bed Set</t>
        </is>
      </c>
      <c r="E23" s="32" t="inlineStr">
        <is>
          <t>King</t>
        </is>
      </c>
      <c r="F23" s="32" t="inlineStr">
        <is>
          <t>Burgundy</t>
        </is>
      </c>
      <c r="G23" s="60" t="n">
        <v>103.99</v>
      </c>
      <c r="H23" s="32" t="inlineStr">
        <is>
          <t>Helium 10 Xray, 2026-10-13</t>
        </is>
      </c>
      <c r="I23" s="61" t="n">
        <v>84.98999999999999</v>
      </c>
      <c r="J23" s="62" t="inlineStr">
        <is>
          <t>2026-03-30</t>
        </is>
      </c>
      <c r="K23" s="33" t="n">
        <v>35.24999999999999</v>
      </c>
      <c r="L23" s="63" t="n">
        <v>0.4147546770208259</v>
      </c>
      <c r="M23" s="64" t="n">
        <v>71</v>
      </c>
      <c r="N23" s="32" t="inlineStr">
        <is>
          <t>Active</t>
        </is>
      </c>
      <c r="O23" s="32" t="n"/>
      <c r="P23" s="65" t="n">
        <v>4.5</v>
      </c>
      <c r="Q23" s="64" t="n">
        <v>5972</v>
      </c>
      <c r="R23" s="64" t="n">
        <v>19668</v>
      </c>
      <c r="S23" s="64" t="n">
        <v>86</v>
      </c>
      <c r="T23" s="32" t="n"/>
    </row>
    <row r="24" ht="62" customHeight="1">
      <c r="A24" s="10">
        <f>_xlfn.IMAGE("https://m.media-amazon.com/images/I/81xihWts51L.jpg")</f>
        <v/>
      </c>
      <c r="B24" s="32" t="inlineStr">
        <is>
          <t>B08KQJRSW6</t>
        </is>
      </c>
      <c r="C24" s="32" t="inlineStr">
        <is>
          <t>BAMBOO-QUEEN-OLIVE</t>
        </is>
      </c>
      <c r="D24" s="32" t="inlineStr">
        <is>
          <t>DECOLURE 100% Viscose from Bamboo Sheets Queen Size | 4 Pc Cooling Bed Set</t>
        </is>
      </c>
      <c r="E24" s="32" t="inlineStr">
        <is>
          <t>Queen</t>
        </is>
      </c>
      <c r="F24" s="32" t="inlineStr">
        <is>
          <t>Olive</t>
        </is>
      </c>
      <c r="G24" s="60" t="n">
        <v>89.98999999999999</v>
      </c>
      <c r="H24" s="32" t="inlineStr">
        <is>
          <t>Helium 10 Xray, 2026-10-13</t>
        </is>
      </c>
      <c r="I24" s="61" t="n">
        <v>79.98999999999999</v>
      </c>
      <c r="J24" s="62" t="inlineStr">
        <is>
          <t>2026-03-30</t>
        </is>
      </c>
      <c r="K24" s="33" t="n">
        <v>35.17999999999999</v>
      </c>
      <c r="L24" s="63" t="n">
        <v>0.4398049756219527</v>
      </c>
      <c r="M24" s="64" t="n">
        <v>67</v>
      </c>
      <c r="N24" s="32" t="inlineStr">
        <is>
          <t>Active</t>
        </is>
      </c>
      <c r="O24" s="32" t="inlineStr">
        <is>
          <t>Yes (3%)</t>
        </is>
      </c>
      <c r="P24" s="65" t="n">
        <v>4.5</v>
      </c>
      <c r="Q24" s="64" t="n">
        <v>5972</v>
      </c>
      <c r="R24" s="64" t="n">
        <v>19665</v>
      </c>
      <c r="S24" s="64" t="n">
        <v>41</v>
      </c>
      <c r="T24" s="32" t="n"/>
    </row>
    <row r="25" ht="62" customHeight="1">
      <c r="A25" s="10">
        <f>_xlfn.IMAGE("https://m.media-amazon.com/images/I/81Jj2qvOarL.jpg")</f>
        <v/>
      </c>
      <c r="B25" s="32" t="inlineStr">
        <is>
          <t>B08KQKXQLS</t>
        </is>
      </c>
      <c r="C25" s="32" t="inlineStr">
        <is>
          <t>BAMBOO-QUEEN-LIGHTBLUE</t>
        </is>
      </c>
      <c r="D25" s="32" t="inlineStr">
        <is>
          <t>DECOLURE 100% Viscose from Bamboo Sheets Queen Size | 4 Pc Cooling Bed Set</t>
        </is>
      </c>
      <c r="E25" s="32" t="inlineStr">
        <is>
          <t>Queen</t>
        </is>
      </c>
      <c r="F25" s="32" t="inlineStr">
        <is>
          <t>Light Blue</t>
        </is>
      </c>
      <c r="G25" s="60" t="n">
        <v>89.98999999999999</v>
      </c>
      <c r="H25" s="32" t="inlineStr">
        <is>
          <t>Helium 10 Xray, 2026-10-13</t>
        </is>
      </c>
      <c r="I25" s="61" t="n">
        <v>79.98999999999999</v>
      </c>
      <c r="J25" s="62" t="inlineStr">
        <is>
          <t>2026-03-30</t>
        </is>
      </c>
      <c r="K25" s="33" t="n">
        <v>35.86</v>
      </c>
      <c r="L25" s="63" t="n">
        <v>0.4483060382547819</v>
      </c>
      <c r="M25" s="64" t="n">
        <v>65</v>
      </c>
      <c r="N25" s="32" t="inlineStr">
        <is>
          <t>Active</t>
        </is>
      </c>
      <c r="O25" s="32" t="n"/>
      <c r="P25" s="65" t="n">
        <v>4.5</v>
      </c>
      <c r="Q25" s="64" t="n">
        <v>5972</v>
      </c>
      <c r="R25" s="64" t="n">
        <v>19668</v>
      </c>
      <c r="S25" s="64" t="n">
        <v>71</v>
      </c>
      <c r="T25" s="32" t="n"/>
    </row>
    <row r="26" ht="62" customHeight="1">
      <c r="A26" s="10">
        <f>_xlfn.IMAGE("https://m.media-amazon.com/images/I/81xihWts51L.jpg")</f>
        <v/>
      </c>
      <c r="B26" s="32" t="inlineStr">
        <is>
          <t>B08KQLK2HK</t>
        </is>
      </c>
      <c r="C26" s="32" t="inlineStr">
        <is>
          <t>BAMBOO-KING-OLIVE</t>
        </is>
      </c>
      <c r="D26" s="32" t="inlineStr">
        <is>
          <t>DECOLURE 100% Viscose from Bamboo Sheets King Size | 4 Pc Cooling Bed Set</t>
        </is>
      </c>
      <c r="E26" s="32" t="inlineStr">
        <is>
          <t>King</t>
        </is>
      </c>
      <c r="F26" s="32" t="inlineStr">
        <is>
          <t>Olive</t>
        </is>
      </c>
      <c r="G26" s="60" t="n">
        <v>94.98999999999999</v>
      </c>
      <c r="H26" s="32" t="inlineStr">
        <is>
          <t>Helium 10 Xray, 2026-10-13</t>
        </is>
      </c>
      <c r="I26" s="61" t="n">
        <v>84.98999999999999</v>
      </c>
      <c r="J26" s="62" t="inlineStr">
        <is>
          <t>2026-03-30</t>
        </is>
      </c>
      <c r="K26" s="33" t="n">
        <v>35.25999999999999</v>
      </c>
      <c r="L26" s="63" t="n">
        <v>0.4148723379221084</v>
      </c>
      <c r="M26" s="64" t="n">
        <v>62</v>
      </c>
      <c r="N26" s="32" t="inlineStr">
        <is>
          <t>Active</t>
        </is>
      </c>
      <c r="O26" s="32" t="n"/>
      <c r="P26" s="65" t="n">
        <v>4.5</v>
      </c>
      <c r="Q26" s="64" t="n">
        <v>5972</v>
      </c>
      <c r="R26" s="64" t="n">
        <v>19668</v>
      </c>
      <c r="S26" s="64" t="n">
        <v>74</v>
      </c>
      <c r="T26" s="32" t="n"/>
    </row>
    <row r="27" ht="62" customHeight="1">
      <c r="A27" s="10">
        <f>_xlfn.IMAGE("https://m.media-amazon.com/images/I/81Jrmiuxy2L.jpg")</f>
        <v/>
      </c>
      <c r="B27" s="32" t="inlineStr">
        <is>
          <t>B08KQKKRNC</t>
        </is>
      </c>
      <c r="C27" s="32" t="inlineStr">
        <is>
          <t>BAMBOO-QUEEN-NAVYBLUE</t>
        </is>
      </c>
      <c r="D27" s="32" t="inlineStr">
        <is>
          <t>DECOLURE 100% Viscose from Bamboo Sheets Queen Size | 4 Pc Cooling Bed Set</t>
        </is>
      </c>
      <c r="E27" s="32" t="inlineStr">
        <is>
          <t>Queen</t>
        </is>
      </c>
      <c r="F27" s="32" t="inlineStr">
        <is>
          <t>Navy Blue</t>
        </is>
      </c>
      <c r="G27" s="60" t="n">
        <v>89.98999999999999</v>
      </c>
      <c r="H27" s="32" t="inlineStr">
        <is>
          <t>Helium 10 Xray, 2026-10-13</t>
        </is>
      </c>
      <c r="I27" s="61" t="n">
        <v>100.99</v>
      </c>
      <c r="J27" s="62" t="inlineStr">
        <is>
          <t>2026-03-30</t>
        </is>
      </c>
      <c r="K27" s="33" t="n">
        <v>53.73999999999998</v>
      </c>
      <c r="L27" s="63" t="n">
        <v>0.532131894246955</v>
      </c>
      <c r="M27" s="64" t="n">
        <v>61</v>
      </c>
      <c r="N27" s="32" t="inlineStr">
        <is>
          <t>Active</t>
        </is>
      </c>
      <c r="O27" s="32" t="n"/>
      <c r="P27" s="65" t="n">
        <v>4.5</v>
      </c>
      <c r="Q27" s="64" t="n">
        <v>5972</v>
      </c>
      <c r="R27" s="64" t="n">
        <v>19665</v>
      </c>
      <c r="S27" s="64" t="n">
        <v>64</v>
      </c>
      <c r="T27" s="32" t="n"/>
    </row>
    <row r="28" ht="62" customHeight="1">
      <c r="A28" s="10">
        <f>_xlfn.IMAGE("https://m.media-amazon.com/images/I/81Jj2qvOarL.jpg")</f>
        <v/>
      </c>
      <c r="B28" s="32" t="inlineStr">
        <is>
          <t>B08KQL6HKG</t>
        </is>
      </c>
      <c r="C28" s="32" t="inlineStr">
        <is>
          <t>BAMBOO-KING-LIGHTBLUE</t>
        </is>
      </c>
      <c r="D28" s="32" t="inlineStr">
        <is>
          <t>DECOLURE 100% Viscose from Bamboo Sheets King Size | 4 Pc Cooling Bed Set</t>
        </is>
      </c>
      <c r="E28" s="32" t="inlineStr">
        <is>
          <t>King</t>
        </is>
      </c>
      <c r="F28" s="32" t="inlineStr">
        <is>
          <t>Light Blue</t>
        </is>
      </c>
      <c r="G28" s="60" t="n">
        <v>94.98999999999999</v>
      </c>
      <c r="H28" s="32" t="inlineStr">
        <is>
          <t>Helium 10 Xray, 2026-10-13</t>
        </is>
      </c>
      <c r="I28" s="61" t="n">
        <v>84.98999999999999</v>
      </c>
      <c r="J28" s="62" t="inlineStr">
        <is>
          <t>2026-03-30</t>
        </is>
      </c>
      <c r="K28" s="33" t="n">
        <v>35.73999999999999</v>
      </c>
      <c r="L28" s="63" t="n">
        <v>0.4205200611836686</v>
      </c>
      <c r="M28" s="64" t="n">
        <v>58</v>
      </c>
      <c r="N28" s="32" t="inlineStr">
        <is>
          <t>Active</t>
        </is>
      </c>
      <c r="O28" s="32" t="n"/>
      <c r="P28" s="65" t="n">
        <v>4.5</v>
      </c>
      <c r="Q28" s="64" t="n">
        <v>5972</v>
      </c>
      <c r="R28" s="64" t="n">
        <v>19668</v>
      </c>
      <c r="S28" s="64" t="n">
        <v>68</v>
      </c>
      <c r="T28" s="32" t="n"/>
    </row>
    <row r="29" ht="62" customHeight="1">
      <c r="A29" s="10">
        <f>_xlfn.IMAGE("https://m.media-amazon.com/images/I/81bmbyz5uFL.jpg")</f>
        <v/>
      </c>
      <c r="B29" s="32" t="inlineStr">
        <is>
          <t>B08KQJMZ8Q</t>
        </is>
      </c>
      <c r="C29" s="32" t="inlineStr">
        <is>
          <t>BAMBOO-QUEEN-TAUPE</t>
        </is>
      </c>
      <c r="D29" s="32" t="inlineStr">
        <is>
          <t>DECOLURE 100% Viscose from Bamboo Sheets Queen Size | 4 Pc Cooling Bed Set</t>
        </is>
      </c>
      <c r="E29" s="32" t="inlineStr">
        <is>
          <t>Queen</t>
        </is>
      </c>
      <c r="F29" s="32" t="inlineStr">
        <is>
          <t>Taupe</t>
        </is>
      </c>
      <c r="G29" s="60" t="n">
        <v>89.98999999999999</v>
      </c>
      <c r="H29" s="32" t="inlineStr">
        <is>
          <t>Helium 10 Xray, 2026-10-13</t>
        </is>
      </c>
      <c r="I29" s="61" t="n">
        <v>74.98999999999999</v>
      </c>
      <c r="J29" s="62" t="inlineStr">
        <is>
          <t>2026-03-30</t>
        </is>
      </c>
      <c r="K29" s="33" t="n">
        <v>32.23</v>
      </c>
      <c r="L29" s="63" t="n">
        <v>0.4297906387518335</v>
      </c>
      <c r="M29" s="64" t="n">
        <v>57</v>
      </c>
      <c r="N29" s="32" t="inlineStr">
        <is>
          <t>Active</t>
        </is>
      </c>
      <c r="O29" s="32" t="n"/>
      <c r="P29" s="65" t="n">
        <v>4.5</v>
      </c>
      <c r="Q29" s="64" t="n">
        <v>5972</v>
      </c>
      <c r="R29" s="64" t="n">
        <v>19665</v>
      </c>
      <c r="S29" s="64" t="n">
        <v>70</v>
      </c>
      <c r="T29" s="32" t="n"/>
    </row>
    <row r="30" ht="62" customHeight="1">
      <c r="A30" s="10">
        <f>_xlfn.IMAGE("https://m.media-amazon.com/images/I/81kW25KnIDL.jpg")</f>
        <v/>
      </c>
      <c r="B30" s="32" t="inlineStr">
        <is>
          <t>B0CRHZ1CK3</t>
        </is>
      </c>
      <c r="C30" s="32" t="inlineStr">
        <is>
          <t>BAMBOO-QUEEN-BURGUNDY-NEW</t>
        </is>
      </c>
      <c r="D30" s="32" t="inlineStr">
        <is>
          <t>DECOLURE 100% Viscose from Bamboo Sheets Queen Size | 4 Pc Cooling Bed Set</t>
        </is>
      </c>
      <c r="E30" s="32" t="inlineStr">
        <is>
          <t>Queen</t>
        </is>
      </c>
      <c r="F30" s="32" t="inlineStr">
        <is>
          <t>Burgundy</t>
        </is>
      </c>
      <c r="G30" s="60" t="n">
        <v>89.98999999999999</v>
      </c>
      <c r="H30" s="32" t="inlineStr">
        <is>
          <t>Helium 10 Xray, 2026-10-13</t>
        </is>
      </c>
      <c r="I30" s="61" t="n">
        <v>74.98999999999999</v>
      </c>
      <c r="J30" s="62" t="inlineStr">
        <is>
          <t>2026-03-30</t>
        </is>
      </c>
      <c r="K30" s="33" t="n">
        <v>31.28</v>
      </c>
      <c r="L30" s="63" t="n">
        <v>0.4171222829710628</v>
      </c>
      <c r="M30" s="64" t="n">
        <v>51</v>
      </c>
      <c r="N30" s="32" t="inlineStr">
        <is>
          <t>Active</t>
        </is>
      </c>
      <c r="O30" s="32" t="n"/>
      <c r="P30" s="65" t="n">
        <v>4.5</v>
      </c>
      <c r="Q30" s="64" t="n">
        <v>5972</v>
      </c>
      <c r="R30" s="64" t="n">
        <v>19665</v>
      </c>
      <c r="S30" s="64" t="n">
        <v>25</v>
      </c>
      <c r="T30" s="32" t="n"/>
    </row>
    <row r="31" ht="62" customHeight="1">
      <c r="A31" s="10">
        <f>_xlfn.IMAGE("https://m.media-amazon.com/images/I/81aBlh93veL.jpg")</f>
        <v/>
      </c>
      <c r="B31" s="32" t="inlineStr">
        <is>
          <t>B0BZQ18QJB</t>
        </is>
      </c>
      <c r="C31" s="32" t="inlineStr">
        <is>
          <t>BAMBOO-QUEEN-MIDGREY</t>
        </is>
      </c>
      <c r="D31" s="32" t="inlineStr">
        <is>
          <t>DECOLURE 100% Viscose from Bamboo Sheets Queen Size | 4 Pc Cooling Bed Set</t>
        </is>
      </c>
      <c r="E31" s="32" t="inlineStr">
        <is>
          <t>Queen</t>
        </is>
      </c>
      <c r="F31" s="32" t="inlineStr">
        <is>
          <t>Midgrey</t>
        </is>
      </c>
      <c r="G31" s="60" t="n">
        <v>89.98999999999999</v>
      </c>
      <c r="H31" s="32" t="inlineStr">
        <is>
          <t>Helium 10 Xray, 2026-10-13</t>
        </is>
      </c>
      <c r="I31" s="61" t="n">
        <v>79.98999999999999</v>
      </c>
      <c r="J31" s="62" t="inlineStr">
        <is>
          <t>2026-03-30</t>
        </is>
      </c>
      <c r="K31" s="33" t="n">
        <v>35.81</v>
      </c>
      <c r="L31" s="63" t="n">
        <v>0.4476809601200151</v>
      </c>
      <c r="M31" s="64" t="n">
        <v>48</v>
      </c>
      <c r="N31" s="32" t="inlineStr">
        <is>
          <t>Active</t>
        </is>
      </c>
      <c r="O31" s="32" t="n"/>
      <c r="P31" s="65" t="n">
        <v>4.5</v>
      </c>
      <c r="Q31" s="64" t="n">
        <v>5972</v>
      </c>
      <c r="R31" s="64" t="n">
        <v>19665</v>
      </c>
      <c r="S31" s="64" t="n">
        <v>23</v>
      </c>
      <c r="T31" s="32" t="n"/>
    </row>
    <row r="32" ht="62" customHeight="1">
      <c r="A32" s="10">
        <f>_xlfn.IMAGE("https://m.media-amazon.com/images/I/81mgYawt2DL.jpg")</f>
        <v/>
      </c>
      <c r="B32" s="32" t="inlineStr">
        <is>
          <t>B0BZPZ2L1R</t>
        </is>
      </c>
      <c r="C32" s="32" t="inlineStr">
        <is>
          <t>BAMBOO-KING-BLACK</t>
        </is>
      </c>
      <c r="D32" s="32" t="inlineStr">
        <is>
          <t>DECOLURE 100% Viscose from Bamboo Sheets King Size | 4 Pc Cooling Bed Set</t>
        </is>
      </c>
      <c r="E32" s="32" t="inlineStr">
        <is>
          <t>King</t>
        </is>
      </c>
      <c r="F32" s="32" t="inlineStr">
        <is>
          <t>Black</t>
        </is>
      </c>
      <c r="G32" s="60" t="n">
        <v>94.98999999999999</v>
      </c>
      <c r="H32" s="32" t="inlineStr">
        <is>
          <t>Helium 10 Xray, 2026-10-13</t>
        </is>
      </c>
      <c r="I32" s="61" t="n">
        <v>84.98999999999999</v>
      </c>
      <c r="J32" s="62" t="inlineStr">
        <is>
          <t>2026-03-30</t>
        </is>
      </c>
      <c r="K32" s="33" t="n">
        <v>34.61999999999999</v>
      </c>
      <c r="L32" s="63" t="n">
        <v>0.4073420402400281</v>
      </c>
      <c r="M32" s="64" t="n">
        <v>47</v>
      </c>
      <c r="N32" s="32" t="inlineStr">
        <is>
          <t>Active</t>
        </is>
      </c>
      <c r="O32" s="32" t="n"/>
      <c r="P32" s="65" t="n">
        <v>4.5</v>
      </c>
      <c r="Q32" s="64" t="n">
        <v>5972</v>
      </c>
      <c r="R32" s="64" t="n">
        <v>19665</v>
      </c>
      <c r="S32" s="64" t="n">
        <v>40</v>
      </c>
      <c r="T32" s="32" t="n"/>
    </row>
    <row r="33" ht="62" customHeight="1">
      <c r="A33" s="10">
        <f>_xlfn.IMAGE("https://m.media-amazon.com/images/I/81jtUZ9WZqL.jpg")</f>
        <v/>
      </c>
      <c r="B33" s="32" t="inlineStr">
        <is>
          <t>B08KQK91X7</t>
        </is>
      </c>
      <c r="C33" s="32" t="inlineStr">
        <is>
          <t>BAMBOO-QUEEN-CREME</t>
        </is>
      </c>
      <c r="D33" s="32" t="inlineStr">
        <is>
          <t>DECOLURE 100% Viscose from Bamboo Sheets Queen Size | 4 Pc Cooling Bed Set</t>
        </is>
      </c>
      <c r="E33" s="32" t="inlineStr">
        <is>
          <t>Queen</t>
        </is>
      </c>
      <c r="F33" s="32" t="inlineStr">
        <is>
          <t>Creme</t>
        </is>
      </c>
      <c r="G33" s="60" t="n">
        <v>89.98999999999999</v>
      </c>
      <c r="H33" s="32" t="inlineStr">
        <is>
          <t>Helium 10 Xray, 2026-10-13</t>
        </is>
      </c>
      <c r="I33" s="61" t="n">
        <v>79.98999999999999</v>
      </c>
      <c r="J33" s="62" t="inlineStr">
        <is>
          <t>2026-03-30</t>
        </is>
      </c>
      <c r="K33" s="33" t="n">
        <v>35.38</v>
      </c>
      <c r="L33" s="63" t="n">
        <v>0.4423052881610201</v>
      </c>
      <c r="M33" s="64" t="n">
        <v>45</v>
      </c>
      <c r="N33" s="32" t="inlineStr">
        <is>
          <t>Active</t>
        </is>
      </c>
      <c r="O33" s="32" t="n"/>
      <c r="P33" s="65" t="n">
        <v>4.5</v>
      </c>
      <c r="Q33" s="64" t="n">
        <v>5972</v>
      </c>
      <c r="R33" s="64" t="n">
        <v>19665</v>
      </c>
      <c r="S33" s="64" t="n">
        <v>73</v>
      </c>
      <c r="T33" s="32" t="n"/>
    </row>
    <row r="34" ht="62" customHeight="1">
      <c r="A34" s="10">
        <f>_xlfn.IMAGE("https://m.media-amazon.com/images/I/81T+gwobemL.jpg")</f>
        <v/>
      </c>
      <c r="B34" s="32" t="inlineStr">
        <is>
          <t>B0CLKJL9KD</t>
        </is>
      </c>
      <c r="C34" s="32" t="inlineStr">
        <is>
          <t>BAMBOO-QUEEN-SAGE GREEN</t>
        </is>
      </c>
      <c r="D34" s="32" t="inlineStr">
        <is>
          <t>DECOLURE 100% Viscose from Bamboo Sheets Queen Size | 4 Pc Cooling Bed Set</t>
        </is>
      </c>
      <c r="E34" s="32" t="inlineStr">
        <is>
          <t>Queen</t>
        </is>
      </c>
      <c r="F34" s="32" t="inlineStr">
        <is>
          <t>Sage Green</t>
        </is>
      </c>
      <c r="G34" s="60" t="n">
        <v>89.98999999999999</v>
      </c>
      <c r="H34" s="32" t="inlineStr">
        <is>
          <t>Helium 10 Xray, 2026-10-13</t>
        </is>
      </c>
      <c r="I34" s="33" t="n"/>
      <c r="J34" s="32" t="n"/>
      <c r="K34" s="33" t="n"/>
      <c r="L34" s="63" t="n"/>
      <c r="M34" s="64" t="n">
        <v>30</v>
      </c>
      <c r="N34" s="32" t="inlineStr">
        <is>
          <t>Active</t>
        </is>
      </c>
      <c r="O34" s="32" t="n"/>
      <c r="P34" s="65" t="n">
        <v>4.5</v>
      </c>
      <c r="Q34" s="64" t="n">
        <v>5972</v>
      </c>
      <c r="R34" s="64" t="n">
        <v>19665</v>
      </c>
      <c r="S34" s="64" t="n">
        <v>11</v>
      </c>
      <c r="T34" s="32" t="n"/>
    </row>
    <row r="35" ht="62" customHeight="1">
      <c r="A35" s="10">
        <f>_xlfn.IMAGE("https://m.media-amazon.com/images/I/81nhzUehPUL.jpg")</f>
        <v/>
      </c>
      <c r="B35" s="32" t="inlineStr">
        <is>
          <t>B08KQKBM4Q</t>
        </is>
      </c>
      <c r="C35" s="32" t="inlineStr">
        <is>
          <t>BAMBOO-TWIN-WHITE</t>
        </is>
      </c>
      <c r="D35" s="32" t="inlineStr">
        <is>
          <t>DECOLURE 100% Viscose from Bamboo Sheets Twin Size | 3 Pc Cooling Bed Set</t>
        </is>
      </c>
      <c r="E35" s="32" t="inlineStr">
        <is>
          <t>Twin</t>
        </is>
      </c>
      <c r="F35" s="32" t="inlineStr">
        <is>
          <t>White</t>
        </is>
      </c>
      <c r="G35" s="60" t="n">
        <v>64.98999999999999</v>
      </c>
      <c r="H35" s="32" t="inlineStr">
        <is>
          <t>Helium 10 Xray, 2026-10-13</t>
        </is>
      </c>
      <c r="I35" s="61" t="n">
        <v>59.99</v>
      </c>
      <c r="J35" s="62" t="inlineStr">
        <is>
          <t>2026-03-30</t>
        </is>
      </c>
      <c r="K35" s="33" t="n">
        <v>25.01</v>
      </c>
      <c r="L35" s="63" t="n">
        <v>0.4169028171361894</v>
      </c>
      <c r="M35" s="64" t="n">
        <v>30</v>
      </c>
      <c r="N35" s="32" t="inlineStr">
        <is>
          <t>Active</t>
        </is>
      </c>
      <c r="O35" s="32" t="n"/>
      <c r="P35" s="65" t="n">
        <v>4.5</v>
      </c>
      <c r="Q35" s="64" t="n">
        <v>5972</v>
      </c>
      <c r="R35" s="64" t="n">
        <v>19665</v>
      </c>
      <c r="S35" s="64" t="n">
        <v>19</v>
      </c>
      <c r="T35" s="32" t="n"/>
    </row>
    <row r="36" ht="62" customHeight="1">
      <c r="A36" s="10">
        <f>_xlfn.IMAGE("https://m.media-amazon.com/images/I/81xihWts51L.jpg")</f>
        <v/>
      </c>
      <c r="B36" s="32" t="inlineStr">
        <is>
          <t>B08KQJTP39</t>
        </is>
      </c>
      <c r="C36" s="32" t="inlineStr">
        <is>
          <t>BAMBOO-FULL-OLIVE</t>
        </is>
      </c>
      <c r="D36" s="32" t="inlineStr">
        <is>
          <t>DECOLURE 100% Viscose from Bamboo Sheets Full Size | 4 Pc Cooling Bed Set</t>
        </is>
      </c>
      <c r="E36" s="32" t="inlineStr">
        <is>
          <t>Full</t>
        </is>
      </c>
      <c r="F36" s="32" t="inlineStr">
        <is>
          <t>Olive</t>
        </is>
      </c>
      <c r="G36" s="60" t="n">
        <v>74.98999999999999</v>
      </c>
      <c r="H36" s="32" t="inlineStr">
        <is>
          <t>Helium 10 Xray, 2026-10-13</t>
        </is>
      </c>
      <c r="I36" s="61" t="n">
        <v>64.98999999999999</v>
      </c>
      <c r="J36" s="62" t="inlineStr">
        <is>
          <t>2026-03-30</t>
        </is>
      </c>
      <c r="K36" s="33" t="n">
        <v>25.12999999999999</v>
      </c>
      <c r="L36" s="63" t="n">
        <v>0.3866748730573933</v>
      </c>
      <c r="M36" s="64" t="n">
        <v>29</v>
      </c>
      <c r="N36" s="32" t="inlineStr">
        <is>
          <t>Active</t>
        </is>
      </c>
      <c r="O36" s="32" t="n"/>
      <c r="P36" s="65" t="n">
        <v>4.5</v>
      </c>
      <c r="Q36" s="64" t="n">
        <v>5972</v>
      </c>
      <c r="R36" s="64" t="n">
        <v>19668</v>
      </c>
      <c r="S36" s="64" t="n">
        <v>15</v>
      </c>
      <c r="T36" s="32" t="n"/>
    </row>
    <row r="37" ht="62" customHeight="1">
      <c r="A37" s="10">
        <f>_xlfn.IMAGE("https://m.media-amazon.com/images/I/81jAmePDWeL.jpg")</f>
        <v/>
      </c>
      <c r="B37" s="32" t="inlineStr">
        <is>
          <t>B0BZPZP12L</t>
        </is>
      </c>
      <c r="C37" s="32" t="inlineStr">
        <is>
          <t>BAMBOO-KING-LIGHTOLIVE</t>
        </is>
      </c>
      <c r="D37" s="32" t="inlineStr">
        <is>
          <t>DECOLURE 100% Viscose from Bamboo Sheets King Size | 4 Pc Cooling Bed Set</t>
        </is>
      </c>
      <c r="E37" s="32" t="inlineStr">
        <is>
          <t>King</t>
        </is>
      </c>
      <c r="F37" s="32" t="inlineStr">
        <is>
          <t>Light Olive</t>
        </is>
      </c>
      <c r="G37" s="60" t="n">
        <v>94.98999999999999</v>
      </c>
      <c r="H37" s="32" t="inlineStr">
        <is>
          <t>Helium 10 Xray, 2026-10-13</t>
        </is>
      </c>
      <c r="I37" s="61" t="n">
        <v>110.99</v>
      </c>
      <c r="J37" s="62" t="inlineStr">
        <is>
          <t>2026-03-30</t>
        </is>
      </c>
      <c r="K37" s="33" t="n">
        <v>57.2</v>
      </c>
      <c r="L37" s="63" t="n">
        <v>0.5153617443012884</v>
      </c>
      <c r="M37" s="64" t="n">
        <v>26</v>
      </c>
      <c r="N37" s="32" t="inlineStr">
        <is>
          <t>Active</t>
        </is>
      </c>
      <c r="O37" s="32" t="n"/>
      <c r="P37" s="65" t="n">
        <v>4.5</v>
      </c>
      <c r="Q37" s="64" t="n">
        <v>5972</v>
      </c>
      <c r="R37" s="64" t="n">
        <v>19665</v>
      </c>
      <c r="S37" s="64" t="n">
        <v>5</v>
      </c>
      <c r="T37" s="32" t="n"/>
    </row>
    <row r="38" ht="62" customHeight="1">
      <c r="A38" s="10">
        <f>_xlfn.IMAGE("https://m.media-amazon.com/images/I/81hxPp-zxnL.jpg")</f>
        <v/>
      </c>
      <c r="B38" s="32" t="inlineStr">
        <is>
          <t>B0CLK9QXX3</t>
        </is>
      </c>
      <c r="C38" s="32" t="inlineStr">
        <is>
          <t>BAMBOO-KING-LIGHT PINK</t>
        </is>
      </c>
      <c r="D38" s="32" t="inlineStr">
        <is>
          <t>DECOLURE 100% Viscose from Bamboo Sheets King Size | 4 Pc Cooling Bed Set</t>
        </is>
      </c>
      <c r="E38" s="32" t="inlineStr">
        <is>
          <t>King</t>
        </is>
      </c>
      <c r="F38" s="32" t="inlineStr">
        <is>
          <t>Light Pink</t>
        </is>
      </c>
      <c r="G38" s="60" t="n">
        <v>94.98999999999999</v>
      </c>
      <c r="H38" s="32" t="inlineStr">
        <is>
          <t>Helium 10 Xray, 2026-10-13</t>
        </is>
      </c>
      <c r="I38" s="61" t="n">
        <v>106.99</v>
      </c>
      <c r="J38" s="62" t="inlineStr">
        <is>
          <t>2026-02-28</t>
        </is>
      </c>
      <c r="K38" s="33" t="n">
        <v>54.10999999999999</v>
      </c>
      <c r="L38" s="63" t="n">
        <v>0.5057482007664267</v>
      </c>
      <c r="M38" s="64" t="n">
        <v>24</v>
      </c>
      <c r="N38" s="32" t="inlineStr">
        <is>
          <t>Active</t>
        </is>
      </c>
      <c r="O38" s="32" t="n"/>
      <c r="P38" s="65" t="n">
        <v>4.5</v>
      </c>
      <c r="Q38" s="64" t="n">
        <v>5972</v>
      </c>
      <c r="R38" s="64" t="n">
        <v>19668</v>
      </c>
      <c r="S38" s="64" t="n">
        <v>10</v>
      </c>
      <c r="T38" s="32" t="n"/>
    </row>
    <row r="39" ht="62" customHeight="1">
      <c r="A39" s="10">
        <f>_xlfn.IMAGE("https://m.media-amazon.com/images/I/81aBlh93veL.jpg")</f>
        <v/>
      </c>
      <c r="B39" s="32" t="inlineStr">
        <is>
          <t>B0BZQ43D7W</t>
        </is>
      </c>
      <c r="C39" s="32" t="inlineStr">
        <is>
          <t>BAMBOO-FULL-MIDGREY</t>
        </is>
      </c>
      <c r="D39" s="32" t="inlineStr">
        <is>
          <t>DECOLURE 100% Viscose from Bamboo Sheets Full Size | 4 Pc Cooling Bed Set</t>
        </is>
      </c>
      <c r="E39" s="32" t="inlineStr">
        <is>
          <t>Full</t>
        </is>
      </c>
      <c r="F39" s="32" t="inlineStr">
        <is>
          <t>Midgrey</t>
        </is>
      </c>
      <c r="G39" s="60" t="n">
        <v>74.98999999999999</v>
      </c>
      <c r="H39" s="32" t="inlineStr">
        <is>
          <t>Helium 10 Xray, 2026-10-13</t>
        </is>
      </c>
      <c r="I39" s="61" t="n">
        <v>69.98999999999999</v>
      </c>
      <c r="J39" s="62" t="inlineStr">
        <is>
          <t>2026-03-30</t>
        </is>
      </c>
      <c r="K39" s="33" t="n">
        <v>27.67999999999999</v>
      </c>
      <c r="L39" s="63" t="n">
        <v>0.3954850692956136</v>
      </c>
      <c r="M39" s="64" t="n">
        <v>22</v>
      </c>
      <c r="N39" s="32" t="inlineStr">
        <is>
          <t>Active</t>
        </is>
      </c>
      <c r="O39" s="32" t="n"/>
      <c r="P39" s="65" t="n">
        <v>4.5</v>
      </c>
      <c r="Q39" s="64" t="n">
        <v>5972</v>
      </c>
      <c r="R39" s="64" t="n">
        <v>19665</v>
      </c>
      <c r="S39" s="64" t="n">
        <v>12</v>
      </c>
      <c r="T39" s="32" t="n"/>
    </row>
    <row r="40" ht="62" customHeight="1">
      <c r="A40" s="10">
        <f>_xlfn.IMAGE("https://m.media-amazon.com/images/I/81YWxJJr8JL.jpg")</f>
        <v/>
      </c>
      <c r="B40" s="32" t="inlineStr">
        <is>
          <t>B0BZQ1JFM7</t>
        </is>
      </c>
      <c r="C40" s="32" t="inlineStr">
        <is>
          <t>BAMBOO-QUEEN-CHARCOAL</t>
        </is>
      </c>
      <c r="D40" s="32" t="inlineStr">
        <is>
          <t>DECOLURE 100% Viscose from Bamboo Sheets Queen Size | 4 Pc Cooling Bed Set</t>
        </is>
      </c>
      <c r="E40" s="32" t="inlineStr">
        <is>
          <t>Queen</t>
        </is>
      </c>
      <c r="F40" s="32" t="inlineStr">
        <is>
          <t>Charcoal</t>
        </is>
      </c>
      <c r="G40" s="60" t="n">
        <v>89.98999999999999</v>
      </c>
      <c r="H40" s="32" t="inlineStr">
        <is>
          <t>Helium 10 Xray, 2026-10-13</t>
        </is>
      </c>
      <c r="I40" s="61" t="n">
        <v>79.98999999999999</v>
      </c>
      <c r="J40" s="62" t="inlineStr">
        <is>
          <t>2026-03-22</t>
        </is>
      </c>
      <c r="K40" s="33" t="n">
        <v>34.7</v>
      </c>
      <c r="L40" s="63" t="n">
        <v>0.433804225528191</v>
      </c>
      <c r="M40" s="64" t="n">
        <v>22</v>
      </c>
      <c r="N40" s="32" t="inlineStr">
        <is>
          <t>Active</t>
        </is>
      </c>
      <c r="O40" s="32" t="n"/>
      <c r="P40" s="65" t="n">
        <v>4.5</v>
      </c>
      <c r="Q40" s="64" t="n">
        <v>5972</v>
      </c>
      <c r="R40" s="64" t="n">
        <v>19665</v>
      </c>
      <c r="S40" s="64" t="n">
        <v>7</v>
      </c>
      <c r="T40" s="32" t="n"/>
    </row>
    <row r="41" ht="62" customHeight="1">
      <c r="A41" s="10">
        <f>_xlfn.IMAGE("https://m.media-amazon.com/images/I/81xihWts51L.jpg")</f>
        <v/>
      </c>
      <c r="B41" s="32" t="inlineStr">
        <is>
          <t>B08KQJZHGC</t>
        </is>
      </c>
      <c r="C41" s="32" t="inlineStr">
        <is>
          <t>BAMBOO-CALIFKING-OLIVE</t>
        </is>
      </c>
      <c r="D41" s="32" t="inlineStr">
        <is>
          <t>DECOLURE 100% Viscose from Bamboo Sheets | 4 Pc Cooling Bed Set</t>
        </is>
      </c>
      <c r="E41" s="32" t="inlineStr">
        <is>
          <t>California King</t>
        </is>
      </c>
      <c r="F41" s="32" t="inlineStr">
        <is>
          <t>Olive</t>
        </is>
      </c>
      <c r="G41" s="60" t="n">
        <v>94.98999999999999</v>
      </c>
      <c r="H41" s="32" t="inlineStr">
        <is>
          <t>Helium 10 Xray, 2026-10-13</t>
        </is>
      </c>
      <c r="I41" s="61" t="n">
        <v>84.98999999999999</v>
      </c>
      <c r="J41" s="62" t="inlineStr">
        <is>
          <t>2026-03-30</t>
        </is>
      </c>
      <c r="K41" s="33" t="n">
        <v>34.91</v>
      </c>
      <c r="L41" s="63" t="n">
        <v>0.4107542063772208</v>
      </c>
      <c r="M41" s="64" t="n">
        <v>19</v>
      </c>
      <c r="N41" s="32" t="inlineStr">
        <is>
          <t>Active</t>
        </is>
      </c>
      <c r="O41" s="32" t="n"/>
      <c r="P41" s="65" t="n">
        <v>4.5</v>
      </c>
      <c r="Q41" s="64" t="n">
        <v>5972</v>
      </c>
      <c r="R41" s="64" t="n">
        <v>19668</v>
      </c>
      <c r="S41" s="64" t="n">
        <v>4</v>
      </c>
      <c r="T41" s="32" t="n"/>
    </row>
    <row r="42" ht="62" customHeight="1">
      <c r="A42" s="10">
        <f>_xlfn.IMAGE("https://m.media-amazon.com/images/I/81bmbyz5uFL.jpg")</f>
        <v/>
      </c>
      <c r="B42" s="32" t="inlineStr">
        <is>
          <t>B08KQJTLZP</t>
        </is>
      </c>
      <c r="C42" s="32" t="inlineStr">
        <is>
          <t>BAMBOO-CALIFKING-TAUPE</t>
        </is>
      </c>
      <c r="D42" s="32" t="inlineStr">
        <is>
          <t>DECOLURE 100% Viscose from Bamboo Sheets | 4 Pc Cooling Bed Set</t>
        </is>
      </c>
      <c r="E42" s="32" t="inlineStr">
        <is>
          <t>California King</t>
        </is>
      </c>
      <c r="F42" s="32" t="inlineStr">
        <is>
          <t>Taupe</t>
        </is>
      </c>
      <c r="G42" s="60" t="n">
        <v>102.99</v>
      </c>
      <c r="H42" s="32" t="inlineStr">
        <is>
          <t>Helium 10 Xray, 2026-10-13</t>
        </is>
      </c>
      <c r="I42" s="33" t="n"/>
      <c r="J42" s="32" t="n"/>
      <c r="K42" s="33" t="n"/>
      <c r="L42" s="63" t="n"/>
      <c r="M42" s="64" t="n">
        <v>17</v>
      </c>
      <c r="N42" s="32" t="inlineStr">
        <is>
          <t>Active</t>
        </is>
      </c>
      <c r="O42" s="32" t="n"/>
      <c r="P42" s="65" t="n">
        <v>4.5</v>
      </c>
      <c r="Q42" s="64" t="n">
        <v>5972</v>
      </c>
      <c r="R42" s="64" t="n">
        <v>19665</v>
      </c>
      <c r="S42" s="64" t="n">
        <v>7</v>
      </c>
      <c r="T42" s="32" t="n"/>
    </row>
    <row r="43" ht="62" customHeight="1">
      <c r="A43" s="10">
        <f>_xlfn.IMAGE("https://m.media-amazon.com/images/I/81wmkV-8ExL.jpg")</f>
        <v/>
      </c>
      <c r="B43" s="32" t="inlineStr">
        <is>
          <t>B08KQ5VVRV</t>
        </is>
      </c>
      <c r="C43" s="32" t="inlineStr">
        <is>
          <t>BAMBOO-QUEEN-GREY</t>
        </is>
      </c>
      <c r="D43" s="32" t="inlineStr">
        <is>
          <t>DECOLURE 100% Viscose from Bamboo Sheets Queen Size | 4 Pc Cooling Bed Set</t>
        </is>
      </c>
      <c r="E43" s="32" t="inlineStr">
        <is>
          <t>Queen</t>
        </is>
      </c>
      <c r="F43" s="32" t="inlineStr">
        <is>
          <t>Grey</t>
        </is>
      </c>
      <c r="G43" s="60" t="n">
        <v>96.98999999999999</v>
      </c>
      <c r="H43" s="32" t="inlineStr">
        <is>
          <t>Helium 10 Xray, 2026-10-13</t>
        </is>
      </c>
      <c r="I43" s="61" t="n">
        <v>79.98999999999999</v>
      </c>
      <c r="J43" s="62" t="inlineStr">
        <is>
          <t>2026-03-30</t>
        </is>
      </c>
      <c r="K43" s="33" t="n">
        <v>36.36</v>
      </c>
      <c r="L43" s="63" t="n">
        <v>0.4545568196024503</v>
      </c>
      <c r="M43" s="64" t="n">
        <v>17</v>
      </c>
      <c r="N43" s="32" t="inlineStr">
        <is>
          <t>Active</t>
        </is>
      </c>
      <c r="O43" s="32" t="n"/>
      <c r="P43" s="65" t="n">
        <v>4.5</v>
      </c>
      <c r="Q43" s="64" t="n">
        <v>5972</v>
      </c>
      <c r="R43" s="64" t="n">
        <v>19665</v>
      </c>
      <c r="S43" s="64" t="n">
        <v>9</v>
      </c>
      <c r="T43" s="32" t="n"/>
    </row>
    <row r="44" ht="62" customHeight="1">
      <c r="A44" s="10">
        <f>_xlfn.IMAGE("https://m.media-amazon.com/images/I/81Mz595QL2L.jpg")</f>
        <v/>
      </c>
      <c r="B44" s="32" t="inlineStr">
        <is>
          <t>B08KQJDSVC</t>
        </is>
      </c>
      <c r="C44" s="32" t="inlineStr">
        <is>
          <t>BAMBOO-QUEEN-LIGHTGREY</t>
        </is>
      </c>
      <c r="D44" s="32" t="inlineStr">
        <is>
          <t>DECOLURE 100% Viscose from Bamboo Sheets Queen Size | 4 Pc Cooling Bed Set</t>
        </is>
      </c>
      <c r="E44" s="32" t="inlineStr">
        <is>
          <t>Queen</t>
        </is>
      </c>
      <c r="F44" s="32" t="inlineStr">
        <is>
          <t>Light Grey</t>
        </is>
      </c>
      <c r="G44" s="60" t="n">
        <v>89.98999999999999</v>
      </c>
      <c r="H44" s="32" t="inlineStr">
        <is>
          <t>Helium 10 Xray, 2026-10-13</t>
        </is>
      </c>
      <c r="I44" s="61" t="n">
        <v>74.98999999999999</v>
      </c>
      <c r="J44" s="62" t="inlineStr">
        <is>
          <t>2026-03-30</t>
        </is>
      </c>
      <c r="K44" s="33" t="n">
        <v>30.62</v>
      </c>
      <c r="L44" s="63" t="n">
        <v>0.4083211094812642</v>
      </c>
      <c r="M44" s="64" t="n">
        <v>16</v>
      </c>
      <c r="N44" s="32" t="inlineStr">
        <is>
          <t>Active</t>
        </is>
      </c>
      <c r="O44" s="32" t="n"/>
      <c r="P44" s="65" t="n">
        <v>4.5</v>
      </c>
      <c r="Q44" s="64" t="n">
        <v>5972</v>
      </c>
      <c r="R44" s="64" t="n">
        <v>19665</v>
      </c>
      <c r="S44" s="64" t="n">
        <v>10</v>
      </c>
      <c r="T44" s="32" t="n"/>
    </row>
    <row r="45" ht="62" customHeight="1">
      <c r="A45" s="10">
        <f>_xlfn.IMAGE("https://m.media-amazon.com/images/I/81mgYawt2DL.jpg")</f>
        <v/>
      </c>
      <c r="B45" s="32" t="inlineStr">
        <is>
          <t>B0BZPYZ1XY</t>
        </is>
      </c>
      <c r="C45" s="32" t="inlineStr">
        <is>
          <t>BAMBOO-FULL-BLACK</t>
        </is>
      </c>
      <c r="D45" s="32" t="inlineStr">
        <is>
          <t>DECOLURE 100% Viscose from Bamboo Sheets Full Size | 4 Pc Cooling Bed Set</t>
        </is>
      </c>
      <c r="E45" s="32" t="inlineStr">
        <is>
          <t>Full</t>
        </is>
      </c>
      <c r="F45" s="32" t="inlineStr">
        <is>
          <t>Black</t>
        </is>
      </c>
      <c r="G45" s="60" t="n">
        <v>74.98999999999999</v>
      </c>
      <c r="H45" s="32" t="inlineStr">
        <is>
          <t>Helium 10 Xray, 2026-10-13</t>
        </is>
      </c>
      <c r="I45" s="61" t="n">
        <v>69.98999999999999</v>
      </c>
      <c r="J45" s="62" t="inlineStr">
        <is>
          <t>2026-03-30</t>
        </is>
      </c>
      <c r="K45" s="33" t="n">
        <v>28.38</v>
      </c>
      <c r="L45" s="63" t="n">
        <v>0.4054864980711529</v>
      </c>
      <c r="M45" s="64" t="n">
        <v>15</v>
      </c>
      <c r="N45" s="32" t="inlineStr">
        <is>
          <t>Active</t>
        </is>
      </c>
      <c r="O45" s="32" t="n"/>
      <c r="P45" s="65" t="n">
        <v>4.5</v>
      </c>
      <c r="Q45" s="64" t="n">
        <v>5972</v>
      </c>
      <c r="R45" s="64" t="n">
        <v>19668</v>
      </c>
      <c r="S45" s="64" t="n">
        <v>13</v>
      </c>
      <c r="T45" s="32" t="n"/>
    </row>
    <row r="46" ht="62" customHeight="1">
      <c r="A46" s="10">
        <f>_xlfn.IMAGE("https://m.media-amazon.com/images/I/81YWxJJr8JL.jpg")</f>
        <v/>
      </c>
      <c r="B46" s="32" t="inlineStr">
        <is>
          <t>B0BZPZ588L</t>
        </is>
      </c>
      <c r="C46" s="32" t="inlineStr">
        <is>
          <t>BAMBOO-KING-CHARCOAL</t>
        </is>
      </c>
      <c r="D46" s="32" t="inlineStr">
        <is>
          <t>DECOLURE 100% Viscose from Bamboo Sheets King Size | 4 Pc Cooling Bed Set</t>
        </is>
      </c>
      <c r="E46" s="32" t="inlineStr">
        <is>
          <t>King</t>
        </is>
      </c>
      <c r="F46" s="32" t="inlineStr">
        <is>
          <t>Charcoal</t>
        </is>
      </c>
      <c r="G46" s="60" t="n">
        <v>94.98999999999999</v>
      </c>
      <c r="H46" s="32" t="inlineStr">
        <is>
          <t>Helium 10 Xray, 2026-10-13</t>
        </is>
      </c>
      <c r="I46" s="33" t="n"/>
      <c r="J46" s="32" t="n"/>
      <c r="K46" s="33" t="n"/>
      <c r="L46" s="63" t="n"/>
      <c r="M46" s="64" t="n">
        <v>15</v>
      </c>
      <c r="N46" s="32" t="inlineStr">
        <is>
          <t>Active</t>
        </is>
      </c>
      <c r="O46" s="32" t="n"/>
      <c r="P46" s="65" t="n">
        <v>4.5</v>
      </c>
      <c r="Q46" s="64" t="n">
        <v>5972</v>
      </c>
      <c r="R46" s="64" t="n">
        <v>19665</v>
      </c>
      <c r="S46" s="64" t="n">
        <v>5</v>
      </c>
      <c r="T46" s="32" t="n"/>
    </row>
    <row r="47" ht="62" customHeight="1">
      <c r="A47" s="10">
        <f>_xlfn.IMAGE("https://m.media-amazon.com/images/I/81YWxJJr8JL.jpg")</f>
        <v/>
      </c>
      <c r="B47" s="32" t="inlineStr">
        <is>
          <t>B0BZPZQCBL</t>
        </is>
      </c>
      <c r="C47" s="32" t="inlineStr">
        <is>
          <t>BAMBOO-CALIFKING-CHARCOAL</t>
        </is>
      </c>
      <c r="D47" s="32" t="inlineStr">
        <is>
          <t>DECOLURE 100% Viscose from Bamboo Sheets | 4 Pc Cooling Bed Set</t>
        </is>
      </c>
      <c r="E47" s="32" t="inlineStr">
        <is>
          <t>California King</t>
        </is>
      </c>
      <c r="F47" s="32" t="inlineStr">
        <is>
          <t>Charcoal</t>
        </is>
      </c>
      <c r="G47" s="60" t="n">
        <v>94.98999999999999</v>
      </c>
      <c r="H47" s="32" t="inlineStr">
        <is>
          <t>Helium 10 Xray, 2026-10-13</t>
        </is>
      </c>
      <c r="I47" s="33" t="n"/>
      <c r="J47" s="32" t="n"/>
      <c r="K47" s="33" t="n"/>
      <c r="L47" s="63" t="n"/>
      <c r="M47" s="64" t="n">
        <v>14</v>
      </c>
      <c r="N47" s="32" t="inlineStr">
        <is>
          <t>Active</t>
        </is>
      </c>
      <c r="O47" s="32" t="n"/>
      <c r="P47" s="65" t="n">
        <v>4.5</v>
      </c>
      <c r="Q47" s="64" t="n">
        <v>5972</v>
      </c>
      <c r="R47" s="64" t="n">
        <v>19665</v>
      </c>
      <c r="S47" s="64" t="n">
        <v>6</v>
      </c>
      <c r="T47" s="32" t="n"/>
    </row>
    <row r="48" ht="62" customHeight="1">
      <c r="A48" s="10">
        <f>_xlfn.IMAGE("https://m.media-amazon.com/images/I/81jtUZ9WZqL.jpg")</f>
        <v/>
      </c>
      <c r="B48" s="32" t="inlineStr">
        <is>
          <t>B08KQLQ7RG</t>
        </is>
      </c>
      <c r="C48" s="32" t="inlineStr">
        <is>
          <t>BAMBOO-CALIFKING-CREME</t>
        </is>
      </c>
      <c r="D48" s="32" t="inlineStr">
        <is>
          <t>DECOLURE 100% Viscose from Bamboo Sheets | 4 Pc Cooling Bed Set</t>
        </is>
      </c>
      <c r="E48" s="32" t="inlineStr">
        <is>
          <t>California King</t>
        </is>
      </c>
      <c r="F48" s="32" t="inlineStr">
        <is>
          <t>Creme</t>
        </is>
      </c>
      <c r="G48" s="60" t="n">
        <v>94.98999999999999</v>
      </c>
      <c r="H48" s="32" t="inlineStr">
        <is>
          <t>Helium 10 Xray, 2026-10-13</t>
        </is>
      </c>
      <c r="I48" s="61" t="n">
        <v>79.98999999999999</v>
      </c>
      <c r="J48" s="62" t="inlineStr">
        <is>
          <t>2026-02-26</t>
        </is>
      </c>
      <c r="K48" s="33" t="n">
        <v>30.89</v>
      </c>
      <c r="L48" s="63" t="n">
        <v>0.3861732716589574</v>
      </c>
      <c r="M48" s="64" t="n">
        <v>14</v>
      </c>
      <c r="N48" s="32" t="inlineStr">
        <is>
          <t>Active</t>
        </is>
      </c>
      <c r="O48" s="32" t="n"/>
      <c r="P48" s="65" t="n">
        <v>4.5</v>
      </c>
      <c r="Q48" s="64" t="n">
        <v>5972</v>
      </c>
      <c r="R48" s="64" t="n">
        <v>19665</v>
      </c>
      <c r="S48" s="64" t="n">
        <v>4</v>
      </c>
      <c r="T48" s="32" t="n"/>
    </row>
    <row r="49" ht="62" customHeight="1">
      <c r="A49" s="10">
        <f>_xlfn.IMAGE("https://m.media-amazon.com/images/I/81LPiN50m6L.jpg")</f>
        <v/>
      </c>
      <c r="B49" s="32" t="inlineStr">
        <is>
          <t>B0BZQ3ZGNG</t>
        </is>
      </c>
      <c r="C49" s="32" t="inlineStr">
        <is>
          <t>BAMBOO-QUEEN-PURPLE</t>
        </is>
      </c>
      <c r="D49" s="32" t="inlineStr">
        <is>
          <t>DECOLURE 100% Viscose from Bamboo Sheets Queen Size | 4 Pc Cooling Bed Set</t>
        </is>
      </c>
      <c r="E49" s="32" t="inlineStr">
        <is>
          <t>Queen</t>
        </is>
      </c>
      <c r="F49" s="32" t="inlineStr">
        <is>
          <t>Purple</t>
        </is>
      </c>
      <c r="G49" s="60" t="n">
        <v>89.98999999999999</v>
      </c>
      <c r="H49" s="32" t="inlineStr">
        <is>
          <t>Helium 10 Xray, 2026-10-13</t>
        </is>
      </c>
      <c r="I49" s="61" t="n">
        <v>99.98999999999999</v>
      </c>
      <c r="J49" s="62" t="inlineStr">
        <is>
          <t>2026-03-06</t>
        </is>
      </c>
      <c r="K49" s="33" t="n">
        <v>51.45999999999999</v>
      </c>
      <c r="L49" s="63" t="n">
        <v>0.5146514651465146</v>
      </c>
      <c r="M49" s="64" t="n">
        <v>14</v>
      </c>
      <c r="N49" s="32" t="inlineStr">
        <is>
          <t>Active</t>
        </is>
      </c>
      <c r="O49" s="32" t="n"/>
      <c r="P49" s="65" t="n">
        <v>4.5</v>
      </c>
      <c r="Q49" s="64" t="n">
        <v>5972</v>
      </c>
      <c r="R49" s="64" t="n">
        <v>19665</v>
      </c>
      <c r="S49" s="64" t="n">
        <v>8</v>
      </c>
      <c r="T49" s="32" t="n"/>
    </row>
    <row r="50" ht="62" customHeight="1">
      <c r="A50" s="10">
        <f>_xlfn.IMAGE("https://m.media-amazon.com/images/I/81E9bvs4TYL.jpg")</f>
        <v/>
      </c>
      <c r="B50" s="32" t="inlineStr">
        <is>
          <t>B08KQKQ44M</t>
        </is>
      </c>
      <c r="C50" s="32" t="inlineStr">
        <is>
          <t>BAMBOO-CALIFKING-WHITE</t>
        </is>
      </c>
      <c r="D50" s="32" t="inlineStr">
        <is>
          <t>DECOLURE 100% Viscose from Bamboo Sheets | 4 Pc Cooling Bed Set</t>
        </is>
      </c>
      <c r="E50" s="32" t="inlineStr">
        <is>
          <t>California King</t>
        </is>
      </c>
      <c r="F50" s="32" t="inlineStr">
        <is>
          <t>White</t>
        </is>
      </c>
      <c r="G50" s="60" t="n">
        <v>94.98999999999999</v>
      </c>
      <c r="H50" s="32" t="inlineStr">
        <is>
          <t>Helium 10 Xray, 2026-10-13</t>
        </is>
      </c>
      <c r="I50" s="33" t="n"/>
      <c r="J50" s="32" t="n"/>
      <c r="K50" s="33" t="n"/>
      <c r="L50" s="63" t="n"/>
      <c r="M50" s="64" t="n">
        <v>13</v>
      </c>
      <c r="N50" s="32" t="inlineStr">
        <is>
          <t>Active</t>
        </is>
      </c>
      <c r="O50" s="32" t="n"/>
      <c r="P50" s="65" t="n">
        <v>4.5</v>
      </c>
      <c r="Q50" s="64" t="n">
        <v>5972</v>
      </c>
      <c r="R50" s="64" t="n">
        <v>19665</v>
      </c>
      <c r="S50" s="64" t="n">
        <v>8</v>
      </c>
      <c r="T50" s="32" t="n"/>
    </row>
    <row r="51" ht="62" customHeight="1">
      <c r="A51" s="10">
        <f>_xlfn.IMAGE("https://m.media-amazon.com/images/I/81jtUZ9WZqL.jpg")</f>
        <v/>
      </c>
      <c r="B51" s="32" t="inlineStr">
        <is>
          <t>B08KQJ3JSW</t>
        </is>
      </c>
      <c r="C51" s="32" t="inlineStr">
        <is>
          <t>BAMBOO-FULL-CREME</t>
        </is>
      </c>
      <c r="D51" s="32" t="inlineStr">
        <is>
          <t>DECOLURE 100% Viscose from Bamboo Sheets Full Size | 4 Pc Cooling Bed Set</t>
        </is>
      </c>
      <c r="E51" s="32" t="inlineStr">
        <is>
          <t>Full</t>
        </is>
      </c>
      <c r="F51" s="32" t="inlineStr">
        <is>
          <t>Creme</t>
        </is>
      </c>
      <c r="G51" s="60" t="n">
        <v>83.98999999999999</v>
      </c>
      <c r="H51" s="32" t="inlineStr">
        <is>
          <t>Helium 10 Xray, 2026-10-13</t>
        </is>
      </c>
      <c r="I51" s="61" t="n">
        <v>90.98999999999999</v>
      </c>
      <c r="J51" s="62" t="inlineStr">
        <is>
          <t>2026-03-30</t>
        </is>
      </c>
      <c r="K51" s="33" t="n">
        <v>46.41999999999999</v>
      </c>
      <c r="L51" s="63" t="n">
        <v>0.5101659523024508</v>
      </c>
      <c r="M51" s="64" t="n">
        <v>13</v>
      </c>
      <c r="N51" s="32" t="inlineStr">
        <is>
          <t>Active</t>
        </is>
      </c>
      <c r="O51" s="32" t="n"/>
      <c r="P51" s="65" t="n">
        <v>4.5</v>
      </c>
      <c r="Q51" s="64" t="n">
        <v>5972</v>
      </c>
      <c r="R51" s="64" t="n">
        <v>19665</v>
      </c>
      <c r="S51" s="64" t="n">
        <v>12</v>
      </c>
      <c r="T51" s="32" t="n"/>
    </row>
    <row r="52" ht="62" customHeight="1">
      <c r="A52" s="10">
        <f>_xlfn.IMAGE("https://m.media-amazon.com/images/I/81gCPnwH3FL.jpg")</f>
        <v/>
      </c>
      <c r="B52" s="32" t="inlineStr">
        <is>
          <t>B08KQHSWSJ</t>
        </is>
      </c>
      <c r="C52" s="32" t="inlineStr">
        <is>
          <t>BAMBOO-CALIFKING-LIGHTBLUE</t>
        </is>
      </c>
      <c r="D52" s="32" t="inlineStr">
        <is>
          <t>DECOLURE 100% Viscose from Bamboo Sheets | 4 Pc Cooling Bed Set</t>
        </is>
      </c>
      <c r="E52" s="32" t="inlineStr">
        <is>
          <t>California King</t>
        </is>
      </c>
      <c r="F52" s="32" t="inlineStr">
        <is>
          <t>Light Blue</t>
        </is>
      </c>
      <c r="G52" s="60" t="n">
        <v>84.98999999999999</v>
      </c>
      <c r="H52" s="32" t="inlineStr">
        <is>
          <t>SellerBoard listing price, 2026-10-14</t>
        </is>
      </c>
      <c r="I52" s="61" t="n">
        <v>84.98999999999999</v>
      </c>
      <c r="J52" s="62" t="inlineStr">
        <is>
          <t>2026-03-22</t>
        </is>
      </c>
      <c r="K52" s="33" t="n">
        <v>34.37</v>
      </c>
      <c r="L52" s="63" t="n">
        <v>0.4044005177079656</v>
      </c>
      <c r="M52" s="64" t="n">
        <v>12</v>
      </c>
      <c r="N52" s="32" t="inlineStr">
        <is>
          <t>Inactive</t>
        </is>
      </c>
      <c r="O52" s="32" t="n"/>
      <c r="P52" s="65" t="n"/>
      <c r="Q52" s="64" t="n"/>
      <c r="R52" s="64" t="n"/>
      <c r="S52" s="64" t="n"/>
      <c r="T52" s="32" t="n"/>
    </row>
    <row r="53" ht="62" customHeight="1">
      <c r="A53" s="10">
        <f>_xlfn.IMAGE("https://m.media-amazon.com/images/I/81LPiN50m6L._AC_SY355_.jpg")</f>
        <v/>
      </c>
      <c r="B53" s="32" t="inlineStr">
        <is>
          <t>B0BZPY4PXY</t>
        </is>
      </c>
      <c r="C53" s="32" t="inlineStr">
        <is>
          <t>BAMBOO-FULL-PURPLE</t>
        </is>
      </c>
      <c r="D53" s="32" t="inlineStr">
        <is>
          <t>DECOLURE 100% Viscose from Bamboo Sheets Full Size | 4 Pc Cooling Bed Set</t>
        </is>
      </c>
      <c r="E53" s="32" t="inlineStr">
        <is>
          <t>Full</t>
        </is>
      </c>
      <c r="F53" s="32" t="inlineStr">
        <is>
          <t>Purple</t>
        </is>
      </c>
      <c r="G53" s="60" t="n">
        <v>74.98999999999999</v>
      </c>
      <c r="H53" s="32" t="inlineStr">
        <is>
          <t>Helium 10 Xray, 2026-10-13</t>
        </is>
      </c>
      <c r="I53" s="61" t="n">
        <v>69.98999999999999</v>
      </c>
      <c r="J53" s="62" t="inlineStr">
        <is>
          <t>2026-03-30</t>
        </is>
      </c>
      <c r="K53" s="33" t="n">
        <v>28.93999999999999</v>
      </c>
      <c r="L53" s="63" t="n">
        <v>0.4134876410915844</v>
      </c>
      <c r="M53" s="64" t="n">
        <v>12</v>
      </c>
      <c r="N53" s="32" t="n"/>
      <c r="O53" s="32" t="inlineStr">
        <is>
          <t>Yes (7%)</t>
        </is>
      </c>
      <c r="P53" s="65" t="n">
        <v>4.5</v>
      </c>
      <c r="Q53" s="64" t="n">
        <v>5972</v>
      </c>
      <c r="R53" s="64" t="n">
        <v>19665</v>
      </c>
      <c r="S53" s="64" t="n">
        <v>11</v>
      </c>
      <c r="T53" s="32" t="n"/>
    </row>
    <row r="54" ht="62" customHeight="1">
      <c r="A54" s="10">
        <f>_xlfn.IMAGE("https://m.media-amazon.com/images/I/81gCPnwH3FL.jpg")</f>
        <v/>
      </c>
      <c r="B54" s="32" t="inlineStr">
        <is>
          <t>B08KQJGSW2</t>
        </is>
      </c>
      <c r="C54" s="32" t="inlineStr">
        <is>
          <t>BAMBOO-TWIN-LIGHTBLUE</t>
        </is>
      </c>
      <c r="D54" s="32" t="inlineStr">
        <is>
          <t>DECOLURE 100% Viscose from Bamboo Sheets Twin Size | 3 Pc Cooling Bed Set</t>
        </is>
      </c>
      <c r="E54" s="32" t="inlineStr">
        <is>
          <t>Twin</t>
        </is>
      </c>
      <c r="F54" s="32" t="inlineStr">
        <is>
          <t>Light Blue</t>
        </is>
      </c>
      <c r="G54" s="60" t="n">
        <v>64.98999999999999</v>
      </c>
      <c r="H54" s="32" t="inlineStr">
        <is>
          <t>Helium 10 Xray, 2026-10-13</t>
        </is>
      </c>
      <c r="I54" s="61" t="n">
        <v>59.99</v>
      </c>
      <c r="J54" s="62" t="inlineStr">
        <is>
          <t>2026-03-30</t>
        </is>
      </c>
      <c r="K54" s="33" t="n">
        <v>25.65</v>
      </c>
      <c r="L54" s="63" t="n">
        <v>0.4275712618769795</v>
      </c>
      <c r="M54" s="64" t="n">
        <v>12</v>
      </c>
      <c r="N54" s="32" t="inlineStr">
        <is>
          <t>Active</t>
        </is>
      </c>
      <c r="O54" s="32" t="n"/>
      <c r="P54" s="65" t="n">
        <v>4.5</v>
      </c>
      <c r="Q54" s="64" t="n">
        <v>5972</v>
      </c>
      <c r="R54" s="64" t="n">
        <v>19665</v>
      </c>
      <c r="S54" s="64" t="n">
        <v>15</v>
      </c>
      <c r="T54" s="32" t="n"/>
    </row>
    <row r="55" ht="62" customHeight="1">
      <c r="A55" s="10">
        <f>_xlfn.IMAGE("https://m.media-amazon.com/images/I/81Dxp2jtVQL.jpg")</f>
        <v/>
      </c>
      <c r="B55" s="32" t="inlineStr">
        <is>
          <t>B08KQJRL41</t>
        </is>
      </c>
      <c r="C55" s="32" t="inlineStr">
        <is>
          <t>BAMBOO-TWIN-NAVYBLUE</t>
        </is>
      </c>
      <c r="D55" s="32" t="inlineStr">
        <is>
          <t>DECOLURE 100% Viscose from Bamboo Sheets Twin Size | 3 Pc Cooling Bed Set</t>
        </is>
      </c>
      <c r="E55" s="32" t="inlineStr">
        <is>
          <t>Twin</t>
        </is>
      </c>
      <c r="F55" s="32" t="inlineStr">
        <is>
          <t>Navy Blue</t>
        </is>
      </c>
      <c r="G55" s="60" t="n">
        <v>64.98999999999999</v>
      </c>
      <c r="H55" s="32" t="inlineStr">
        <is>
          <t>Helium 10 Xray, 2026-10-13</t>
        </is>
      </c>
      <c r="I55" s="61" t="n">
        <v>59.99</v>
      </c>
      <c r="J55" s="62" t="inlineStr">
        <is>
          <t>2026-03-30</t>
        </is>
      </c>
      <c r="K55" s="33" t="n">
        <v>25.98</v>
      </c>
      <c r="L55" s="63" t="n">
        <v>0.4330721786964495</v>
      </c>
      <c r="M55" s="64" t="n">
        <v>12</v>
      </c>
      <c r="N55" s="32" t="inlineStr">
        <is>
          <t>Active</t>
        </is>
      </c>
      <c r="O55" s="32" t="n"/>
      <c r="P55" s="65" t="n">
        <v>4.5</v>
      </c>
      <c r="Q55" s="64" t="n">
        <v>5972</v>
      </c>
      <c r="R55" s="64" t="n">
        <v>19665</v>
      </c>
      <c r="S55" s="64" t="n">
        <v>17</v>
      </c>
      <c r="T55" s="32" t="n"/>
    </row>
    <row r="56" ht="62" customHeight="1">
      <c r="A56" s="10">
        <f>_xlfn.IMAGE("https://m.media-amazon.com/images/I/81D6WwGAJIL.jpg")</f>
        <v/>
      </c>
      <c r="B56" s="32" t="inlineStr">
        <is>
          <t>B08KQJBFFZ</t>
        </is>
      </c>
      <c r="C56" s="32" t="inlineStr">
        <is>
          <t>BAMBOO-TWIN-TAUPE</t>
        </is>
      </c>
      <c r="D56" s="32" t="inlineStr">
        <is>
          <t>DECOLURE 100% Viscose from Bamboo Sheets Twin Size | 3 Pc Cooling Bed Set</t>
        </is>
      </c>
      <c r="E56" s="32" t="inlineStr">
        <is>
          <t>Twin</t>
        </is>
      </c>
      <c r="F56" s="32" t="inlineStr">
        <is>
          <t>Taupe</t>
        </is>
      </c>
      <c r="G56" s="60" t="n">
        <v>64.98999999999999</v>
      </c>
      <c r="H56" s="32" t="inlineStr">
        <is>
          <t>Helium 10 Xray, 2026-10-13</t>
        </is>
      </c>
      <c r="I56" s="61" t="n">
        <v>59.99</v>
      </c>
      <c r="J56" s="62" t="inlineStr">
        <is>
          <t>2026-03-30</t>
        </is>
      </c>
      <c r="K56" s="33" t="n">
        <v>25.24</v>
      </c>
      <c r="L56" s="63" t="n">
        <v>0.4207367894649108</v>
      </c>
      <c r="M56" s="64" t="n">
        <v>12</v>
      </c>
      <c r="N56" s="32" t="inlineStr">
        <is>
          <t>Active</t>
        </is>
      </c>
      <c r="O56" s="32" t="n"/>
      <c r="P56" s="65" t="n">
        <v>4.5</v>
      </c>
      <c r="Q56" s="64" t="n">
        <v>5972</v>
      </c>
      <c r="R56" s="64" t="n">
        <v>19668</v>
      </c>
      <c r="S56" s="64" t="n">
        <v>23</v>
      </c>
      <c r="T56" s="32" t="n"/>
    </row>
    <row r="57" ht="62" customHeight="1">
      <c r="A57" s="10">
        <f>_xlfn.IMAGE("https://m.media-amazon.com/images/I/81kW25KnIDL.jpg")</f>
        <v/>
      </c>
      <c r="B57" s="32" t="inlineStr">
        <is>
          <t>B0CRHYHS4X</t>
        </is>
      </c>
      <c r="C57" s="32" t="inlineStr">
        <is>
          <t>BAMBOO-CALIFKING-BURGUNDY-NEW</t>
        </is>
      </c>
      <c r="D57" s="32" t="inlineStr">
        <is>
          <t>DECOLURE 100% Viscose from Bamboo Sheets | 4 Pc Cooling Bed Set</t>
        </is>
      </c>
      <c r="E57" s="32" t="inlineStr">
        <is>
          <t>California King</t>
        </is>
      </c>
      <c r="F57" s="32" t="inlineStr">
        <is>
          <t>Burgundy</t>
        </is>
      </c>
      <c r="G57" s="60" t="n">
        <v>94.98999999999999</v>
      </c>
      <c r="H57" s="32" t="inlineStr">
        <is>
          <t>Helium 10 Xray, 2026-10-13</t>
        </is>
      </c>
      <c r="I57" s="33" t="n"/>
      <c r="J57" s="32" t="n"/>
      <c r="K57" s="33" t="n"/>
      <c r="L57" s="63" t="n"/>
      <c r="M57" s="64" t="n">
        <v>11</v>
      </c>
      <c r="N57" s="32" t="inlineStr">
        <is>
          <t>Active</t>
        </is>
      </c>
      <c r="O57" s="32" t="n"/>
      <c r="P57" s="65" t="n">
        <v>4.5</v>
      </c>
      <c r="Q57" s="64" t="n">
        <v>5972</v>
      </c>
      <c r="R57" s="64" t="n">
        <v>19668</v>
      </c>
      <c r="S57" s="64" t="n">
        <v>4</v>
      </c>
      <c r="T57" s="32" t="n"/>
    </row>
    <row r="58" ht="62" customHeight="1">
      <c r="A58" s="10">
        <f>_xlfn.IMAGE("https://m.media-amazon.com/images/I/81OoEiBHwdL.jpg")</f>
        <v/>
      </c>
      <c r="B58" s="32" t="inlineStr">
        <is>
          <t>B08KQJHKFJ</t>
        </is>
      </c>
      <c r="C58" s="32" t="inlineStr">
        <is>
          <t>BAMBOO-FULL-LIGHTGREY</t>
        </is>
      </c>
      <c r="D58" s="32" t="inlineStr">
        <is>
          <t>DECOLURE 100% Viscose from Bamboo Sheets Full Size | 4 Pc Cooling Bed Set</t>
        </is>
      </c>
      <c r="E58" s="32" t="inlineStr">
        <is>
          <t>Full</t>
        </is>
      </c>
      <c r="F58" s="32" t="inlineStr">
        <is>
          <t>Light Grey</t>
        </is>
      </c>
      <c r="G58" s="60" t="n">
        <v>69.98999999999999</v>
      </c>
      <c r="H58" s="32" t="inlineStr">
        <is>
          <t>Helium 10 Xray, 2026-10-13</t>
        </is>
      </c>
      <c r="I58" s="61" t="n">
        <v>81.98999999999999</v>
      </c>
      <c r="J58" s="62" t="inlineStr">
        <is>
          <t>2026-03-30</t>
        </is>
      </c>
      <c r="K58" s="33" t="n">
        <v>39.42</v>
      </c>
      <c r="L58" s="63" t="n">
        <v>0.4807903402854007</v>
      </c>
      <c r="M58" s="64" t="n">
        <v>10</v>
      </c>
      <c r="N58" s="32" t="inlineStr">
        <is>
          <t>Active</t>
        </is>
      </c>
      <c r="O58" s="32" t="n"/>
      <c r="P58" s="65" t="n">
        <v>4.5</v>
      </c>
      <c r="Q58" s="64" t="n">
        <v>5972</v>
      </c>
      <c r="R58" s="64" t="n">
        <v>19665</v>
      </c>
      <c r="S58" s="64" t="n">
        <v>7</v>
      </c>
      <c r="T58" s="32" t="n"/>
    </row>
    <row r="59" ht="62" customHeight="1">
      <c r="A59" s="10">
        <f>_xlfn.IMAGE("https://m.media-amazon.com/images/I/81T+gwobemL.jpg")</f>
        <v/>
      </c>
      <c r="B59" s="32" t="inlineStr">
        <is>
          <t>B0CLKFLJMZ</t>
        </is>
      </c>
      <c r="C59" s="32" t="inlineStr">
        <is>
          <t>BAMBOO-FULL-SAGE GREEN</t>
        </is>
      </c>
      <c r="D59" s="32" t="inlineStr">
        <is>
          <t>DECOLURE 100% Viscose from Bamboo Sheets Full Size | 4 Pc Cooling Bed Set</t>
        </is>
      </c>
      <c r="E59" s="32" t="inlineStr">
        <is>
          <t>Full</t>
        </is>
      </c>
      <c r="F59" s="32" t="inlineStr">
        <is>
          <t>Sage Green</t>
        </is>
      </c>
      <c r="G59" s="60" t="n">
        <v>74.98999999999999</v>
      </c>
      <c r="H59" s="32" t="inlineStr">
        <is>
          <t>Helium 10 Xray, 2026-10-13</t>
        </is>
      </c>
      <c r="I59" s="61" t="n">
        <v>92.98999999999999</v>
      </c>
      <c r="J59" s="62" t="inlineStr">
        <is>
          <t>2026-03-30</t>
        </is>
      </c>
      <c r="K59" s="33" t="n">
        <v>47.83999999999999</v>
      </c>
      <c r="L59" s="63" t="n">
        <v>0.5144639208517044</v>
      </c>
      <c r="M59" s="64" t="n">
        <v>10</v>
      </c>
      <c r="N59" s="32" t="inlineStr">
        <is>
          <t>Active</t>
        </is>
      </c>
      <c r="O59" s="32" t="n"/>
      <c r="P59" s="65" t="n">
        <v>4.5</v>
      </c>
      <c r="Q59" s="64" t="n">
        <v>5972</v>
      </c>
      <c r="R59" s="64" t="n">
        <v>19668</v>
      </c>
      <c r="S59" s="64" t="n">
        <v>9</v>
      </c>
      <c r="T59" s="32" t="n"/>
    </row>
    <row r="60" ht="62" customHeight="1">
      <c r="A60" s="10">
        <f>_xlfn.IMAGE("https://m.media-amazon.com/images/I/81jAmePDWeL.jpg")</f>
        <v/>
      </c>
      <c r="B60" s="32" t="inlineStr">
        <is>
          <t>B0BZQ19Z44</t>
        </is>
      </c>
      <c r="C60" s="32" t="inlineStr">
        <is>
          <t>BAMBOO-QUEEN-LIGHTOLIVE</t>
        </is>
      </c>
      <c r="D60" s="32" t="inlineStr">
        <is>
          <t>DECOLURE 100% Viscose from Bamboo Sheets Queen Size | 4 Pc Cooling Bed Set</t>
        </is>
      </c>
      <c r="E60" s="32" t="inlineStr">
        <is>
          <t>Queen</t>
        </is>
      </c>
      <c r="F60" s="32" t="inlineStr">
        <is>
          <t>Light Olive</t>
        </is>
      </c>
      <c r="G60" s="60" t="n">
        <v>89.98999999999999</v>
      </c>
      <c r="H60" s="32" t="inlineStr">
        <is>
          <t>Helium 10 Xray, 2026-10-13</t>
        </is>
      </c>
      <c r="I60" s="61" t="n">
        <v>79.98999999999999</v>
      </c>
      <c r="J60" s="62" t="inlineStr">
        <is>
          <t>2026-03-30</t>
        </is>
      </c>
      <c r="K60" s="33" t="n">
        <v>34.61999999999999</v>
      </c>
      <c r="L60" s="63" t="n">
        <v>0.432804100512564</v>
      </c>
      <c r="M60" s="64" t="n">
        <v>10</v>
      </c>
      <c r="N60" s="32" t="inlineStr">
        <is>
          <t>Active</t>
        </is>
      </c>
      <c r="O60" s="32" t="n"/>
      <c r="P60" s="65" t="n">
        <v>4.5</v>
      </c>
      <c r="Q60" s="64" t="n">
        <v>5972</v>
      </c>
      <c r="R60" s="64" t="n">
        <v>19665</v>
      </c>
      <c r="S60" s="64" t="n">
        <v>9</v>
      </c>
      <c r="T60" s="32" t="n"/>
    </row>
    <row r="61" ht="62" customHeight="1">
      <c r="A61" s="10">
        <f>_xlfn.IMAGE("https://m.media-amazon.com/images/I/81hxPp-zxnL.jpg")</f>
        <v/>
      </c>
      <c r="B61" s="32" t="inlineStr">
        <is>
          <t>B0CLKD23ZH</t>
        </is>
      </c>
      <c r="C61" s="32" t="inlineStr">
        <is>
          <t>BAMBOO-CALIFKING-LIGHT PINK</t>
        </is>
      </c>
      <c r="D61" s="32" t="inlineStr">
        <is>
          <t>DECOLURE 100% Viscose from Bamboo Sheets | 4 Pc Cooling Bed Set</t>
        </is>
      </c>
      <c r="E61" s="32" t="inlineStr">
        <is>
          <t>California King</t>
        </is>
      </c>
      <c r="F61" s="32" t="inlineStr">
        <is>
          <t>Light Pink</t>
        </is>
      </c>
      <c r="G61" s="60" t="n">
        <v>94.98999999999999</v>
      </c>
      <c r="H61" s="32" t="inlineStr">
        <is>
          <t>Helium 10 Xray, 2026-10-13</t>
        </is>
      </c>
      <c r="I61" s="61" t="n">
        <v>84.98999999999999</v>
      </c>
      <c r="J61" s="62" t="inlineStr">
        <is>
          <t>2026-03-30</t>
        </is>
      </c>
      <c r="K61" s="33" t="n">
        <v>34.20999999999999</v>
      </c>
      <c r="L61" s="63" t="n">
        <v>0.4025179432874456</v>
      </c>
      <c r="M61" s="64" t="n">
        <v>9</v>
      </c>
      <c r="N61" s="32" t="inlineStr">
        <is>
          <t>Active</t>
        </is>
      </c>
      <c r="O61" s="32" t="n"/>
      <c r="P61" s="65" t="n">
        <v>4.5</v>
      </c>
      <c r="Q61" s="64" t="n">
        <v>5972</v>
      </c>
      <c r="R61" s="64" t="n">
        <v>19668</v>
      </c>
      <c r="S61" s="64" t="n">
        <v>6</v>
      </c>
      <c r="T61" s="32" t="n"/>
    </row>
    <row r="62" ht="62" customHeight="1">
      <c r="A62" s="10">
        <f>_xlfn.IMAGE("https://m.media-amazon.com/images/I/81aBlh93veL.jpg")</f>
        <v/>
      </c>
      <c r="B62" s="32" t="inlineStr">
        <is>
          <t>B0BZPY841G</t>
        </is>
      </c>
      <c r="C62" s="32" t="inlineStr">
        <is>
          <t>BAMBOO-CALIFKING-MIDGREY</t>
        </is>
      </c>
      <c r="D62" s="32" t="inlineStr">
        <is>
          <t>DECOLURE 100% Viscose from Bamboo Sheets | 4 Pc Cooling Bed Set</t>
        </is>
      </c>
      <c r="E62" s="32" t="inlineStr">
        <is>
          <t>California King</t>
        </is>
      </c>
      <c r="F62" s="32" t="inlineStr">
        <is>
          <t>Midgrey</t>
        </is>
      </c>
      <c r="G62" s="60" t="n">
        <v>94.98999999999999</v>
      </c>
      <c r="H62" s="32" t="inlineStr">
        <is>
          <t>Helium 10 Xray, 2026-10-13</t>
        </is>
      </c>
      <c r="I62" s="61" t="n">
        <v>110.99</v>
      </c>
      <c r="J62" s="62" t="inlineStr">
        <is>
          <t>2026-03-30</t>
        </is>
      </c>
      <c r="K62" s="33" t="n">
        <v>57.33000000000001</v>
      </c>
      <c r="L62" s="63" t="n">
        <v>0.5165330209928823</v>
      </c>
      <c r="M62" s="64" t="n">
        <v>9</v>
      </c>
      <c r="N62" s="32" t="inlineStr">
        <is>
          <t>Active</t>
        </is>
      </c>
      <c r="O62" s="32" t="n"/>
      <c r="P62" s="65" t="n">
        <v>4.5</v>
      </c>
      <c r="Q62" s="64" t="n">
        <v>5972</v>
      </c>
      <c r="R62" s="64" t="n">
        <v>19668</v>
      </c>
      <c r="S62" s="64" t="n">
        <v>5</v>
      </c>
      <c r="T62" s="32" t="n"/>
    </row>
    <row r="63" ht="62" customHeight="1">
      <c r="A63" s="10">
        <f>_xlfn.IMAGE("https://m.media-amazon.com/images/I/81F0yDBRKQL.jpg")</f>
        <v/>
      </c>
      <c r="B63" s="32" t="inlineStr">
        <is>
          <t>B0CLKBT95K</t>
        </is>
      </c>
      <c r="C63" s="32" t="inlineStr">
        <is>
          <t>BAMBOO-TWIN-SAGE GREEN</t>
        </is>
      </c>
      <c r="D63" s="32" t="inlineStr">
        <is>
          <t>DECOLURE 100% Viscose from Bamboo Sheets Twin Size | 3 Pc Cooling Bed Set</t>
        </is>
      </c>
      <c r="E63" s="32" t="inlineStr">
        <is>
          <t>Twin</t>
        </is>
      </c>
      <c r="F63" s="32" t="inlineStr">
        <is>
          <t>Sage Green</t>
        </is>
      </c>
      <c r="G63" s="60" t="n">
        <v>64.98999999999999</v>
      </c>
      <c r="H63" s="32" t="inlineStr">
        <is>
          <t>Helium 10 Xray, 2026-10-13</t>
        </is>
      </c>
      <c r="I63" s="61" t="n">
        <v>59.99</v>
      </c>
      <c r="J63" s="62" t="inlineStr">
        <is>
          <t>2026-03-30</t>
        </is>
      </c>
      <c r="K63" s="33" t="n">
        <v>24.13</v>
      </c>
      <c r="L63" s="63" t="n">
        <v>0.402233705617603</v>
      </c>
      <c r="M63" s="64" t="n">
        <v>9</v>
      </c>
      <c r="N63" s="32" t="inlineStr">
        <is>
          <t>Active</t>
        </is>
      </c>
      <c r="O63" s="32" t="n"/>
      <c r="P63" s="65" t="n">
        <v>4.5</v>
      </c>
      <c r="Q63" s="64" t="n">
        <v>5972</v>
      </c>
      <c r="R63" s="64" t="n">
        <v>19665</v>
      </c>
      <c r="S63" s="64" t="n">
        <v>17</v>
      </c>
      <c r="T63" s="32" t="n"/>
    </row>
    <row r="64" ht="62" customHeight="1">
      <c r="A64" s="10">
        <f>_xlfn.IMAGE("https://m.media-amazon.com/images/I/81wmkV-8ExL.jpg")</f>
        <v/>
      </c>
      <c r="B64" s="32" t="inlineStr">
        <is>
          <t>B08KQJBFFY</t>
        </is>
      </c>
      <c r="C64" s="32" t="inlineStr">
        <is>
          <t>BAMBOO-CALIFKING-GREY</t>
        </is>
      </c>
      <c r="D64" s="32" t="inlineStr">
        <is>
          <t>DECOLURE 100% Viscose from Bamboo Sheets | 4 Pc Cooling Bed Set</t>
        </is>
      </c>
      <c r="E64" s="32" t="inlineStr">
        <is>
          <t>California King</t>
        </is>
      </c>
      <c r="F64" s="32" t="inlineStr">
        <is>
          <t>Grey</t>
        </is>
      </c>
      <c r="G64" s="60" t="n">
        <v>94.98999999999999</v>
      </c>
      <c r="H64" s="32" t="inlineStr">
        <is>
          <t>Helium 10 Xray, 2026-10-13</t>
        </is>
      </c>
      <c r="I64" s="61" t="n">
        <v>79.98999999999999</v>
      </c>
      <c r="J64" s="62" t="inlineStr">
        <is>
          <t>2026-03-04</t>
        </is>
      </c>
      <c r="K64" s="33" t="n">
        <v>30.93</v>
      </c>
      <c r="L64" s="63" t="n">
        <v>0.3866733341667708</v>
      </c>
      <c r="M64" s="64" t="n">
        <v>8</v>
      </c>
      <c r="N64" s="32" t="inlineStr">
        <is>
          <t>Active</t>
        </is>
      </c>
      <c r="O64" s="32" t="n"/>
      <c r="P64" s="65" t="n">
        <v>4.5</v>
      </c>
      <c r="Q64" s="64" t="n">
        <v>5972</v>
      </c>
      <c r="R64" s="64" t="n">
        <v>19665</v>
      </c>
      <c r="S64" s="64" t="n">
        <v>3</v>
      </c>
      <c r="T64" s="32" t="n"/>
    </row>
    <row r="65" ht="62" customHeight="1">
      <c r="A65" s="10">
        <f>_xlfn.IMAGE("https://m.media-amazon.com/images/I/81wmkV-8ExL.jpg")</f>
        <v/>
      </c>
      <c r="B65" s="32" t="inlineStr">
        <is>
          <t>B08KQJP1K7</t>
        </is>
      </c>
      <c r="C65" s="32" t="inlineStr">
        <is>
          <t>BAMBOO-FULL-GREY</t>
        </is>
      </c>
      <c r="D65" s="32" t="inlineStr">
        <is>
          <t>DECOLURE 100% Viscose from Bamboo Sheets Full Size | 4 Pc Cooling Bed Set</t>
        </is>
      </c>
      <c r="E65" s="32" t="inlineStr">
        <is>
          <t>Full</t>
        </is>
      </c>
      <c r="F65" s="32" t="inlineStr">
        <is>
          <t>Grey</t>
        </is>
      </c>
      <c r="G65" s="60" t="n">
        <v>74.98999999999999</v>
      </c>
      <c r="H65" s="32" t="inlineStr">
        <is>
          <t>Helium 10 Xray, 2026-10-13</t>
        </is>
      </c>
      <c r="I65" s="33" t="n"/>
      <c r="J65" s="32" t="n"/>
      <c r="K65" s="33" t="n"/>
      <c r="L65" s="63" t="n"/>
      <c r="M65" s="64" t="n">
        <v>8</v>
      </c>
      <c r="N65" s="32" t="inlineStr">
        <is>
          <t>Active</t>
        </is>
      </c>
      <c r="O65" s="32" t="inlineStr">
        <is>
          <t>Yes (4%)</t>
        </is>
      </c>
      <c r="P65" s="65" t="n">
        <v>4.5</v>
      </c>
      <c r="Q65" s="64" t="n">
        <v>5972</v>
      </c>
      <c r="R65" s="64" t="n">
        <v>19665</v>
      </c>
      <c r="S65" s="64" t="n">
        <v>10</v>
      </c>
      <c r="T65" s="32" t="n"/>
    </row>
    <row r="66" ht="62" customHeight="1">
      <c r="A66" s="10">
        <f>_xlfn.IMAGE("https://m.media-amazon.com/images/I/81wmkV-8ExL.jpg")</f>
        <v/>
      </c>
      <c r="B66" s="32" t="inlineStr">
        <is>
          <t>B08KQJQ3C2</t>
        </is>
      </c>
      <c r="C66" s="32" t="inlineStr">
        <is>
          <t>BAMBOO-KING-GREY</t>
        </is>
      </c>
      <c r="D66" s="32" t="inlineStr">
        <is>
          <t>DECOLURE 100% Viscose from Bamboo Sheets King Size | 4 Pc Cooling Bed Set</t>
        </is>
      </c>
      <c r="E66" s="32" t="inlineStr">
        <is>
          <t>King</t>
        </is>
      </c>
      <c r="F66" s="32" t="inlineStr">
        <is>
          <t>Grey</t>
        </is>
      </c>
      <c r="G66" s="60" t="n">
        <v>84.98999999999999</v>
      </c>
      <c r="H66" s="32" t="inlineStr">
        <is>
          <t>Helium 10 Xray, 2026-10-13</t>
        </is>
      </c>
      <c r="I66" s="61" t="n">
        <v>110.99</v>
      </c>
      <c r="J66" s="62" t="inlineStr">
        <is>
          <t>2026-03-30</t>
        </is>
      </c>
      <c r="K66" s="33" t="n">
        <v>57.99000000000001</v>
      </c>
      <c r="L66" s="63" t="n">
        <v>0.5224795026578972</v>
      </c>
      <c r="M66" s="64" t="n">
        <v>8</v>
      </c>
      <c r="N66" s="32" t="inlineStr">
        <is>
          <t>Active</t>
        </is>
      </c>
      <c r="O66" s="32" t="n"/>
      <c r="P66" s="65" t="n">
        <v>4.5</v>
      </c>
      <c r="Q66" s="64" t="n">
        <v>5972</v>
      </c>
      <c r="R66" s="64" t="n">
        <v>19665</v>
      </c>
      <c r="S66" s="64" t="n">
        <v>15</v>
      </c>
      <c r="T66" s="32" t="n"/>
    </row>
    <row r="67" ht="62" customHeight="1">
      <c r="A67" s="10">
        <f>_xlfn.IMAGE("https://m.media-amazon.com/images/I/81Fhkpx6DdL._AC_SY355_.jpg")</f>
        <v/>
      </c>
      <c r="B67" s="32" t="inlineStr">
        <is>
          <t>B0CRHX3LKM</t>
        </is>
      </c>
      <c r="C67" s="32" t="inlineStr">
        <is>
          <t>BAMBOO-TWIN-BURGUNDY-NEW</t>
        </is>
      </c>
      <c r="D67" s="32" t="inlineStr">
        <is>
          <t>DECOLURE 100% Viscose from Bamboo Sheets Twin Size | 3 Pc Cooling Bed Set</t>
        </is>
      </c>
      <c r="E67" s="32" t="inlineStr">
        <is>
          <t>Twin</t>
        </is>
      </c>
      <c r="F67" s="32" t="inlineStr">
        <is>
          <t>Burgundy</t>
        </is>
      </c>
      <c r="G67" s="60" t="n">
        <v>64.98999999999999</v>
      </c>
      <c r="H67" s="32" t="inlineStr">
        <is>
          <t>Helium 10 Xray, 2026-10-13</t>
        </is>
      </c>
      <c r="I67" s="61" t="n">
        <v>86.98999999999999</v>
      </c>
      <c r="J67" s="62" t="inlineStr">
        <is>
          <t>2026-03-30</t>
        </is>
      </c>
      <c r="K67" s="33" t="n">
        <v>47.59</v>
      </c>
      <c r="L67" s="63" t="n">
        <v>0.5470743763650995</v>
      </c>
      <c r="M67" s="64" t="n">
        <v>8</v>
      </c>
      <c r="N67" s="32" t="n"/>
      <c r="O67" s="32" t="n"/>
      <c r="P67" s="65" t="n">
        <v>4.5</v>
      </c>
      <c r="Q67" s="64" t="n">
        <v>5972</v>
      </c>
      <c r="R67" s="64" t="n">
        <v>19668</v>
      </c>
      <c r="S67" s="64" t="n">
        <v>19</v>
      </c>
      <c r="T67" s="32" t="n"/>
    </row>
    <row r="68" ht="62" customHeight="1">
      <c r="A68" s="10">
        <f>_xlfn.IMAGE("https://m.media-amazon.com/images/I/81OoEiBHwdL.jpg")</f>
        <v/>
      </c>
      <c r="B68" s="32" t="inlineStr">
        <is>
          <t>B08KQK8Z1J</t>
        </is>
      </c>
      <c r="C68" s="32" t="inlineStr">
        <is>
          <t>BAMBOO-TWIN-LIGHTGREY</t>
        </is>
      </c>
      <c r="D68" s="32" t="inlineStr">
        <is>
          <t>DECOLURE 100% Viscose from Bamboo Sheets Twin Size | 3 Pc Cooling Bed Set</t>
        </is>
      </c>
      <c r="E68" s="32" t="inlineStr">
        <is>
          <t>Twin</t>
        </is>
      </c>
      <c r="F68" s="32" t="inlineStr">
        <is>
          <t>Light Grey</t>
        </is>
      </c>
      <c r="G68" s="60" t="n">
        <v>64.98999999999999</v>
      </c>
      <c r="H68" s="32" t="inlineStr">
        <is>
          <t>Helium 10 Xray, 2026-10-13</t>
        </is>
      </c>
      <c r="I68" s="61" t="n">
        <v>81.98999999999999</v>
      </c>
      <c r="J68" s="62" t="inlineStr">
        <is>
          <t>2026-03-30</t>
        </is>
      </c>
      <c r="K68" s="33" t="n">
        <v>42.84</v>
      </c>
      <c r="L68" s="63" t="n">
        <v>0.5225027442371022</v>
      </c>
      <c r="M68" s="64" t="n">
        <v>8</v>
      </c>
      <c r="N68" s="32" t="inlineStr">
        <is>
          <t>Active</t>
        </is>
      </c>
      <c r="O68" s="32" t="n"/>
      <c r="P68" s="65" t="n">
        <v>4.5</v>
      </c>
      <c r="Q68" s="64" t="n">
        <v>5972</v>
      </c>
      <c r="R68" s="64" t="n">
        <v>19665</v>
      </c>
      <c r="S68" s="64" t="n">
        <v>16</v>
      </c>
      <c r="T68" s="32" t="n"/>
    </row>
    <row r="69" ht="62" customHeight="1">
      <c r="A69" s="10">
        <f>_xlfn.IMAGE("https://m.media-amazon.com/images/I/810zJsI9KBL.jpg")</f>
        <v/>
      </c>
      <c r="B69" s="32" t="inlineStr">
        <is>
          <t>B0CLKDMGHC</t>
        </is>
      </c>
      <c r="C69" s="32" t="inlineStr">
        <is>
          <t>BAMBOO-TWIN-LIGHT PINK</t>
        </is>
      </c>
      <c r="D69" s="32" t="inlineStr">
        <is>
          <t>DECOLURE 100% Viscose from Bamboo Sheets Twin Size | 3 Pc Cooling Bed Set</t>
        </is>
      </c>
      <c r="E69" s="32" t="inlineStr">
        <is>
          <t>Twin</t>
        </is>
      </c>
      <c r="F69" s="32" t="inlineStr">
        <is>
          <t>Light Pink</t>
        </is>
      </c>
      <c r="G69" s="60" t="n">
        <v>64.98999999999999</v>
      </c>
      <c r="H69" s="32" t="inlineStr">
        <is>
          <t>Helium 10 Xray, 2026-10-13</t>
        </is>
      </c>
      <c r="I69" s="61" t="n">
        <v>59.99</v>
      </c>
      <c r="J69" s="62" t="inlineStr">
        <is>
          <t>2026-03-30</t>
        </is>
      </c>
      <c r="K69" s="33" t="n">
        <v>25.36</v>
      </c>
      <c r="L69" s="63" t="n">
        <v>0.4227371228538089</v>
      </c>
      <c r="M69" s="64" t="n">
        <v>8</v>
      </c>
      <c r="N69" s="32" t="inlineStr">
        <is>
          <t>Active</t>
        </is>
      </c>
      <c r="O69" s="32" t="n"/>
      <c r="P69" s="65" t="n">
        <v>4.5</v>
      </c>
      <c r="Q69" s="64" t="n">
        <v>5972</v>
      </c>
      <c r="R69" s="64" t="n">
        <v>19665</v>
      </c>
      <c r="S69" s="64" t="n">
        <v>15</v>
      </c>
      <c r="T69" s="32" t="n"/>
    </row>
    <row r="70" ht="62" customHeight="1">
      <c r="A70" s="10">
        <f>_xlfn.IMAGE("https://m.media-amazon.com/images/I/81+SsPmr6TL.jpg")</f>
        <v/>
      </c>
      <c r="B70" s="32" t="inlineStr">
        <is>
          <t>B08KQKKVSX</t>
        </is>
      </c>
      <c r="C70" s="32" t="inlineStr">
        <is>
          <t>BAMBOO-TWIN-OLIVE</t>
        </is>
      </c>
      <c r="D70" s="32" t="inlineStr">
        <is>
          <t>DECOLURE 100% Viscose from Bamboo Sheets Twin Size | 3 Pc Cooling Bed Set</t>
        </is>
      </c>
      <c r="E70" s="32" t="inlineStr">
        <is>
          <t>Twin</t>
        </is>
      </c>
      <c r="F70" s="32" t="inlineStr">
        <is>
          <t>Olive</t>
        </is>
      </c>
      <c r="G70" s="60" t="n">
        <v>64.98999999999999</v>
      </c>
      <c r="H70" s="32" t="inlineStr">
        <is>
          <t>Helium 10 Xray, 2026-10-13</t>
        </is>
      </c>
      <c r="I70" s="61" t="n">
        <v>59.99</v>
      </c>
      <c r="J70" s="62" t="inlineStr">
        <is>
          <t>2026-03-30</t>
        </is>
      </c>
      <c r="K70" s="33" t="n">
        <v>25.62</v>
      </c>
      <c r="L70" s="63" t="n">
        <v>0.427071178529755</v>
      </c>
      <c r="M70" s="64" t="n">
        <v>8</v>
      </c>
      <c r="N70" s="32" t="inlineStr">
        <is>
          <t>Active</t>
        </is>
      </c>
      <c r="O70" s="32" t="n"/>
      <c r="P70" s="65" t="n">
        <v>4.5</v>
      </c>
      <c r="Q70" s="64" t="n">
        <v>5972</v>
      </c>
      <c r="R70" s="64" t="n">
        <v>19665</v>
      </c>
      <c r="S70" s="64" t="n">
        <v>20</v>
      </c>
      <c r="T70" s="32" t="n"/>
    </row>
    <row r="71" ht="62" customHeight="1">
      <c r="A71" s="10">
        <f>_xlfn.IMAGE("https://m.media-amazon.com/images/I/81tiGTo9hDL.jpg")</f>
        <v/>
      </c>
      <c r="B71" s="32" t="inlineStr">
        <is>
          <t>B0BZQ39BTX</t>
        </is>
      </c>
      <c r="C71" s="32" t="inlineStr">
        <is>
          <t>BAMBOO-TWIN-PURPLE</t>
        </is>
      </c>
      <c r="D71" s="32" t="inlineStr">
        <is>
          <t>DECOLURE 100% Viscose from Bamboo Sheets Twin Size | 3 Pc Cooling Bed Set</t>
        </is>
      </c>
      <c r="E71" s="32" t="inlineStr">
        <is>
          <t>Twin</t>
        </is>
      </c>
      <c r="F71" s="32" t="inlineStr">
        <is>
          <t>Purple</t>
        </is>
      </c>
      <c r="G71" s="60" t="n">
        <v>64.98999999999999</v>
      </c>
      <c r="H71" s="32" t="inlineStr">
        <is>
          <t>Helium 10 Xray, 2026-10-13</t>
        </is>
      </c>
      <c r="I71" s="61" t="n">
        <v>59.99</v>
      </c>
      <c r="J71" s="62" t="inlineStr">
        <is>
          <t>2026-03-30</t>
        </is>
      </c>
      <c r="K71" s="33" t="n">
        <v>22.35</v>
      </c>
      <c r="L71" s="63" t="n">
        <v>0.3725620936822803</v>
      </c>
      <c r="M71" s="64" t="n">
        <v>7</v>
      </c>
      <c r="N71" s="32" t="inlineStr">
        <is>
          <t>Active</t>
        </is>
      </c>
      <c r="O71" s="32" t="n"/>
      <c r="P71" s="65" t="n">
        <v>4.5</v>
      </c>
      <c r="Q71" s="64" t="n">
        <v>5972</v>
      </c>
      <c r="R71" s="64" t="n">
        <v>19665</v>
      </c>
      <c r="S71" s="64" t="n">
        <v>19</v>
      </c>
      <c r="T71" s="32" t="n"/>
    </row>
    <row r="72" ht="62" customHeight="1">
      <c r="A72" s="10">
        <f>_xlfn.IMAGE("https://m.media-amazon.com/images/I/81URS7+KRYL.jpg")</f>
        <v/>
      </c>
      <c r="B72" s="32" t="inlineStr">
        <is>
          <t>B0BZPZN1GV</t>
        </is>
      </c>
      <c r="C72" s="32" t="inlineStr">
        <is>
          <t>BAMBOO-TWIN-BLACK</t>
        </is>
      </c>
      <c r="D72" s="32" t="inlineStr">
        <is>
          <t>DECOLURE 100% Viscose from Bamboo Sheets Twin Size | 3 Pc Cooling Bed Set</t>
        </is>
      </c>
      <c r="E72" s="32" t="inlineStr">
        <is>
          <t>Twin</t>
        </is>
      </c>
      <c r="F72" s="32" t="inlineStr">
        <is>
          <t>Black</t>
        </is>
      </c>
      <c r="G72" s="60" t="n">
        <v>64.98999999999999</v>
      </c>
      <c r="H72" s="32" t="inlineStr">
        <is>
          <t>Helium 10 Xray, 2026-10-13</t>
        </is>
      </c>
      <c r="I72" s="61" t="n">
        <v>59.99</v>
      </c>
      <c r="J72" s="62" t="inlineStr">
        <is>
          <t>2026-03-30</t>
        </is>
      </c>
      <c r="K72" s="33" t="n">
        <v>25.33</v>
      </c>
      <c r="L72" s="63" t="n">
        <v>0.4222370395065844</v>
      </c>
      <c r="M72" s="64" t="n">
        <v>6</v>
      </c>
      <c r="N72" s="32" t="inlineStr">
        <is>
          <t>Active</t>
        </is>
      </c>
      <c r="O72" s="32" t="n"/>
      <c r="P72" s="65" t="n">
        <v>4.5</v>
      </c>
      <c r="Q72" s="64" t="n">
        <v>5972</v>
      </c>
      <c r="R72" s="64" t="n">
        <v>19665</v>
      </c>
      <c r="S72" s="64" t="n">
        <v>16</v>
      </c>
      <c r="T72" s="32" t="n"/>
    </row>
    <row r="73" ht="62" customHeight="1">
      <c r="A73" s="10">
        <f>_xlfn.IMAGE("https://m.media-amazon.com/images/I/81tcLn4AhyL._AC_SY355_.jpg")</f>
        <v/>
      </c>
      <c r="B73" s="32" t="inlineStr">
        <is>
          <t>B08KQKJXDK</t>
        </is>
      </c>
      <c r="C73" s="32" t="inlineStr">
        <is>
          <t>BAMBOO-TWIN-GREY</t>
        </is>
      </c>
      <c r="D73" s="32" t="inlineStr">
        <is>
          <t>DECOLURE 100% Viscose from Bamboo Sheets Twin Size | 3 Pc Cooling Bed Set</t>
        </is>
      </c>
      <c r="E73" s="32" t="inlineStr">
        <is>
          <t>Twin</t>
        </is>
      </c>
      <c r="F73" s="32" t="inlineStr">
        <is>
          <t>Grey</t>
        </is>
      </c>
      <c r="G73" s="60" t="n">
        <v>64.98999999999999</v>
      </c>
      <c r="H73" s="32" t="inlineStr">
        <is>
          <t>Helium 10 Xray, 2026-10-13</t>
        </is>
      </c>
      <c r="I73" s="61" t="n">
        <v>54.99</v>
      </c>
      <c r="J73" s="62" t="inlineStr">
        <is>
          <t>2026-03-30</t>
        </is>
      </c>
      <c r="K73" s="33" t="n">
        <v>19.61</v>
      </c>
      <c r="L73" s="63" t="n">
        <v>0.3566102927805055</v>
      </c>
      <c r="M73" s="64" t="n">
        <v>6</v>
      </c>
      <c r="N73" s="32" t="n"/>
      <c r="O73" s="32" t="n"/>
      <c r="P73" s="65" t="n">
        <v>4.5</v>
      </c>
      <c r="Q73" s="64" t="n">
        <v>5972</v>
      </c>
      <c r="R73" s="64" t="n">
        <v>19665</v>
      </c>
      <c r="S73" s="64" t="n">
        <v>17</v>
      </c>
      <c r="T73" s="32" t="n"/>
    </row>
    <row r="74" ht="62" customHeight="1">
      <c r="A74" s="10">
        <f>_xlfn.IMAGE("https://m.media-amazon.com/images/I/81jAmePDWeL.jpg")</f>
        <v/>
      </c>
      <c r="B74" s="32" t="inlineStr">
        <is>
          <t>B0BZQ19Z47</t>
        </is>
      </c>
      <c r="C74" s="32" t="inlineStr">
        <is>
          <t>BAMBOO-CALIFKING-LIGHTOLIVE</t>
        </is>
      </c>
      <c r="D74" s="32" t="inlineStr">
        <is>
          <t>DECOLURE 100% Viscose from Bamboo Sheets | 4 Pc Cooling Bed Set</t>
        </is>
      </c>
      <c r="E74" s="32" t="inlineStr">
        <is>
          <t>California King</t>
        </is>
      </c>
      <c r="F74" s="32" t="inlineStr">
        <is>
          <t>Light Olive</t>
        </is>
      </c>
      <c r="G74" s="60" t="n">
        <v>94.98999999999999</v>
      </c>
      <c r="H74" s="32" t="inlineStr">
        <is>
          <t>Helium 10 Xray, 2026-10-13</t>
        </is>
      </c>
      <c r="I74" s="61" t="n">
        <v>84.98999999999999</v>
      </c>
      <c r="J74" s="62" t="inlineStr">
        <is>
          <t>2026-03-30</t>
        </is>
      </c>
      <c r="K74" s="33" t="n">
        <v>33.45999999999999</v>
      </c>
      <c r="L74" s="63" t="n">
        <v>0.3936933756912577</v>
      </c>
      <c r="M74" s="64" t="n">
        <v>5</v>
      </c>
      <c r="N74" s="32" t="inlineStr">
        <is>
          <t>Active</t>
        </is>
      </c>
      <c r="O74" s="32" t="n"/>
      <c r="P74" s="65" t="n">
        <v>4.5</v>
      </c>
      <c r="Q74" s="64" t="n">
        <v>5972</v>
      </c>
      <c r="R74" s="64" t="n">
        <v>19665</v>
      </c>
      <c r="S74" s="64" t="n">
        <v>4</v>
      </c>
      <c r="T74" s="32" t="n"/>
    </row>
    <row r="75" ht="62" customHeight="1">
      <c r="A75" s="10">
        <f>_xlfn.IMAGE("https://m.media-amazon.com/images/I/81iM1GJtuCL.jpg")</f>
        <v/>
      </c>
      <c r="B75" s="32" t="inlineStr">
        <is>
          <t>B0BZQ19QT6</t>
        </is>
      </c>
      <c r="C75" s="32" t="inlineStr">
        <is>
          <t>BAMBOO-FULL-CHARCOAL</t>
        </is>
      </c>
      <c r="D75" s="32" t="inlineStr">
        <is>
          <t>DECOLURE 100% Viscose from Bamboo Sheets Full Size | 4 Pc Cooling Bed Set</t>
        </is>
      </c>
      <c r="E75" s="32" t="inlineStr">
        <is>
          <t>Full</t>
        </is>
      </c>
      <c r="F75" s="32" t="inlineStr">
        <is>
          <t>Charcoal</t>
        </is>
      </c>
      <c r="G75" s="60" t="n">
        <v>74.98999999999999</v>
      </c>
      <c r="H75" s="32" t="inlineStr">
        <is>
          <t>Helium 10 Xray, 2026-10-13</t>
        </is>
      </c>
      <c r="I75" s="61" t="n">
        <v>69.98999999999999</v>
      </c>
      <c r="J75" s="62" t="inlineStr">
        <is>
          <t>2026-03-30</t>
        </is>
      </c>
      <c r="K75" s="33" t="n">
        <v>28.38</v>
      </c>
      <c r="L75" s="63" t="n">
        <v>0.4054864980711529</v>
      </c>
      <c r="M75" s="64" t="n">
        <v>5</v>
      </c>
      <c r="N75" s="32" t="inlineStr">
        <is>
          <t>Active</t>
        </is>
      </c>
      <c r="O75" s="32" t="n"/>
      <c r="P75" s="65" t="n">
        <v>4.5</v>
      </c>
      <c r="Q75" s="64" t="n">
        <v>5972</v>
      </c>
      <c r="R75" s="64" t="n">
        <v>19665</v>
      </c>
      <c r="S75" s="64" t="n">
        <v>10</v>
      </c>
      <c r="T75" s="32" t="n"/>
    </row>
    <row r="76" ht="62" customHeight="1">
      <c r="A76" s="10">
        <f>_xlfn.IMAGE("https://m.media-amazon.com/images/I/81Jj2qvOarL.jpg")</f>
        <v/>
      </c>
      <c r="B76" s="32" t="inlineStr">
        <is>
          <t>B08KQJYDCR</t>
        </is>
      </c>
      <c r="C76" s="32" t="inlineStr">
        <is>
          <t>BAMBOO-FULL-LIGHTBLUE</t>
        </is>
      </c>
      <c r="D76" s="32" t="inlineStr">
        <is>
          <t>DECOLURE 100% Viscose Derived from Bamboo Sheets Full Size | 4 Pc Bed Set</t>
        </is>
      </c>
      <c r="E76" s="32" t="inlineStr">
        <is>
          <t>Full</t>
        </is>
      </c>
      <c r="F76" s="32" t="inlineStr">
        <is>
          <t>Light Blue</t>
        </is>
      </c>
      <c r="G76" s="60" t="n">
        <v>69.98999999999999</v>
      </c>
      <c r="H76" s="32" t="inlineStr">
        <is>
          <t>Helium 10 Xray, 2026-10-13</t>
        </is>
      </c>
      <c r="I76" s="61" t="n">
        <v>69.98999999999999</v>
      </c>
      <c r="J76" s="62" t="inlineStr">
        <is>
          <t>2026-03-30</t>
        </is>
      </c>
      <c r="K76" s="33" t="n">
        <v>28.82999999999999</v>
      </c>
      <c r="L76" s="63" t="n">
        <v>0.4119159879982854</v>
      </c>
      <c r="M76" s="64" t="n">
        <v>5</v>
      </c>
      <c r="N76" s="32" t="inlineStr">
        <is>
          <t>Active</t>
        </is>
      </c>
      <c r="O76" s="32" t="n"/>
      <c r="P76" s="65" t="n">
        <v>3.9</v>
      </c>
      <c r="Q76" s="64" t="n">
        <v>61</v>
      </c>
      <c r="R76" s="64" t="n">
        <v>1536373</v>
      </c>
      <c r="S76" s="64" t="n">
        <v>10</v>
      </c>
      <c r="T76" s="66" t="inlineStr">
        <is>
          <t>SEPARATE listing - not in the main review family</t>
        </is>
      </c>
    </row>
    <row r="77" ht="62" customHeight="1">
      <c r="A77" s="10">
        <f>_xlfn.IMAGE("https://m.media-amazon.com/images/I/81b+6M6XcyL.jpg")</f>
        <v/>
      </c>
      <c r="B77" s="32" t="inlineStr">
        <is>
          <t>B0BZQ21K22</t>
        </is>
      </c>
      <c r="C77" s="32" t="inlineStr">
        <is>
          <t>BAMBOO-TWIN-MIDGREY</t>
        </is>
      </c>
      <c r="D77" s="32" t="inlineStr">
        <is>
          <t>DECOLURE 100% Viscose from Bamboo Sheets Twin Size | 3 Pc Cooling Bed Set</t>
        </is>
      </c>
      <c r="E77" s="32" t="inlineStr">
        <is>
          <t>Twin</t>
        </is>
      </c>
      <c r="F77" s="32" t="inlineStr">
        <is>
          <t>Midgrey</t>
        </is>
      </c>
      <c r="G77" s="60" t="n">
        <v>64.98999999999999</v>
      </c>
      <c r="H77" s="32" t="inlineStr">
        <is>
          <t>Helium 10 Xray, 2026-10-13</t>
        </is>
      </c>
      <c r="I77" s="61" t="n">
        <v>86.98999999999999</v>
      </c>
      <c r="J77" s="62" t="inlineStr">
        <is>
          <t>2026-03-30</t>
        </is>
      </c>
      <c r="K77" s="33" t="n">
        <v>48.2</v>
      </c>
      <c r="L77" s="63" t="n">
        <v>0.5540866766294977</v>
      </c>
      <c r="M77" s="64" t="n">
        <v>5</v>
      </c>
      <c r="N77" s="32" t="inlineStr">
        <is>
          <t>Active</t>
        </is>
      </c>
      <c r="O77" s="32" t="n"/>
      <c r="P77" s="65" t="n">
        <v>4.5</v>
      </c>
      <c r="Q77" s="64" t="n">
        <v>5972</v>
      </c>
      <c r="R77" s="64" t="n">
        <v>19665</v>
      </c>
      <c r="S77" s="64" t="n">
        <v>18</v>
      </c>
      <c r="T77" s="32" t="n"/>
    </row>
    <row r="78" ht="62" customHeight="1">
      <c r="A78" s="10">
        <f>_xlfn.IMAGE("https://m.media-amazon.com/images/I/81mgYawt2DL.jpg")</f>
        <v/>
      </c>
      <c r="B78" s="32" t="inlineStr">
        <is>
          <t>B0BZQ1G5B8</t>
        </is>
      </c>
      <c r="C78" s="32" t="inlineStr">
        <is>
          <t>BAMBOO-CALIFKING-BLACK</t>
        </is>
      </c>
      <c r="D78" s="32" t="inlineStr">
        <is>
          <t>DECOLURE 100% Viscose from Bamboo Sheets | 4 Pc Cooling Bed Set</t>
        </is>
      </c>
      <c r="E78" s="32" t="inlineStr">
        <is>
          <t>California King</t>
        </is>
      </c>
      <c r="F78" s="32" t="inlineStr">
        <is>
          <t>Black</t>
        </is>
      </c>
      <c r="G78" s="60" t="n">
        <v>94.98999999999999</v>
      </c>
      <c r="H78" s="32" t="inlineStr">
        <is>
          <t>Helium 10 Xray, 2026-10-13</t>
        </is>
      </c>
      <c r="I78" s="33" t="n"/>
      <c r="J78" s="32" t="n"/>
      <c r="K78" s="33" t="n"/>
      <c r="L78" s="63" t="n"/>
      <c r="M78" s="64" t="n">
        <v>4</v>
      </c>
      <c r="N78" s="32" t="inlineStr">
        <is>
          <t>Active</t>
        </is>
      </c>
      <c r="O78" s="32" t="n"/>
      <c r="P78" s="65" t="n">
        <v>4.5</v>
      </c>
      <c r="Q78" s="64" t="n">
        <v>5972</v>
      </c>
      <c r="R78" s="64" t="n">
        <v>19665</v>
      </c>
      <c r="S78" s="64" t="n">
        <v>5</v>
      </c>
      <c r="T78" s="32" t="n"/>
    </row>
    <row r="79" ht="62" customHeight="1">
      <c r="A79" s="10">
        <f>_xlfn.IMAGE("https://m.media-amazon.com/images/I/81Jrmiuxy2L.jpg")</f>
        <v/>
      </c>
      <c r="B79" s="32" t="inlineStr">
        <is>
          <t>B08KQ3C8BX</t>
        </is>
      </c>
      <c r="C79" s="32" t="inlineStr">
        <is>
          <t>BAMBOO-CALIFKING-NAVYBLUE</t>
        </is>
      </c>
      <c r="D79" s="32" t="inlineStr">
        <is>
          <t>DECOLURE 100% Viscose from Bamboo Sheets | 4 Pc Cooling Bed Set</t>
        </is>
      </c>
      <c r="E79" s="32" t="inlineStr">
        <is>
          <t>California King</t>
        </is>
      </c>
      <c r="F79" s="32" t="inlineStr">
        <is>
          <t>Navy Blue</t>
        </is>
      </c>
      <c r="G79" s="60" t="n">
        <v>94.98999999999999</v>
      </c>
      <c r="H79" s="32" t="inlineStr">
        <is>
          <t>Helium 10 Xray, 2026-10-13</t>
        </is>
      </c>
      <c r="I79" s="61" t="n">
        <v>79.98999999999999</v>
      </c>
      <c r="J79" s="62" t="inlineStr">
        <is>
          <t>2026-03-10</t>
        </is>
      </c>
      <c r="K79" s="33" t="n">
        <v>31.45</v>
      </c>
      <c r="L79" s="63" t="n">
        <v>0.393174146768346</v>
      </c>
      <c r="M79" s="64" t="n">
        <v>4</v>
      </c>
      <c r="N79" s="32" t="inlineStr">
        <is>
          <t>Active</t>
        </is>
      </c>
      <c r="O79" s="32" t="n"/>
      <c r="P79" s="65" t="n">
        <v>4.5</v>
      </c>
      <c r="Q79" s="64" t="n">
        <v>5972</v>
      </c>
      <c r="R79" s="64" t="n">
        <v>19668</v>
      </c>
      <c r="S79" s="64" t="n">
        <v>4</v>
      </c>
      <c r="T79" s="32" t="n"/>
    </row>
    <row r="80" ht="62" customHeight="1">
      <c r="A80" s="10">
        <f>_xlfn.IMAGE("https://m.media-amazon.com/images/I/81jAmePDWeL.jpg")</f>
        <v/>
      </c>
      <c r="B80" s="32" t="inlineStr">
        <is>
          <t>B0BZPZPGDC</t>
        </is>
      </c>
      <c r="C80" s="32" t="inlineStr">
        <is>
          <t>BAMBOO-FULL-LIGHTOLIVE</t>
        </is>
      </c>
      <c r="D80" s="32" t="inlineStr">
        <is>
          <t>DECOLURE 100% Viscose from Bamboo Sheets Full Size | 4 Pc Cooling Bed Set</t>
        </is>
      </c>
      <c r="E80" s="32" t="inlineStr">
        <is>
          <t>Full</t>
        </is>
      </c>
      <c r="F80" s="32" t="inlineStr">
        <is>
          <t>Light Olive</t>
        </is>
      </c>
      <c r="G80" s="60" t="n">
        <v>74.98999999999999</v>
      </c>
      <c r="H80" s="32" t="inlineStr">
        <is>
          <t>Helium 10 Xray, 2026-10-13</t>
        </is>
      </c>
      <c r="I80" s="61" t="n">
        <v>90.98999999999999</v>
      </c>
      <c r="J80" s="62" t="inlineStr">
        <is>
          <t>2026-03-30</t>
        </is>
      </c>
      <c r="K80" s="33" t="n">
        <v>45.73999999999999</v>
      </c>
      <c r="L80" s="63" t="n">
        <v>0.5026926035828112</v>
      </c>
      <c r="M80" s="64" t="n">
        <v>4</v>
      </c>
      <c r="N80" s="32" t="inlineStr">
        <is>
          <t>Active</t>
        </is>
      </c>
      <c r="O80" s="32" t="n"/>
      <c r="P80" s="65" t="n">
        <v>4.5</v>
      </c>
      <c r="Q80" s="64" t="n">
        <v>5972</v>
      </c>
      <c r="R80" s="64" t="n">
        <v>19665</v>
      </c>
      <c r="S80" s="64" t="n">
        <v>17</v>
      </c>
      <c r="T80" s="32" t="n"/>
    </row>
    <row r="81" ht="62" customHeight="1">
      <c r="A81" s="10">
        <f>_xlfn.IMAGE("https://m.media-amazon.com/images/I/81hxPp-zxnL.jpg")</f>
        <v/>
      </c>
      <c r="B81" s="32" t="inlineStr">
        <is>
          <t>B0CLKDSVCV</t>
        </is>
      </c>
      <c r="C81" s="32" t="inlineStr">
        <is>
          <t>BAMBOO-FULL-LIGHT PINK</t>
        </is>
      </c>
      <c r="D81" s="32" t="inlineStr">
        <is>
          <t>DECOLURE 100% Viscose from Bamboo Sheets Full Size | 4 Pc Cooling Bed Set</t>
        </is>
      </c>
      <c r="E81" s="32" t="inlineStr">
        <is>
          <t>Full</t>
        </is>
      </c>
      <c r="F81" s="32" t="inlineStr">
        <is>
          <t>Light Pink</t>
        </is>
      </c>
      <c r="G81" s="60" t="n">
        <v>55.05</v>
      </c>
      <c r="H81" s="32" t="inlineStr">
        <is>
          <t>Helium 10 Xray, 2026-10-13</t>
        </is>
      </c>
      <c r="I81" s="61" t="n">
        <v>64.98999999999999</v>
      </c>
      <c r="J81" s="62" t="inlineStr">
        <is>
          <t>2026-03-04</t>
        </is>
      </c>
      <c r="K81" s="33" t="n">
        <v>25.06</v>
      </c>
      <c r="L81" s="63" t="n">
        <v>0.3855977842745038</v>
      </c>
      <c r="M81" s="64" t="n">
        <v>4</v>
      </c>
      <c r="N81" s="32" t="inlineStr">
        <is>
          <t>Active</t>
        </is>
      </c>
      <c r="O81" s="32" t="n"/>
      <c r="P81" s="65" t="n">
        <v>4.5</v>
      </c>
      <c r="Q81" s="64" t="n">
        <v>5972</v>
      </c>
      <c r="R81" s="64" t="n">
        <v>19665</v>
      </c>
      <c r="S81" s="64" t="n">
        <v>24</v>
      </c>
      <c r="T81" s="32" t="n"/>
    </row>
    <row r="82" ht="62" customHeight="1">
      <c r="A82" s="10">
        <f>_xlfn.IMAGE("https://m.media-amazon.com/images/I/81xF6TwRowL._AC_SY355_.jpg")</f>
        <v/>
      </c>
      <c r="B82" s="32" t="inlineStr">
        <is>
          <t>B08KQKS54Q</t>
        </is>
      </c>
      <c r="C82" s="32" t="inlineStr">
        <is>
          <t>BAMBOO-TWIN-CREME</t>
        </is>
      </c>
      <c r="D82" s="32" t="inlineStr">
        <is>
          <t>DECOLURE 100% Viscose from Bamboo Sheets Twin Size | 3 Pc Cooling Bed Set</t>
        </is>
      </c>
      <c r="E82" s="32" t="inlineStr">
        <is>
          <t>Twin</t>
        </is>
      </c>
      <c r="F82" s="32" t="inlineStr">
        <is>
          <t>Creme</t>
        </is>
      </c>
      <c r="G82" s="60" t="n">
        <v>64.98999999999999</v>
      </c>
      <c r="H82" s="32" t="inlineStr">
        <is>
          <t>Helium 10 Xray, 2026-10-13</t>
        </is>
      </c>
      <c r="I82" s="61" t="n">
        <v>59.99</v>
      </c>
      <c r="J82" s="62" t="inlineStr">
        <is>
          <t>2026-03-30</t>
        </is>
      </c>
      <c r="K82" s="33" t="n">
        <v>24.98</v>
      </c>
      <c r="L82" s="63" t="n">
        <v>0.4164027337889648</v>
      </c>
      <c r="M82" s="64" t="n">
        <v>4</v>
      </c>
      <c r="N82" s="32" t="n"/>
      <c r="O82" s="32" t="n"/>
      <c r="P82" s="65" t="n">
        <v>4.5</v>
      </c>
      <c r="Q82" s="64" t="n">
        <v>5972</v>
      </c>
      <c r="R82" s="64" t="n">
        <v>19665</v>
      </c>
      <c r="S82" s="64" t="n">
        <v>17</v>
      </c>
      <c r="T82" s="32" t="n"/>
    </row>
    <row r="83" ht="62" customHeight="1">
      <c r="A83" s="10">
        <f>_xlfn.IMAGE("https://m.media-amazon.com/images/I/81Mz595QL2L.jpg")</f>
        <v/>
      </c>
      <c r="B83" s="32" t="inlineStr">
        <is>
          <t>B08KQLFRVR</t>
        </is>
      </c>
      <c r="C83" s="32" t="inlineStr">
        <is>
          <t>BAMBOO-CALIFKING-LIGHTGREY</t>
        </is>
      </c>
      <c r="D83" s="32" t="inlineStr">
        <is>
          <t>DECOLURE 100% Viscose from Bamboo Sheets | 4 Pc Cooling Bed Set</t>
        </is>
      </c>
      <c r="E83" s="32" t="inlineStr">
        <is>
          <t>California King</t>
        </is>
      </c>
      <c r="F83" s="32" t="inlineStr">
        <is>
          <t>Light Grey</t>
        </is>
      </c>
      <c r="G83" s="60" t="n">
        <v>94.98999999999999</v>
      </c>
      <c r="H83" s="32" t="inlineStr">
        <is>
          <t>Helium 10 Xray, 2026-10-13</t>
        </is>
      </c>
      <c r="I83" s="61" t="n">
        <v>79.98999999999999</v>
      </c>
      <c r="J83" s="62" t="inlineStr">
        <is>
          <t>2026-03-04</t>
        </is>
      </c>
      <c r="K83" s="33" t="n">
        <v>30.34999999999999</v>
      </c>
      <c r="L83" s="63" t="n">
        <v>0.3794224278034754</v>
      </c>
      <c r="M83" s="64" t="n">
        <v>3</v>
      </c>
      <c r="N83" s="32" t="inlineStr">
        <is>
          <t>Active</t>
        </is>
      </c>
      <c r="O83" s="32" t="n"/>
      <c r="P83" s="65" t="n">
        <v>4.5</v>
      </c>
      <c r="Q83" s="64" t="n">
        <v>5972</v>
      </c>
      <c r="R83" s="64" t="n">
        <v>19665</v>
      </c>
      <c r="S83" s="64" t="n">
        <v>4</v>
      </c>
      <c r="T83" s="32" t="n"/>
    </row>
    <row r="84" ht="62" customHeight="1">
      <c r="A84" s="10">
        <f>_xlfn.IMAGE("https://m.media-amazon.com/images/I/81LPiN50m6L.jpg")</f>
        <v/>
      </c>
      <c r="B84" s="32" t="inlineStr">
        <is>
          <t>B0BZQ5SDNS</t>
        </is>
      </c>
      <c r="C84" s="32" t="inlineStr">
        <is>
          <t>BAMBOO-CALIFKING-PURPLE</t>
        </is>
      </c>
      <c r="D84" s="32" t="inlineStr">
        <is>
          <t>DECOLURE 100% Viscose from Bamboo Sheets | 4 Pc Cooling Bed Set</t>
        </is>
      </c>
      <c r="E84" s="32" t="inlineStr">
        <is>
          <t>California King</t>
        </is>
      </c>
      <c r="F84" s="32" t="inlineStr">
        <is>
          <t>Purple</t>
        </is>
      </c>
      <c r="G84" s="60" t="n">
        <v>94.98999999999999</v>
      </c>
      <c r="H84" s="32" t="inlineStr">
        <is>
          <t>Helium 10 Xray, 2026-10-13</t>
        </is>
      </c>
      <c r="I84" s="61" t="n">
        <v>84.98999999999999</v>
      </c>
      <c r="J84" s="62" t="inlineStr">
        <is>
          <t>2026-03-30</t>
        </is>
      </c>
      <c r="K84" s="33" t="n">
        <v>33.48999999999999</v>
      </c>
      <c r="L84" s="63" t="n">
        <v>0.3940463583951053</v>
      </c>
      <c r="M84" s="64" t="n">
        <v>3</v>
      </c>
      <c r="N84" s="32" t="inlineStr">
        <is>
          <t>Active</t>
        </is>
      </c>
      <c r="O84" s="32" t="n"/>
      <c r="P84" s="65" t="n">
        <v>4.5</v>
      </c>
      <c r="Q84" s="64" t="n">
        <v>5972</v>
      </c>
      <c r="R84" s="64" t="n">
        <v>19668</v>
      </c>
      <c r="S84" s="64" t="n">
        <v>3</v>
      </c>
      <c r="T84" s="32" t="n"/>
    </row>
    <row r="85" ht="62" customHeight="1">
      <c r="A85" s="10">
        <f>_xlfn.IMAGE("https://m.media-amazon.com/images/I/81iM1GJtuCL.jpg")</f>
        <v/>
      </c>
      <c r="B85" s="32" t="inlineStr">
        <is>
          <t>B0BZQ228PV</t>
        </is>
      </c>
      <c r="C85" s="32" t="inlineStr">
        <is>
          <t>BAMBOO-TWIN-CHARCOAL</t>
        </is>
      </c>
      <c r="D85" s="32" t="inlineStr">
        <is>
          <t>DECOLURE 100% Viscose from Bamboo Sheets Twin Size | 3 Pc Cooling Bed Set</t>
        </is>
      </c>
      <c r="E85" s="32" t="inlineStr">
        <is>
          <t>Twin</t>
        </is>
      </c>
      <c r="F85" s="32" t="inlineStr">
        <is>
          <t>Charcoal</t>
        </is>
      </c>
      <c r="G85" s="60" t="n">
        <v>64.98999999999999</v>
      </c>
      <c r="H85" s="32" t="inlineStr">
        <is>
          <t>Helium 10 Xray, 2026-10-13</t>
        </is>
      </c>
      <c r="I85" s="61" t="n">
        <v>54.99</v>
      </c>
      <c r="J85" s="62" t="inlineStr">
        <is>
          <t>2026-03-04</t>
        </is>
      </c>
      <c r="K85" s="33" t="n">
        <v>19.34</v>
      </c>
      <c r="L85" s="63" t="n">
        <v>0.3517003091471176</v>
      </c>
      <c r="M85" s="64" t="n">
        <v>2</v>
      </c>
      <c r="N85" s="32" t="inlineStr">
        <is>
          <t>Active</t>
        </is>
      </c>
      <c r="O85" s="32" t="n"/>
      <c r="P85" s="65" t="n">
        <v>4.5</v>
      </c>
      <c r="Q85" s="64" t="n">
        <v>5972</v>
      </c>
      <c r="R85" s="64" t="n">
        <v>19665</v>
      </c>
      <c r="S85" s="64" t="n">
        <v>13</v>
      </c>
      <c r="T85" s="32" t="n"/>
    </row>
    <row r="86" ht="62" customHeight="1">
      <c r="A86" s="39" t="inlineStr">
        <is>
          <t>IMAGE MISSING</t>
        </is>
      </c>
      <c r="B86" s="32" t="inlineStr">
        <is>
          <t>B0CRHYS5KT</t>
        </is>
      </c>
      <c r="C86" s="32" t="inlineStr">
        <is>
          <t>BAMBOO-FULL-BURGUNDY-NEW</t>
        </is>
      </c>
      <c r="D86" s="32" t="n"/>
      <c r="E86" s="32" t="inlineStr">
        <is>
          <t>Full</t>
        </is>
      </c>
      <c r="F86" s="32" t="inlineStr">
        <is>
          <t>Burgundy</t>
        </is>
      </c>
      <c r="G86" s="60" t="n">
        <v>64.98999999999999</v>
      </c>
      <c r="H86" s="32" t="inlineStr">
        <is>
          <t>SellerBoard listing price, 2026-10-14</t>
        </is>
      </c>
      <c r="I86" s="61" t="n">
        <v>96.98999999999999</v>
      </c>
      <c r="J86" s="62" t="inlineStr">
        <is>
          <t>2026-03-30</t>
        </is>
      </c>
      <c r="K86" s="33" t="n">
        <v>51.41</v>
      </c>
      <c r="L86" s="63" t="n">
        <v>0.5300546448087432</v>
      </c>
      <c r="M86" s="64" t="n">
        <v>1</v>
      </c>
      <c r="N86" s="32" t="n"/>
      <c r="O86" s="32" t="n"/>
      <c r="P86" s="65" t="n"/>
      <c r="Q86" s="64" t="n"/>
      <c r="R86" s="64" t="n"/>
      <c r="S86" s="64" t="n"/>
      <c r="T86" s="32" t="n"/>
    </row>
    <row r="87" ht="62" customHeight="1">
      <c r="A87" s="10">
        <f>_xlfn.IMAGE("https://m.media-amazon.com/images/I/81Jrmiuxy2L._AC_SY355_.jpg")</f>
        <v/>
      </c>
      <c r="B87" s="32" t="inlineStr">
        <is>
          <t>B08KQL2JT8</t>
        </is>
      </c>
      <c r="C87" s="32" t="inlineStr">
        <is>
          <t>BAMBOO-FULL-NAVYBLUE</t>
        </is>
      </c>
      <c r="D87" s="32" t="inlineStr">
        <is>
          <t>DECOLURE 100% Viscose from Bamboo Sheets Full Size | 4 Pc Cooling Bed Set</t>
        </is>
      </c>
      <c r="E87" s="32" t="inlineStr">
        <is>
          <t>Full</t>
        </is>
      </c>
      <c r="F87" s="32" t="inlineStr">
        <is>
          <t>Navy Blue</t>
        </is>
      </c>
      <c r="G87" s="60" t="n">
        <v>69.98999999999999</v>
      </c>
      <c r="H87" s="32" t="inlineStr">
        <is>
          <t>Helium 10 Xray, 2026-10-13</t>
        </is>
      </c>
      <c r="I87" s="61" t="n">
        <v>69.98999999999999</v>
      </c>
      <c r="J87" s="62" t="inlineStr">
        <is>
          <t>2026-03-30</t>
        </is>
      </c>
      <c r="K87" s="33" t="n">
        <v>28.25999999999999</v>
      </c>
      <c r="L87" s="63" t="n">
        <v>0.4037719674239176</v>
      </c>
      <c r="M87" s="64" t="n">
        <v>1</v>
      </c>
      <c r="N87" s="32" t="n"/>
      <c r="O87" s="32" t="n"/>
      <c r="P87" s="65" t="n">
        <v>4.5</v>
      </c>
      <c r="Q87" s="64" t="n">
        <v>5972</v>
      </c>
      <c r="R87" s="64" t="n">
        <v>19665</v>
      </c>
      <c r="S87" s="64" t="n">
        <v>11</v>
      </c>
      <c r="T87" s="32" t="n"/>
    </row>
    <row r="88" ht="62" customHeight="1">
      <c r="A88" s="39" t="inlineStr">
        <is>
          <t>IMAGE MISSING</t>
        </is>
      </c>
      <c r="B88" s="32" t="inlineStr">
        <is>
          <t>B08KQJBRKM</t>
        </is>
      </c>
      <c r="C88" s="32" t="inlineStr">
        <is>
          <t>BAMBOO-FULL-TAUPE</t>
        </is>
      </c>
      <c r="D88" s="32" t="n"/>
      <c r="E88" s="32" t="inlineStr">
        <is>
          <t>Full</t>
        </is>
      </c>
      <c r="F88" s="32" t="inlineStr">
        <is>
          <t>Taupe</t>
        </is>
      </c>
      <c r="G88" s="60" t="n">
        <v>64.98999999999999</v>
      </c>
      <c r="H88" s="32" t="inlineStr">
        <is>
          <t>SellerBoard listing price, 2026-10-14</t>
        </is>
      </c>
      <c r="I88" s="61" t="n">
        <v>69.98999999999999</v>
      </c>
      <c r="J88" s="62" t="inlineStr">
        <is>
          <t>2026-03-30</t>
        </is>
      </c>
      <c r="K88" s="33" t="n">
        <v>28.9</v>
      </c>
      <c r="L88" s="63" t="n">
        <v>0.4129161308758394</v>
      </c>
      <c r="M88" s="64" t="n">
        <v>1</v>
      </c>
      <c r="N88" s="32" t="n"/>
      <c r="O88" s="32" t="n"/>
      <c r="P88" s="65" t="n"/>
      <c r="Q88" s="64" t="n"/>
      <c r="R88" s="64" t="n"/>
      <c r="S88" s="64" t="n"/>
      <c r="T88" s="32" t="n"/>
    </row>
    <row r="89" ht="62" customHeight="1">
      <c r="A89" s="10">
        <f>_xlfn.IMAGE("https://m.media-amazon.com/images/I/81T+gwobemL.jpg")</f>
        <v/>
      </c>
      <c r="B89" s="32" t="inlineStr">
        <is>
          <t>B0CLKCDHHS</t>
        </is>
      </c>
      <c r="C89" s="32" t="inlineStr">
        <is>
          <t>BAMBOO-KING-SAGE GREEN</t>
        </is>
      </c>
      <c r="D89" s="32" t="inlineStr">
        <is>
          <t>DECOLURE 100% Viscose from Bamboo Sheets King Size | 4 Pc Cooling Bed Set</t>
        </is>
      </c>
      <c r="E89" s="32" t="inlineStr">
        <is>
          <t>King</t>
        </is>
      </c>
      <c r="F89" s="32" t="inlineStr">
        <is>
          <t>Sage Green</t>
        </is>
      </c>
      <c r="G89" s="60" t="n">
        <v>84.98999999999999</v>
      </c>
      <c r="H89" s="32" t="inlineStr">
        <is>
          <t>Helium 10 Xray, 2026-10-13</t>
        </is>
      </c>
      <c r="I89" s="61" t="n">
        <v>84.98999999999999</v>
      </c>
      <c r="J89" s="62" t="inlineStr">
        <is>
          <t>2026-03-30</t>
        </is>
      </c>
      <c r="K89" s="33" t="n">
        <v>35.21999999999999</v>
      </c>
      <c r="L89" s="63" t="n">
        <v>0.4144016943169784</v>
      </c>
      <c r="M89" s="64" t="n">
        <v>1</v>
      </c>
      <c r="N89" s="32" t="inlineStr">
        <is>
          <t>Active</t>
        </is>
      </c>
      <c r="O89" s="32" t="n"/>
      <c r="P89" s="65" t="n">
        <v>4.5</v>
      </c>
      <c r="Q89" s="64" t="n">
        <v>5972</v>
      </c>
      <c r="R89" s="64" t="n">
        <v>19668</v>
      </c>
      <c r="S89" s="64" t="n">
        <v>21</v>
      </c>
      <c r="T89" s="32" t="n"/>
    </row>
    <row r="90" ht="62" customHeight="1">
      <c r="A90" s="10">
        <f>_xlfn.IMAGE("https://m.media-amazon.com/images/I/81URS7+KRYL.jpg")</f>
        <v/>
      </c>
      <c r="B90" s="32" t="inlineStr">
        <is>
          <t>B0BZQ1FBJ9</t>
        </is>
      </c>
      <c r="C90" s="32" t="inlineStr">
        <is>
          <t>BAMBOO-QUEEN-BLACK</t>
        </is>
      </c>
      <c r="D90" s="32" t="inlineStr">
        <is>
          <t>DECOLURE 100% Viscose from Bamboo Sheets Queen Size | 4 Pc Cooling Bed Set</t>
        </is>
      </c>
      <c r="E90" s="32" t="inlineStr">
        <is>
          <t>Queen</t>
        </is>
      </c>
      <c r="F90" s="32" t="inlineStr">
        <is>
          <t>Black</t>
        </is>
      </c>
      <c r="G90" s="60" t="n">
        <v>74.98999999999999</v>
      </c>
      <c r="H90" s="32" t="inlineStr">
        <is>
          <t>SellerBoard listing price, 2026-10-14</t>
        </is>
      </c>
      <c r="I90" s="61" t="n">
        <v>74.98999999999999</v>
      </c>
      <c r="J90" s="62" t="inlineStr">
        <is>
          <t>2026-03-04</t>
        </is>
      </c>
      <c r="K90" s="33" t="n">
        <v>31.59</v>
      </c>
      <c r="L90" s="63" t="n">
        <v>0.4212561674889985</v>
      </c>
      <c r="M90" s="64" t="n">
        <v>1</v>
      </c>
      <c r="N90" s="32" t="inlineStr">
        <is>
          <t>Inactive</t>
        </is>
      </c>
      <c r="O90" s="32" t="n"/>
      <c r="P90" s="65" t="n"/>
      <c r="Q90" s="64" t="n"/>
      <c r="R90" s="64" t="n"/>
      <c r="S90" s="64" t="n"/>
      <c r="T90" s="32" t="n"/>
    </row>
    <row r="91" ht="62" customHeight="1">
      <c r="A91" s="10">
        <f>_xlfn.IMAGE("https://m.media-amazon.com/images/I/81F0yDBRKQL.jpg")</f>
        <v/>
      </c>
      <c r="B91" s="32" t="inlineStr">
        <is>
          <t>B0CLKCVLRG</t>
        </is>
      </c>
      <c r="C91" s="32" t="inlineStr">
        <is>
          <t>BAMBOO-CALIFKING-SAGE GREEN</t>
        </is>
      </c>
      <c r="D91" s="32" t="inlineStr">
        <is>
          <t>DECOLURE 100% Viscose from Bamboo Sheets | 4 Pc Cooling Bed Set</t>
        </is>
      </c>
      <c r="E91" s="32" t="inlineStr">
        <is>
          <t>California King</t>
        </is>
      </c>
      <c r="F91" s="32" t="inlineStr">
        <is>
          <t>Sage Green</t>
        </is>
      </c>
      <c r="G91" s="60" t="n">
        <v>84.98999999999999</v>
      </c>
      <c r="H91" s="32" t="inlineStr">
        <is>
          <t>Helium 10 Xray, 2026-10-13</t>
        </is>
      </c>
      <c r="I91" s="61" t="n">
        <v>84.98999999999999</v>
      </c>
      <c r="J91" s="62" t="inlineStr">
        <is>
          <t>2026-03-30</t>
        </is>
      </c>
      <c r="K91" s="33" t="n">
        <v>33.77</v>
      </c>
      <c r="L91" s="63" t="n">
        <v>0.3973408636310154</v>
      </c>
      <c r="M91" s="64" t="n">
        <v>0</v>
      </c>
      <c r="N91" s="32" t="inlineStr">
        <is>
          <t>Inactive</t>
        </is>
      </c>
      <c r="O91" s="32" t="n"/>
      <c r="P91" s="65" t="n">
        <v>4.5</v>
      </c>
      <c r="Q91" s="64" t="n">
        <v>5972</v>
      </c>
      <c r="R91" s="64" t="n">
        <v>19665</v>
      </c>
      <c r="S91" s="64" t="n">
        <v>0</v>
      </c>
      <c r="T91" s="32" t="n"/>
    </row>
    <row r="92" ht="62" customHeight="1">
      <c r="A92" s="10">
        <f>_xlfn.IMAGE("https://m.media-amazon.com/images/I/81gCPnwH3FL.jpg")</f>
        <v/>
      </c>
      <c r="B92" s="32" t="inlineStr">
        <is>
          <t>B0HJP3MMMJ</t>
        </is>
      </c>
      <c r="C92" s="32" t="inlineStr">
        <is>
          <t>BAMBOO-FULL-4PCS-LIGHTBLUE</t>
        </is>
      </c>
      <c r="D92" s="32" t="inlineStr">
        <is>
          <t>DECOLURE 100% Viscose from Bamboo Sheets Full Size | 4 Pc Cooling Bed Set</t>
        </is>
      </c>
      <c r="E92" s="32" t="inlineStr">
        <is>
          <t>Full</t>
        </is>
      </c>
      <c r="F92" s="32" t="inlineStr">
        <is>
          <t>Light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_xlfn.IMAGE("https://m.media-amazon.com/images/I/81E9bvs4TYL.jpg")</f>
        <v/>
      </c>
      <c r="B93" s="32" t="inlineStr">
        <is>
          <t>B08KQJV49M</t>
        </is>
      </c>
      <c r="C93" s="32" t="inlineStr">
        <is>
          <t>BAMBOO-FULL-WHITE</t>
        </is>
      </c>
      <c r="D93" s="32" t="inlineStr">
        <is>
          <t>DECOLURE 100% Viscose from Bamboo Sheets Full Size | 4 Pc Cooling Bed Set</t>
        </is>
      </c>
      <c r="E93" s="32" t="inlineStr">
        <is>
          <t>Full</t>
        </is>
      </c>
      <c r="F93" s="32" t="inlineStr">
        <is>
          <t>White</t>
        </is>
      </c>
      <c r="G93" s="60" t="n">
        <v>69.98999999999999</v>
      </c>
      <c r="H93" s="32" t="inlineStr">
        <is>
          <t>Helium 10 Xray, 2026-10-13</t>
        </is>
      </c>
      <c r="I93" s="61" t="n">
        <v>64.98999999999999</v>
      </c>
      <c r="J93" s="62" t="inlineStr">
        <is>
          <t>2026-03-30</t>
        </is>
      </c>
      <c r="K93" s="33" t="n">
        <v>24.60999999999999</v>
      </c>
      <c r="L93" s="63" t="n">
        <v>0.3786736420987843</v>
      </c>
      <c r="M93" s="64" t="n">
        <v>0</v>
      </c>
      <c r="N93" s="32" t="inlineStr">
        <is>
          <t>Active</t>
        </is>
      </c>
      <c r="O93" s="32" t="n"/>
      <c r="P93" s="65" t="n">
        <v>4.5</v>
      </c>
      <c r="Q93" s="64" t="n">
        <v>5972</v>
      </c>
      <c r="R93" s="64" t="n">
        <v>19665</v>
      </c>
      <c r="S93" s="64" t="n">
        <v>0</v>
      </c>
      <c r="T93" s="32" t="n"/>
    </row>
    <row r="94" ht="62" customHeight="1">
      <c r="A94" s="10">
        <f>_xlfn.IMAGE("https://m.media-amazon.com/images/I/81aBlh93veL.jpg")</f>
        <v/>
      </c>
      <c r="B94" s="32" t="inlineStr">
        <is>
          <t>B0BZPVXR69</t>
        </is>
      </c>
      <c r="C94" s="32" t="inlineStr">
        <is>
          <t>BAMBOO-KING-MIDGREY</t>
        </is>
      </c>
      <c r="D94" s="32" t="inlineStr">
        <is>
          <t>DECOLURE 100% Viscose from Bamboo Sheets King Size | 4 Pc Cooling Bed Set</t>
        </is>
      </c>
      <c r="E94" s="32" t="inlineStr">
        <is>
          <t>King</t>
        </is>
      </c>
      <c r="F94" s="32" t="inlineStr">
        <is>
          <t>Midgrey</t>
        </is>
      </c>
      <c r="G94" s="60" t="n">
        <v>84.98999999999999</v>
      </c>
      <c r="H94" s="32" t="inlineStr">
        <is>
          <t>Helium 10 Xray, 2026-10-13</t>
        </is>
      </c>
      <c r="I94" s="61" t="n">
        <v>84.98999999999999</v>
      </c>
      <c r="J94" s="62" t="inlineStr">
        <is>
          <t>2026-03-30</t>
        </is>
      </c>
      <c r="K94" s="33" t="n">
        <v>34.69999999999999</v>
      </c>
      <c r="L94" s="63" t="n">
        <v>0.4082833274502882</v>
      </c>
      <c r="M94" s="64" t="n">
        <v>0</v>
      </c>
      <c r="N94" s="32" t="inlineStr">
        <is>
          <t>Active</t>
        </is>
      </c>
      <c r="O94" s="32" t="n"/>
      <c r="P94" s="65" t="n">
        <v>4.5</v>
      </c>
      <c r="Q94" s="64" t="n">
        <v>5972</v>
      </c>
      <c r="R94" s="64" t="n">
        <v>19668</v>
      </c>
      <c r="S94" s="64" t="n">
        <v>11</v>
      </c>
      <c r="T94" s="32" t="n"/>
    </row>
    <row r="95" ht="62" customHeight="1">
      <c r="A95" s="10">
        <f>_xlfn.IMAGE("https://m.media-amazon.com/images/I/81LPiN50m6L.jpg")</f>
        <v/>
      </c>
      <c r="B95" s="32" t="inlineStr">
        <is>
          <t>B0BZQ3F8RQ</t>
        </is>
      </c>
      <c r="C95" s="32" t="inlineStr">
        <is>
          <t>BAMBOO-KING-PURPLE</t>
        </is>
      </c>
      <c r="D95" s="32" t="inlineStr">
        <is>
          <t>DECOLURE 100% Viscose from Bamboo Sheets King Size | 4 Pc Cooling Bed Set</t>
        </is>
      </c>
      <c r="E95" s="32" t="inlineStr">
        <is>
          <t>King</t>
        </is>
      </c>
      <c r="F95" s="32" t="inlineStr">
        <is>
          <t>Purple</t>
        </is>
      </c>
      <c r="G95" s="60" t="n">
        <v>84.98999999999999</v>
      </c>
      <c r="H95" s="32" t="inlineStr">
        <is>
          <t>Helium 10 Xray, 2026-10-13</t>
        </is>
      </c>
      <c r="I95" s="61" t="n">
        <v>84.98999999999999</v>
      </c>
      <c r="J95" s="62" t="inlineStr">
        <is>
          <t>2026-03-30</t>
        </is>
      </c>
      <c r="K95" s="33" t="n">
        <v>35.05</v>
      </c>
      <c r="L95" s="63" t="n">
        <v>0.4124014589951759</v>
      </c>
      <c r="M95" s="64" t="n">
        <v>0</v>
      </c>
      <c r="N95" s="32" t="inlineStr">
        <is>
          <t>Active</t>
        </is>
      </c>
      <c r="O95" s="32" t="n"/>
      <c r="P95" s="65" t="n">
        <v>4.5</v>
      </c>
      <c r="Q95" s="64" t="n">
        <v>5972</v>
      </c>
      <c r="R95" s="64" t="n">
        <v>19665</v>
      </c>
      <c r="S95" s="64" t="n">
        <v>0</v>
      </c>
      <c r="T95" s="32" t="n"/>
    </row>
    <row r="96" ht="62" customHeight="1">
      <c r="A96" s="10">
        <f>_xlfn.IMAGE("https://m.media-amazon.com/images/I/81D6WwGAJIL.jpg")</f>
        <v/>
      </c>
      <c r="B96" s="32" t="inlineStr">
        <is>
          <t>B08KQJ61T7</t>
        </is>
      </c>
      <c r="C96" s="32" t="inlineStr">
        <is>
          <t>BAMBOO-KING-TAUPE</t>
        </is>
      </c>
      <c r="D96" s="32" t="inlineStr">
        <is>
          <t>DECOLURE 100% Viscose from Bamboo Sheets King Size | 4 Pc Cooling Bed Set</t>
        </is>
      </c>
      <c r="E96" s="32" t="inlineStr">
        <is>
          <t>King</t>
        </is>
      </c>
      <c r="F96" s="32" t="inlineStr">
        <is>
          <t>Taupe</t>
        </is>
      </c>
      <c r="G96" s="60" t="n">
        <v>79.98999999999999</v>
      </c>
      <c r="H96" s="32" t="inlineStr">
        <is>
          <t>SellerBoard listing price, 2026-10-14</t>
        </is>
      </c>
      <c r="I96" s="61" t="n">
        <v>79.98999999999999</v>
      </c>
      <c r="J96" s="62" t="inlineStr">
        <is>
          <t>2026-03-30</t>
        </is>
      </c>
      <c r="K96" s="33" t="n">
        <v>31.31</v>
      </c>
      <c r="L96" s="63" t="n">
        <v>0.3914239279909989</v>
      </c>
      <c r="M96" s="64" t="n">
        <v>0</v>
      </c>
      <c r="N96" s="32" t="inlineStr">
        <is>
          <t>Inactive</t>
        </is>
      </c>
      <c r="O96" s="32" t="n"/>
      <c r="P96" s="65" t="n"/>
      <c r="Q96" s="64" t="n"/>
      <c r="R96" s="64" t="n"/>
      <c r="S96" s="64" t="n"/>
      <c r="T96" s="32" t="n"/>
    </row>
    <row r="97" ht="62" customHeight="1">
      <c r="A97" s="10">
        <f>_xlfn.IMAGE("https://m.media-amazon.com/images/I/81hxPp-zxnL.jpg")</f>
        <v/>
      </c>
      <c r="B97" s="32" t="inlineStr">
        <is>
          <t>B0CLKCT674</t>
        </is>
      </c>
      <c r="C97" s="32" t="inlineStr">
        <is>
          <t>BAMBOO-QUEEN-LIGHT PINK</t>
        </is>
      </c>
      <c r="D97" s="32" t="inlineStr">
        <is>
          <t>DECOLURE 100% Viscose from Bamboo Sheets Queen Size | 4 Pc Cooling Bed Set</t>
        </is>
      </c>
      <c r="E97" s="32" t="inlineStr">
        <is>
          <t>Queen</t>
        </is>
      </c>
      <c r="F97" s="32" t="inlineStr">
        <is>
          <t>Light Pink</t>
        </is>
      </c>
      <c r="G97" s="60" t="n">
        <v>79.98999999999999</v>
      </c>
      <c r="H97" s="32" t="inlineStr">
        <is>
          <t>Helium 10 Xray, 2026-10-13</t>
        </is>
      </c>
      <c r="I97" s="61" t="n">
        <v>79.98999999999999</v>
      </c>
      <c r="J97" s="62" t="inlineStr">
        <is>
          <t>2026-03-30</t>
        </is>
      </c>
      <c r="K97" s="33" t="n">
        <v>34.61999999999999</v>
      </c>
      <c r="L97" s="63" t="n">
        <v>0.432804100512564</v>
      </c>
      <c r="M97" s="64" t="n"/>
      <c r="N97" s="32" t="inlineStr">
        <is>
          <t>Active</t>
        </is>
      </c>
      <c r="O97" s="32" t="n"/>
      <c r="P97" s="65" t="n">
        <v>4.5</v>
      </c>
      <c r="Q97" s="64" t="n">
        <v>5972</v>
      </c>
      <c r="R97" s="64" t="n">
        <v>19665</v>
      </c>
      <c r="S97" s="64" t="n">
        <v>0</v>
      </c>
      <c r="T97" s="32" t="n"/>
    </row>
    <row r="98" ht="62" customHeight="1">
      <c r="A98" s="10">
        <f>_xlfn.IMAGE("https://m.media-amazon.com/images/I/81VPGVLRjlL._AC_SY355_.jpg")</f>
        <v/>
      </c>
      <c r="B98" s="32" t="inlineStr">
        <is>
          <t>B0BZQ3XM7P</t>
        </is>
      </c>
      <c r="C98" s="32" t="inlineStr">
        <is>
          <t>BAMBOO-TWIN-LIGHTOLIVE</t>
        </is>
      </c>
      <c r="D98" s="32" t="inlineStr">
        <is>
          <t>DECOLURE 100% Viscose from Bamboo Sheets Twin Size | 3 Pc Cooling Bed Set</t>
        </is>
      </c>
      <c r="E98" s="32" t="inlineStr">
        <is>
          <t>Twin</t>
        </is>
      </c>
      <c r="F98" s="32" t="inlineStr">
        <is>
          <t>Light Olive</t>
        </is>
      </c>
      <c r="G98" s="60" t="n">
        <v>64.98999999999999</v>
      </c>
      <c r="H98" s="32" t="inlineStr">
        <is>
          <t>Helium 10 Xray, 2026-10-13</t>
        </is>
      </c>
      <c r="I98" s="61" t="n">
        <v>85.98999999999999</v>
      </c>
      <c r="J98" s="62" t="inlineStr">
        <is>
          <t>2026-03-30</t>
        </is>
      </c>
      <c r="K98" s="33" t="n">
        <v>45.69</v>
      </c>
      <c r="L98" s="63" t="n">
        <v>0.5313408535876265</v>
      </c>
      <c r="M98" s="64" t="n">
        <v>0</v>
      </c>
      <c r="N98" s="32" t="n"/>
      <c r="O98" s="32" t="n"/>
      <c r="P98" s="65" t="n">
        <v>4.5</v>
      </c>
      <c r="Q98" s="64" t="n">
        <v>5972</v>
      </c>
      <c r="R98" s="64" t="n">
        <v>19665</v>
      </c>
      <c r="S98" s="64" t="n">
        <v>17</v>
      </c>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22152.31</v>
      </c>
      <c r="E102" s="71" t="n">
        <v>84907.59999999998</v>
      </c>
      <c r="F102" s="72" t="n">
        <v>26.1</v>
      </c>
      <c r="G102" s="72" t="n">
        <v>11.17366872432405</v>
      </c>
      <c r="H102" s="71" t="n">
        <v>198254.58</v>
      </c>
      <c r="J102" s="73" t="n">
        <v>1140</v>
      </c>
      <c r="K102" s="74" t="n">
        <v>13.45</v>
      </c>
    </row>
    <row r="103">
      <c r="A103" s="70" t="inlineStr">
        <is>
          <t>BFCM week Nov 20 - Dec 1, 2025 (12d)</t>
        </is>
      </c>
      <c r="B103" s="68" t="n"/>
      <c r="C103" s="69" t="n"/>
      <c r="D103" s="71" t="n">
        <v>21098.97</v>
      </c>
      <c r="E103" s="71" t="n">
        <v>106756.38</v>
      </c>
      <c r="F103" s="72" t="n">
        <v>19.8</v>
      </c>
      <c r="G103" s="72" t="n">
        <v>6.252858933328141</v>
      </c>
      <c r="H103" s="71" t="n">
        <v>337429.17</v>
      </c>
      <c r="J103" s="73" t="n">
        <v>1543</v>
      </c>
      <c r="K103" s="74" t="n">
        <v>19.31</v>
      </c>
    </row>
    <row r="104">
      <c r="A104" s="70" t="inlineStr">
        <is>
          <t>December 2 - 31, 2025 (30d)</t>
        </is>
      </c>
      <c r="B104" s="68" t="n"/>
      <c r="C104" s="69" t="n"/>
      <c r="D104" s="71" t="n">
        <v>34665.39000000001</v>
      </c>
      <c r="E104" s="71" t="n">
        <v>149699.96</v>
      </c>
      <c r="F104" s="72" t="n">
        <v>23.2</v>
      </c>
      <c r="G104" s="72" t="n">
        <v>9.39173429935213</v>
      </c>
      <c r="H104" s="71" t="n">
        <v>369105.31</v>
      </c>
      <c r="J104" s="73" t="n">
        <v>1916</v>
      </c>
      <c r="K104" s="74" t="n">
        <v>16.43</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198254.58</v>
      </c>
      <c r="E107" s="73" t="n">
        <v>2758</v>
      </c>
      <c r="F107" s="73" t="n">
        <v>2569</v>
      </c>
      <c r="G107" s="73" t="n">
        <v>189</v>
      </c>
      <c r="H107" s="71" t="n">
        <v>25868.92</v>
      </c>
      <c r="J107" s="75" t="n">
        <v>0.1304833411666959</v>
      </c>
      <c r="K107" s="73" t="n">
        <v>52332</v>
      </c>
      <c r="L107" s="75" t="n">
        <v>0.05270197966827181</v>
      </c>
      <c r="M107" s="76" t="n">
        <v>71.88345902828137</v>
      </c>
      <c r="N107" s="73" t="n">
        <v>236</v>
      </c>
    </row>
    <row r="108">
      <c r="A108" s="70" t="inlineStr">
        <is>
          <t>BFCM week Nov 20 - Dec 1, 2025 (12d)</t>
        </is>
      </c>
      <c r="B108" s="68" t="n"/>
      <c r="C108" s="69" t="n"/>
      <c r="D108" s="71" t="n">
        <v>337429.17</v>
      </c>
      <c r="E108" s="73" t="n">
        <v>5141</v>
      </c>
      <c r="F108" s="73" t="n">
        <v>4878</v>
      </c>
      <c r="G108" s="73" t="n">
        <v>263</v>
      </c>
      <c r="H108" s="71" t="n">
        <v>23068.34</v>
      </c>
      <c r="J108" s="75" t="n">
        <v>0.06836498456846514</v>
      </c>
      <c r="K108" s="73" t="n">
        <v>84261</v>
      </c>
      <c r="L108" s="75" t="n">
        <v>0.06101280544973356</v>
      </c>
      <c r="M108" s="76" t="n">
        <v>65.63492900213966</v>
      </c>
      <c r="N108" s="73" t="n">
        <v>82</v>
      </c>
    </row>
    <row r="109">
      <c r="A109" s="70" t="inlineStr">
        <is>
          <t>December 2 - 31, 2025 (30d)</t>
        </is>
      </c>
      <c r="B109" s="68" t="n"/>
      <c r="C109" s="69" t="n"/>
      <c r="D109" s="71" t="n">
        <v>369105.31</v>
      </c>
      <c r="E109" s="73" t="n">
        <v>4855</v>
      </c>
      <c r="F109" s="73" t="n">
        <v>4550</v>
      </c>
      <c r="G109" s="73" t="n">
        <v>305</v>
      </c>
      <c r="H109" s="71" t="n">
        <v>36215.06</v>
      </c>
      <c r="J109" s="75" t="n">
        <v>0.09811579248209677</v>
      </c>
      <c r="K109" s="73" t="n">
        <v>69986</v>
      </c>
      <c r="L109" s="75" t="n">
        <v>0.06937101706055497</v>
      </c>
      <c r="M109" s="76" t="n">
        <v>76.02581050463439</v>
      </c>
      <c r="N109" s="73" t="n">
        <v>410</v>
      </c>
    </row>
    <row r="110">
      <c r="A110" s="59" t="inlineStr">
        <is>
          <t>SellerBoard, Ecotero account, Amazon parent B0HJCSXJQ6 plus any of this product's child ASINs SellerBoard lists on their own, UTC days. Lift above uses these actual sales (4.25x; the ad-spend estimate was 4.25x).</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11-02 to 11-03 (cancelled, 78 variations); Lightning Deal 11-06 to 11-07 (cancelled, 78 variations); Lightning Deal 11-13 to 11-14 (cancelled, 78 variations); Best Deal 11-20 to 12-02 (ran, 78 variations, 4,890 units; Keepa lowest Buy Box during it $71.24 on B08KQHRDDG).</t>
        </is>
      </c>
    </row>
    <row r="112" ht="26" customHeight="1">
      <c r="A112" s="77" t="inlineStr">
        <is>
          <t>Stock in BFCM week 2025 (FBA inventory snapshots, child-ASIN level, revision 2): 5 of 80 variations hit zero FBA stock on at least one observed day; weighted by today's sales mix that is ~0.9% of variation-days lost. Most important: B0BZQ18QJB 2/9 days; B0BZQ19QT6 3/9 days; B0BZQ1G5B8 6/7 days; B0BZQ1FBJ9 5/9 days. Snapshots missing: US Nov 26-27 and Dec 1 (Cyber Monday); CA Nov 24, 29-30.</t>
        </is>
      </c>
    </row>
    <row r="113">
      <c r="A113" s="59" t="inlineStr">
        <is>
          <t>Command Center visibility for our best child B08KQHRDDG: organic score 92.0 before BFCM 2025 → 127.0 in BFCM week; Prime Day 2026 143.7 → 130.5; Aug-Sep 2026 164.1.</t>
        </is>
      </c>
    </row>
    <row r="115" ht="20" customHeight="1">
      <c r="A115" s="54" t="inlineStr">
        <is>
          <t>4 · COMPETITOR LANDSCAPE (55 mapped)</t>
        </is>
      </c>
    </row>
    <row r="116">
      <c r="A116" s="59" t="inlineStr">
        <is>
          <t>Sorted by tier, then estimated weekly units. Green = Command Center price/sales; blue = Data Dive listing; purple = Command Center search strategy (ASINsight); yellow = fill from Keepa / page check.</t>
        </is>
      </c>
    </row>
    <row r="117">
      <c r="A117" s="78" t="inlineStr">
        <is>
          <t>COMPETITOR</t>
        </is>
      </c>
      <c r="I117" s="79" t="inlineStr">
        <is>
          <t>LISTING - Data Dive</t>
        </is>
      </c>
      <c r="J117" s="80" t="inlineStr">
        <is>
          <t>SEARCH STRATEGY - Command Center ASINsight</t>
        </is>
      </c>
      <c r="K117" s="81" t="inlineStr">
        <is>
          <t>PRICE &amp; SALES - Command Center snapshot (date per row)</t>
        </is>
      </c>
      <c r="X117" s="79" t="inlineStr">
        <is>
          <t>LISTING - Data Dive</t>
        </is>
      </c>
      <c r="AA117" s="80" t="inlineStr">
        <is>
          <t>SEARCH STRATEGY - Command Center ASINsight</t>
        </is>
      </c>
      <c r="AR117" s="82" t="inlineStr">
        <is>
          <t>STR NOW - Amazon page check (Oct 13, P1 + P2)</t>
        </is>
      </c>
      <c r="AY117" s="83" t="inlineStr">
        <is>
          <t>BFCM 2025 - Keepa (P1 filled; yellow = not pulled yet)</t>
        </is>
      </c>
    </row>
    <row r="118" ht="48" customHeight="1">
      <c r="A118" s="22" t="inlineStr">
        <is>
          <t>Image</t>
        </is>
      </c>
      <c r="B118" s="22" t="inlineStr">
        <is>
          <t>Brand</t>
        </is>
      </c>
      <c r="C118" s="22" t="inlineStr">
        <is>
          <t>Product title</t>
        </is>
      </c>
      <c r="D118" s="22" t="inlineStr">
        <is>
          <t>Tier</t>
        </is>
      </c>
      <c r="E118" s="22" t="inlineStr">
        <is>
          <t>Parent ASIN</t>
        </is>
      </c>
      <c r="F118" s="22" t="inlineStr">
        <is>
          <t>Tracked child ASIN</t>
        </is>
      </c>
      <c r="G118" s="22" t="inlineStr">
        <is>
          <t>Size (title)</t>
        </is>
      </c>
      <c r="H118" s="22" t="inlineStr">
        <is>
          <t>Colour (title)</t>
        </is>
      </c>
      <c r="I118" s="22" t="inlineStr">
        <is>
          <t>Variations</t>
        </is>
      </c>
      <c r="J118" s="22" t="inlineStr">
        <is>
          <t>Hero child ASINs (share of their visibility)</t>
        </is>
      </c>
      <c r="K118" s="22" t="inlineStr">
        <is>
          <t>Price ($)</t>
        </is>
      </c>
      <c r="L118" s="22" t="inlineStr">
        <is>
          <t>List Price ($)</t>
        </is>
      </c>
      <c r="M118" s="22" t="inlineStr">
        <is>
          <t>List Price % over</t>
        </is>
      </c>
      <c r="N118" s="22" t="inlineStr">
        <is>
          <t>STR band</t>
        </is>
      </c>
      <c r="O118" s="22" t="inlineStr">
        <is>
          <t>Our price, same size ($)</t>
        </is>
      </c>
      <c r="P118" s="22" t="inlineStr">
        <is>
          <t>Their price vs ours</t>
        </is>
      </c>
      <c r="Q118" s="22" t="inlineStr">
        <is>
          <t>Comparison basis</t>
        </is>
      </c>
      <c r="R118" s="22" t="inlineStr">
        <is>
          <t>BSR</t>
        </is>
      </c>
      <c r="S118" s="22" t="inlineStr">
        <is>
          <t>Est weekly units</t>
        </is>
      </c>
      <c r="T118" s="22" t="inlineStr">
        <is>
          <t>Est monthly revenue ($)</t>
        </is>
      </c>
      <c r="U118" s="22" t="inlineStr">
        <is>
          <t>Rating</t>
        </is>
      </c>
      <c r="V118" s="22" t="inlineStr">
        <is>
          <t>Reviews</t>
        </is>
      </c>
      <c r="W118" s="22" t="inlineStr">
        <is>
          <t>Snapshot date</t>
        </is>
      </c>
      <c r="X118" s="22" t="inlineStr">
        <is>
          <t>Listed</t>
        </is>
      </c>
      <c r="Y118" s="22" t="inlineStr">
        <is>
          <t>Fulfil.</t>
        </is>
      </c>
      <c r="Z118" s="22" t="inlineStr">
        <is>
          <t>Seller country</t>
        </is>
      </c>
      <c r="AA118" s="22" t="inlineStr">
        <is>
          <t>ASINsight 7d traffic</t>
        </is>
      </c>
      <c r="AB118" s="22" t="inlineStr">
        <is>
          <t>Keywords ranked</t>
        </is>
      </c>
      <c r="AC118" s="22" t="inlineStr">
        <is>
          <t>Organic share of traffic</t>
        </is>
      </c>
      <c r="AD118" s="22" t="inlineStr">
        <is>
          <t>Ad share of traffic</t>
        </is>
      </c>
      <c r="AE118" s="22" t="inlineStr">
        <is>
          <t>Top keyword</t>
        </is>
      </c>
      <c r="AF118" s="22" t="inlineStr">
        <is>
          <t>SP reach</t>
        </is>
      </c>
      <c r="AG118" s="22" t="inlineStr">
        <is>
          <t>SB reach</t>
        </is>
      </c>
      <c r="AH118" s="22" t="inlineStr">
        <is>
          <t>SB video reach</t>
        </is>
      </c>
      <c r="AI118" s="22" t="inlineStr">
        <is>
          <t>Amazon's Choice reach</t>
        </is>
      </c>
      <c r="AJ118" s="22" t="inlineStr">
        <is>
          <t>Shared keywords</t>
        </is>
      </c>
      <c r="AK118" s="22" t="inlineStr">
        <is>
          <t>We win</t>
        </is>
      </c>
      <c r="AL118" s="22" t="inlineStr">
        <is>
          <t>We lose</t>
        </is>
      </c>
      <c r="AM118" s="22" t="inlineStr">
        <is>
          <t>Their keywords we miss</t>
        </is>
      </c>
      <c r="AN118" s="22" t="inlineStr">
        <is>
          <t>KWs they advertise, we don't</t>
        </is>
      </c>
      <c r="AO118" s="22" t="inlineStr">
        <is>
          <t>KWs they out-advertise us</t>
        </is>
      </c>
      <c r="AP118" s="22" t="inlineStr">
        <is>
          <t>Prime Day 2026 organic vis lift</t>
        </is>
      </c>
      <c r="AQ118" s="22" t="inlineStr">
        <is>
          <t>Organic trend (Aug-Sep vs Q2)</t>
        </is>
      </c>
      <c r="AR118" s="22" t="inlineStr">
        <is>
          <t>STR showing now? (Y/N)</t>
        </is>
      </c>
      <c r="AS118" s="22" t="inlineStr">
        <is>
          <t>STR label</t>
        </is>
      </c>
      <c r="AT118" s="22" t="inlineStr">
        <is>
          <t>Strikethrough price ($)</t>
        </is>
      </c>
      <c r="AU118" s="22" t="inlineStr">
        <is>
          <t>Page price at check ($)</t>
        </is>
      </c>
      <c r="AV118" s="22" t="inlineStr">
        <is>
          <t>Deal / coupon now</t>
        </is>
      </c>
      <c r="AW118" s="22" t="inlineStr">
        <is>
          <t>Orderable now (Y/N)</t>
        </is>
      </c>
      <c r="AX118" s="22" t="inlineStr">
        <is>
          <t>Checked (ET)</t>
        </is>
      </c>
      <c r="AY118" s="22" t="inlineStr">
        <is>
          <t>BFCM 2025 deal type</t>
        </is>
      </c>
      <c r="AZ118" s="22" t="inlineStr">
        <is>
          <t>BFCM 2025 deal dates</t>
        </is>
      </c>
      <c r="BA118" s="22" t="inlineStr">
        <is>
          <t>Pre-event price ($)</t>
        </is>
      </c>
      <c r="BB118" s="22" t="inlineStr">
        <is>
          <t>BFCM 2025 low ($)</t>
        </is>
      </c>
      <c r="BC118" s="22" t="inlineStr">
        <is>
          <t>BFCM 2025 discount</t>
        </is>
      </c>
      <c r="BD118" s="22" t="inlineStr">
        <is>
          <t>BSR pre-event</t>
        </is>
      </c>
      <c r="BE118" s="22" t="inlineStr">
        <is>
          <t>BSR BFCM wk</t>
        </is>
      </c>
      <c r="BF118" s="22" t="inlineStr">
        <is>
          <t>BSR lift (x)</t>
        </is>
      </c>
      <c r="BG118" s="22" t="inlineStr">
        <is>
          <t>OOS in BFCM? (Y/N)</t>
        </is>
      </c>
      <c r="BH118" s="22" t="inlineStr">
        <is>
          <t>Notes</t>
        </is>
      </c>
    </row>
    <row r="119" ht="62" customHeight="1">
      <c r="A119" s="10">
        <f>_xlfn.IMAGE("https://images-na.ssl-images-amazon.com/images/I/81L2xb5ly6L.jpg")</f>
        <v/>
      </c>
      <c r="B119" s="84" t="inlineStr">
        <is>
          <t>Bedsure</t>
        </is>
      </c>
      <c r="C119" s="32" t="inlineStr">
        <is>
          <t>Bedsure PureWoven 100% Rayon Derived from Bamboo, Queen Sheets, 4 Pieces</t>
        </is>
      </c>
      <c r="D119" s="84" t="inlineStr">
        <is>
          <t>Aspirational</t>
        </is>
      </c>
      <c r="E119" s="84" t="inlineStr">
        <is>
          <t>B0BZ8T5BJ6</t>
        </is>
      </c>
      <c r="F119" s="84" t="inlineStr">
        <is>
          <t>B07YK8VTJV</t>
        </is>
      </c>
      <c r="G119" s="84" t="inlineStr">
        <is>
          <t>Queen</t>
        </is>
      </c>
      <c r="H119" s="84" t="n"/>
      <c r="I119" s="85" t="n">
        <v>131</v>
      </c>
      <c r="J119" s="32" t="inlineStr">
        <is>
          <t>B07YKCZHGK (29%), B07YK8VTJV (19%), B07YKCQBBL (14%), B07YKCB6GL (9%), B08CXWHQT2 (6%)</t>
        </is>
      </c>
      <c r="K119" s="86" t="n">
        <v>62.99</v>
      </c>
      <c r="L119" s="86" t="n">
        <v>69.98999999999999</v>
      </c>
      <c r="M119" s="87">
        <f>IF(AND(ISNUMBER(L119),ISNUMBER(K119),N(K119)&gt;0),L119/K119-1,"")</f>
        <v/>
      </c>
      <c r="N119" s="88">
        <f>IF(M119="","No List Price",IF(M119&lt;=0,"At/below price",IF(M119&lt;=0.12,"&lt;=12% STR zone",IF(M119&lt;=0.25,"12-25%","&gt;25% over"))))</f>
        <v/>
      </c>
      <c r="O119" s="86" t="n">
        <v>89.98999999999999</v>
      </c>
      <c r="P119" s="89">
        <f>IF(AND(ISNUMBER(K119),ISNUMBER(O119),N(O119)&gt;0),K119/O119-1,"")</f>
        <v/>
      </c>
      <c r="Q119" s="32" t="inlineStr">
        <is>
          <t>Same size (Queen). Ours live: Helium 10 Xray, 2026-10-13; 16 children</t>
        </is>
      </c>
      <c r="R119" s="85" t="n">
        <v>256</v>
      </c>
      <c r="S119" s="85" t="n">
        <v>809</v>
      </c>
      <c r="T119" s="90">
        <f>IF(AND(ISNUMBER(K119),ISNUMBER(S119)),K119*S119*52/12,"")</f>
        <v/>
      </c>
      <c r="U119" s="91" t="n">
        <v>4.4</v>
      </c>
      <c r="V119" s="85" t="n">
        <v>65061</v>
      </c>
      <c r="W119" s="92" t="n">
        <v>46307</v>
      </c>
      <c r="X119" s="92" t="n">
        <v>43348</v>
      </c>
      <c r="Y119" s="84" t="inlineStr">
        <is>
          <t>FBA</t>
        </is>
      </c>
      <c r="Z119" s="84" t="inlineStr">
        <is>
          <t>US</t>
        </is>
      </c>
      <c r="AA119" s="85" t="n">
        <v>2166046</v>
      </c>
      <c r="AB119" s="85" t="n">
        <v>6935</v>
      </c>
      <c r="AC119" s="93" t="n">
        <v>0.5902383405984899</v>
      </c>
      <c r="AD119" s="93" t="n">
        <v>0.4097618027040986</v>
      </c>
      <c r="AE119" s="32" t="inlineStr">
        <is>
          <t>bamboo sheets</t>
        </is>
      </c>
      <c r="AF119" s="93" t="n">
        <v>0.9388327856379781</v>
      </c>
      <c r="AG119" s="93" t="n">
        <v>0.9371818511702891</v>
      </c>
      <c r="AH119" s="93" t="n">
        <v>0.6488394059959945</v>
      </c>
      <c r="AI119" s="93" t="n">
        <v>0.3206907886536112</v>
      </c>
      <c r="AJ119" s="85" t="n">
        <v>1620</v>
      </c>
      <c r="AK119" s="85" t="n">
        <v>122</v>
      </c>
      <c r="AL119" s="85" t="n">
        <v>1398</v>
      </c>
      <c r="AM119" s="85" t="n">
        <v>5315</v>
      </c>
      <c r="AN119" s="85" t="n">
        <v>2984</v>
      </c>
      <c r="AO119" s="85" t="n">
        <v>140</v>
      </c>
      <c r="AP119" s="94" t="n">
        <v>1.066623404715553</v>
      </c>
      <c r="AQ119" s="89" t="n">
        <v>-0.05727665706051865</v>
      </c>
      <c r="AR119" s="95" t="inlineStr">
        <is>
          <t>Y</t>
        </is>
      </c>
      <c r="AS119" s="95" t="inlineStr">
        <is>
          <t>List Price</t>
        </is>
      </c>
      <c r="AT119" s="96" t="n">
        <v>69.98999999999999</v>
      </c>
      <c r="AU119" s="96" t="n">
        <v>62.99</v>
      </c>
      <c r="AV119" s="95" t="inlineStr">
        <is>
          <t>none</t>
        </is>
      </c>
      <c r="AW119" s="95" t="inlineStr">
        <is>
          <t>Y</t>
        </is>
      </c>
      <c r="AX119" s="95" t="inlineStr">
        <is>
          <t>2026-10-13 12:10:35</t>
        </is>
      </c>
      <c r="AY119" s="97" t="inlineStr">
        <is>
          <t>Prime Exclusive Discount</t>
        </is>
      </c>
      <c r="AZ119" s="97" t="inlineStr">
        <is>
          <t>11-23 to 12-01</t>
        </is>
      </c>
      <c r="BA119" s="98" t="n">
        <v>66.48999999999999</v>
      </c>
      <c r="BB119" s="98" t="n">
        <v>55.99</v>
      </c>
      <c r="BC119" s="87">
        <f>IF(AND(ISNUMBER(BA119),ISNUMBER(BB119),N(BA119)&gt;0),1-BB119/BA119,"")</f>
        <v/>
      </c>
      <c r="BD119" s="99" t="n">
        <v>156</v>
      </c>
      <c r="BE119" s="99" t="n">
        <v>228</v>
      </c>
      <c r="BF119" s="100">
        <f>IF(AND(ISNUMBER(BD119),ISNUMBER(BE119),N(BE119)&gt;0),BD119/BE119,"")</f>
        <v/>
      </c>
      <c r="BG119" s="97" t="inlineStr">
        <is>
          <t>N</t>
        </is>
      </c>
      <c r="BH119" s="97" t="inlineStr">
        <is>
          <t>Buy Box RAISED in BFCM week (median $69.99 vs $66.49 before); List Price $78.99</t>
        </is>
      </c>
    </row>
    <row r="120" ht="62" customHeight="1">
      <c r="A120" s="10">
        <f>_xlfn.IMAGE("https://images-na.ssl-images-amazon.com/images/I/91dfner9BkL.jpg")</f>
        <v/>
      </c>
      <c r="B120" s="84" t="inlineStr">
        <is>
          <t>Pure Bamboo</t>
        </is>
      </c>
      <c r="C120" s="32" t="inlineStr">
        <is>
          <t>Pure Bamboo King Sheets, Genuine 100% Organic Viscose Derived from Bamboo Bed Sheet Set, Luxuriously Soft &amp; Cooling, Double Stitching, 2 Year Quality Promise (King, Ivory)</t>
        </is>
      </c>
      <c r="D120" s="84" t="inlineStr">
        <is>
          <t>Aspirational</t>
        </is>
      </c>
      <c r="E120" s="84" t="inlineStr">
        <is>
          <t>B0CZQ52MTQ</t>
        </is>
      </c>
      <c r="F120" s="84" t="inlineStr">
        <is>
          <t>B07DZTQ4JC</t>
        </is>
      </c>
      <c r="G120" s="84" t="inlineStr">
        <is>
          <t>King</t>
        </is>
      </c>
      <c r="H120" s="84" t="inlineStr">
        <is>
          <t>Ivory</t>
        </is>
      </c>
      <c r="I120" s="85" t="n">
        <v>181</v>
      </c>
      <c r="J120" s="32" t="inlineStr">
        <is>
          <t>B07MZ4GKZH (30%), B079RXWGSD (12%), B07DZTQ4JC (11%), B074CHDX7V (10%), B07DZMB498 (5%)</t>
        </is>
      </c>
      <c r="K120" s="86" t="n">
        <v>109.99</v>
      </c>
      <c r="L120" s="86" t="n"/>
      <c r="M120" s="87">
        <f>IF(AND(ISNUMBER(L120),ISNUMBER(K120),N(K120)&gt;0),L120/K120-1,"")</f>
        <v/>
      </c>
      <c r="N120" s="88">
        <f>IF(M120="","No List Price",IF(M120&lt;=0,"At/below price",IF(M120&lt;=0.12,"&lt;=12% STR zone",IF(M120&lt;=0.25,"12-25%","&gt;25% over"))))</f>
        <v/>
      </c>
      <c r="O120" s="86" t="n">
        <v>94.98999999999999</v>
      </c>
      <c r="P120" s="89">
        <f>IF(AND(ISNUMBER(K120),ISNUMBER(O120),N(O120)&gt;0),K120/O120-1,"")</f>
        <v/>
      </c>
      <c r="Q120" s="32" t="inlineStr">
        <is>
          <t>Same size (King). Ours live: Helium 10 Xray, 2026-10-13; 16 children</t>
        </is>
      </c>
      <c r="R120" s="85" t="n">
        <v>304</v>
      </c>
      <c r="S120" s="85" t="n">
        <v>809</v>
      </c>
      <c r="T120" s="90">
        <f>IF(AND(ISNUMBER(K120),ISNUMBER(S120)),K120*S120*52/12,"")</f>
        <v/>
      </c>
      <c r="U120" s="91" t="n">
        <v>4.5</v>
      </c>
      <c r="V120" s="85" t="n">
        <v>21927</v>
      </c>
      <c r="W120" s="92" t="n">
        <v>46307</v>
      </c>
      <c r="X120" s="92" t="n">
        <v>43281</v>
      </c>
      <c r="Y120" s="84" t="inlineStr">
        <is>
          <t>FBA</t>
        </is>
      </c>
      <c r="Z120" s="84" t="inlineStr">
        <is>
          <t>US</t>
        </is>
      </c>
      <c r="AA120" s="85" t="n">
        <v>2565055</v>
      </c>
      <c r="AB120" s="85" t="n">
        <v>8283</v>
      </c>
      <c r="AC120" s="93" t="n">
        <v>0.4648594811807159</v>
      </c>
      <c r="AD120" s="93" t="n">
        <v>0.5351407059497737</v>
      </c>
      <c r="AE120" s="32" t="inlineStr">
        <is>
          <t>bamboo sheets</t>
        </is>
      </c>
      <c r="AF120" s="93" t="n">
        <v>0.8806310196077667</v>
      </c>
      <c r="AG120" s="93" t="n">
        <v>0.8210506207469236</v>
      </c>
      <c r="AH120" s="93" t="n">
        <v>0.8831019217911507</v>
      </c>
      <c r="AI120" s="93" t="n">
        <v>0.2663467255088098</v>
      </c>
      <c r="AJ120" s="85" t="n">
        <v>1568</v>
      </c>
      <c r="AK120" s="85" t="n">
        <v>118</v>
      </c>
      <c r="AL120" s="85" t="n">
        <v>1357</v>
      </c>
      <c r="AM120" s="85" t="n">
        <v>6715</v>
      </c>
      <c r="AN120" s="85" t="n">
        <v>3363</v>
      </c>
      <c r="AO120" s="85" t="n">
        <v>139</v>
      </c>
      <c r="AP120" s="94" t="n">
        <v>1.180104147961932</v>
      </c>
      <c r="AQ120" s="89" t="n">
        <v>1.570823710546574</v>
      </c>
      <c r="AR120" s="95" t="inlineStr">
        <is>
          <t>N</t>
        </is>
      </c>
      <c r="AS120" s="95" t="inlineStr">
        <is>
          <t>none</t>
        </is>
      </c>
      <c r="AT120" s="101" t="n"/>
      <c r="AU120" s="96" t="n">
        <v>109.99</v>
      </c>
      <c r="AV120" s="95" t="inlineStr">
        <is>
          <t>none</t>
        </is>
      </c>
      <c r="AW120" s="95" t="inlineStr">
        <is>
          <t>Y</t>
        </is>
      </c>
      <c r="AX120" s="95" t="inlineStr">
        <is>
          <t>2026-10-13 12:11:16</t>
        </is>
      </c>
      <c r="AY120" s="97" t="inlineStr">
        <is>
          <t>None</t>
        </is>
      </c>
      <c r="AZ120" s="102" t="n"/>
      <c r="BA120" s="98" t="n">
        <v>109.99</v>
      </c>
      <c r="BB120" s="98" t="n">
        <v>109.99</v>
      </c>
      <c r="BC120" s="87">
        <f>IF(AND(ISNUMBER(BA120),ISNUMBER(BB120),N(BA120)&gt;0),1-BB120/BA120,"")</f>
        <v/>
      </c>
      <c r="BD120" s="99" t="n">
        <v>287</v>
      </c>
      <c r="BE120" s="99" t="n">
        <v>598</v>
      </c>
      <c r="BF120" s="100">
        <f>IF(AND(ISNUMBER(BD120),ISNUMBER(BE120),N(BE120)&gt;0),BD120/BE120,"")</f>
        <v/>
      </c>
      <c r="BG120" s="97" t="inlineStr">
        <is>
          <t>N</t>
        </is>
      </c>
      <c r="BH120" s="97" t="inlineStr">
        <is>
          <t>List Price $139.99/$149.99</t>
        </is>
      </c>
    </row>
    <row r="121" ht="62" customHeight="1">
      <c r="A121" s="10">
        <f>_xlfn.IMAGE("https://images-na.ssl-images-amazon.com/images/I/71oEhkRYQ+L.jpg")</f>
        <v/>
      </c>
      <c r="B121" s="84" t="inlineStr">
        <is>
          <t>Hotel Sheets Direct</t>
        </is>
      </c>
      <c r="C121" s="32" t="inlineStr">
        <is>
          <t>Hotel Sheets Direct 4 Piece Bed Sheet Set Queen Size, 100% Viscose Derived from Bamboo Sheets Set with 2 Pillowcases, Cooling &amp; Breathable Luxury Bedding, Moisture-Wicking &amp; Silky Soft Texture, White</t>
        </is>
      </c>
      <c r="D121" s="84" t="inlineStr">
        <is>
          <t>Aspirational</t>
        </is>
      </c>
      <c r="E121" s="84" t="inlineStr">
        <is>
          <t>B0G5N99X9R</t>
        </is>
      </c>
      <c r="F121" s="84" t="inlineStr">
        <is>
          <t>B01N9L2O9P</t>
        </is>
      </c>
      <c r="G121" s="84" t="inlineStr">
        <is>
          <t>Queen</t>
        </is>
      </c>
      <c r="H121" s="84" t="inlineStr">
        <is>
          <t>White</t>
        </is>
      </c>
      <c r="I121" s="85" t="n">
        <v>61</v>
      </c>
      <c r="J121" s="32" t="inlineStr">
        <is>
          <t>B01N9L2O9P (30%), B01N0UB2GO (20%), B072WD91XH (10%), B072WV76WK (6%), B07RJBYJ9L (5%)</t>
        </is>
      </c>
      <c r="K121" s="86" t="n">
        <v>79.98999999999999</v>
      </c>
      <c r="L121" s="86" t="n"/>
      <c r="M121" s="87">
        <f>IF(AND(ISNUMBER(L121),ISNUMBER(K121),N(K121)&gt;0),L121/K121-1,"")</f>
        <v/>
      </c>
      <c r="N121" s="88">
        <f>IF(M121="","No List Price",IF(M121&lt;=0,"At/below price",IF(M121&lt;=0.12,"&lt;=12% STR zone",IF(M121&lt;=0.25,"12-25%","&gt;25% over"))))</f>
        <v/>
      </c>
      <c r="O121" s="86" t="n">
        <v>89.98999999999999</v>
      </c>
      <c r="P121" s="89">
        <f>IF(AND(ISNUMBER(K121),ISNUMBER(O121),N(O121)&gt;0),K121/O121-1,"")</f>
        <v/>
      </c>
      <c r="Q121" s="32" t="inlineStr">
        <is>
          <t>Same size (Queen). Ours live: Helium 10 Xray, 2026-10-13; 16 children</t>
        </is>
      </c>
      <c r="R121" s="85" t="n">
        <v>2984</v>
      </c>
      <c r="S121" s="85" t="n">
        <v>347</v>
      </c>
      <c r="T121" s="90">
        <f>IF(AND(ISNUMBER(K121),ISNUMBER(S121)),K121*S121*52/12,"")</f>
        <v/>
      </c>
      <c r="U121" s="91" t="n">
        <v>4.4</v>
      </c>
      <c r="V121" s="85" t="n">
        <v>37179</v>
      </c>
      <c r="W121" s="92" t="n">
        <v>46307</v>
      </c>
      <c r="X121" s="92" t="n">
        <v>42729</v>
      </c>
      <c r="Y121" s="84" t="inlineStr">
        <is>
          <t>FBA</t>
        </is>
      </c>
      <c r="Z121" s="84" t="inlineStr">
        <is>
          <t>US</t>
        </is>
      </c>
      <c r="AA121" s="85" t="n">
        <v>451969</v>
      </c>
      <c r="AB121" s="85" t="n">
        <v>4094</v>
      </c>
      <c r="AC121" s="93" t="n">
        <v>0.6071584272372669</v>
      </c>
      <c r="AD121" s="93" t="n">
        <v>0.3928415727627336</v>
      </c>
      <c r="AE121" s="32" t="inlineStr">
        <is>
          <t>hotel</t>
        </is>
      </c>
      <c r="AF121" s="93" t="n">
        <v>0.9036371963563873</v>
      </c>
      <c r="AG121" s="93" t="n">
        <v>0.4767871247806819</v>
      </c>
      <c r="AH121" s="93" t="n">
        <v>0.1264024745059949</v>
      </c>
      <c r="AI121" s="93" t="n">
        <v>0.3227168234989568</v>
      </c>
      <c r="AJ121" s="85" t="n">
        <v>1379</v>
      </c>
      <c r="AK121" s="85" t="n">
        <v>393</v>
      </c>
      <c r="AL121" s="85" t="n">
        <v>807</v>
      </c>
      <c r="AM121" s="85" t="n">
        <v>2715</v>
      </c>
      <c r="AN121" s="85" t="n">
        <v>706</v>
      </c>
      <c r="AO121" s="85" t="n">
        <v>73</v>
      </c>
      <c r="AP121" s="94" t="n">
        <v>1.799620493358634</v>
      </c>
      <c r="AQ121" s="89" t="n">
        <v>0.004829621679635077</v>
      </c>
      <c r="AR121" s="95" t="inlineStr">
        <is>
          <t>N</t>
        </is>
      </c>
      <c r="AS121" s="95" t="inlineStr">
        <is>
          <t>none</t>
        </is>
      </c>
      <c r="AT121" s="101" t="n"/>
      <c r="AU121" s="96" t="n">
        <v>79.98999999999999</v>
      </c>
      <c r="AV121" s="95" t="inlineStr">
        <is>
          <t>none</t>
        </is>
      </c>
      <c r="AW121" s="95" t="inlineStr">
        <is>
          <t>Y</t>
        </is>
      </c>
      <c r="AX121" s="95" t="inlineStr">
        <is>
          <t>2026-10-13 12:10:54</t>
        </is>
      </c>
      <c r="AY121" s="97" t="inlineStr">
        <is>
          <t>Price cut only</t>
        </is>
      </c>
      <c r="AZ121" s="97" t="inlineStr">
        <is>
          <t>11-20 to 12-01</t>
        </is>
      </c>
      <c r="BA121" s="98" t="n">
        <v>72.98999999999999</v>
      </c>
      <c r="BB121" s="98" t="n">
        <v>57.99</v>
      </c>
      <c r="BC121" s="87">
        <f>IF(AND(ISNUMBER(BA121),ISNUMBER(BB121),N(BA121)&gt;0),1-BB121/BA121,"")</f>
        <v/>
      </c>
      <c r="BD121" s="99" t="n">
        <v>3871</v>
      </c>
      <c r="BE121" s="99" t="n">
        <v>1703</v>
      </c>
      <c r="BF121" s="100">
        <f>IF(AND(ISNUMBER(BD121),ISNUMBER(BE121),N(BE121)&gt;0),BD121/BE121,"")</f>
        <v/>
      </c>
      <c r="BG121" s="97" t="inlineStr">
        <is>
          <t>N</t>
        </is>
      </c>
      <c r="BH121" s="97" t="inlineStr">
        <is>
          <t>Lightning Deal 11-07 to 11-11; Coupon 20% (11-12 to 12-02); List Price $72.99</t>
        </is>
      </c>
    </row>
    <row r="122" ht="62" customHeight="1">
      <c r="A122" s="10">
        <f>_xlfn.IMAGE("https://images-na.ssl-images-amazon.com/images/I/71AudKmD2JL.jpg")</f>
        <v/>
      </c>
      <c r="B122" s="84" t="inlineStr">
        <is>
          <t>Love's cabin</t>
        </is>
      </c>
      <c r="C122" s="32" t="inlineStr">
        <is>
          <t>Love's cabin 4 Piece Queen Sheet Set, 100% Rayon Derived from Bamboo, Cooling &amp; Breathable, Soft Silky Deep Pocket up to 16", Hotel Luxury Bedding for Hot Sleepers, Beige</t>
        </is>
      </c>
      <c r="D122" s="84" t="inlineStr">
        <is>
          <t>Beatable</t>
        </is>
      </c>
      <c r="E122" s="84" t="inlineStr">
        <is>
          <t>B0DN1GGFL7</t>
        </is>
      </c>
      <c r="F122" s="84" t="inlineStr">
        <is>
          <t>B0DN1DVKH5</t>
        </is>
      </c>
      <c r="G122" s="84" t="inlineStr">
        <is>
          <t>Queen</t>
        </is>
      </c>
      <c r="H122" s="84" t="inlineStr">
        <is>
          <t>Beige</t>
        </is>
      </c>
      <c r="I122" s="85" t="n">
        <v>176</v>
      </c>
      <c r="J122" s="32" t="inlineStr">
        <is>
          <t>B0DN1DVKH5 (43%), B0DN1H6C88 (10%), B0DN1D4YKB (9%), B0DN1H5PQ6 (8%), B0DN1DRRDN (7%)</t>
        </is>
      </c>
      <c r="K122" s="86" t="n">
        <v>37.99</v>
      </c>
      <c r="L122" s="86" t="n">
        <v>44.99</v>
      </c>
      <c r="M122" s="87">
        <f>IF(AND(ISNUMBER(L122),ISNUMBER(K122),N(K122)&gt;0),L122/K122-1,"")</f>
        <v/>
      </c>
      <c r="N122" s="88">
        <f>IF(M122="","No List Price",IF(M122&lt;=0,"At/below price",IF(M122&lt;=0.12,"&lt;=12% STR zone",IF(M122&lt;=0.25,"12-25%","&gt;25% over"))))</f>
        <v/>
      </c>
      <c r="O122" s="86" t="n">
        <v>89.98999999999999</v>
      </c>
      <c r="P122" s="89">
        <f>IF(AND(ISNUMBER(K122),ISNUMBER(O122),N(O122)&gt;0),K122/O122-1,"")</f>
        <v/>
      </c>
      <c r="Q122" s="32" t="inlineStr">
        <is>
          <t>Same size (Queen). Ours live: Helium 10 Xray, 2026-10-13; 16 children</t>
        </is>
      </c>
      <c r="R122" s="85" t="n">
        <v>501</v>
      </c>
      <c r="S122" s="85" t="n">
        <v>924</v>
      </c>
      <c r="T122" s="90">
        <f>IF(AND(ISNUMBER(K122),ISNUMBER(S122)),K122*S122*52/12,"")</f>
        <v/>
      </c>
      <c r="U122" s="91" t="n">
        <v>4.4</v>
      </c>
      <c r="V122" s="85" t="n">
        <v>1900</v>
      </c>
      <c r="W122" s="92" t="n">
        <v>46307</v>
      </c>
      <c r="X122" s="92" t="n">
        <v>45694</v>
      </c>
      <c r="Y122" s="84" t="inlineStr">
        <is>
          <t>FBA</t>
        </is>
      </c>
      <c r="Z122" s="84" t="inlineStr">
        <is>
          <t>CN</t>
        </is>
      </c>
      <c r="AA122" s="85" t="n">
        <v>906346</v>
      </c>
      <c r="AB122" s="85" t="n">
        <v>4326</v>
      </c>
      <c r="AC122" s="93" t="n">
        <v>0.9184238707954808</v>
      </c>
      <c r="AD122" s="93" t="n">
        <v>0.08157613626584115</v>
      </c>
      <c r="AE122" s="32" t="inlineStr">
        <is>
          <t>bamboo sheets</t>
        </is>
      </c>
      <c r="AF122" s="93" t="n">
        <v>0.888575665364</v>
      </c>
      <c r="AG122" s="93" t="n">
        <v>0.05086247415446198</v>
      </c>
      <c r="AH122" s="93" t="n"/>
      <c r="AI122" s="93" t="n">
        <v>0.4089034430559632</v>
      </c>
      <c r="AJ122" s="85" t="n">
        <v>1410</v>
      </c>
      <c r="AK122" s="85" t="n">
        <v>186</v>
      </c>
      <c r="AL122" s="85" t="n">
        <v>1128</v>
      </c>
      <c r="AM122" s="85" t="n">
        <v>2916</v>
      </c>
      <c r="AN122" s="85" t="n">
        <v>938</v>
      </c>
      <c r="AO122" s="85" t="n">
        <v>38</v>
      </c>
      <c r="AP122" s="94" t="n">
        <v>0.8953669259384511</v>
      </c>
      <c r="AQ122" s="89" t="n">
        <v>0.5388519228600428</v>
      </c>
      <c r="AR122" s="95" t="inlineStr">
        <is>
          <t>Y</t>
        </is>
      </c>
      <c r="AS122" s="95" t="inlineStr">
        <is>
          <t>List Price</t>
        </is>
      </c>
      <c r="AT122" s="96" t="n">
        <v>44.99</v>
      </c>
      <c r="AU122" s="96" t="n">
        <v>37.99</v>
      </c>
      <c r="AV122" s="95" t="inlineStr">
        <is>
          <t>none</t>
        </is>
      </c>
      <c r="AW122" s="95" t="inlineStr">
        <is>
          <t>Y</t>
        </is>
      </c>
      <c r="AX122" s="95" t="inlineStr">
        <is>
          <t>2026-10-13 12:11:04</t>
        </is>
      </c>
      <c r="AY122" s="97" t="inlineStr">
        <is>
          <t>Prime Exclusive Discount</t>
        </is>
      </c>
      <c r="AZ122" s="97" t="inlineStr">
        <is>
          <t>11-03 to 12-05</t>
        </is>
      </c>
      <c r="BA122" s="98" t="n">
        <v>36.99</v>
      </c>
      <c r="BB122" s="98" t="n">
        <v>29.99</v>
      </c>
      <c r="BC122" s="87">
        <f>IF(AND(ISNUMBER(BA122),ISNUMBER(BB122),N(BA122)&gt;0),1-BB122/BA122,"")</f>
        <v/>
      </c>
      <c r="BD122" s="99" t="n">
        <v>32899</v>
      </c>
      <c r="BE122" s="99" t="n">
        <v>33089</v>
      </c>
      <c r="BF122" s="100">
        <f>IF(AND(ISNUMBER(BD122),ISNUMBER(BE122),N(BE122)&gt;0),BD122/BE122,"")</f>
        <v/>
      </c>
      <c r="BG122" s="97" t="inlineStr">
        <is>
          <t>N</t>
        </is>
      </c>
      <c r="BH122" s="97" t="inlineStr">
        <is>
          <t>Prime Exclusive already running before BFCM week; List Price $49.99</t>
        </is>
      </c>
    </row>
    <row r="123" ht="62" customHeight="1">
      <c r="A123" s="10">
        <f>_xlfn.IMAGE("https://images-na.ssl-images-amazon.com/images/I/61-LBYlR5KL.jpg")</f>
        <v/>
      </c>
      <c r="B123" s="84" t="inlineStr">
        <is>
          <t>KRIMANO</t>
        </is>
      </c>
      <c r="C123" s="32" t="inlineStr">
        <is>
          <t>KRIMANO Bamboo Viscose Sheet Set King Size, Cooling Sheets Bed Set</t>
        </is>
      </c>
      <c r="D123" s="84" t="inlineStr">
        <is>
          <t>Beatable</t>
        </is>
      </c>
      <c r="E123" s="84" t="inlineStr">
        <is>
          <t>B0FT7L9RSX</t>
        </is>
      </c>
      <c r="F123" s="84" t="inlineStr">
        <is>
          <t>B0FT7LZ2CD</t>
        </is>
      </c>
      <c r="G123" s="84" t="inlineStr">
        <is>
          <t>King</t>
        </is>
      </c>
      <c r="H123" s="84" t="n"/>
      <c r="I123" s="85" t="n">
        <v>43</v>
      </c>
      <c r="J123" s="32" t="inlineStr">
        <is>
          <t>B0FT7LV7PP (47%), B0FT7LZ2CD (42%)</t>
        </is>
      </c>
      <c r="K123" s="86" t="n">
        <v>84.98999999999999</v>
      </c>
      <c r="L123" s="86" t="n"/>
      <c r="M123" s="87">
        <f>IF(AND(ISNUMBER(L123),ISNUMBER(K123),N(K123)&gt;0),L123/K123-1,"")</f>
        <v/>
      </c>
      <c r="N123" s="88">
        <f>IF(M123="","No List Price",IF(M123&lt;=0,"At/below price",IF(M123&lt;=0.12,"&lt;=12% STR zone",IF(M123&lt;=0.25,"12-25%","&gt;25% over"))))</f>
        <v/>
      </c>
      <c r="O123" s="86" t="n">
        <v>94.98999999999999</v>
      </c>
      <c r="P123" s="89">
        <f>IF(AND(ISNUMBER(K123),ISNUMBER(O123),N(O123)&gt;0),K123/O123-1,"")</f>
        <v/>
      </c>
      <c r="Q123" s="32" t="inlineStr">
        <is>
          <t>Same size (King). Ours live: Helium 10 Xray, 2026-10-13; 16 children</t>
        </is>
      </c>
      <c r="R123" s="85" t="n">
        <v>5664</v>
      </c>
      <c r="S123" s="85" t="n">
        <v>185</v>
      </c>
      <c r="T123" s="90">
        <f>IF(AND(ISNUMBER(K123),ISNUMBER(S123)),K123*S123*52/12,"")</f>
        <v/>
      </c>
      <c r="U123" s="91" t="n">
        <v>4.5</v>
      </c>
      <c r="V123" s="85" t="n">
        <v>263</v>
      </c>
      <c r="W123" s="92" t="n">
        <v>46307</v>
      </c>
      <c r="X123" s="92" t="n">
        <v>45944</v>
      </c>
      <c r="Y123" s="84" t="inlineStr">
        <is>
          <t>FBA</t>
        </is>
      </c>
      <c r="Z123" s="84" t="inlineStr">
        <is>
          <t>HK</t>
        </is>
      </c>
      <c r="AA123" s="85" t="n">
        <v>334819</v>
      </c>
      <c r="AB123" s="85" t="n">
        <v>2638</v>
      </c>
      <c r="AC123" s="93" t="n">
        <v>0.6137371774003271</v>
      </c>
      <c r="AD123" s="93" t="n">
        <v>0.3862628512718813</v>
      </c>
      <c r="AE123" s="32" t="inlineStr">
        <is>
          <t>bamboo sheets</t>
        </is>
      </c>
      <c r="AF123" s="93" t="n">
        <v>0.9348573408319122</v>
      </c>
      <c r="AG123" s="93" t="n">
        <v>0.3304382367786775</v>
      </c>
      <c r="AH123" s="93" t="n"/>
      <c r="AI123" s="93" t="n">
        <v>0.007908750698138397</v>
      </c>
      <c r="AJ123" s="85" t="n">
        <v>1231</v>
      </c>
      <c r="AK123" s="85" t="n">
        <v>272</v>
      </c>
      <c r="AL123" s="85" t="n">
        <v>705</v>
      </c>
      <c r="AM123" s="85" t="n">
        <v>1407</v>
      </c>
      <c r="AN123" s="85" t="n">
        <v>294</v>
      </c>
      <c r="AO123" s="85" t="n">
        <v>100</v>
      </c>
      <c r="AP123" s="94" t="n">
        <v>1.312468450277638</v>
      </c>
      <c r="AQ123" s="89" t="n">
        <v>0.2565502183406114</v>
      </c>
      <c r="AR123" s="95" t="inlineStr">
        <is>
          <t>N</t>
        </is>
      </c>
      <c r="AS123" s="95" t="inlineStr">
        <is>
          <t>none</t>
        </is>
      </c>
      <c r="AT123" s="101" t="n"/>
      <c r="AU123" s="96" t="n">
        <v>84.98999999999999</v>
      </c>
      <c r="AV123" s="95" t="inlineStr">
        <is>
          <t>none</t>
        </is>
      </c>
      <c r="AW123" s="95" t="inlineStr">
        <is>
          <t>Y</t>
        </is>
      </c>
      <c r="AX123" s="95" t="inlineStr">
        <is>
          <t>2026-10-13 12:11:00</t>
        </is>
      </c>
      <c r="AY123" s="97" t="inlineStr">
        <is>
          <t>None</t>
        </is>
      </c>
      <c r="AZ123" s="102" t="n"/>
      <c r="BA123" s="98" t="n">
        <v>72.98999999999999</v>
      </c>
      <c r="BB123" s="98" t="n">
        <v>72.98999999999999</v>
      </c>
      <c r="BC123" s="87">
        <f>IF(AND(ISNUMBER(BA123),ISNUMBER(BB123),N(BA123)&gt;0),1-BB123/BA123,"")</f>
        <v/>
      </c>
      <c r="BD123" s="99" t="n">
        <v>1190634</v>
      </c>
      <c r="BE123" s="99" t="n">
        <v>628461</v>
      </c>
      <c r="BF123" s="100">
        <f>IF(AND(ISNUMBER(BD123),ISNUMBER(BE123),N(BE123)&gt;0),BD123/BE123,"")</f>
        <v/>
      </c>
      <c r="BG123" s="97" t="inlineStr">
        <is>
          <t>N</t>
        </is>
      </c>
      <c r="BH123" s="97" t="inlineStr">
        <is>
          <t>List Price $94.89</t>
        </is>
      </c>
    </row>
    <row r="124" ht="62" customHeight="1">
      <c r="A124" s="39" t="inlineStr">
        <is>
          <t>IMAGE MISSING</t>
        </is>
      </c>
      <c r="B124" s="84" t="inlineStr">
        <is>
          <t>TRUE BAMBOO</t>
        </is>
      </c>
      <c r="C124" s="32" t="inlineStr">
        <is>
          <t>TRUE BAMBOO Sheets Set King Size - Silky Soft &amp; Cooling - Dark Gray</t>
        </is>
      </c>
      <c r="D124" s="84" t="inlineStr">
        <is>
          <t>Beatable</t>
        </is>
      </c>
      <c r="E124" s="84" t="inlineStr">
        <is>
          <t>B0HHQ97HBL</t>
        </is>
      </c>
      <c r="F124" s="84" t="inlineStr">
        <is>
          <t>B0HD7R5L1D</t>
        </is>
      </c>
      <c r="G124" s="84" t="inlineStr">
        <is>
          <t>King</t>
        </is>
      </c>
      <c r="H124" s="84" t="inlineStr">
        <is>
          <t>Gray</t>
        </is>
      </c>
      <c r="I124" s="85" t="n">
        <v>30</v>
      </c>
      <c r="J124" s="32" t="inlineStr">
        <is>
          <t>B0HD7R5L1D (45%), B0H5WYMXJK (28%), B0H7BYKYCD (9%)</t>
        </is>
      </c>
      <c r="K124" s="86" t="n">
        <v>114.99</v>
      </c>
      <c r="L124" s="86" t="n">
        <v>129.99</v>
      </c>
      <c r="M124" s="87">
        <f>IF(AND(ISNUMBER(L124),ISNUMBER(K124),N(K124)&gt;0),L124/K124-1,"")</f>
        <v/>
      </c>
      <c r="N124" s="88">
        <f>IF(M124="","No List Price",IF(M124&lt;=0,"At/below price",IF(M124&lt;=0.12,"&lt;=12% STR zone",IF(M124&lt;=0.25,"12-25%","&gt;25% over"))))</f>
        <v/>
      </c>
      <c r="O124" s="86" t="n">
        <v>94.98999999999999</v>
      </c>
      <c r="P124" s="89">
        <f>IF(AND(ISNUMBER(K124),ISNUMBER(O124),N(O124)&gt;0),K124/O124-1,"")</f>
        <v/>
      </c>
      <c r="Q124" s="32" t="inlineStr">
        <is>
          <t>Same size (King). Ours live: Helium 10 Xray, 2026-10-13; 16 children</t>
        </is>
      </c>
      <c r="R124" s="85" t="n">
        <v>5934</v>
      </c>
      <c r="S124" s="85" t="n">
        <v>185</v>
      </c>
      <c r="T124" s="90">
        <f>IF(AND(ISNUMBER(K124),ISNUMBER(S124)),K124*S124*52/12,"")</f>
        <v/>
      </c>
      <c r="U124" s="91" t="n">
        <v>4.6</v>
      </c>
      <c r="V124" s="85" t="n">
        <v>167</v>
      </c>
      <c r="W124" s="92" t="n">
        <v>46307</v>
      </c>
      <c r="X124" s="92" t="n"/>
      <c r="Y124" s="84" t="n"/>
      <c r="Z124" s="84" t="n"/>
      <c r="AA124" s="85" t="n">
        <v>557658</v>
      </c>
      <c r="AB124" s="85" t="n">
        <v>2189</v>
      </c>
      <c r="AC124" s="93" t="n">
        <v>0.518044597943542</v>
      </c>
      <c r="AD124" s="93" t="n">
        <v>0.4819554422244464</v>
      </c>
      <c r="AE124" s="32" t="inlineStr">
        <is>
          <t>king size sheets set</t>
        </is>
      </c>
      <c r="AF124" s="93" t="n">
        <v>0.9807695756180311</v>
      </c>
      <c r="AG124" s="93" t="n">
        <v>0.2157666526795993</v>
      </c>
      <c r="AH124" s="93" t="n"/>
      <c r="AI124" s="93" t="n"/>
      <c r="AJ124" s="85" t="n">
        <v>1126</v>
      </c>
      <c r="AK124" s="85" t="n">
        <v>246</v>
      </c>
      <c r="AL124" s="85" t="n">
        <v>667</v>
      </c>
      <c r="AM124" s="85" t="n">
        <v>1063</v>
      </c>
      <c r="AN124" s="85" t="n">
        <v>661</v>
      </c>
      <c r="AO124" s="85" t="n">
        <v>137</v>
      </c>
      <c r="AP124" s="94" t="n"/>
      <c r="AQ124" s="89" t="n"/>
      <c r="AR124" s="95" t="inlineStr">
        <is>
          <t>Y</t>
        </is>
      </c>
      <c r="AS124" s="95" t="inlineStr">
        <is>
          <t>List Price</t>
        </is>
      </c>
      <c r="AT124" s="96" t="n">
        <v>129.99</v>
      </c>
      <c r="AU124" s="96" t="n">
        <v>79.98999999999999</v>
      </c>
      <c r="AV124" s="95" t="inlineStr">
        <is>
          <t>none</t>
        </is>
      </c>
      <c r="AW124" s="95" t="inlineStr">
        <is>
          <t>Y</t>
        </is>
      </c>
      <c r="AX124" s="95" t="inlineStr">
        <is>
          <t>2026-10-13 12:11:32</t>
        </is>
      </c>
      <c r="AY124" s="97" t="inlineStr">
        <is>
          <t>Not live in 2025</t>
        </is>
      </c>
      <c r="AZ124" s="102" t="n"/>
      <c r="BA124" s="101" t="n"/>
      <c r="BB124" s="101" t="n"/>
      <c r="BC124" s="87">
        <f>IF(AND(ISNUMBER(BA124),ISNUMBER(BB124),N(BA124)&gt;0),1-BB124/BA124,"")</f>
        <v/>
      </c>
      <c r="BD124" s="103" t="n"/>
      <c r="BE124" s="103" t="n"/>
      <c r="BF124" s="100">
        <f>IF(AND(ISNUMBER(BD124),ISNUMBER(BE124),N(BE124)&gt;0),BD124/BE124,"")</f>
        <v/>
      </c>
      <c r="BG124" s="102" t="n"/>
      <c r="BH124" s="102" t="n"/>
    </row>
    <row r="125" ht="62" customHeight="1">
      <c r="A125" s="10">
        <f>_xlfn.IMAGE("https://images-na.ssl-images-amazon.com/images/I/81svKInu7aL.jpg")</f>
        <v/>
      </c>
      <c r="B125" s="84" t="inlineStr">
        <is>
          <t>Bambaw</t>
        </is>
      </c>
      <c r="C125" s="32" t="inlineStr">
        <is>
          <t>Bambaw 100% Viscose Derived from Bamboo Sheets Queen Size Set – 4pcs Cooling Sheet Set, Super Soft Sheets Queen Size, Luxury Bed Sheets, Deep Pocket Fits Up to 16'' Mattresses (Charcoal)</t>
        </is>
      </c>
      <c r="D125" s="84" t="inlineStr">
        <is>
          <t>Beatable</t>
        </is>
      </c>
      <c r="E125" s="84" t="inlineStr">
        <is>
          <t>B07K6SYX8L</t>
        </is>
      </c>
      <c r="F125" s="84" t="inlineStr">
        <is>
          <t>B0DR99Q37Y</t>
        </is>
      </c>
      <c r="G125" s="84" t="inlineStr">
        <is>
          <t>Queen</t>
        </is>
      </c>
      <c r="H125" s="84" t="inlineStr">
        <is>
          <t>Charcoal</t>
        </is>
      </c>
      <c r="I125" s="85" t="n">
        <v>104</v>
      </c>
      <c r="J125" s="32" t="inlineStr">
        <is>
          <t>B0DR99Q37Y (55%), B0DR98VW37 (10%), B0F2J1742T (7%), B0DR98HVG3 (5%), B0H3BQSQ1X (5%)</t>
        </is>
      </c>
      <c r="K125" s="86" t="n">
        <v>89.98999999999999</v>
      </c>
      <c r="L125" s="86" t="n"/>
      <c r="M125" s="87">
        <f>IF(AND(ISNUMBER(L125),ISNUMBER(K125),N(K125)&gt;0),L125/K125-1,"")</f>
        <v/>
      </c>
      <c r="N125" s="88">
        <f>IF(M125="","No List Price",IF(M125&lt;=0,"At/below price",IF(M125&lt;=0.12,"&lt;=12% STR zone",IF(M125&lt;=0.25,"12-25%","&gt;25% over"))))</f>
        <v/>
      </c>
      <c r="O125" s="86" t="n">
        <v>89.98999999999999</v>
      </c>
      <c r="P125" s="89">
        <f>IF(AND(ISNUMBER(K125),ISNUMBER(O125),N(O125)&gt;0),K125/O125-1,"")</f>
        <v/>
      </c>
      <c r="Q125" s="32" t="inlineStr">
        <is>
          <t>Same size (Queen). Ours live: Helium 10 Xray, 2026-10-13; 16 children</t>
        </is>
      </c>
      <c r="R125" s="85" t="n">
        <v>6971</v>
      </c>
      <c r="S125" s="85" t="n">
        <v>104</v>
      </c>
      <c r="T125" s="90">
        <f>IF(AND(ISNUMBER(K125),ISNUMBER(S125)),K125*S125*52/12,"")</f>
        <v/>
      </c>
      <c r="U125" s="91" t="n">
        <v>4.3</v>
      </c>
      <c r="V125" s="85" t="n">
        <v>2766</v>
      </c>
      <c r="W125" s="92" t="n">
        <v>46307</v>
      </c>
      <c r="X125" s="92" t="n">
        <v>45649</v>
      </c>
      <c r="Y125" s="84" t="inlineStr">
        <is>
          <t>FBA</t>
        </is>
      </c>
      <c r="Z125" s="84" t="inlineStr">
        <is>
          <t>BE</t>
        </is>
      </c>
      <c r="AA125" s="85" t="n">
        <v>407949</v>
      </c>
      <c r="AB125" s="85" t="n">
        <v>2137</v>
      </c>
      <c r="AC125" s="93" t="n">
        <v>0.5037485506766772</v>
      </c>
      <c r="AD125" s="93" t="n">
        <v>0.4962515277645003</v>
      </c>
      <c r="AE125" s="32" t="inlineStr">
        <is>
          <t>bamboo sheets</t>
        </is>
      </c>
      <c r="AF125" s="93" t="n">
        <v>0.8267479513370544</v>
      </c>
      <c r="AG125" s="93" t="n">
        <v>0.000431426477329274</v>
      </c>
      <c r="AH125" s="93" t="n">
        <v>0.3636508485129268</v>
      </c>
      <c r="AI125" s="93" t="n">
        <v>0.003414642516589083</v>
      </c>
      <c r="AJ125" s="85" t="n">
        <v>1036</v>
      </c>
      <c r="AK125" s="85" t="n">
        <v>263</v>
      </c>
      <c r="AL125" s="85" t="n">
        <v>666</v>
      </c>
      <c r="AM125" s="85" t="n">
        <v>1101</v>
      </c>
      <c r="AN125" s="85" t="n">
        <v>402</v>
      </c>
      <c r="AO125" s="85" t="n">
        <v>92</v>
      </c>
      <c r="AP125" s="94" t="n">
        <v>1.374474053295933</v>
      </c>
      <c r="AQ125" s="89" t="n">
        <v>1.381825760733639</v>
      </c>
      <c r="AR125" s="95" t="inlineStr">
        <is>
          <t>N</t>
        </is>
      </c>
      <c r="AS125" s="95" t="inlineStr">
        <is>
          <t>none</t>
        </is>
      </c>
      <c r="AT125" s="101" t="n"/>
      <c r="AU125" s="96" t="n">
        <v>89.98999999999999</v>
      </c>
      <c r="AV125" s="95" t="inlineStr">
        <is>
          <t>none</t>
        </is>
      </c>
      <c r="AW125" s="95" t="inlineStr">
        <is>
          <t>Y</t>
        </is>
      </c>
      <c r="AX125" s="95" t="inlineStr">
        <is>
          <t>2026-10-13 12:10:28</t>
        </is>
      </c>
      <c r="AY125" s="97" t="inlineStr">
        <is>
          <t>None</t>
        </is>
      </c>
      <c r="AZ125" s="102" t="n"/>
      <c r="BA125" s="98" t="n">
        <v>89.98999999999999</v>
      </c>
      <c r="BB125" s="98" t="n">
        <v>89.98999999999999</v>
      </c>
      <c r="BC125" s="87">
        <f>IF(AND(ISNUMBER(BA125),ISNUMBER(BB125),N(BA125)&gt;0),1-BB125/BA125,"")</f>
        <v/>
      </c>
      <c r="BD125" s="99" t="n">
        <v>12712</v>
      </c>
      <c r="BE125" s="99" t="n">
        <v>10881</v>
      </c>
      <c r="BF125" s="100">
        <f>IF(AND(ISNUMBER(BD125),ISNUMBER(BE125),N(BE125)&gt;0),BD125/BE125,"")</f>
        <v/>
      </c>
      <c r="BG125" s="97" t="inlineStr">
        <is>
          <t>N</t>
        </is>
      </c>
      <c r="BH125" s="97" t="inlineStr">
        <is>
          <t>List Price $103.45</t>
        </is>
      </c>
    </row>
    <row r="126" ht="62" customHeight="1">
      <c r="A126" s="10">
        <f>_xlfn.IMAGE("https://images-na.ssl-images-amazon.com/images/I/81suQgVR0GL.jpg")</f>
        <v/>
      </c>
      <c r="B126" s="84" t="inlineStr">
        <is>
          <t>Bedsure</t>
        </is>
      </c>
      <c r="C126" s="32" t="inlineStr">
        <is>
          <t>Bedsure PureWoven Organically Grown Bamboo Viscose Queen Sheet Set, 4PCS</t>
        </is>
      </c>
      <c r="D126" s="84" t="inlineStr">
        <is>
          <t>Beatable</t>
        </is>
      </c>
      <c r="E126" s="84" t="inlineStr">
        <is>
          <t>B0FB8XS4D1</t>
        </is>
      </c>
      <c r="F126" s="84" t="inlineStr">
        <is>
          <t>B0FB8XR43Q</t>
        </is>
      </c>
      <c r="G126" s="84" t="inlineStr">
        <is>
          <t>Queen</t>
        </is>
      </c>
      <c r="H126" s="84" t="n"/>
      <c r="I126" s="85" t="n">
        <v>39</v>
      </c>
      <c r="J126" s="32" t="inlineStr">
        <is>
          <t>B0FB8XR43Q (31%), B0FB8ZTD7M (18%), B0GLN6VP9Y (11%), B0FB8YV6C7 (10%), B0FB8Z4GGW (10%)</t>
        </is>
      </c>
      <c r="K126" s="86" t="n">
        <v>89.98999999999999</v>
      </c>
      <c r="L126" s="86" t="n">
        <v>119.99</v>
      </c>
      <c r="M126" s="87">
        <f>IF(AND(ISNUMBER(L126),ISNUMBER(K126),N(K126)&gt;0),L126/K126-1,"")</f>
        <v/>
      </c>
      <c r="N126" s="88">
        <f>IF(M126="","No List Price",IF(M126&lt;=0,"At/below price",IF(M126&lt;=0.12,"&lt;=12% STR zone",IF(M126&lt;=0.25,"12-25%","&gt;25% over"))))</f>
        <v/>
      </c>
      <c r="O126" s="86" t="n">
        <v>89.98999999999999</v>
      </c>
      <c r="P126" s="89">
        <f>IF(AND(ISNUMBER(K126),ISNUMBER(O126),N(O126)&gt;0),K126/O126-1,"")</f>
        <v/>
      </c>
      <c r="Q126" s="32" t="inlineStr">
        <is>
          <t>Same size (Queen). Ours live: Helium 10 Xray, 2026-10-13; 16 children</t>
        </is>
      </c>
      <c r="R126" s="85" t="n">
        <v>8938</v>
      </c>
      <c r="S126" s="85" t="n">
        <v>104</v>
      </c>
      <c r="T126" s="90">
        <f>IF(AND(ISNUMBER(K126),ISNUMBER(S126)),K126*S126*52/12,"")</f>
        <v/>
      </c>
      <c r="U126" s="91" t="n">
        <v>4.5</v>
      </c>
      <c r="V126" s="85" t="n">
        <v>588</v>
      </c>
      <c r="W126" s="92" t="n">
        <v>46307</v>
      </c>
      <c r="X126" s="92" t="n">
        <v>45936</v>
      </c>
      <c r="Y126" s="84" t="inlineStr">
        <is>
          <t>FBA</t>
        </is>
      </c>
      <c r="Z126" s="84" t="inlineStr">
        <is>
          <t>US</t>
        </is>
      </c>
      <c r="AA126" s="85" t="n">
        <v>840292</v>
      </c>
      <c r="AB126" s="85" t="n">
        <v>3961</v>
      </c>
      <c r="AC126" s="93" t="n">
        <v>0.1404099194089678</v>
      </c>
      <c r="AD126" s="93" t="n">
        <v>0.8595901834124341</v>
      </c>
      <c r="AE126" s="32" t="inlineStr">
        <is>
          <t>bamboo sheets</t>
        </is>
      </c>
      <c r="AF126" s="93" t="n">
        <v>0.9284082199997143</v>
      </c>
      <c r="AG126" s="93" t="n">
        <v>0.9843340172225845</v>
      </c>
      <c r="AH126" s="93" t="n">
        <v>0.5269953777972419</v>
      </c>
      <c r="AI126" s="93" t="n">
        <v>0.000478405125837209</v>
      </c>
      <c r="AJ126" s="85" t="n">
        <v>1306</v>
      </c>
      <c r="AK126" s="85" t="n">
        <v>157</v>
      </c>
      <c r="AL126" s="85" t="n">
        <v>1057</v>
      </c>
      <c r="AM126" s="85" t="n">
        <v>2655</v>
      </c>
      <c r="AN126" s="85" t="n">
        <v>2055</v>
      </c>
      <c r="AO126" s="85" t="n">
        <v>211</v>
      </c>
      <c r="AP126" s="94" t="n">
        <v>1.764832022873481</v>
      </c>
      <c r="AQ126" s="89" t="n">
        <v>-0.09047044632086854</v>
      </c>
      <c r="AR126" s="95" t="inlineStr">
        <is>
          <t>Y</t>
        </is>
      </c>
      <c r="AS126" s="95" t="inlineStr">
        <is>
          <t>List Price</t>
        </is>
      </c>
      <c r="AT126" s="96" t="n">
        <v>119.99</v>
      </c>
      <c r="AU126" s="96" t="n">
        <v>89.98999999999999</v>
      </c>
      <c r="AV126" s="95" t="inlineStr">
        <is>
          <t>none</t>
        </is>
      </c>
      <c r="AW126" s="95" t="inlineStr">
        <is>
          <t>Y</t>
        </is>
      </c>
      <c r="AX126" s="95" t="inlineStr">
        <is>
          <t>2026-10-13 12:10:38</t>
        </is>
      </c>
      <c r="AY126" s="97" t="inlineStr">
        <is>
          <t>Prime Exclusive Discount</t>
        </is>
      </c>
      <c r="AZ126" s="97" t="inlineStr">
        <is>
          <t>11-10 to 12-05</t>
        </is>
      </c>
      <c r="BA126" s="98" t="n">
        <v>99.98999999999999</v>
      </c>
      <c r="BB126" s="98" t="n">
        <v>72.64</v>
      </c>
      <c r="BC126" s="87">
        <f>IF(AND(ISNUMBER(BA126),ISNUMBER(BB126),N(BA126)&gt;0),1-BB126/BA126,"")</f>
        <v/>
      </c>
      <c r="BD126" s="99" t="n">
        <v>53160</v>
      </c>
      <c r="BE126" s="99" t="n">
        <v>53782</v>
      </c>
      <c r="BF126" s="100">
        <f>IF(AND(ISNUMBER(BD126),ISNUMBER(BE126),N(BE126)&gt;0),BD126/BE126,"")</f>
        <v/>
      </c>
      <c r="BG126" s="97" t="inlineStr">
        <is>
          <t>N</t>
        </is>
      </c>
      <c r="BH126" s="97" t="inlineStr">
        <is>
          <t>Prime Exclusive already running before BFCM week; List Price $114.99</t>
        </is>
      </c>
    </row>
    <row r="127" ht="62" customHeight="1">
      <c r="A127" s="10">
        <f>_xlfn.IMAGE("https://images-na.ssl-images-amazon.com/images/I/71sqxa1EquL.jpg")</f>
        <v/>
      </c>
      <c r="B127" s="84" t="inlineStr">
        <is>
          <t>SONORO KATE</t>
        </is>
      </c>
      <c r="C127" s="32" t="inlineStr">
        <is>
          <t>Bamboo Sheets</t>
        </is>
      </c>
      <c r="D127" s="84" t="inlineStr">
        <is>
          <t>Beatable</t>
        </is>
      </c>
      <c r="E127" s="84" t="inlineStr">
        <is>
          <t>B0F4852T9V</t>
        </is>
      </c>
      <c r="F127" s="84" t="inlineStr">
        <is>
          <t>B0F4873G4H</t>
        </is>
      </c>
      <c r="G127" s="84" t="n"/>
      <c r="H127" s="84" t="n"/>
      <c r="I127" s="85" t="n">
        <v>33</v>
      </c>
      <c r="J127" s="32" t="inlineStr">
        <is>
          <t>B0F486MGJ1 (46%), B0F4873G4H (45%)</t>
        </is>
      </c>
      <c r="K127" s="86" t="n">
        <v>79.98999999999999</v>
      </c>
      <c r="L127" s="86" t="n"/>
      <c r="M127" s="87">
        <f>IF(AND(ISNUMBER(L127),ISNUMBER(K127),N(K127)&gt;0),L127/K127-1,"")</f>
        <v/>
      </c>
      <c r="N127" s="88">
        <f>IF(M127="","No List Price",IF(M127&lt;=0,"At/below price",IF(M127&lt;=0.12,"&lt;=12% STR zone",IF(M127&lt;=0.25,"12-25%","&gt;25% over"))))</f>
        <v/>
      </c>
      <c r="O127" s="86" t="n">
        <v>89.98999999999999</v>
      </c>
      <c r="P127" s="89">
        <f>IF(AND(ISNUMBER(K127),ISNUMBER(O127),N(O127)&gt;0),K127/O127-1,"")</f>
        <v/>
      </c>
      <c r="Q127" s="32" t="inlineStr">
        <is>
          <t>Size not stated - vs our Queen. Ours live: Helium 10 Xray, 2026-10-13; 16 children</t>
        </is>
      </c>
      <c r="R127" s="85" t="n">
        <v>7961</v>
      </c>
      <c r="S127" s="85" t="n">
        <v>104</v>
      </c>
      <c r="T127" s="90">
        <f>IF(AND(ISNUMBER(K127),ISNUMBER(S127)),K127*S127*52/12,"")</f>
        <v/>
      </c>
      <c r="U127" s="91" t="n">
        <v>4.5</v>
      </c>
      <c r="V127" s="85" t="n">
        <v>3776</v>
      </c>
      <c r="W127" s="92" t="n">
        <v>46307</v>
      </c>
      <c r="X127" s="92" t="n"/>
      <c r="Y127" s="84" t="n"/>
      <c r="Z127" s="84" t="n"/>
      <c r="AA127" s="85" t="n">
        <v>185157</v>
      </c>
      <c r="AB127" s="85" t="n">
        <v>1447</v>
      </c>
      <c r="AC127" s="93" t="n">
        <v>0.9776013545261586</v>
      </c>
      <c r="AD127" s="93" t="n">
        <v>0.02239928493116653</v>
      </c>
      <c r="AE127" s="32" t="inlineStr">
        <is>
          <t>bamboo sheets</t>
        </is>
      </c>
      <c r="AF127" s="93" t="n">
        <v>0.4342476924987983</v>
      </c>
      <c r="AG127" s="93" t="n"/>
      <c r="AH127" s="93" t="n"/>
      <c r="AI127" s="93" t="n">
        <v>0.1639959601851402</v>
      </c>
      <c r="AJ127" s="85" t="n">
        <v>770</v>
      </c>
      <c r="AK127" s="85" t="n">
        <v>203</v>
      </c>
      <c r="AL127" s="85" t="n">
        <v>507</v>
      </c>
      <c r="AM127" s="85" t="n">
        <v>677</v>
      </c>
      <c r="AN127" s="85" t="n">
        <v>80</v>
      </c>
      <c r="AO127" s="85" t="n">
        <v>6</v>
      </c>
      <c r="AP127" s="94" t="n">
        <v>1.314808539478143</v>
      </c>
      <c r="AQ127" s="89" t="n">
        <v>0.6186540731995278</v>
      </c>
      <c r="AR127" s="95" t="inlineStr">
        <is>
          <t>N</t>
        </is>
      </c>
      <c r="AS127" s="95" t="inlineStr">
        <is>
          <t>none</t>
        </is>
      </c>
      <c r="AT127" s="101" t="n"/>
      <c r="AU127" s="96" t="n">
        <v>79.98999999999999</v>
      </c>
      <c r="AV127" s="95" t="inlineStr">
        <is>
          <t>coupon $5</t>
        </is>
      </c>
      <c r="AW127" s="95" t="inlineStr">
        <is>
          <t>Y</t>
        </is>
      </c>
      <c r="AX127" s="95" t="inlineStr">
        <is>
          <t>2026-10-13 12:11:19</t>
        </is>
      </c>
      <c r="AY127" s="97" t="inlineStr">
        <is>
          <t>Prime Exclusive Discount</t>
        </is>
      </c>
      <c r="AZ127" s="97" t="inlineStr">
        <is>
          <t>11-20 to 12-01</t>
        </is>
      </c>
      <c r="BA127" s="98" t="n">
        <v>79.98999999999999</v>
      </c>
      <c r="BB127" s="98" t="n">
        <v>63.99</v>
      </c>
      <c r="BC127" s="87">
        <f>IF(AND(ISNUMBER(BA127),ISNUMBER(BB127),N(BA127)&gt;0),1-BB127/BA127,"")</f>
        <v/>
      </c>
      <c r="BD127" s="99" t="n">
        <v>36662</v>
      </c>
      <c r="BE127" s="99" t="n">
        <v>23612</v>
      </c>
      <c r="BF127" s="100">
        <f>IF(AND(ISNUMBER(BD127),ISNUMBER(BE127),N(BE127)&gt;0),BD127/BE127,"")</f>
        <v/>
      </c>
      <c r="BG127" s="97" t="inlineStr">
        <is>
          <t>N</t>
        </is>
      </c>
      <c r="BH127" s="97" t="inlineStr">
        <is>
          <t>Coupon 15% (11-06 to 11-19); List Price $79.99</t>
        </is>
      </c>
    </row>
    <row r="128" ht="62" customHeight="1">
      <c r="A128" s="10">
        <f>_xlfn.IMAGE("https://images-na.ssl-images-amazon.com/images/I/71Pl57-j67L.jpg")</f>
        <v/>
      </c>
      <c r="B128" s="84" t="inlineStr">
        <is>
          <t>BC BELLA COTERIE</t>
        </is>
      </c>
      <c r="C128" s="32" t="inlineStr">
        <is>
          <t>Bella Coterie Luxury Bamboo Viscose King Size Sheet Set</t>
        </is>
      </c>
      <c r="D128" s="84" t="inlineStr">
        <is>
          <t>Beatable</t>
        </is>
      </c>
      <c r="E128" s="84" t="inlineStr">
        <is>
          <t>B0H29V113N</t>
        </is>
      </c>
      <c r="F128" s="84" t="inlineStr">
        <is>
          <t>B08L86VLZB</t>
        </is>
      </c>
      <c r="G128" s="84" t="inlineStr">
        <is>
          <t>King</t>
        </is>
      </c>
      <c r="H128" s="84" t="n"/>
      <c r="I128" s="85" t="n">
        <v>258</v>
      </c>
      <c r="J128" s="32" t="inlineStr">
        <is>
          <t>B0C979FD5Z (12%), B09JTQMF5C (11%), B08L86VLZB (6%), B08L85SV5Z (5%), B09JV1NG9R (4%)</t>
        </is>
      </c>
      <c r="K128" s="86" t="n">
        <v>134.99</v>
      </c>
      <c r="L128" s="86" t="n"/>
      <c r="M128" s="87">
        <f>IF(AND(ISNUMBER(L128),ISNUMBER(K128),N(K128)&gt;0),L128/K128-1,"")</f>
        <v/>
      </c>
      <c r="N128" s="88">
        <f>IF(M128="","No List Price",IF(M128&lt;=0,"At/below price",IF(M128&lt;=0.12,"&lt;=12% STR zone",IF(M128&lt;=0.25,"12-25%","&gt;25% over"))))</f>
        <v/>
      </c>
      <c r="O128" s="86" t="n">
        <v>94.98999999999999</v>
      </c>
      <c r="P128" s="89">
        <f>IF(AND(ISNUMBER(K128),ISNUMBER(O128),N(O128)&gt;0),K128/O128-1,"")</f>
        <v/>
      </c>
      <c r="Q128" s="32" t="inlineStr">
        <is>
          <t>Same size (King). Ours live: Helium 10 Xray, 2026-10-13; 16 children</t>
        </is>
      </c>
      <c r="R128" s="85" t="n">
        <v>1358</v>
      </c>
      <c r="S128" s="85" t="n">
        <v>92</v>
      </c>
      <c r="T128" s="90">
        <f>IF(AND(ISNUMBER(K128),ISNUMBER(S128)),K128*S128*52/12,"")</f>
        <v/>
      </c>
      <c r="U128" s="91" t="n">
        <v>4.4</v>
      </c>
      <c r="V128" s="85" t="n">
        <v>5871</v>
      </c>
      <c r="W128" s="92" t="n">
        <v>46307</v>
      </c>
      <c r="X128" s="92" t="n">
        <v>44154</v>
      </c>
      <c r="Y128" s="84" t="inlineStr">
        <is>
          <t>FBA</t>
        </is>
      </c>
      <c r="Z128" s="84" t="inlineStr">
        <is>
          <t>US</t>
        </is>
      </c>
      <c r="AA128" s="85" t="n">
        <v>591713</v>
      </c>
      <c r="AB128" s="85" t="n">
        <v>5504</v>
      </c>
      <c r="AC128" s="93" t="n">
        <v>0.3622702587234016</v>
      </c>
      <c r="AD128" s="93" t="n">
        <v>0.6377298332130611</v>
      </c>
      <c r="AE128" s="32" t="inlineStr">
        <is>
          <t>bamboo sheets</t>
        </is>
      </c>
      <c r="AF128" s="93" t="n">
        <v>0.9808184035165697</v>
      </c>
      <c r="AG128" s="93" t="n">
        <v>0.5730548424658576</v>
      </c>
      <c r="AH128" s="93" t="n">
        <v>0.5581810776508206</v>
      </c>
      <c r="AI128" s="93" t="n">
        <v>0.03836488297536136</v>
      </c>
      <c r="AJ128" s="85" t="n">
        <v>1480</v>
      </c>
      <c r="AK128" s="85" t="n">
        <v>324</v>
      </c>
      <c r="AL128" s="85" t="n">
        <v>996</v>
      </c>
      <c r="AM128" s="85" t="n">
        <v>4024</v>
      </c>
      <c r="AN128" s="85" t="n">
        <v>2046</v>
      </c>
      <c r="AO128" s="85" t="n">
        <v>149</v>
      </c>
      <c r="AP128" s="94" t="n">
        <v>1.778087279480037</v>
      </c>
      <c r="AQ128" s="89" t="n">
        <v>0.3772549019607843</v>
      </c>
      <c r="AR128" s="95" t="inlineStr">
        <is>
          <t>N</t>
        </is>
      </c>
      <c r="AS128" s="95" t="inlineStr">
        <is>
          <t>none</t>
        </is>
      </c>
      <c r="AT128" s="101" t="n"/>
      <c r="AU128" s="96" t="n">
        <v>169.99</v>
      </c>
      <c r="AV128" s="95" t="inlineStr">
        <is>
          <t>none</t>
        </is>
      </c>
      <c r="AW128" s="95" t="inlineStr">
        <is>
          <t>Y</t>
        </is>
      </c>
      <c r="AX128" s="95" t="inlineStr">
        <is>
          <t>2026-10-13 12:14:18</t>
        </is>
      </c>
      <c r="AY128" s="97" t="inlineStr">
        <is>
          <t>Price cut only</t>
        </is>
      </c>
      <c r="AZ128" s="97" t="inlineStr">
        <is>
          <t>11-20 to 12-01</t>
        </is>
      </c>
      <c r="BA128" s="98" t="n">
        <v>134.99</v>
      </c>
      <c r="BB128" s="98" t="n">
        <v>110.5</v>
      </c>
      <c r="BC128" s="87">
        <f>IF(AND(ISNUMBER(BA128),ISNUMBER(BB128),N(BA128)&gt;0),1-BB128/BA128,"")</f>
        <v/>
      </c>
      <c r="BD128" s="99" t="n">
        <v>3072</v>
      </c>
      <c r="BE128" s="99" t="n">
        <v>1155</v>
      </c>
      <c r="BF128" s="100">
        <f>IF(AND(ISNUMBER(BD128),ISNUMBER(BE128),N(BE128)&gt;0),BD128/BE128,"")</f>
        <v/>
      </c>
      <c r="BG128" s="97" t="inlineStr">
        <is>
          <t>N</t>
        </is>
      </c>
      <c r="BH128" s="97" t="inlineStr">
        <is>
          <t>Coupon 20.00 USD (12-03 to 12-05); List Price $169.99</t>
        </is>
      </c>
    </row>
    <row r="129" ht="62" customHeight="1">
      <c r="A129" s="10">
        <f>_xlfn.IMAGE("https://images-na.ssl-images-amazon.com/images/I/61fbapIObwL.jpg")</f>
        <v/>
      </c>
      <c r="B129" s="84" t="inlineStr">
        <is>
          <t>BAMPURE</t>
        </is>
      </c>
      <c r="C129" s="32" t="inlineStr">
        <is>
          <t>BAMPURE 100% Rayon from Bamboo Sheets King Size - 4pc Cooling King Sheets</t>
        </is>
      </c>
      <c r="D129" s="84" t="inlineStr">
        <is>
          <t>Beatable</t>
        </is>
      </c>
      <c r="E129" s="84" t="inlineStr">
        <is>
          <t>B0HC778XB4</t>
        </is>
      </c>
      <c r="F129" s="84" t="inlineStr">
        <is>
          <t>B07XFP6BY2</t>
        </is>
      </c>
      <c r="G129" s="84" t="inlineStr">
        <is>
          <t>King</t>
        </is>
      </c>
      <c r="H129" s="84" t="n"/>
      <c r="I129" s="85" t="n">
        <v>40</v>
      </c>
      <c r="J129" s="32" t="inlineStr">
        <is>
          <t>B07XBJY2JR (65%), B07XFP6BY2 (21%)</t>
        </is>
      </c>
      <c r="K129" s="86" t="n">
        <v>67.98</v>
      </c>
      <c r="L129" s="86" t="n">
        <v>99.98999999999999</v>
      </c>
      <c r="M129" s="87">
        <f>IF(AND(ISNUMBER(L129),ISNUMBER(K129),N(K129)&gt;0),L129/K129-1,"")</f>
        <v/>
      </c>
      <c r="N129" s="88">
        <f>IF(M129="","No List Price",IF(M129&lt;=0,"At/below price",IF(M129&lt;=0.12,"&lt;=12% STR zone",IF(M129&lt;=0.25,"12-25%","&gt;25% over"))))</f>
        <v/>
      </c>
      <c r="O129" s="86" t="n">
        <v>94.98999999999999</v>
      </c>
      <c r="P129" s="89">
        <f>IF(AND(ISNUMBER(K129),ISNUMBER(O129),N(O129)&gt;0),K129/O129-1,"")</f>
        <v/>
      </c>
      <c r="Q129" s="32" t="inlineStr">
        <is>
          <t>Same size (King). Ours live: Helium 10 Xray, 2026-10-13; 16 children</t>
        </is>
      </c>
      <c r="R129" s="85" t="n">
        <v>14479</v>
      </c>
      <c r="S129" s="85" t="n">
        <v>81</v>
      </c>
      <c r="T129" s="90">
        <f>IF(AND(ISNUMBER(K129),ISNUMBER(S129)),K129*S129*52/12,"")</f>
        <v/>
      </c>
      <c r="U129" s="91" t="n">
        <v>4.4</v>
      </c>
      <c r="V129" s="85" t="n">
        <v>4095</v>
      </c>
      <c r="W129" s="92" t="n">
        <v>46307</v>
      </c>
      <c r="X129" s="92" t="n">
        <v>43776</v>
      </c>
      <c r="Y129" s="84" t="inlineStr">
        <is>
          <t>FBA</t>
        </is>
      </c>
      <c r="Z129" s="84" t="inlineStr">
        <is>
          <t>US</t>
        </is>
      </c>
      <c r="AA129" s="85" t="n">
        <v>67699</v>
      </c>
      <c r="AB129" s="85" t="n">
        <v>1687</v>
      </c>
      <c r="AC129" s="93" t="n">
        <v>0.8589487052984534</v>
      </c>
      <c r="AD129" s="93" t="n">
        <v>0.1410512947015465</v>
      </c>
      <c r="AE129" s="32" t="inlineStr">
        <is>
          <t>bamboo sheets</t>
        </is>
      </c>
      <c r="AF129" s="93" t="n">
        <v>0.9117121375500377</v>
      </c>
      <c r="AG129" s="93" t="n"/>
      <c r="AH129" s="93" t="n"/>
      <c r="AI129" s="93" t="n"/>
      <c r="AJ129" s="85" t="n">
        <v>882</v>
      </c>
      <c r="AK129" s="85" t="n">
        <v>486</v>
      </c>
      <c r="AL129" s="85" t="n">
        <v>217</v>
      </c>
      <c r="AM129" s="85" t="n">
        <v>805</v>
      </c>
      <c r="AN129" s="85" t="n">
        <v>204</v>
      </c>
      <c r="AO129" s="85" t="n">
        <v>32</v>
      </c>
      <c r="AP129" s="94" t="n">
        <v>1.016706443914081</v>
      </c>
      <c r="AQ129" s="89" t="n">
        <v>-0.2868217054263565</v>
      </c>
      <c r="AR129" s="95" t="inlineStr">
        <is>
          <t>Y</t>
        </is>
      </c>
      <c r="AS129" s="95" t="inlineStr">
        <is>
          <t>List Price</t>
        </is>
      </c>
      <c r="AT129" s="96" t="n">
        <v>99.98999999999999</v>
      </c>
      <c r="AU129" s="96" t="n">
        <v>67.98</v>
      </c>
      <c r="AV129" s="95" t="inlineStr">
        <is>
          <t>Limited time deal</t>
        </is>
      </c>
      <c r="AW129" s="95" t="inlineStr">
        <is>
          <t>Y</t>
        </is>
      </c>
      <c r="AX129" s="95" t="inlineStr">
        <is>
          <t>2026-10-13 12:10:12</t>
        </is>
      </c>
      <c r="AY129" s="97" t="inlineStr">
        <is>
          <t>Prime Exclusive Discount</t>
        </is>
      </c>
      <c r="AZ129" s="97" t="inlineStr">
        <is>
          <t>11-22 to 12-01</t>
        </is>
      </c>
      <c r="BA129" s="98" t="n">
        <v>84.98999999999999</v>
      </c>
      <c r="BB129" s="98" t="n">
        <v>79.98999999999999</v>
      </c>
      <c r="BC129" s="87">
        <f>IF(AND(ISNUMBER(BA129),ISNUMBER(BB129),N(BA129)&gt;0),1-BB129/BA129,"")</f>
        <v/>
      </c>
      <c r="BD129" s="99" t="n">
        <v>31768</v>
      </c>
      <c r="BE129" s="99" t="n">
        <v>27833</v>
      </c>
      <c r="BF129" s="100">
        <f>IF(AND(ISNUMBER(BD129),ISNUMBER(BE129),N(BE129)&gt;0),BD129/BE129,"")</f>
        <v/>
      </c>
      <c r="BG129" s="97" t="inlineStr">
        <is>
          <t>N</t>
        </is>
      </c>
      <c r="BH129" s="97" t="inlineStr">
        <is>
          <t>Coupon 5.00 USD (11-01 to 11-04); Buy Box RAISED in BFCM week (median $99.99 vs $84.99 before); List Price $99.99</t>
        </is>
      </c>
    </row>
    <row r="130" ht="62" customHeight="1">
      <c r="A130" s="39" t="inlineStr">
        <is>
          <t>IMAGE MISSING</t>
        </is>
      </c>
      <c r="B130" s="84" t="inlineStr">
        <is>
          <t>BEDELITE</t>
        </is>
      </c>
      <c r="C130" s="32" t="inlineStr">
        <is>
          <t>BEDELITE Bamboo Viscose Sheet Set, Queen Size, 4 Pieces, White</t>
        </is>
      </c>
      <c r="D130" s="84" t="inlineStr">
        <is>
          <t>Beatable</t>
        </is>
      </c>
      <c r="E130" s="84" t="inlineStr">
        <is>
          <t>B0GT98GVQN</t>
        </is>
      </c>
      <c r="F130" s="84" t="inlineStr">
        <is>
          <t>B0GT8Z4X5D</t>
        </is>
      </c>
      <c r="G130" s="84" t="inlineStr">
        <is>
          <t>Queen</t>
        </is>
      </c>
      <c r="H130" s="84" t="inlineStr">
        <is>
          <t>White</t>
        </is>
      </c>
      <c r="I130" s="85" t="n">
        <v>8</v>
      </c>
      <c r="J130" s="32" t="inlineStr">
        <is>
          <t>B0GT8Z4X5D (87%)</t>
        </is>
      </c>
      <c r="K130" s="86" t="n">
        <v>84.98</v>
      </c>
      <c r="L130" s="86" t="n">
        <v>99.89</v>
      </c>
      <c r="M130" s="87">
        <f>IF(AND(ISNUMBER(L130),ISNUMBER(K130),N(K130)&gt;0),L130/K130-1,"")</f>
        <v/>
      </c>
      <c r="N130" s="88">
        <f>IF(M130="","No List Price",IF(M130&lt;=0,"At/below price",IF(M130&lt;=0.12,"&lt;=12% STR zone",IF(M130&lt;=0.25,"12-25%","&gt;25% over"))))</f>
        <v/>
      </c>
      <c r="O130" s="86" t="n">
        <v>89.98999999999999</v>
      </c>
      <c r="P130" s="89">
        <f>IF(AND(ISNUMBER(K130),ISNUMBER(O130),N(O130)&gt;0),K130/O130-1,"")</f>
        <v/>
      </c>
      <c r="Q130" s="32" t="inlineStr">
        <is>
          <t>Same size (Queen). Ours live: Helium 10 Xray, 2026-10-13; 16 children</t>
        </is>
      </c>
      <c r="R130" s="85" t="n">
        <v>65907</v>
      </c>
      <c r="S130" s="85" t="n">
        <v>81</v>
      </c>
      <c r="T130" s="90">
        <f>IF(AND(ISNUMBER(K130),ISNUMBER(S130)),K130*S130*52/12,"")</f>
        <v/>
      </c>
      <c r="U130" s="91" t="n">
        <v>4.5</v>
      </c>
      <c r="V130" s="85" t="n">
        <v>113</v>
      </c>
      <c r="W130" s="92" t="n">
        <v>46307</v>
      </c>
      <c r="X130" s="92" t="n"/>
      <c r="Y130" s="84" t="n"/>
      <c r="Z130" s="84" t="n"/>
      <c r="AA130" s="85" t="n">
        <v>212120</v>
      </c>
      <c r="AB130" s="85" t="n">
        <v>1732</v>
      </c>
      <c r="AC130" s="93" t="n">
        <v>0.1115827267584386</v>
      </c>
      <c r="AD130" s="93" t="n">
        <v>0.8884172883273614</v>
      </c>
      <c r="AE130" s="32" t="inlineStr">
        <is>
          <t>queen sheets</t>
        </is>
      </c>
      <c r="AF130" s="93" t="n">
        <v>0.8331840467659816</v>
      </c>
      <c r="AG130" s="93" t="n">
        <v>0.2347161983782765</v>
      </c>
      <c r="AH130" s="93" t="n">
        <v>0.2670893833679049</v>
      </c>
      <c r="AI130" s="93" t="n"/>
      <c r="AJ130" s="85" t="n">
        <v>753</v>
      </c>
      <c r="AK130" s="85" t="n">
        <v>265</v>
      </c>
      <c r="AL130" s="85" t="n">
        <v>427</v>
      </c>
      <c r="AM130" s="85" t="n">
        <v>979</v>
      </c>
      <c r="AN130" s="85" t="n">
        <v>968</v>
      </c>
      <c r="AO130" s="85" t="n">
        <v>93</v>
      </c>
      <c r="AP130" s="94" t="n">
        <v>0.8073654390934845</v>
      </c>
      <c r="AQ130" s="89" t="n">
        <v>0.4972677595628416</v>
      </c>
      <c r="AR130" s="95" t="inlineStr">
        <is>
          <t>Y</t>
        </is>
      </c>
      <c r="AS130" s="95" t="inlineStr">
        <is>
          <t>List Price</t>
        </is>
      </c>
      <c r="AT130" s="96" t="n">
        <v>99.89</v>
      </c>
      <c r="AU130" s="96" t="n">
        <v>84.98</v>
      </c>
      <c r="AV130" s="95" t="inlineStr">
        <is>
          <t>Limited time deal</t>
        </is>
      </c>
      <c r="AW130" s="95" t="inlineStr">
        <is>
          <t>Y</t>
        </is>
      </c>
      <c r="AX130" s="95" t="inlineStr">
        <is>
          <t>2026-10-13 12:10:25</t>
        </is>
      </c>
      <c r="AY130" s="97" t="inlineStr">
        <is>
          <t>Not live in 2025</t>
        </is>
      </c>
      <c r="AZ130" s="102" t="n"/>
      <c r="BA130" s="101" t="n"/>
      <c r="BB130" s="101" t="n"/>
      <c r="BC130" s="87">
        <f>IF(AND(ISNUMBER(BA130),ISNUMBER(BB130),N(BA130)&gt;0),1-BB130/BA130,"")</f>
        <v/>
      </c>
      <c r="BD130" s="103" t="n"/>
      <c r="BE130" s="103" t="n"/>
      <c r="BF130" s="100">
        <f>IF(AND(ISNUMBER(BD130),ISNUMBER(BE130),N(BE130)&gt;0),BD130/BE130,"")</f>
        <v/>
      </c>
      <c r="BG130" s="102" t="n"/>
      <c r="BH130" s="102" t="n"/>
    </row>
    <row r="131" ht="62" customHeight="1">
      <c r="A131" s="10">
        <f>_xlfn.IMAGE("https://images-na.ssl-images-amazon.com/images/I/71HeTCWM4hL.jpg")</f>
        <v/>
      </c>
      <c r="B131" s="84" t="inlineStr">
        <is>
          <t>SONORO KATE</t>
        </is>
      </c>
      <c r="C131" s="32" t="inlineStr">
        <is>
          <t>SONORO KATE 100% Viscose Derived from Bamboo_Sheets Queen Size,4PC</t>
        </is>
      </c>
      <c r="D131" s="84" t="inlineStr">
        <is>
          <t>Beatable</t>
        </is>
      </c>
      <c r="E131" s="84" t="inlineStr">
        <is>
          <t>B0F29FQLFD</t>
        </is>
      </c>
      <c r="F131" s="84" t="inlineStr">
        <is>
          <t>B0F29F1JM5</t>
        </is>
      </c>
      <c r="G131" s="84" t="inlineStr">
        <is>
          <t>Queen</t>
        </is>
      </c>
      <c r="H131" s="84" t="n"/>
      <c r="I131" s="85" t="n">
        <v>42</v>
      </c>
      <c r="J131" s="32" t="inlineStr">
        <is>
          <t>B0F29F1JM5 (71%), B0F29HFNNS (19%)</t>
        </is>
      </c>
      <c r="K131" s="86" t="n">
        <v>59.99</v>
      </c>
      <c r="L131" s="86" t="n"/>
      <c r="M131" s="87">
        <f>IF(AND(ISNUMBER(L131),ISNUMBER(K131),N(K131)&gt;0),L131/K131-1,"")</f>
        <v/>
      </c>
      <c r="N131" s="88">
        <f>IF(M131="","No List Price",IF(M131&lt;=0,"At/below price",IF(M131&lt;=0.12,"&lt;=12% STR zone",IF(M131&lt;=0.25,"12-25%","&gt;25% over"))))</f>
        <v/>
      </c>
      <c r="O131" s="86" t="n">
        <v>89.98999999999999</v>
      </c>
      <c r="P131" s="89">
        <f>IF(AND(ISNUMBER(K131),ISNUMBER(O131),N(O131)&gt;0),K131/O131-1,"")</f>
        <v/>
      </c>
      <c r="Q131" s="32" t="inlineStr">
        <is>
          <t>Same size (Queen). Ours live: Helium 10 Xray, 2026-10-13; 16 children</t>
        </is>
      </c>
      <c r="R131" s="85" t="n">
        <v>23979</v>
      </c>
      <c r="S131" s="85" t="n">
        <v>81</v>
      </c>
      <c r="T131" s="90">
        <f>IF(AND(ISNUMBER(K131),ISNUMBER(S131)),K131*S131*52/12,"")</f>
        <v/>
      </c>
      <c r="U131" s="91" t="n">
        <v>4.5</v>
      </c>
      <c r="V131" s="85" t="n">
        <v>3911</v>
      </c>
      <c r="W131" s="92" t="n">
        <v>46307</v>
      </c>
      <c r="X131" s="92" t="n">
        <v>45740</v>
      </c>
      <c r="Y131" s="84" t="inlineStr">
        <is>
          <t>FBA</t>
        </is>
      </c>
      <c r="Z131" s="84" t="inlineStr">
        <is>
          <t>CN</t>
        </is>
      </c>
      <c r="AA131" s="85" t="n">
        <v>114504</v>
      </c>
      <c r="AB131" s="85" t="n">
        <v>947</v>
      </c>
      <c r="AC131" s="93" t="n">
        <v>0.8792897182631171</v>
      </c>
      <c r="AD131" s="93" t="n">
        <v>0.1207102817368825</v>
      </c>
      <c r="AE131" s="32" t="inlineStr">
        <is>
          <t>bamboo sheets</t>
        </is>
      </c>
      <c r="AF131" s="93" t="n">
        <v>0.3106878362327953</v>
      </c>
      <c r="AG131" s="93" t="n"/>
      <c r="AH131" s="93" t="n"/>
      <c r="AI131" s="93" t="n">
        <v>0.03587647593097185</v>
      </c>
      <c r="AJ131" s="85" t="n">
        <v>641</v>
      </c>
      <c r="AK131" s="85" t="n">
        <v>204</v>
      </c>
      <c r="AL131" s="85" t="n">
        <v>382</v>
      </c>
      <c r="AM131" s="85" t="n">
        <v>306</v>
      </c>
      <c r="AN131" s="85" t="n">
        <v>63</v>
      </c>
      <c r="AO131" s="85" t="n">
        <v>2</v>
      </c>
      <c r="AP131" s="94" t="n">
        <v>1.095271210013908</v>
      </c>
      <c r="AQ131" s="89" t="n">
        <v>-0.1040240897892143</v>
      </c>
      <c r="AR131" s="95" t="inlineStr">
        <is>
          <t>N</t>
        </is>
      </c>
      <c r="AS131" s="95" t="inlineStr">
        <is>
          <t>none</t>
        </is>
      </c>
      <c r="AT131" s="101" t="n"/>
      <c r="AU131" s="96" t="n">
        <v>59.99</v>
      </c>
      <c r="AV131" s="95" t="inlineStr">
        <is>
          <t>coupon 15%</t>
        </is>
      </c>
      <c r="AW131" s="95" t="inlineStr">
        <is>
          <t>Y</t>
        </is>
      </c>
      <c r="AX131" s="95" t="inlineStr">
        <is>
          <t>2026-10-13 12:11:22</t>
        </is>
      </c>
      <c r="AY131" s="97" t="inlineStr">
        <is>
          <t>Prime Exclusive Discount</t>
        </is>
      </c>
      <c r="AZ131" s="97" t="inlineStr">
        <is>
          <t>11-20 to 12-01</t>
        </is>
      </c>
      <c r="BA131" s="98" t="n">
        <v>59.99</v>
      </c>
      <c r="BB131" s="98" t="n">
        <v>47.99</v>
      </c>
      <c r="BC131" s="87">
        <f>IF(AND(ISNUMBER(BA131),ISNUMBER(BB131),N(BA131)&gt;0),1-BB131/BA131,"")</f>
        <v/>
      </c>
      <c r="BD131" s="99" t="n">
        <v>22774</v>
      </c>
      <c r="BE131" s="99" t="n">
        <v>19002</v>
      </c>
      <c r="BF131" s="100">
        <f>IF(AND(ISNUMBER(BD131),ISNUMBER(BE131),N(BE131)&gt;0),BD131/BE131,"")</f>
        <v/>
      </c>
      <c r="BG131" s="97" t="inlineStr">
        <is>
          <t>N</t>
        </is>
      </c>
      <c r="BH131" s="97" t="inlineStr">
        <is>
          <t>Coupon 10% (11-04 to 12-05); List Price $59.99</t>
        </is>
      </c>
    </row>
    <row r="132" ht="62" customHeight="1">
      <c r="A132" s="39" t="inlineStr">
        <is>
          <t>IMAGE MISSING</t>
        </is>
      </c>
      <c r="B132" s="84" t="inlineStr">
        <is>
          <t>Davmabcjy</t>
        </is>
      </c>
      <c r="C132" s="32" t="inlineStr">
        <is>
          <t>100% Organically Grown Bamboo Viscose King Sheet Set with Pockets on Side</t>
        </is>
      </c>
      <c r="D132" s="84" t="inlineStr">
        <is>
          <t>Beatable</t>
        </is>
      </c>
      <c r="E132" s="84" t="inlineStr">
        <is>
          <t>B0HJZNMQ5G</t>
        </is>
      </c>
      <c r="F132" s="84" t="inlineStr">
        <is>
          <t>B0GXJYQR7H</t>
        </is>
      </c>
      <c r="G132" s="84" t="inlineStr">
        <is>
          <t>King</t>
        </is>
      </c>
      <c r="H132" s="84" t="n"/>
      <c r="I132" s="85" t="n">
        <v>7</v>
      </c>
      <c r="J132" s="32" t="inlineStr">
        <is>
          <t>B0GXJYQR7H (55%), B0GXJPP4YQ (31%)</t>
        </is>
      </c>
      <c r="K132" s="86" t="n">
        <v>59.99</v>
      </c>
      <c r="L132" s="86" t="n"/>
      <c r="M132" s="87">
        <f>IF(AND(ISNUMBER(L132),ISNUMBER(K132),N(K132)&gt;0),L132/K132-1,"")</f>
        <v/>
      </c>
      <c r="N132" s="88">
        <f>IF(M132="","No List Price",IF(M132&lt;=0,"At/below price",IF(M132&lt;=0.12,"&lt;=12% STR zone",IF(M132&lt;=0.25,"12-25%","&gt;25% over"))))</f>
        <v/>
      </c>
      <c r="O132" s="86" t="n">
        <v>94.98999999999999</v>
      </c>
      <c r="P132" s="89">
        <f>IF(AND(ISNUMBER(K132),ISNUMBER(O132),N(O132)&gt;0),K132/O132-1,"")</f>
        <v/>
      </c>
      <c r="Q132" s="32" t="inlineStr">
        <is>
          <t>Same size (King). Ours live: Helium 10 Xray, 2026-10-13; 16 children</t>
        </is>
      </c>
      <c r="R132" s="85" t="n">
        <v>205508</v>
      </c>
      <c r="S132" s="85" t="n">
        <v>35</v>
      </c>
      <c r="T132" s="90">
        <f>IF(AND(ISNUMBER(K132),ISNUMBER(S132)),K132*S132*52/12,"")</f>
        <v/>
      </c>
      <c r="U132" s="91" t="n">
        <v>4.2</v>
      </c>
      <c r="V132" s="85" t="n">
        <v>81</v>
      </c>
      <c r="W132" s="92" t="n">
        <v>46307</v>
      </c>
      <c r="X132" s="92" t="n"/>
      <c r="Y132" s="84" t="n"/>
      <c r="Z132" s="84" t="n"/>
      <c r="AA132" s="85" t="n">
        <v>75425</v>
      </c>
      <c r="AB132" s="85" t="n">
        <v>1329</v>
      </c>
      <c r="AC132" s="93" t="n">
        <v>0.8470417779250914</v>
      </c>
      <c r="AD132" s="93" t="n">
        <v>0.1529598766987073</v>
      </c>
      <c r="AE132" s="32" t="inlineStr">
        <is>
          <t>bamboo sheets</t>
        </is>
      </c>
      <c r="AF132" s="93" t="n">
        <v>0.4214782896917468</v>
      </c>
      <c r="AG132" s="93" t="n"/>
      <c r="AH132" s="93" t="n"/>
      <c r="AI132" s="93" t="n">
        <v>0.01059330460722572</v>
      </c>
      <c r="AJ132" s="85" t="n">
        <v>651</v>
      </c>
      <c r="AK132" s="85" t="n">
        <v>189</v>
      </c>
      <c r="AL132" s="85" t="n">
        <v>389</v>
      </c>
      <c r="AM132" s="85" t="n">
        <v>678</v>
      </c>
      <c r="AN132" s="85" t="n">
        <v>293</v>
      </c>
      <c r="AO132" s="85" t="n">
        <v>23</v>
      </c>
      <c r="AP132" s="94" t="n"/>
      <c r="AQ132" s="89" t="n"/>
      <c r="AR132" s="95" t="inlineStr">
        <is>
          <t>N</t>
        </is>
      </c>
      <c r="AS132" s="95" t="inlineStr">
        <is>
          <t>none</t>
        </is>
      </c>
      <c r="AT132" s="101" t="n"/>
      <c r="AU132" s="96" t="n">
        <v>59.99</v>
      </c>
      <c r="AV132" s="95" t="inlineStr">
        <is>
          <t>none</t>
        </is>
      </c>
      <c r="AW132" s="95" t="inlineStr">
        <is>
          <t>Y</t>
        </is>
      </c>
      <c r="AX132" s="95" t="inlineStr">
        <is>
          <t>2026-10-13 12:10:48</t>
        </is>
      </c>
      <c r="AY132" s="97" t="inlineStr">
        <is>
          <t>Not live in 2025</t>
        </is>
      </c>
      <c r="AZ132" s="102" t="n"/>
      <c r="BA132" s="101" t="n"/>
      <c r="BB132" s="101" t="n"/>
      <c r="BC132" s="87">
        <f>IF(AND(ISNUMBER(BA132),ISNUMBER(BB132),N(BA132)&gt;0),1-BB132/BA132,"")</f>
        <v/>
      </c>
      <c r="BD132" s="103" t="n"/>
      <c r="BE132" s="103" t="n"/>
      <c r="BF132" s="100">
        <f>IF(AND(ISNUMBER(BD132),ISNUMBER(BE132),N(BE132)&gt;0),BD132/BE132,"")</f>
        <v/>
      </c>
      <c r="BG132" s="102" t="n"/>
      <c r="BH132" s="102" t="n"/>
    </row>
    <row r="133" ht="62" customHeight="1">
      <c r="A133" s="10">
        <f>_xlfn.IMAGE("https://images-na.ssl-images-amazon.com/images/I/710aWpCd4AL.jpg")</f>
        <v/>
      </c>
      <c r="B133" s="84" t="inlineStr">
        <is>
          <t>DOZ by SIJO</t>
        </is>
      </c>
      <c r="C133" s="32" t="inlineStr">
        <is>
          <t>Bamboo Sheets</t>
        </is>
      </c>
      <c r="D133" s="84" t="inlineStr">
        <is>
          <t>Beatable</t>
        </is>
      </c>
      <c r="E133" s="84" t="inlineStr">
        <is>
          <t>B0DCZGYVZ9</t>
        </is>
      </c>
      <c r="F133" s="84" t="inlineStr">
        <is>
          <t>B0F24TRXCZ</t>
        </is>
      </c>
      <c r="G133" s="84" t="n"/>
      <c r="H133" s="84" t="n"/>
      <c r="I133" s="85" t="n">
        <v>131</v>
      </c>
      <c r="J133" s="32" t="inlineStr">
        <is>
          <t>B0B8JLLT45 (39%), B0B8JK78HR (6%), B0CS36MKM9 (5%), B0BRWD6PRK (4%), B0B9T44SJV (4%)</t>
        </is>
      </c>
      <c r="K133" s="86" t="n">
        <v>55</v>
      </c>
      <c r="L133" s="86" t="n"/>
      <c r="M133" s="87">
        <f>IF(AND(ISNUMBER(L133),ISNUMBER(K133),N(K133)&gt;0),L133/K133-1,"")</f>
        <v/>
      </c>
      <c r="N133" s="88">
        <f>IF(M133="","No List Price",IF(M133&lt;=0,"At/below price",IF(M133&lt;=0.12,"&lt;=12% STR zone",IF(M133&lt;=0.25,"12-25%","&gt;25% over"))))</f>
        <v/>
      </c>
      <c r="O133" s="86" t="n">
        <v>89.98999999999999</v>
      </c>
      <c r="P133" s="89">
        <f>IF(AND(ISNUMBER(K133),ISNUMBER(O133),N(O133)&gt;0),K133/O133-1,"")</f>
        <v/>
      </c>
      <c r="Q133" s="32" t="inlineStr">
        <is>
          <t>Size not stated - vs our Queen. Ours live: Helium 10 Xray, 2026-10-13; 16 children</t>
        </is>
      </c>
      <c r="R133" s="85" t="n">
        <v>4051</v>
      </c>
      <c r="S133" s="85" t="n">
        <v>35</v>
      </c>
      <c r="T133" s="90">
        <f>IF(AND(ISNUMBER(K133),ISNUMBER(S133)),K133*S133*52/12,"")</f>
        <v/>
      </c>
      <c r="U133" s="91" t="n">
        <v>4.4</v>
      </c>
      <c r="V133" s="85" t="n">
        <v>1909</v>
      </c>
      <c r="W133" s="92" t="n">
        <v>46307</v>
      </c>
      <c r="X133" s="92" t="n"/>
      <c r="Y133" s="84" t="n"/>
      <c r="Z133" s="84" t="n"/>
      <c r="AA133" s="85" t="n">
        <v>171534</v>
      </c>
      <c r="AB133" s="85" t="n">
        <v>2682</v>
      </c>
      <c r="AC133" s="93" t="n">
        <v>0.5544749851341424</v>
      </c>
      <c r="AD133" s="93" t="n">
        <v>0.4455250335210511</v>
      </c>
      <c r="AE133" s="32" t="inlineStr">
        <is>
          <t>bamboo sheets</t>
        </is>
      </c>
      <c r="AF133" s="93" t="n">
        <v>0.8981426422750008</v>
      </c>
      <c r="AG133" s="93" t="n">
        <v>0.06748516329124256</v>
      </c>
      <c r="AH133" s="93" t="n">
        <v>0.2462310678932456</v>
      </c>
      <c r="AI133" s="93" t="n">
        <v>0.0526193057936036</v>
      </c>
      <c r="AJ133" s="85" t="n">
        <v>1151</v>
      </c>
      <c r="AK133" s="85" t="n">
        <v>315</v>
      </c>
      <c r="AL133" s="85" t="n">
        <v>705</v>
      </c>
      <c r="AM133" s="85" t="n">
        <v>1531</v>
      </c>
      <c r="AN133" s="85" t="n">
        <v>588</v>
      </c>
      <c r="AO133" s="85" t="n">
        <v>82</v>
      </c>
      <c r="AP133" s="94" t="n"/>
      <c r="AQ133" s="89" t="n"/>
      <c r="AR133" s="95" t="inlineStr">
        <is>
          <t>N</t>
        </is>
      </c>
      <c r="AS133" s="95" t="inlineStr">
        <is>
          <t>none</t>
        </is>
      </c>
      <c r="AT133" s="101" t="n"/>
      <c r="AU133" s="96" t="n">
        <v>55</v>
      </c>
      <c r="AV133" s="95" t="inlineStr">
        <is>
          <t>none</t>
        </is>
      </c>
      <c r="AW133" s="95" t="inlineStr">
        <is>
          <t>Y</t>
        </is>
      </c>
      <c r="AX133" s="95" t="inlineStr">
        <is>
          <t>2026-10-13 12:10:45</t>
        </is>
      </c>
      <c r="AY133" s="97" t="inlineStr">
        <is>
          <t>None</t>
        </is>
      </c>
      <c r="AZ133" s="102" t="n"/>
      <c r="BA133" s="98" t="n">
        <v>55</v>
      </c>
      <c r="BB133" s="98" t="n">
        <v>55</v>
      </c>
      <c r="BC133" s="87">
        <f>IF(AND(ISNUMBER(BA133),ISNUMBER(BB133),N(BA133)&gt;0),1-BB133/BA133,"")</f>
        <v/>
      </c>
      <c r="BD133" s="99" t="n">
        <v>3634538</v>
      </c>
      <c r="BE133" s="99" t="n">
        <v>3088925</v>
      </c>
      <c r="BF133" s="100">
        <f>IF(AND(ISNUMBER(BD133),ISNUMBER(BE133),N(BE133)&gt;0),BD133/BE133,"")</f>
        <v/>
      </c>
      <c r="BG133" s="97" t="inlineStr">
        <is>
          <t>N</t>
        </is>
      </c>
      <c r="BH133" s="97" t="inlineStr">
        <is>
          <t>List Price $55.00</t>
        </is>
      </c>
    </row>
    <row r="134" ht="62" customHeight="1">
      <c r="A134" s="10">
        <f>_xlfn.IMAGE("https://images-na.ssl-images-amazon.com/images/I/81EdgN1LRmL.jpg")</f>
        <v/>
      </c>
      <c r="B134" s="84" t="inlineStr">
        <is>
          <t>GOKOTTA</t>
        </is>
      </c>
      <c r="C134" s="32" t="inlineStr">
        <is>
          <t>GOKOTTA King Bamboo Rayon Sheets Set, Silky Soft Cooling Sheets Stay Put</t>
        </is>
      </c>
      <c r="D134" s="84" t="inlineStr">
        <is>
          <t>Beatable</t>
        </is>
      </c>
      <c r="E134" s="84" t="inlineStr">
        <is>
          <t>B09WV7RN1V</t>
        </is>
      </c>
      <c r="F134" s="84" t="inlineStr">
        <is>
          <t>B0BR53P7DY</t>
        </is>
      </c>
      <c r="G134" s="84" t="inlineStr">
        <is>
          <t>King</t>
        </is>
      </c>
      <c r="H134" s="84" t="n"/>
      <c r="I134" s="85" t="n">
        <v>99</v>
      </c>
      <c r="J134" s="32" t="inlineStr">
        <is>
          <t>B0B6VQC7LD (30%), B0BR53P7DY (17%), B07TYC979L (10%), B0BL77QB6N (9%), B0FW3T96RQ (7%)</t>
        </is>
      </c>
      <c r="K134" s="86" t="n">
        <v>109</v>
      </c>
      <c r="L134" s="86" t="n"/>
      <c r="M134" s="87">
        <f>IF(AND(ISNUMBER(L134),ISNUMBER(K134),N(K134)&gt;0),L134/K134-1,"")</f>
        <v/>
      </c>
      <c r="N134" s="88">
        <f>IF(M134="","No List Price",IF(M134&lt;=0,"At/below price",IF(M134&lt;=0.12,"&lt;=12% STR zone",IF(M134&lt;=0.25,"12-25%","&gt;25% over"))))</f>
        <v/>
      </c>
      <c r="O134" s="86" t="n">
        <v>94.98999999999999</v>
      </c>
      <c r="P134" s="89">
        <f>IF(AND(ISNUMBER(K134),ISNUMBER(O134),N(O134)&gt;0),K134/O134-1,"")</f>
        <v/>
      </c>
      <c r="Q134" s="32" t="inlineStr">
        <is>
          <t>Same size (King). Ours live: Helium 10 Xray, 2026-10-13; 16 children</t>
        </is>
      </c>
      <c r="R134" s="85" t="n">
        <v>16154</v>
      </c>
      <c r="S134" s="85" t="n">
        <v>35</v>
      </c>
      <c r="T134" s="90">
        <f>IF(AND(ISNUMBER(K134),ISNUMBER(S134)),K134*S134*52/12,"")</f>
        <v/>
      </c>
      <c r="U134" s="91" t="n">
        <v>4.4</v>
      </c>
      <c r="V134" s="85" t="n">
        <v>3371</v>
      </c>
      <c r="W134" s="92" t="n">
        <v>46307</v>
      </c>
      <c r="X134" s="92" t="n">
        <v>44922</v>
      </c>
      <c r="Y134" s="84" t="inlineStr">
        <is>
          <t>FBA</t>
        </is>
      </c>
      <c r="Z134" s="84" t="inlineStr">
        <is>
          <t>TH</t>
        </is>
      </c>
      <c r="AA134" s="85" t="n">
        <v>76017</v>
      </c>
      <c r="AB134" s="85" t="n">
        <v>1577</v>
      </c>
      <c r="AC134" s="93" t="n">
        <v>0.8206756843863878</v>
      </c>
      <c r="AD134" s="93" t="n">
        <v>0.1793245681886948</v>
      </c>
      <c r="AE134" s="32" t="inlineStr">
        <is>
          <t>bamboo sheets</t>
        </is>
      </c>
      <c r="AF134" s="93" t="n">
        <v>0.9048633858215925</v>
      </c>
      <c r="AG134" s="93" t="n">
        <v>0.08220529618374837</v>
      </c>
      <c r="AH134" s="93" t="n">
        <v>0.8497046713235198</v>
      </c>
      <c r="AI134" s="93" t="n">
        <v>0.03862293960561453</v>
      </c>
      <c r="AJ134" s="85" t="n">
        <v>712</v>
      </c>
      <c r="AK134" s="85" t="n">
        <v>370</v>
      </c>
      <c r="AL134" s="85" t="n">
        <v>210</v>
      </c>
      <c r="AM134" s="85" t="n">
        <v>865</v>
      </c>
      <c r="AN134" s="85" t="n">
        <v>240</v>
      </c>
      <c r="AO134" s="85" t="n">
        <v>51</v>
      </c>
      <c r="AP134" s="94" t="n"/>
      <c r="AQ134" s="89" t="n"/>
      <c r="AR134" s="95" t="inlineStr">
        <is>
          <t>N</t>
        </is>
      </c>
      <c r="AS134" s="95" t="inlineStr">
        <is>
          <t>none</t>
        </is>
      </c>
      <c r="AT134" s="101" t="n"/>
      <c r="AU134" s="96" t="n">
        <v>109</v>
      </c>
      <c r="AV134" s="95" t="inlineStr">
        <is>
          <t>none</t>
        </is>
      </c>
      <c r="AW134" s="95" t="inlineStr">
        <is>
          <t>Y</t>
        </is>
      </c>
      <c r="AX134" s="95" t="inlineStr">
        <is>
          <t>2026-10-13 12:10:51</t>
        </is>
      </c>
      <c r="AY134" s="97" t="inlineStr">
        <is>
          <t>Price cut only</t>
        </is>
      </c>
      <c r="AZ134" s="97" t="inlineStr">
        <is>
          <t>11-20 to 12-01</t>
        </is>
      </c>
      <c r="BA134" s="98" t="n">
        <v>105</v>
      </c>
      <c r="BB134" s="98" t="n">
        <v>84</v>
      </c>
      <c r="BC134" s="87">
        <f>IF(AND(ISNUMBER(BA134),ISNUMBER(BB134),N(BA134)&gt;0),1-BB134/BA134,"")</f>
        <v/>
      </c>
      <c r="BD134" s="99" t="n">
        <v>20103</v>
      </c>
      <c r="BE134" s="99" t="n">
        <v>13630</v>
      </c>
      <c r="BF134" s="100">
        <f>IF(AND(ISNUMBER(BD134),ISNUMBER(BE134),N(BE134)&gt;0),BD134/BE134,"")</f>
        <v/>
      </c>
      <c r="BG134" s="97" t="inlineStr">
        <is>
          <t>N</t>
        </is>
      </c>
      <c r="BH134" s="97" t="inlineStr">
        <is>
          <t>Lightning Deal 11-09 to 11-09; Coupon 10.00 USD, 20.00 USD (11-02 to 11-18); List Price $105.00</t>
        </is>
      </c>
    </row>
    <row r="135" ht="62" customHeight="1">
      <c r="A135" s="10">
        <f>_xlfn.IMAGE("https://images-na.ssl-images-amazon.com/images/I/71rcYip7GcL.jpg")</f>
        <v/>
      </c>
      <c r="B135" s="84" t="inlineStr">
        <is>
          <t>KARISSA MAE</t>
        </is>
      </c>
      <c r="C135" s="32" t="inlineStr">
        <is>
          <t>Cooling Sheets</t>
        </is>
      </c>
      <c r="D135" s="84" t="inlineStr">
        <is>
          <t>Beatable</t>
        </is>
      </c>
      <c r="E135" s="84" t="inlineStr">
        <is>
          <t>B0GT172Y8L</t>
        </is>
      </c>
      <c r="F135" s="84" t="inlineStr">
        <is>
          <t>B0G1CSCQTB</t>
        </is>
      </c>
      <c r="G135" s="84" t="n"/>
      <c r="H135" s="84" t="n"/>
      <c r="I135" s="85" t="n">
        <v>138</v>
      </c>
      <c r="J135" s="32" t="inlineStr">
        <is>
          <t>B0F9X7MV5B (14%), B0G1CSCQTB (10%), B0F9X8BNQB (7%), B0F9X6KTQW (6%), B0GH24C6XY (6%)</t>
        </is>
      </c>
      <c r="K135" s="86" t="n">
        <v>119.99</v>
      </c>
      <c r="L135" s="86" t="n"/>
      <c r="M135" s="87">
        <f>IF(AND(ISNUMBER(L135),ISNUMBER(K135),N(K135)&gt;0),L135/K135-1,"")</f>
        <v/>
      </c>
      <c r="N135" s="88">
        <f>IF(M135="","No List Price",IF(M135&lt;=0,"At/below price",IF(M135&lt;=0.12,"&lt;=12% STR zone",IF(M135&lt;=0.25,"12-25%","&gt;25% over"))))</f>
        <v/>
      </c>
      <c r="O135" s="86" t="n">
        <v>89.98999999999999</v>
      </c>
      <c r="P135" s="89">
        <f>IF(AND(ISNUMBER(K135),ISNUMBER(O135),N(O135)&gt;0),K135/O135-1,"")</f>
        <v/>
      </c>
      <c r="Q135" s="32" t="inlineStr">
        <is>
          <t>Size not stated - vs our Queen. Ours live: Helium 10 Xray, 2026-10-13; 16 children</t>
        </is>
      </c>
      <c r="R135" s="85" t="n">
        <v>15914</v>
      </c>
      <c r="S135" s="85" t="n">
        <v>35</v>
      </c>
      <c r="T135" s="90">
        <f>IF(AND(ISNUMBER(K135),ISNUMBER(S135)),K135*S135*52/12,"")</f>
        <v/>
      </c>
      <c r="U135" s="91" t="n">
        <v>4.3</v>
      </c>
      <c r="V135" s="85" t="n">
        <v>474</v>
      </c>
      <c r="W135" s="92" t="n">
        <v>46307</v>
      </c>
      <c r="X135" s="92" t="n"/>
      <c r="Y135" s="84" t="n"/>
      <c r="Z135" s="84" t="n"/>
      <c r="AA135" s="85" t="n">
        <v>243610</v>
      </c>
      <c r="AB135" s="85" t="n">
        <v>3715</v>
      </c>
      <c r="AC135" s="93" t="n">
        <v>0.1385290000410493</v>
      </c>
      <c r="AD135" s="93" t="n">
        <v>0.8614710525019491</v>
      </c>
      <c r="AE135" s="32" t="inlineStr">
        <is>
          <t>bamboo sheets</t>
        </is>
      </c>
      <c r="AF135" s="93" t="n">
        <v>0.9938303025327367</v>
      </c>
      <c r="AG135" s="93" t="n">
        <v>0.0306883953860679</v>
      </c>
      <c r="AH135" s="93" t="n">
        <v>0.01590657197980378</v>
      </c>
      <c r="AI135" s="93" t="n"/>
      <c r="AJ135" s="85" t="n">
        <v>1360</v>
      </c>
      <c r="AK135" s="85" t="n">
        <v>540</v>
      </c>
      <c r="AL135" s="85" t="n">
        <v>586</v>
      </c>
      <c r="AM135" s="85" t="n">
        <v>2355</v>
      </c>
      <c r="AN135" s="85" t="n">
        <v>1381</v>
      </c>
      <c r="AO135" s="85" t="n">
        <v>178</v>
      </c>
      <c r="AP135" s="94" t="n">
        <v>2.102564102564103</v>
      </c>
      <c r="AQ135" s="89" t="n">
        <v>-0.8771186440677966</v>
      </c>
      <c r="AR135" s="95" t="inlineStr">
        <is>
          <t>N</t>
        </is>
      </c>
      <c r="AS135" s="95" t="inlineStr">
        <is>
          <t>none</t>
        </is>
      </c>
      <c r="AT135" s="101" t="n"/>
      <c r="AU135" s="96" t="n">
        <v>119.99</v>
      </c>
      <c r="AV135" s="95" t="inlineStr">
        <is>
          <t>none</t>
        </is>
      </c>
      <c r="AW135" s="95" t="inlineStr">
        <is>
          <t>Y</t>
        </is>
      </c>
      <c r="AX135" s="95" t="inlineStr">
        <is>
          <t>2026-10-13 12:10:57</t>
        </is>
      </c>
      <c r="AY135" s="102" t="n"/>
      <c r="AZ135" s="102" t="n"/>
      <c r="BA135" s="101" t="n"/>
      <c r="BB135" s="101" t="n"/>
      <c r="BC135" s="87">
        <f>IF(AND(ISNUMBER(BA135),ISNUMBER(BB135),N(BA135)&gt;0),1-BB135/BA135,"")</f>
        <v/>
      </c>
      <c r="BD135" s="103" t="n"/>
      <c r="BE135" s="103" t="n"/>
      <c r="BF135" s="100">
        <f>IF(AND(ISNUMBER(BD135),ISNUMBER(BE135),N(BE135)&gt;0),BD135/BE135,"")</f>
        <v/>
      </c>
      <c r="BG135" s="102" t="n"/>
      <c r="BH135" s="97" t="inlineStr">
        <is>
          <t>No Buy Box history in Keepa for BFCM 2025</t>
        </is>
      </c>
    </row>
    <row r="136" ht="62" customHeight="1">
      <c r="A136" s="39" t="inlineStr">
        <is>
          <t>IMAGE MISSING</t>
        </is>
      </c>
      <c r="B136" s="84" t="inlineStr">
        <is>
          <t>Pillcase</t>
        </is>
      </c>
      <c r="C136" s="32" t="inlineStr">
        <is>
          <t>100% Real Bamboo Viscose &amp; Lyocell Tencel Sheets Set Queen Size | Breathable &amp; C</t>
        </is>
      </c>
      <c r="D136" s="84" t="inlineStr">
        <is>
          <t>Beatable</t>
        </is>
      </c>
      <c r="E136" s="84" t="inlineStr">
        <is>
          <t>B0H1GGHHVN</t>
        </is>
      </c>
      <c r="F136" s="84" t="inlineStr">
        <is>
          <t>B0HFZQRXXQ</t>
        </is>
      </c>
      <c r="G136" s="84" t="inlineStr">
        <is>
          <t>Queen</t>
        </is>
      </c>
      <c r="H136" s="84" t="n"/>
      <c r="I136" s="85" t="n">
        <v>20</v>
      </c>
      <c r="J136" s="32" t="inlineStr">
        <is>
          <t>B0H9K6WK34 (27%), B0H1GVML4Z (24%), B0HFXGSDF1 (22%), B0HBX793L8 (12%)</t>
        </is>
      </c>
      <c r="K136" s="86" t="n">
        <v>79</v>
      </c>
      <c r="L136" s="86" t="n">
        <v>109</v>
      </c>
      <c r="M136" s="87">
        <f>IF(AND(ISNUMBER(L136),ISNUMBER(K136),N(K136)&gt;0),L136/K136-1,"")</f>
        <v/>
      </c>
      <c r="N136" s="88">
        <f>IF(M136="","No List Price",IF(M136&lt;=0,"At/below price",IF(M136&lt;=0.12,"&lt;=12% STR zone",IF(M136&lt;=0.25,"12-25%","&gt;25% over"))))</f>
        <v/>
      </c>
      <c r="O136" s="86" t="n">
        <v>89.98999999999999</v>
      </c>
      <c r="P136" s="89">
        <f>IF(AND(ISNUMBER(K136),ISNUMBER(O136),N(O136)&gt;0),K136/O136-1,"")</f>
        <v/>
      </c>
      <c r="Q136" s="32" t="inlineStr">
        <is>
          <t>Same size (Queen). Ours live: Helium 10 Xray, 2026-10-13; 16 children</t>
        </is>
      </c>
      <c r="R136" s="85" t="n">
        <v>28003</v>
      </c>
      <c r="S136" s="85" t="n">
        <v>35</v>
      </c>
      <c r="T136" s="90">
        <f>IF(AND(ISNUMBER(K136),ISNUMBER(S136)),K136*S136*52/12,"")</f>
        <v/>
      </c>
      <c r="U136" s="91" t="n">
        <v>4.8</v>
      </c>
      <c r="V136" s="85" t="n">
        <v>279</v>
      </c>
      <c r="W136" s="92" t="n">
        <v>46307</v>
      </c>
      <c r="X136" s="92" t="n"/>
      <c r="Y136" s="84" t="n"/>
      <c r="Z136" s="84" t="n"/>
      <c r="AA136" s="85" t="n">
        <v>216953</v>
      </c>
      <c r="AB136" s="85" t="n">
        <v>1218</v>
      </c>
      <c r="AC136" s="93" t="n">
        <v>0.9703615419007803</v>
      </c>
      <c r="AD136" s="93" t="n">
        <v>0.02963845809921965</v>
      </c>
      <c r="AE136" s="32" t="inlineStr">
        <is>
          <t>king size sheets set</t>
        </is>
      </c>
      <c r="AF136" s="93" t="n">
        <v>0.1820394278945209</v>
      </c>
      <c r="AG136" s="93" t="n"/>
      <c r="AH136" s="93" t="n"/>
      <c r="AI136" s="93" t="n">
        <v>0.01302125345120833</v>
      </c>
      <c r="AJ136" s="85" t="n">
        <v>775</v>
      </c>
      <c r="AK136" s="85" t="n">
        <v>181</v>
      </c>
      <c r="AL136" s="85" t="n">
        <v>516</v>
      </c>
      <c r="AM136" s="85" t="n">
        <v>443</v>
      </c>
      <c r="AN136" s="85" t="n">
        <v>11</v>
      </c>
      <c r="AO136" s="85" t="n">
        <v>4</v>
      </c>
      <c r="AP136" s="94" t="n"/>
      <c r="AQ136" s="89" t="n"/>
      <c r="AR136" s="95" t="inlineStr">
        <is>
          <t>Y</t>
        </is>
      </c>
      <c r="AS136" s="95" t="inlineStr">
        <is>
          <t>List Price</t>
        </is>
      </c>
      <c r="AT136" s="96" t="n">
        <v>109</v>
      </c>
      <c r="AU136" s="96" t="n">
        <v>79</v>
      </c>
      <c r="AV136" s="95" t="inlineStr">
        <is>
          <t>none</t>
        </is>
      </c>
      <c r="AW136" s="95" t="inlineStr">
        <is>
          <t>Y</t>
        </is>
      </c>
      <c r="AX136" s="95" t="inlineStr">
        <is>
          <t>2026-10-13 12:11:07</t>
        </is>
      </c>
      <c r="AY136" s="97" t="inlineStr">
        <is>
          <t>Not live in 2025</t>
        </is>
      </c>
      <c r="AZ136" s="102" t="n"/>
      <c r="BA136" s="101" t="n"/>
      <c r="BB136" s="101" t="n"/>
      <c r="BC136" s="87">
        <f>IF(AND(ISNUMBER(BA136),ISNUMBER(BB136),N(BA136)&gt;0),1-BB136/BA136,"")</f>
        <v/>
      </c>
      <c r="BD136" s="103" t="n"/>
      <c r="BE136" s="103" t="n"/>
      <c r="BF136" s="100">
        <f>IF(AND(ISNUMBER(BD136),ISNUMBER(BE136),N(BE136)&gt;0),BD136/BE136,"")</f>
        <v/>
      </c>
      <c r="BG136" s="102" t="n"/>
      <c r="BH136" s="102" t="n"/>
    </row>
    <row r="137" ht="62" customHeight="1">
      <c r="A137" s="39" t="inlineStr">
        <is>
          <t>IMAGE MISSING</t>
        </is>
      </c>
      <c r="B137" s="84" t="inlineStr">
        <is>
          <t>Bamboo Bay</t>
        </is>
      </c>
      <c r="C137" s="32" t="inlineStr">
        <is>
          <t>Bamboo Bay 4 Piece Queen Size Sheet Set, 100% Viscose Made from Bamboo, Breathab</t>
        </is>
      </c>
      <c r="D137" s="84" t="inlineStr">
        <is>
          <t>Beatable</t>
        </is>
      </c>
      <c r="E137" s="84" t="inlineStr">
        <is>
          <t>B0DLD8982V</t>
        </is>
      </c>
      <c r="F137" s="84" t="inlineStr">
        <is>
          <t>B08M9QK14J</t>
        </is>
      </c>
      <c r="G137" s="84" t="inlineStr">
        <is>
          <t>Queen</t>
        </is>
      </c>
      <c r="H137" s="84" t="n"/>
      <c r="I137" s="85" t="n">
        <v>20</v>
      </c>
      <c r="J137" s="32" t="inlineStr">
        <is>
          <t>B08M9QK14J (86%)</t>
        </is>
      </c>
      <c r="K137" s="86" t="n">
        <v>89.98</v>
      </c>
      <c r="L137" s="86" t="n"/>
      <c r="M137" s="87">
        <f>IF(AND(ISNUMBER(L137),ISNUMBER(K137),N(K137)&gt;0),L137/K137-1,"")</f>
        <v/>
      </c>
      <c r="N137" s="88">
        <f>IF(M137="","No List Price",IF(M137&lt;=0,"At/below price",IF(M137&lt;=0.12,"&lt;=12% STR zone",IF(M137&lt;=0.25,"12-25%","&gt;25% over"))))</f>
        <v/>
      </c>
      <c r="O137" s="86" t="n">
        <v>89.98999999999999</v>
      </c>
      <c r="P137" s="89">
        <f>IF(AND(ISNUMBER(K137),ISNUMBER(O137),N(O137)&gt;0),K137/O137-1,"")</f>
        <v/>
      </c>
      <c r="Q137" s="32" t="inlineStr">
        <is>
          <t>Same size (Queen). Ours live: Helium 10 Xray, 2026-10-13; 16 children</t>
        </is>
      </c>
      <c r="R137" s="85" t="n">
        <v>263209</v>
      </c>
      <c r="S137" s="85" t="n">
        <v>18</v>
      </c>
      <c r="T137" s="90">
        <f>IF(AND(ISNUMBER(K137),ISNUMBER(S137)),K137*S137*52/12,"")</f>
        <v/>
      </c>
      <c r="U137" s="91" t="n">
        <v>4.4</v>
      </c>
      <c r="V137" s="85" t="n">
        <v>739</v>
      </c>
      <c r="W137" s="92" t="n">
        <v>46307</v>
      </c>
      <c r="X137" s="92" t="n"/>
      <c r="Y137" s="84" t="n"/>
      <c r="Z137" s="84" t="n"/>
      <c r="AA137" s="85" t="n">
        <v>67928</v>
      </c>
      <c r="AB137" s="85" t="n">
        <v>1037</v>
      </c>
      <c r="AC137" s="93" t="n">
        <v>0.313496176834295</v>
      </c>
      <c r="AD137" s="93" t="n">
        <v>0.6865047653397713</v>
      </c>
      <c r="AE137" s="32" t="inlineStr">
        <is>
          <t>bamboo sheets</t>
        </is>
      </c>
      <c r="AF137" s="93" t="n">
        <v>0.9942144623719232</v>
      </c>
      <c r="AG137" s="93" t="n"/>
      <c r="AH137" s="93" t="n"/>
      <c r="AI137" s="93" t="n"/>
      <c r="AJ137" s="85" t="n">
        <v>520</v>
      </c>
      <c r="AK137" s="85" t="n">
        <v>269</v>
      </c>
      <c r="AL137" s="85" t="n">
        <v>172</v>
      </c>
      <c r="AM137" s="85" t="n">
        <v>517</v>
      </c>
      <c r="AN137" s="85" t="n">
        <v>320</v>
      </c>
      <c r="AO137" s="85" t="n">
        <v>98</v>
      </c>
      <c r="AP137" s="94" t="n">
        <v>0.7336182336182336</v>
      </c>
      <c r="AQ137" s="89" t="n">
        <v>-0.2877906976744186</v>
      </c>
      <c r="AR137" s="95" t="inlineStr">
        <is>
          <t>N</t>
        </is>
      </c>
      <c r="AS137" s="95" t="inlineStr">
        <is>
          <t>none</t>
        </is>
      </c>
      <c r="AT137" s="101" t="n"/>
      <c r="AU137" s="96" t="n">
        <v>89.98</v>
      </c>
      <c r="AV137" s="95" t="inlineStr">
        <is>
          <t>none</t>
        </is>
      </c>
      <c r="AW137" s="95" t="inlineStr">
        <is>
          <t>Y</t>
        </is>
      </c>
      <c r="AX137" s="95" t="inlineStr">
        <is>
          <t>2026-10-13 12:10:31</t>
        </is>
      </c>
      <c r="AY137" s="97" t="inlineStr">
        <is>
          <t>None</t>
        </is>
      </c>
      <c r="AZ137" s="102" t="n"/>
      <c r="BA137" s="98" t="n">
        <v>64.98999999999999</v>
      </c>
      <c r="BB137" s="98" t="n">
        <v>99.98</v>
      </c>
      <c r="BC137" s="87">
        <f>IF(AND(ISNUMBER(BA137),ISNUMBER(BB137),N(BA137)&gt;0),1-BB137/BA137,"")</f>
        <v/>
      </c>
      <c r="BD137" s="99" t="n">
        <v>136345</v>
      </c>
      <c r="BE137" s="99" t="n">
        <v>252933</v>
      </c>
      <c r="BF137" s="100">
        <f>IF(AND(ISNUMBER(BD137),ISNUMBER(BE137),N(BE137)&gt;0),BD137/BE137,"")</f>
        <v/>
      </c>
      <c r="BG137" s="97" t="inlineStr">
        <is>
          <t>N</t>
        </is>
      </c>
      <c r="BH137" s="97" t="inlineStr">
        <is>
          <t>Buy Box RAISED in BFCM week (median $99.98 vs $64.99 before); List Price $129.98</t>
        </is>
      </c>
    </row>
    <row r="138" ht="62" customHeight="1">
      <c r="A138" s="39" t="inlineStr">
        <is>
          <t>IMAGE MISSING</t>
        </is>
      </c>
      <c r="B138" s="84" t="inlineStr">
        <is>
          <t>California Design Den</t>
        </is>
      </c>
      <c r="C138" s="32" t="inlineStr">
        <is>
          <t>California Design Den 100% Viscose from Bamboo Sheets Queen, Dark Olive</t>
        </is>
      </c>
      <c r="D138" s="84" t="inlineStr">
        <is>
          <t>Beatable</t>
        </is>
      </c>
      <c r="E138" s="84" t="inlineStr">
        <is>
          <t>B0HFBJPD56</t>
        </is>
      </c>
      <c r="F138" s="84" t="inlineStr">
        <is>
          <t>B0GWHPJ9SD</t>
        </is>
      </c>
      <c r="G138" s="84" t="inlineStr">
        <is>
          <t>Queen</t>
        </is>
      </c>
      <c r="H138" s="84" t="inlineStr">
        <is>
          <t>Olive</t>
        </is>
      </c>
      <c r="I138" s="85" t="n">
        <v>81</v>
      </c>
      <c r="J138" s="32" t="inlineStr">
        <is>
          <t>B0GWHFGLVL (32%), B0GWHPJ9SD (10%), B0GWHMSZYL (8%), B0GWHGS5BM (5%), B0GWHCHY3Q (5%)</t>
        </is>
      </c>
      <c r="K138" s="86" t="n">
        <v>89.98999999999999</v>
      </c>
      <c r="L138" s="86" t="n"/>
      <c r="M138" s="87">
        <f>IF(AND(ISNUMBER(L138),ISNUMBER(K138),N(K138)&gt;0),L138/K138-1,"")</f>
        <v/>
      </c>
      <c r="N138" s="88">
        <f>IF(M138="","No List Price",IF(M138&lt;=0,"At/below price",IF(M138&lt;=0.12,"&lt;=12% STR zone",IF(M138&lt;=0.25,"12-25%","&gt;25% over"))))</f>
        <v/>
      </c>
      <c r="O138" s="86" t="n">
        <v>89.98999999999999</v>
      </c>
      <c r="P138" s="89">
        <f>IF(AND(ISNUMBER(K138),ISNUMBER(O138),N(O138)&gt;0),K138/O138-1,"")</f>
        <v/>
      </c>
      <c r="Q138" s="32" t="inlineStr">
        <is>
          <t>Same size (Queen). Ours live: Helium 10 Xray, 2026-10-13; 16 children</t>
        </is>
      </c>
      <c r="R138" s="85" t="n">
        <v>21237</v>
      </c>
      <c r="S138" s="85" t="n">
        <v>18</v>
      </c>
      <c r="T138" s="90">
        <f>IF(AND(ISNUMBER(K138),ISNUMBER(S138)),K138*S138*52/12,"")</f>
        <v/>
      </c>
      <c r="U138" s="91" t="n">
        <v>4.6</v>
      </c>
      <c r="V138" s="85" t="n">
        <v>76</v>
      </c>
      <c r="W138" s="92" t="n">
        <v>46307</v>
      </c>
      <c r="X138" s="92" t="n"/>
      <c r="Y138" s="84" t="n"/>
      <c r="Z138" s="84" t="n"/>
      <c r="AA138" s="85" t="n">
        <v>103642</v>
      </c>
      <c r="AB138" s="85" t="n">
        <v>2019</v>
      </c>
      <c r="AC138" s="93" t="n">
        <v>0.8956907055054905</v>
      </c>
      <c r="AD138" s="93" t="n">
        <v>0.1043093871210513</v>
      </c>
      <c r="AE138" s="32" t="inlineStr">
        <is>
          <t>bamboo sheets</t>
        </is>
      </c>
      <c r="AF138" s="93" t="n">
        <v>0.6944674938731402</v>
      </c>
      <c r="AG138" s="93" t="n"/>
      <c r="AH138" s="93" t="n"/>
      <c r="AI138" s="93" t="n"/>
      <c r="AJ138" s="85" t="n">
        <v>911</v>
      </c>
      <c r="AK138" s="85" t="n">
        <v>288</v>
      </c>
      <c r="AL138" s="85" t="n">
        <v>515</v>
      </c>
      <c r="AM138" s="85" t="n">
        <v>1108</v>
      </c>
      <c r="AN138" s="85" t="n">
        <v>192</v>
      </c>
      <c r="AO138" s="85" t="n">
        <v>28</v>
      </c>
      <c r="AP138" s="94" t="n"/>
      <c r="AQ138" s="89" t="n"/>
      <c r="AR138" s="95" t="inlineStr">
        <is>
          <t>N</t>
        </is>
      </c>
      <c r="AS138" s="95" t="inlineStr">
        <is>
          <t>none</t>
        </is>
      </c>
      <c r="AT138" s="101" t="n"/>
      <c r="AU138" s="96" t="n">
        <v>89.98999999999999</v>
      </c>
      <c r="AV138" s="95" t="inlineStr">
        <is>
          <t>none</t>
        </is>
      </c>
      <c r="AW138" s="95" t="inlineStr">
        <is>
          <t>Y</t>
        </is>
      </c>
      <c r="AX138" s="95" t="inlineStr">
        <is>
          <t>2026-10-13 12:10:41</t>
        </is>
      </c>
      <c r="AY138" s="97" t="inlineStr">
        <is>
          <t>Not live in 2025</t>
        </is>
      </c>
      <c r="AZ138" s="102" t="n"/>
      <c r="BA138" s="101" t="n"/>
      <c r="BB138" s="101" t="n"/>
      <c r="BC138" s="87">
        <f>IF(AND(ISNUMBER(BA138),ISNUMBER(BB138),N(BA138)&gt;0),1-BB138/BA138,"")</f>
        <v/>
      </c>
      <c r="BD138" s="103" t="n"/>
      <c r="BE138" s="103" t="n"/>
      <c r="BF138" s="100">
        <f>IF(AND(ISNUMBER(BD138),ISNUMBER(BE138),N(BE138)&gt;0),BD138/BE138,"")</f>
        <v/>
      </c>
      <c r="BG138" s="102" t="n"/>
      <c r="BH138" s="102" t="n"/>
    </row>
    <row r="139" ht="62" customHeight="1">
      <c r="A139" s="39" t="inlineStr">
        <is>
          <t>IMAGE MISSING</t>
        </is>
      </c>
      <c r="B139" s="84" t="inlineStr">
        <is>
          <t>Pillcase</t>
        </is>
      </c>
      <c r="C139" s="32" t="inlineStr">
        <is>
          <t>100% Real Bamboo Viscose &amp; Lyocell Tencel Sheets Set Queen Size | Breathable &amp; C</t>
        </is>
      </c>
      <c r="D139" s="84" t="inlineStr">
        <is>
          <t>Beatable</t>
        </is>
      </c>
      <c r="E139" s="84" t="inlineStr">
        <is>
          <t>B0HK71WHZW</t>
        </is>
      </c>
      <c r="F139" s="84" t="inlineStr">
        <is>
          <t>B0H1BWY4MD</t>
        </is>
      </c>
      <c r="G139" s="84" t="inlineStr">
        <is>
          <t>Queen</t>
        </is>
      </c>
      <c r="H139" s="84" t="n"/>
      <c r="I139" s="85" t="n">
        <v>22</v>
      </c>
      <c r="J139" s="32" t="inlineStr">
        <is>
          <t>B0HBXCGQM1 (57%), B0HF8HHN46 (7%), B0HBXK2Y4B (5%), B0H1BWY4MD (5%), B0H28FT5DH (4%)</t>
        </is>
      </c>
      <c r="K139" s="86" t="n">
        <v>99</v>
      </c>
      <c r="L139" s="86" t="n"/>
      <c r="M139" s="87">
        <f>IF(AND(ISNUMBER(L139),ISNUMBER(K139),N(K139)&gt;0),L139/K139-1,"")</f>
        <v/>
      </c>
      <c r="N139" s="88">
        <f>IF(M139="","No List Price",IF(M139&lt;=0,"At/below price",IF(M139&lt;=0.12,"&lt;=12% STR zone",IF(M139&lt;=0.25,"12-25%","&gt;25% over"))))</f>
        <v/>
      </c>
      <c r="O139" s="86" t="n">
        <v>89.98999999999999</v>
      </c>
      <c r="P139" s="89">
        <f>IF(AND(ISNUMBER(K139),ISNUMBER(O139),N(O139)&gt;0),K139/O139-1,"")</f>
        <v/>
      </c>
      <c r="Q139" s="32" t="inlineStr">
        <is>
          <t>Same size (Queen). Ours live: Helium 10 Xray, 2026-10-13; 16 children</t>
        </is>
      </c>
      <c r="R139" s="85" t="n">
        <v>38116</v>
      </c>
      <c r="S139" s="85" t="n">
        <v>18</v>
      </c>
      <c r="T139" s="90">
        <f>IF(AND(ISNUMBER(K139),ISNUMBER(S139)),K139*S139*52/12,"")</f>
        <v/>
      </c>
      <c r="U139" s="91" t="n">
        <v>4.9</v>
      </c>
      <c r="V139" s="85" t="n">
        <v>201</v>
      </c>
      <c r="W139" s="92" t="n">
        <v>46307</v>
      </c>
      <c r="X139" s="92" t="n"/>
      <c r="Y139" s="84" t="n"/>
      <c r="Z139" s="84" t="n"/>
      <c r="AA139" s="85" t="n">
        <v>116001</v>
      </c>
      <c r="AB139" s="85" t="n">
        <v>1002</v>
      </c>
      <c r="AC139" s="93" t="n">
        <v>0.8987684407893036</v>
      </c>
      <c r="AD139" s="93" t="n">
        <v>0.1012329385091508</v>
      </c>
      <c r="AE139" s="32" t="inlineStr">
        <is>
          <t>bamboo sheets</t>
        </is>
      </c>
      <c r="AF139" s="93" t="n">
        <v>0.5789691468176998</v>
      </c>
      <c r="AG139" s="93" t="n"/>
      <c r="AH139" s="93" t="n"/>
      <c r="AI139" s="93" t="n">
        <v>0.01296540547064249</v>
      </c>
      <c r="AJ139" s="85" t="n">
        <v>657</v>
      </c>
      <c r="AK139" s="85" t="n">
        <v>241</v>
      </c>
      <c r="AL139" s="85" t="n">
        <v>361</v>
      </c>
      <c r="AM139" s="85" t="n">
        <v>345</v>
      </c>
      <c r="AN139" s="85" t="n">
        <v>48</v>
      </c>
      <c r="AO139" s="85" t="n">
        <v>15</v>
      </c>
      <c r="AP139" s="94" t="n"/>
      <c r="AQ139" s="89" t="n"/>
      <c r="AR139" s="95" t="inlineStr">
        <is>
          <t>Y</t>
        </is>
      </c>
      <c r="AS139" s="95" t="inlineStr">
        <is>
          <t>List Price</t>
        </is>
      </c>
      <c r="AT139" s="96" t="n">
        <v>99</v>
      </c>
      <c r="AU139" s="96" t="n">
        <v>79</v>
      </c>
      <c r="AV139" s="95" t="inlineStr">
        <is>
          <t>none</t>
        </is>
      </c>
      <c r="AW139" s="95" t="inlineStr">
        <is>
          <t>Y</t>
        </is>
      </c>
      <c r="AX139" s="95" t="inlineStr">
        <is>
          <t>2026-10-13 12:11:10</t>
        </is>
      </c>
      <c r="AY139" s="97" t="inlineStr">
        <is>
          <t>Not live in 2025</t>
        </is>
      </c>
      <c r="AZ139" s="102" t="n"/>
      <c r="BA139" s="101" t="n"/>
      <c r="BB139" s="101" t="n"/>
      <c r="BC139" s="87">
        <f>IF(AND(ISNUMBER(BA139),ISNUMBER(BB139),N(BA139)&gt;0),1-BB139/BA139,"")</f>
        <v/>
      </c>
      <c r="BD139" s="103" t="n"/>
      <c r="BE139" s="103" t="n"/>
      <c r="BF139" s="100">
        <f>IF(AND(ISNUMBER(BD139),ISNUMBER(BE139),N(BE139)&gt;0),BD139/BE139,"")</f>
        <v/>
      </c>
      <c r="BG139" s="102" t="n"/>
      <c r="BH139" s="102" t="n"/>
    </row>
    <row r="140" ht="62" customHeight="1">
      <c r="A140" s="10">
        <f>_xlfn.IMAGE("https://images-na.ssl-images-amazon.com/images/I/71X+0TBtodL.jpg")</f>
        <v/>
      </c>
      <c r="B140" s="84" t="inlineStr">
        <is>
          <t>TWK</t>
        </is>
      </c>
      <c r="C140" s="32" t="inlineStr">
        <is>
          <t>TWK Real 100% Viscose Derived from Bamboo Sheets Set Queen Size, Cooling &amp; Silky</t>
        </is>
      </c>
      <c r="D140" s="84" t="inlineStr">
        <is>
          <t>Beatable</t>
        </is>
      </c>
      <c r="E140" s="84" t="inlineStr">
        <is>
          <t>B0HHQG3RSW</t>
        </is>
      </c>
      <c r="F140" s="84" t="inlineStr">
        <is>
          <t>B0G1N8QS55</t>
        </is>
      </c>
      <c r="G140" s="84" t="inlineStr">
        <is>
          <t>Queen</t>
        </is>
      </c>
      <c r="H140" s="84" t="n"/>
      <c r="I140" s="85" t="n">
        <v>13</v>
      </c>
      <c r="J140" s="32" t="inlineStr">
        <is>
          <t>B0G1N23HZ1 (41%), B0H35S6VLR (32%), B0G1N8QS55 (18%)</t>
        </is>
      </c>
      <c r="K140" s="86" t="n">
        <v>65</v>
      </c>
      <c r="L140" s="86" t="n">
        <v>79</v>
      </c>
      <c r="M140" s="87">
        <f>IF(AND(ISNUMBER(L140),ISNUMBER(K140),N(K140)&gt;0),L140/K140-1,"")</f>
        <v/>
      </c>
      <c r="N140" s="88">
        <f>IF(M140="","No List Price",IF(M140&lt;=0,"At/below price",IF(M140&lt;=0.12,"&lt;=12% STR zone",IF(M140&lt;=0.25,"12-25%","&gt;25% over"))))</f>
        <v/>
      </c>
      <c r="O140" s="86" t="n">
        <v>89.98999999999999</v>
      </c>
      <c r="P140" s="89">
        <f>IF(AND(ISNUMBER(K140),ISNUMBER(O140),N(O140)&gt;0),K140/O140-1,"")</f>
        <v/>
      </c>
      <c r="Q140" s="32" t="inlineStr">
        <is>
          <t>Same size (Queen). Ours live: Helium 10 Xray, 2026-10-13; 16 children</t>
        </is>
      </c>
      <c r="R140" s="85" t="n">
        <v>196488</v>
      </c>
      <c r="S140" s="85" t="n">
        <v>18</v>
      </c>
      <c r="T140" s="90">
        <f>IF(AND(ISNUMBER(K140),ISNUMBER(S140)),K140*S140*52/12,"")</f>
        <v/>
      </c>
      <c r="U140" s="91" t="n">
        <v>4.9</v>
      </c>
      <c r="V140" s="85" t="n">
        <v>121</v>
      </c>
      <c r="W140" s="92" t="n">
        <v>46307</v>
      </c>
      <c r="X140" s="92" t="n"/>
      <c r="Y140" s="84" t="n"/>
      <c r="Z140" s="84" t="n"/>
      <c r="AA140" s="85" t="n">
        <v>82471</v>
      </c>
      <c r="AB140" s="85" t="n">
        <v>905</v>
      </c>
      <c r="AC140" s="93" t="n">
        <v>0.8861114561482216</v>
      </c>
      <c r="AD140" s="93" t="n">
        <v>0.1138885438517783</v>
      </c>
      <c r="AE140" s="32" t="inlineStr">
        <is>
          <t>bamboo sheets</t>
        </is>
      </c>
      <c r="AF140" s="93" t="n">
        <v>0.5572868038462004</v>
      </c>
      <c r="AG140" s="93" t="n"/>
      <c r="AH140" s="93" t="n"/>
      <c r="AI140" s="93" t="n"/>
      <c r="AJ140" s="85" t="n">
        <v>642</v>
      </c>
      <c r="AK140" s="85" t="n">
        <v>247</v>
      </c>
      <c r="AL140" s="85" t="n">
        <v>326</v>
      </c>
      <c r="AM140" s="85" t="n">
        <v>263</v>
      </c>
      <c r="AN140" s="85" t="n">
        <v>43</v>
      </c>
      <c r="AO140" s="85" t="n">
        <v>15</v>
      </c>
      <c r="AP140" s="94" t="n"/>
      <c r="AQ140" s="89" t="n"/>
      <c r="AR140" s="95" t="inlineStr">
        <is>
          <t>Y</t>
        </is>
      </c>
      <c r="AS140" s="95" t="inlineStr">
        <is>
          <t>Typical price</t>
        </is>
      </c>
      <c r="AT140" s="96" t="n">
        <v>79</v>
      </c>
      <c r="AU140" s="96" t="n">
        <v>65</v>
      </c>
      <c r="AV140" s="95" t="inlineStr">
        <is>
          <t>none</t>
        </is>
      </c>
      <c r="AW140" s="95" t="inlineStr">
        <is>
          <t>Y</t>
        </is>
      </c>
      <c r="AX140" s="95" t="inlineStr">
        <is>
          <t>2026-10-13 12:11:35</t>
        </is>
      </c>
      <c r="AY140" s="97" t="inlineStr">
        <is>
          <t>Not live in 2025</t>
        </is>
      </c>
      <c r="AZ140" s="102" t="n"/>
      <c r="BA140" s="101" t="n"/>
      <c r="BB140" s="101" t="n"/>
      <c r="BC140" s="87">
        <f>IF(AND(ISNUMBER(BA140),ISNUMBER(BB140),N(BA140)&gt;0),1-BB140/BA140,"")</f>
        <v/>
      </c>
      <c r="BD140" s="103" t="n"/>
      <c r="BE140" s="103" t="n"/>
      <c r="BF140" s="100">
        <f>IF(AND(ISNUMBER(BD140),ISNUMBER(BE140),N(BE140)&gt;0),BD140/BE140,"")</f>
        <v/>
      </c>
      <c r="BG140" s="102" t="n"/>
      <c r="BH140" s="102" t="n"/>
    </row>
    <row r="141" ht="62" customHeight="1">
      <c r="A141" s="39" t="inlineStr">
        <is>
          <t>IMAGE MISSING</t>
        </is>
      </c>
      <c r="B141" s="84" t="inlineStr">
        <is>
          <t>BAMPURE</t>
        </is>
      </c>
      <c r="C141" s="32" t="inlineStr">
        <is>
          <t>Bamboo Sheets</t>
        </is>
      </c>
      <c r="D141" s="84" t="inlineStr">
        <is>
          <t>Beatable</t>
        </is>
      </c>
      <c r="E141" s="84" t="inlineStr">
        <is>
          <t>B0FH2WGKJV</t>
        </is>
      </c>
      <c r="F141" s="84" t="inlineStr">
        <is>
          <t>B07XC2KVM7</t>
        </is>
      </c>
      <c r="G141" s="84" t="n"/>
      <c r="H141" s="84" t="n"/>
      <c r="I141" s="85" t="n"/>
      <c r="J141" s="32" t="inlineStr"/>
      <c r="K141" s="86" t="n">
        <v>37.99</v>
      </c>
      <c r="L141" s="86" t="n"/>
      <c r="M141" s="87">
        <f>IF(AND(ISNUMBER(L141),ISNUMBER(K141),N(K141)&gt;0),L141/K141-1,"")</f>
        <v/>
      </c>
      <c r="N141" s="88">
        <f>IF(M141="","No List Price",IF(M141&lt;=0,"At/below price",IF(M141&lt;=0.12,"&lt;=12% STR zone",IF(M141&lt;=0.25,"12-25%","&gt;25% over"))))</f>
        <v/>
      </c>
      <c r="O141" s="86" t="n">
        <v>89.98999999999999</v>
      </c>
      <c r="P141" s="89">
        <f>IF(AND(ISNUMBER(K141),ISNUMBER(O141),N(O141)&gt;0),K141/O141-1,"")</f>
        <v/>
      </c>
      <c r="Q141" s="32" t="inlineStr">
        <is>
          <t>Size not stated - vs our Queen. Ours live: Helium 10 Xray, 2026-10-13; 16 children</t>
        </is>
      </c>
      <c r="R141" s="85" t="n">
        <v>2541068</v>
      </c>
      <c r="S141" s="85" t="n">
        <v>5</v>
      </c>
      <c r="T141" s="90">
        <f>IF(AND(ISNUMBER(K141),ISNUMBER(S141)),K141*S141*52/12,"")</f>
        <v/>
      </c>
      <c r="U141" s="91" t="n">
        <v>4.4</v>
      </c>
      <c r="V141" s="85" t="n">
        <v>30</v>
      </c>
      <c r="W141" s="92" t="n">
        <v>46307</v>
      </c>
      <c r="X141" s="92" t="n"/>
      <c r="Y141" s="84" t="n"/>
      <c r="Z141" s="84" t="n"/>
      <c r="AA141" s="85" t="n"/>
      <c r="AB141" s="85" t="n"/>
      <c r="AC141" s="93" t="n"/>
      <c r="AD141" s="93" t="n"/>
      <c r="AE141" s="32" t="n"/>
      <c r="AF141" s="93" t="n"/>
      <c r="AG141" s="93" t="n"/>
      <c r="AH141" s="93" t="n"/>
      <c r="AI141" s="93" t="n"/>
      <c r="AJ141" s="85" t="n"/>
      <c r="AK141" s="85" t="n"/>
      <c r="AL141" s="85" t="n"/>
      <c r="AM141" s="85" t="n"/>
      <c r="AN141" s="85" t="n"/>
      <c r="AO141" s="85" t="n"/>
      <c r="AP141" s="94" t="n"/>
      <c r="AQ141" s="89" t="n"/>
      <c r="AR141" s="95" t="inlineStr">
        <is>
          <t>N</t>
        </is>
      </c>
      <c r="AS141" s="95" t="inlineStr">
        <is>
          <t>none</t>
        </is>
      </c>
      <c r="AT141" s="101" t="n"/>
      <c r="AU141" s="101" t="n"/>
      <c r="AV141" s="95" t="inlineStr">
        <is>
          <t>none</t>
        </is>
      </c>
      <c r="AW141" s="95" t="inlineStr">
        <is>
          <t>N</t>
        </is>
      </c>
      <c r="AX141" s="95" t="inlineStr">
        <is>
          <t>2026-10-13 12:10:15</t>
        </is>
      </c>
      <c r="AY141" s="97" t="inlineStr">
        <is>
          <t>None</t>
        </is>
      </c>
      <c r="AZ141" s="102" t="n"/>
      <c r="BA141" s="98" t="n">
        <v>69.98999999999999</v>
      </c>
      <c r="BB141" s="98" t="n">
        <v>69.98999999999999</v>
      </c>
      <c r="BC141" s="87">
        <f>IF(AND(ISNUMBER(BA141),ISNUMBER(BB141),N(BA141)&gt;0),1-BB141/BA141,"")</f>
        <v/>
      </c>
      <c r="BD141" s="99" t="n">
        <v>31768</v>
      </c>
      <c r="BE141" s="99" t="n">
        <v>27950</v>
      </c>
      <c r="BF141" s="100">
        <f>IF(AND(ISNUMBER(BD141),ISNUMBER(BE141),N(BE141)&gt;0),BD141/BE141,"")</f>
        <v/>
      </c>
      <c r="BG141" s="97" t="inlineStr">
        <is>
          <t>N</t>
        </is>
      </c>
      <c r="BH141" s="97" t="inlineStr">
        <is>
          <t>List Price $69.99</t>
        </is>
      </c>
    </row>
    <row r="142" ht="62" customHeight="1">
      <c r="A142" s="39" t="inlineStr">
        <is>
          <t>IMAGE MISSING</t>
        </is>
      </c>
      <c r="B142" s="84" t="inlineStr">
        <is>
          <t>BC BELLA COTERIE</t>
        </is>
      </c>
      <c r="C142" s="32" t="inlineStr">
        <is>
          <t>4 Piece Bamboo Sheet Set</t>
        </is>
      </c>
      <c r="D142" s="84" t="inlineStr">
        <is>
          <t>Beatable</t>
        </is>
      </c>
      <c r="E142" s="84" t="inlineStr">
        <is>
          <t>B0GKBNZ8TC</t>
        </is>
      </c>
      <c r="F142" s="84" t="inlineStr">
        <is>
          <t>B0G674ZDTV</t>
        </is>
      </c>
      <c r="G142" s="84" t="n"/>
      <c r="H142" s="84" t="n"/>
      <c r="I142" s="85" t="n"/>
      <c r="J142" s="32" t="inlineStr"/>
      <c r="K142" s="86" t="n">
        <v>129.99</v>
      </c>
      <c r="L142" s="86" t="n"/>
      <c r="M142" s="87">
        <f>IF(AND(ISNUMBER(L142),ISNUMBER(K142),N(K142)&gt;0),L142/K142-1,"")</f>
        <v/>
      </c>
      <c r="N142" s="88">
        <f>IF(M142="","No List Price",IF(M142&lt;=0,"At/below price",IF(M142&lt;=0.12,"&lt;=12% STR zone",IF(M142&lt;=0.25,"12-25%","&gt;25% over"))))</f>
        <v/>
      </c>
      <c r="O142" s="86" t="n">
        <v>89.98999999999999</v>
      </c>
      <c r="P142" s="89">
        <f>IF(AND(ISNUMBER(K142),ISNUMBER(O142),N(O142)&gt;0),K142/O142-1,"")</f>
        <v/>
      </c>
      <c r="Q142" s="32" t="inlineStr">
        <is>
          <t>Size not stated - vs our Queen. Ours live: Helium 10 Xray, 2026-10-13; 16 children</t>
        </is>
      </c>
      <c r="R142" s="85" t="n">
        <v>1577</v>
      </c>
      <c r="S142" s="85" t="n">
        <v>5</v>
      </c>
      <c r="T142" s="90">
        <f>IF(AND(ISNUMBER(K142),ISNUMBER(S142)),K142*S142*52/12,"")</f>
        <v/>
      </c>
      <c r="U142" s="91" t="n">
        <v>4.4</v>
      </c>
      <c r="V142" s="85" t="n">
        <v>5652</v>
      </c>
      <c r="W142" s="92" t="n">
        <v>46223</v>
      </c>
      <c r="X142" s="92" t="n"/>
      <c r="Y142" s="84" t="n"/>
      <c r="Z142" s="84" t="n"/>
      <c r="AA142" s="85" t="n"/>
      <c r="AB142" s="85" t="n"/>
      <c r="AC142" s="93" t="n"/>
      <c r="AD142" s="93" t="n"/>
      <c r="AE142" s="32" t="n"/>
      <c r="AF142" s="93" t="n"/>
      <c r="AG142" s="93" t="n"/>
      <c r="AH142" s="93" t="n"/>
      <c r="AI142" s="93" t="n"/>
      <c r="AJ142" s="85" t="n"/>
      <c r="AK142" s="85" t="n"/>
      <c r="AL142" s="85" t="n"/>
      <c r="AM142" s="85" t="n"/>
      <c r="AN142" s="85" t="n"/>
      <c r="AO142" s="85" t="n"/>
      <c r="AP142" s="94" t="n"/>
      <c r="AQ142" s="89" t="n"/>
      <c r="AR142" s="95" t="inlineStr">
        <is>
          <t>N</t>
        </is>
      </c>
      <c r="AS142" s="95" t="inlineStr">
        <is>
          <t>none</t>
        </is>
      </c>
      <c r="AT142" s="101" t="n"/>
      <c r="AU142" s="96" t="n">
        <v>159.99</v>
      </c>
      <c r="AV142" s="95" t="inlineStr">
        <is>
          <t>none</t>
        </is>
      </c>
      <c r="AW142" s="95" t="inlineStr">
        <is>
          <t>Y</t>
        </is>
      </c>
      <c r="AX142" s="95" t="inlineStr">
        <is>
          <t>2026-10-13 12:10:21</t>
        </is>
      </c>
      <c r="AY142" s="97" t="inlineStr">
        <is>
          <t>Not live in 2025</t>
        </is>
      </c>
      <c r="AZ142" s="102" t="n"/>
      <c r="BA142" s="101" t="n"/>
      <c r="BB142" s="101" t="n"/>
      <c r="BC142" s="87">
        <f>IF(AND(ISNUMBER(BA142),ISNUMBER(BB142),N(BA142)&gt;0),1-BB142/BA142,"")</f>
        <v/>
      </c>
      <c r="BD142" s="103" t="n"/>
      <c r="BE142" s="103" t="n"/>
      <c r="BF142" s="100">
        <f>IF(AND(ISNUMBER(BD142),ISNUMBER(BE142),N(BE142)&gt;0),BD142/BE142,"")</f>
        <v/>
      </c>
      <c r="BG142" s="102" t="n"/>
      <c r="BH142" s="102" t="n"/>
    </row>
    <row r="143" ht="62" customHeight="1">
      <c r="A143" s="39" t="inlineStr">
        <is>
          <t>IMAGE MISSING</t>
        </is>
      </c>
      <c r="B143" s="84" t="inlineStr">
        <is>
          <t>Pillcase</t>
        </is>
      </c>
      <c r="C143" s="32" t="inlineStr">
        <is>
          <t>Cooling Hotel Bedding Sheet Set - 4pcs Bamboo Viscose &amp; Tencel Blend, Moisture-W</t>
        </is>
      </c>
      <c r="D143" s="84" t="inlineStr">
        <is>
          <t>Beatable</t>
        </is>
      </c>
      <c r="E143" s="84" t="inlineStr">
        <is>
          <t>B0HJYG8V9Q</t>
        </is>
      </c>
      <c r="F143" s="84" t="inlineStr">
        <is>
          <t>B0HJYG8V9Q</t>
        </is>
      </c>
      <c r="G143" s="84" t="n"/>
      <c r="H143" s="84" t="n"/>
      <c r="I143" s="85" t="n">
        <v>1</v>
      </c>
      <c r="J143" s="32" t="inlineStr">
        <is>
          <t>B0HJYG8V9Q (100%)</t>
        </is>
      </c>
      <c r="K143" s="86" t="n">
        <v>79.98999999999999</v>
      </c>
      <c r="L143" s="86" t="n"/>
      <c r="M143" s="87">
        <f>IF(AND(ISNUMBER(L143),ISNUMBER(K143),N(K143)&gt;0),L143/K143-1,"")</f>
        <v/>
      </c>
      <c r="N143" s="88">
        <f>IF(M143="","No List Price",IF(M143&lt;=0,"At/below price",IF(M143&lt;=0.12,"&lt;=12% STR zone",IF(M143&lt;=0.25,"12-25%","&gt;25% over"))))</f>
        <v/>
      </c>
      <c r="O143" s="86" t="n">
        <v>89.98999999999999</v>
      </c>
      <c r="P143" s="89">
        <f>IF(AND(ISNUMBER(K143),ISNUMBER(O143),N(O143)&gt;0),K143/O143-1,"")</f>
        <v/>
      </c>
      <c r="Q143" s="32" t="inlineStr">
        <is>
          <t>Size not stated - vs our Queen. Ours live: Helium 10 Xray, 2026-10-13; 16 children</t>
        </is>
      </c>
      <c r="R143" s="85" t="n">
        <v>762451</v>
      </c>
      <c r="S143" s="85" t="n">
        <v>5</v>
      </c>
      <c r="T143" s="90">
        <f>IF(AND(ISNUMBER(K143),ISNUMBER(S143)),K143*S143*52/12,"")</f>
        <v/>
      </c>
      <c r="U143" s="91" t="n">
        <v>4</v>
      </c>
      <c r="V143" s="85" t="n"/>
      <c r="W143" s="92" t="n">
        <v>46307</v>
      </c>
      <c r="X143" s="92" t="n"/>
      <c r="Y143" s="84" t="n"/>
      <c r="Z143" s="84" t="n"/>
      <c r="AA143" s="85" t="n">
        <v>57075</v>
      </c>
      <c r="AB143" s="85" t="n">
        <v>90</v>
      </c>
      <c r="AC143" s="93" t="n">
        <v>0.9991762628120894</v>
      </c>
      <c r="AD143" s="93" t="n">
        <v>0.0008237371879106438</v>
      </c>
      <c r="AE143" s="32" t="inlineStr">
        <is>
          <t>king size sheets set</t>
        </is>
      </c>
      <c r="AF143" s="93" t="n">
        <v>0.1639071397284275</v>
      </c>
      <c r="AG143" s="93" t="n"/>
      <c r="AH143" s="93" t="n"/>
      <c r="AI143" s="93" t="n"/>
      <c r="AJ143" s="85" t="n">
        <v>88</v>
      </c>
      <c r="AK143" s="85" t="n">
        <v>61</v>
      </c>
      <c r="AL143" s="85" t="n">
        <v>27</v>
      </c>
      <c r="AM143" s="85" t="n">
        <v>2</v>
      </c>
      <c r="AN143" s="85" t="n">
        <v>0</v>
      </c>
      <c r="AO143" s="85" t="n">
        <v>0</v>
      </c>
      <c r="AP143" s="94" t="n"/>
      <c r="AQ143" s="89" t="n"/>
      <c r="AR143" s="95" t="inlineStr">
        <is>
          <t>N</t>
        </is>
      </c>
      <c r="AS143" s="95" t="inlineStr">
        <is>
          <t>none</t>
        </is>
      </c>
      <c r="AT143" s="101" t="n"/>
      <c r="AU143" s="101" t="n"/>
      <c r="AV143" s="95" t="inlineStr">
        <is>
          <t>none</t>
        </is>
      </c>
      <c r="AW143" s="95" t="inlineStr">
        <is>
          <t>N</t>
        </is>
      </c>
      <c r="AX143" s="95" t="inlineStr">
        <is>
          <t>2026-10-13 12:11:13</t>
        </is>
      </c>
      <c r="AY143" s="97" t="inlineStr">
        <is>
          <t>Not live in 2025</t>
        </is>
      </c>
      <c r="AZ143" s="102" t="n"/>
      <c r="BA143" s="101" t="n"/>
      <c r="BB143" s="101" t="n"/>
      <c r="BC143" s="87">
        <f>IF(AND(ISNUMBER(BA143),ISNUMBER(BB143),N(BA143)&gt;0),1-BB143/BA143,"")</f>
        <v/>
      </c>
      <c r="BD143" s="103" t="n"/>
      <c r="BE143" s="103" t="n"/>
      <c r="BF143" s="100">
        <f>IF(AND(ISNUMBER(BD143),ISNUMBER(BE143),N(BE143)&gt;0),BD143/BE143,"")</f>
        <v/>
      </c>
      <c r="BG143" s="102" t="n"/>
      <c r="BH143" s="102" t="n"/>
    </row>
    <row r="144" ht="62" customHeight="1">
      <c r="A144" s="39" t="inlineStr">
        <is>
          <t>IMAGE MISSING</t>
        </is>
      </c>
      <c r="B144" s="84" t="inlineStr">
        <is>
          <t>Tafts</t>
        </is>
      </c>
      <c r="C144" s="32" t="inlineStr">
        <is>
          <t>Bamboo Sheets Queen Size, 100% Pure Viscose derived from Bamboo Bed Sheet Set, L</t>
        </is>
      </c>
      <c r="D144" s="84" t="inlineStr">
        <is>
          <t>Beatable</t>
        </is>
      </c>
      <c r="E144" s="84" t="inlineStr">
        <is>
          <t>B0D34K3FB9</t>
        </is>
      </c>
      <c r="F144" s="84" t="inlineStr">
        <is>
          <t>B07YSVNCVT</t>
        </is>
      </c>
      <c r="G144" s="84" t="inlineStr">
        <is>
          <t>Queen</t>
        </is>
      </c>
      <c r="H144" s="84" t="n"/>
      <c r="I144" s="85" t="n">
        <v>23</v>
      </c>
      <c r="J144" s="32" t="inlineStr">
        <is>
          <t>B07YSW4HCT (83%)</t>
        </is>
      </c>
      <c r="K144" s="86" t="n">
        <v>104.99</v>
      </c>
      <c r="L144" s="86" t="n"/>
      <c r="M144" s="87">
        <f>IF(AND(ISNUMBER(L144),ISNUMBER(K144),N(K144)&gt;0),L144/K144-1,"")</f>
        <v/>
      </c>
      <c r="N144" s="88">
        <f>IF(M144="","No List Price",IF(M144&lt;=0,"At/below price",IF(M144&lt;=0.12,"&lt;=12% STR zone",IF(M144&lt;=0.25,"12-25%","&gt;25% over"))))</f>
        <v/>
      </c>
      <c r="O144" s="86" t="n">
        <v>89.98999999999999</v>
      </c>
      <c r="P144" s="89">
        <f>IF(AND(ISNUMBER(K144),ISNUMBER(O144),N(O144)&gt;0),K144/O144-1,"")</f>
        <v/>
      </c>
      <c r="Q144" s="32" t="inlineStr">
        <is>
          <t>Same size (Queen). Ours live: Helium 10 Xray, 2026-10-13; 16 children</t>
        </is>
      </c>
      <c r="R144" s="85" t="n">
        <v>184749</v>
      </c>
      <c r="S144" s="85" t="n">
        <v>5</v>
      </c>
      <c r="T144" s="90">
        <f>IF(AND(ISNUMBER(K144),ISNUMBER(S144)),K144*S144*52/12,"")</f>
        <v/>
      </c>
      <c r="U144" s="91" t="n">
        <v>4.5</v>
      </c>
      <c r="V144" s="85" t="n">
        <v>3184</v>
      </c>
      <c r="W144" s="92" t="n">
        <v>46307</v>
      </c>
      <c r="X144" s="92" t="n"/>
      <c r="Y144" s="84" t="n"/>
      <c r="Z144" s="84" t="n"/>
      <c r="AA144" s="85" t="n">
        <v>11787</v>
      </c>
      <c r="AB144" s="85" t="n">
        <v>302</v>
      </c>
      <c r="AC144" s="93" t="n">
        <v>0.9613189955035204</v>
      </c>
      <c r="AD144" s="93" t="n">
        <v>0.03868100449647917</v>
      </c>
      <c r="AE144" s="32" t="inlineStr">
        <is>
          <t>bamboo sheets</t>
        </is>
      </c>
      <c r="AF144" s="93" t="n">
        <v>0.8949690336811742</v>
      </c>
      <c r="AG144" s="93" t="n"/>
      <c r="AH144" s="93" t="n"/>
      <c r="AI144" s="93" t="n"/>
      <c r="AJ144" s="85" t="n">
        <v>235</v>
      </c>
      <c r="AK144" s="85" t="n">
        <v>163</v>
      </c>
      <c r="AL144" s="85" t="n">
        <v>39</v>
      </c>
      <c r="AM144" s="85" t="n">
        <v>67</v>
      </c>
      <c r="AN144" s="85" t="n">
        <v>17</v>
      </c>
      <c r="AO144" s="85" t="n">
        <v>6</v>
      </c>
      <c r="AP144" s="94" t="n"/>
      <c r="AQ144" s="89" t="n"/>
      <c r="AR144" s="95" t="inlineStr">
        <is>
          <t>N</t>
        </is>
      </c>
      <c r="AS144" s="95" t="inlineStr">
        <is>
          <t>none</t>
        </is>
      </c>
      <c r="AT144" s="101" t="n"/>
      <c r="AU144" s="96" t="n">
        <v>104.99</v>
      </c>
      <c r="AV144" s="95" t="inlineStr">
        <is>
          <t>none</t>
        </is>
      </c>
      <c r="AW144" s="95" t="inlineStr">
        <is>
          <t>Y</t>
        </is>
      </c>
      <c r="AX144" s="95" t="inlineStr">
        <is>
          <t>2026-10-13 12:14:21</t>
        </is>
      </c>
      <c r="AY144" s="97" t="inlineStr">
        <is>
          <t>Coupon only</t>
        </is>
      </c>
      <c r="AZ144" s="97" t="inlineStr">
        <is>
          <t>11-06 to 11-20</t>
        </is>
      </c>
      <c r="BA144" s="98" t="n">
        <v>99.98999999999999</v>
      </c>
      <c r="BB144" s="98" t="n">
        <v>80.73999999999999</v>
      </c>
      <c r="BC144" s="87">
        <f>IF(AND(ISNUMBER(BA144),ISNUMBER(BB144),N(BA144)&gt;0),1-BB144/BA144,"")</f>
        <v/>
      </c>
      <c r="BD144" s="99" t="n">
        <v>127180</v>
      </c>
      <c r="BE144" s="99" t="n">
        <v>98722</v>
      </c>
      <c r="BF144" s="100">
        <f>IF(AND(ISNUMBER(BD144),ISNUMBER(BE144),N(BE144)&gt;0),BD144/BE144,"")</f>
        <v/>
      </c>
      <c r="BG144" s="97" t="inlineStr">
        <is>
          <t>Y</t>
        </is>
      </c>
      <c r="BH144" s="97" t="inlineStr">
        <is>
          <t>Coupon 20%; List Price $119.99</t>
        </is>
      </c>
    </row>
    <row r="145" ht="62" customHeight="1">
      <c r="A145" s="39" t="inlineStr">
        <is>
          <t>IMAGE MISSING</t>
        </is>
      </c>
      <c r="B145" s="84" t="inlineStr">
        <is>
          <t>TWK</t>
        </is>
      </c>
      <c r="C145" s="32" t="inlineStr">
        <is>
          <t>TWK Real 100% Viscose Derived from Bamboo Sheets Set Queen Size, Cooling &amp; Silky</t>
        </is>
      </c>
      <c r="D145" s="84" t="inlineStr">
        <is>
          <t>Beatable</t>
        </is>
      </c>
      <c r="E145" s="84" t="inlineStr">
        <is>
          <t>B0HHRR4XGX</t>
        </is>
      </c>
      <c r="F145" s="84" t="inlineStr">
        <is>
          <t>B0HHRR4XGX</t>
        </is>
      </c>
      <c r="G145" s="84" t="inlineStr">
        <is>
          <t>Queen</t>
        </is>
      </c>
      <c r="H145" s="84" t="n"/>
      <c r="I145" s="85" t="n">
        <v>1</v>
      </c>
      <c r="J145" s="32" t="inlineStr">
        <is>
          <t>B0HHRR4XGX (100%)</t>
        </is>
      </c>
      <c r="K145" s="86" t="n">
        <v>105</v>
      </c>
      <c r="L145" s="86" t="n"/>
      <c r="M145" s="87">
        <f>IF(AND(ISNUMBER(L145),ISNUMBER(K145),N(K145)&gt;0),L145/K145-1,"")</f>
        <v/>
      </c>
      <c r="N145" s="88">
        <f>IF(M145="","No List Price",IF(M145&lt;=0,"At/below price",IF(M145&lt;=0.12,"&lt;=12% STR zone",IF(M145&lt;=0.25,"12-25%","&gt;25% over"))))</f>
        <v/>
      </c>
      <c r="O145" s="86" t="n">
        <v>89.98999999999999</v>
      </c>
      <c r="P145" s="89">
        <f>IF(AND(ISNUMBER(K145),ISNUMBER(O145),N(O145)&gt;0),K145/O145-1,"")</f>
        <v/>
      </c>
      <c r="Q145" s="32" t="inlineStr">
        <is>
          <t>Same size (Queen). Ours live: Helium 10 Xray, 2026-10-13; 16 children</t>
        </is>
      </c>
      <c r="R145" s="85" t="n"/>
      <c r="S145" s="85" t="n">
        <v>5</v>
      </c>
      <c r="T145" s="90">
        <f>IF(AND(ISNUMBER(K145),ISNUMBER(S145)),K145*S145*52/12,"")</f>
        <v/>
      </c>
      <c r="U145" s="91" t="n">
        <v>4.5</v>
      </c>
      <c r="V145" s="85" t="n"/>
      <c r="W145" s="92" t="n">
        <v>46307</v>
      </c>
      <c r="X145" s="92" t="n"/>
      <c r="Y145" s="84" t="n"/>
      <c r="Z145" s="84" t="n"/>
      <c r="AA145" s="85" t="n">
        <v>30066</v>
      </c>
      <c r="AB145" s="85" t="n">
        <v>74</v>
      </c>
      <c r="AC145" s="93" t="n">
        <v>1</v>
      </c>
      <c r="AD145" s="93" t="n">
        <v>0</v>
      </c>
      <c r="AE145" s="32" t="inlineStr">
        <is>
          <t>queen sheet set</t>
        </is>
      </c>
      <c r="AF145" s="93" t="n"/>
      <c r="AG145" s="93" t="n"/>
      <c r="AH145" s="93" t="n"/>
      <c r="AI145" s="93" t="n"/>
      <c r="AJ145" s="85" t="n">
        <v>71</v>
      </c>
      <c r="AK145" s="85" t="n">
        <v>54</v>
      </c>
      <c r="AL145" s="85" t="n">
        <v>16</v>
      </c>
      <c r="AM145" s="85" t="n">
        <v>3</v>
      </c>
      <c r="AN145" s="85" t="n">
        <v>0</v>
      </c>
      <c r="AO145" s="85" t="n">
        <v>0</v>
      </c>
      <c r="AP145" s="94" t="n"/>
      <c r="AQ145" s="89" t="n"/>
      <c r="AR145" s="95" t="inlineStr">
        <is>
          <t>N</t>
        </is>
      </c>
      <c r="AS145" s="95" t="inlineStr">
        <is>
          <t>none</t>
        </is>
      </c>
      <c r="AT145" s="101" t="n"/>
      <c r="AU145" s="96" t="n">
        <v>105</v>
      </c>
      <c r="AV145" s="95" t="inlineStr">
        <is>
          <t>none</t>
        </is>
      </c>
      <c r="AW145" s="95" t="inlineStr">
        <is>
          <t>Y</t>
        </is>
      </c>
      <c r="AX145" s="95" t="inlineStr">
        <is>
          <t>2026-10-13 12:11:39</t>
        </is>
      </c>
      <c r="AY145" s="97" t="inlineStr">
        <is>
          <t>Not live in 2025</t>
        </is>
      </c>
      <c r="AZ145" s="102" t="n"/>
      <c r="BA145" s="101" t="n"/>
      <c r="BB145" s="101" t="n"/>
      <c r="BC145" s="87">
        <f>IF(AND(ISNUMBER(BA145),ISNUMBER(BB145),N(BA145)&gt;0),1-BB145/BA145,"")</f>
        <v/>
      </c>
      <c r="BD145" s="103" t="n"/>
      <c r="BE145" s="103" t="n"/>
      <c r="BF145" s="100">
        <f>IF(AND(ISNUMBER(BD145),ISNUMBER(BE145),N(BE145)&gt;0),BD145/BE145,"")</f>
        <v/>
      </c>
      <c r="BG145" s="102" t="n"/>
      <c r="BH145" s="102" t="n"/>
    </row>
    <row r="146" ht="62" customHeight="1">
      <c r="A146" s="39" t="inlineStr">
        <is>
          <t>IMAGE MISSING</t>
        </is>
      </c>
      <c r="B146" s="84" t="inlineStr">
        <is>
          <t>AiAngu</t>
        </is>
      </c>
      <c r="C146" s="32" t="inlineStr">
        <is>
          <t>Bamboo Sheets</t>
        </is>
      </c>
      <c r="D146" s="84" t="inlineStr">
        <is>
          <t>Poor</t>
        </is>
      </c>
      <c r="E146" s="84" t="inlineStr">
        <is>
          <t>B0H3KP6R9B</t>
        </is>
      </c>
      <c r="F146" s="84" t="inlineStr">
        <is>
          <t>B0GX15Y7TT</t>
        </is>
      </c>
      <c r="G146" s="84" t="n"/>
      <c r="H146" s="84" t="n"/>
      <c r="I146" s="85" t="n"/>
      <c r="J146" s="32" t="inlineStr"/>
      <c r="K146" s="86" t="n">
        <v>74.98999999999999</v>
      </c>
      <c r="L146" s="86" t="n">
        <v>79.98999999999999</v>
      </c>
      <c r="M146" s="87">
        <f>IF(AND(ISNUMBER(L146),ISNUMBER(K146),N(K146)&gt;0),L146/K146-1,"")</f>
        <v/>
      </c>
      <c r="N146" s="88">
        <f>IF(M146="","No List Price",IF(M146&lt;=0,"At/below price",IF(M146&lt;=0.12,"&lt;=12% STR zone",IF(M146&lt;=0.25,"12-25%","&gt;25% over"))))</f>
        <v/>
      </c>
      <c r="O146" s="86" t="n">
        <v>89.98999999999999</v>
      </c>
      <c r="P146" s="89">
        <f>IF(AND(ISNUMBER(K146),ISNUMBER(O146),N(O146)&gt;0),K146/O146-1,"")</f>
        <v/>
      </c>
      <c r="Q146" s="32" t="inlineStr">
        <is>
          <t>Size not stated - vs our Queen. Ours live: Helium 10 Xray, 2026-10-13; 16 children</t>
        </is>
      </c>
      <c r="R146" s="85" t="n">
        <v>39296</v>
      </c>
      <c r="S146" s="85" t="n">
        <v>81</v>
      </c>
      <c r="T146" s="90">
        <f>IF(AND(ISNUMBER(K146),ISNUMBER(S146)),K146*S146*52/12,"")</f>
        <v/>
      </c>
      <c r="U146" s="91" t="n">
        <v>4.6</v>
      </c>
      <c r="V146" s="85" t="n">
        <v>121</v>
      </c>
      <c r="W146" s="92" t="n">
        <v>46307</v>
      </c>
      <c r="X146" s="92" t="n"/>
      <c r="Y146" s="84" t="n"/>
      <c r="Z146" s="84" t="n"/>
      <c r="AA146" s="85" t="n"/>
      <c r="AB146" s="85" t="n"/>
      <c r="AC146" s="93" t="n"/>
      <c r="AD146" s="93" t="n"/>
      <c r="AE146" s="32" t="n"/>
      <c r="AF146" s="93" t="n"/>
      <c r="AG146" s="93" t="n"/>
      <c r="AH146" s="93" t="n"/>
      <c r="AI146" s="93" t="n"/>
      <c r="AJ146" s="85" t="n"/>
      <c r="AK146" s="85" t="n"/>
      <c r="AL146" s="85" t="n"/>
      <c r="AM146" s="85" t="n"/>
      <c r="AN146" s="85" t="n"/>
      <c r="AO146" s="85" t="n"/>
      <c r="AP146" s="94" t="n"/>
      <c r="AQ146" s="89" t="n"/>
      <c r="AR146" s="95" t="inlineStr">
        <is>
          <t>Y</t>
        </is>
      </c>
      <c r="AS146" s="95" t="inlineStr">
        <is>
          <t>List Price</t>
        </is>
      </c>
      <c r="AT146" s="96" t="n">
        <v>79.98999999999999</v>
      </c>
      <c r="AU146" s="96" t="n">
        <v>74.98999999999999</v>
      </c>
      <c r="AV146" s="95" t="inlineStr">
        <is>
          <t>coupon 25%</t>
        </is>
      </c>
      <c r="AW146" s="95" t="inlineStr">
        <is>
          <t>Y</t>
        </is>
      </c>
      <c r="AX146" s="95" t="inlineStr">
        <is>
          <t>2026-10-13 23:35:32</t>
        </is>
      </c>
      <c r="AY146" s="97" t="inlineStr">
        <is>
          <t>Not live in 2025</t>
        </is>
      </c>
      <c r="AZ146" s="102" t="n"/>
      <c r="BA146" s="101" t="n"/>
      <c r="BB146" s="101" t="n"/>
      <c r="BC146" s="87">
        <f>IF(AND(ISNUMBER(BA146),ISNUMBER(BB146),N(BA146)&gt;0),1-BB146/BA146,"")</f>
        <v/>
      </c>
      <c r="BD146" s="103" t="n"/>
      <c r="BE146" s="103" t="n"/>
      <c r="BF146" s="100">
        <f>IF(AND(ISNUMBER(BD146),ISNUMBER(BE146),N(BE146)&gt;0),BD146/BE146,"")</f>
        <v/>
      </c>
      <c r="BG146" s="102" t="n"/>
      <c r="BH146" s="102" t="n"/>
    </row>
    <row r="147" ht="62" customHeight="1">
      <c r="A147" s="10">
        <f>_xlfn.IMAGE("https://images-na.ssl-images-amazon.com/images/I/71Kvq1YdGJL.jpg")</f>
        <v/>
      </c>
      <c r="B147" s="84" t="inlineStr">
        <is>
          <t>Cariloha</t>
        </is>
      </c>
      <c r="C147" s="32" t="inlineStr">
        <is>
          <t>Cariloha Aloha Soft Bamboo Viscose Sheet Set - Natural - Queen</t>
        </is>
      </c>
      <c r="D147" s="84" t="inlineStr">
        <is>
          <t>Poor</t>
        </is>
      </c>
      <c r="E147" s="84" t="inlineStr">
        <is>
          <t>B0F89K7BXJ</t>
        </is>
      </c>
      <c r="F147" s="84" t="inlineStr">
        <is>
          <t>B0DJV1K332</t>
        </is>
      </c>
      <c r="G147" s="84" t="inlineStr">
        <is>
          <t>Queen</t>
        </is>
      </c>
      <c r="H147" s="84" t="n"/>
      <c r="I147" s="85" t="n">
        <v>35</v>
      </c>
      <c r="J147" s="32" t="inlineStr"/>
      <c r="K147" s="86" t="n">
        <v>107.1</v>
      </c>
      <c r="L147" s="86" t="n"/>
      <c r="M147" s="87">
        <f>IF(AND(ISNUMBER(L147),ISNUMBER(K147),N(K147)&gt;0),L147/K147-1,"")</f>
        <v/>
      </c>
      <c r="N147" s="88">
        <f>IF(M147="","No List Price",IF(M147&lt;=0,"At/below price",IF(M147&lt;=0.12,"&lt;=12% STR zone",IF(M147&lt;=0.25,"12-25%","&gt;25% over"))))</f>
        <v/>
      </c>
      <c r="O147" s="86" t="n">
        <v>89.98999999999999</v>
      </c>
      <c r="P147" s="89">
        <f>IF(AND(ISNUMBER(K147),ISNUMBER(O147),N(O147)&gt;0),K147/O147-1,"")</f>
        <v/>
      </c>
      <c r="Q147" s="32" t="inlineStr">
        <is>
          <t>Same size (Queen). Ours live: Helium 10 Xray, 2026-10-13; 16 children</t>
        </is>
      </c>
      <c r="R147" s="85" t="n">
        <v>15882</v>
      </c>
      <c r="S147" s="85" t="n">
        <v>81</v>
      </c>
      <c r="T147" s="90">
        <f>IF(AND(ISNUMBER(K147),ISNUMBER(S147)),K147*S147*52/12,"")</f>
        <v/>
      </c>
      <c r="U147" s="91" t="n">
        <v>4.4</v>
      </c>
      <c r="V147" s="85" t="n">
        <v>426</v>
      </c>
      <c r="W147" s="92" t="n">
        <v>46307</v>
      </c>
      <c r="X147" s="92" t="n">
        <v>45575</v>
      </c>
      <c r="Y147" s="84" t="inlineStr">
        <is>
          <t>FBA</t>
        </is>
      </c>
      <c r="Z147" s="84" t="inlineStr">
        <is>
          <t>US</t>
        </is>
      </c>
      <c r="AA147" s="85" t="n"/>
      <c r="AB147" s="85" t="n"/>
      <c r="AC147" s="93" t="n"/>
      <c r="AD147" s="93" t="n"/>
      <c r="AE147" s="32" t="n"/>
      <c r="AF147" s="93" t="n"/>
      <c r="AG147" s="93" t="n"/>
      <c r="AH147" s="93" t="n"/>
      <c r="AI147" s="93" t="n"/>
      <c r="AJ147" s="85" t="n"/>
      <c r="AK147" s="85" t="n"/>
      <c r="AL147" s="85" t="n"/>
      <c r="AM147" s="85" t="n"/>
      <c r="AN147" s="85" t="n"/>
      <c r="AO147" s="85" t="n"/>
      <c r="AP147" s="94" t="n"/>
      <c r="AQ147" s="89" t="n"/>
      <c r="AR147" s="95" t="inlineStr">
        <is>
          <t>Y</t>
        </is>
      </c>
      <c r="AS147" s="95" t="inlineStr">
        <is>
          <t>List Price</t>
        </is>
      </c>
      <c r="AT147" s="96" t="n">
        <v>119</v>
      </c>
      <c r="AU147" s="96" t="n">
        <v>107.1</v>
      </c>
      <c r="AV147" s="95" t="inlineStr">
        <is>
          <t>none</t>
        </is>
      </c>
      <c r="AW147" s="95" t="inlineStr">
        <is>
          <t>Y</t>
        </is>
      </c>
      <c r="AX147" s="95" t="inlineStr">
        <is>
          <t>2026-10-13 23:35:56</t>
        </is>
      </c>
      <c r="AY147" s="97" t="inlineStr">
        <is>
          <t>Prime Exclusive Discount</t>
        </is>
      </c>
      <c r="AZ147" s="97" t="inlineStr">
        <is>
          <t>11-23 to 11-30</t>
        </is>
      </c>
      <c r="BA147" s="98" t="n">
        <v>119</v>
      </c>
      <c r="BB147" s="98" t="n">
        <v>71.40000000000001</v>
      </c>
      <c r="BC147" s="87">
        <f>IF(AND(ISNUMBER(BA147),ISNUMBER(BB147),N(BA147)&gt;0),1-BB147/BA147,"")</f>
        <v/>
      </c>
      <c r="BD147" s="99" t="n">
        <v>52063</v>
      </c>
      <c r="BE147" s="99" t="n">
        <v>37342</v>
      </c>
      <c r="BF147" s="100">
        <f>IF(AND(ISNUMBER(BD147),ISNUMBER(BE147),N(BE147)&gt;0),BD147/BE147,"")</f>
        <v/>
      </c>
      <c r="BG147" s="97" t="inlineStr">
        <is>
          <t>N</t>
        </is>
      </c>
      <c r="BH147" s="97" t="inlineStr">
        <is>
          <t>Coupon 20%, 30% (11-01 to 12-05); List Price $119.00</t>
        </is>
      </c>
    </row>
    <row r="148" ht="62" customHeight="1">
      <c r="A148" s="10">
        <f>_xlfn.IMAGE("https://images-na.ssl-images-amazon.com/images/I/81fSDKgL-SL.jpg")</f>
        <v/>
      </c>
      <c r="B148" s="84" t="inlineStr">
        <is>
          <t>ACCURATEX</t>
        </is>
      </c>
      <c r="C148" s="32" t="inlineStr">
        <is>
          <t>ACCURATEX Cooling Sheets for Hot Sleepers, King Size, Grey</t>
        </is>
      </c>
      <c r="D148" s="84" t="inlineStr">
        <is>
          <t>Poor</t>
        </is>
      </c>
      <c r="E148" s="84" t="inlineStr">
        <is>
          <t>B0GMGSMLQ1</t>
        </is>
      </c>
      <c r="F148" s="84" t="inlineStr">
        <is>
          <t>B09PYB9C45</t>
        </is>
      </c>
      <c r="G148" s="84" t="inlineStr">
        <is>
          <t>King</t>
        </is>
      </c>
      <c r="H148" s="84" t="inlineStr">
        <is>
          <t>Grey</t>
        </is>
      </c>
      <c r="I148" s="85" t="n">
        <v>51</v>
      </c>
      <c r="J148" s="32" t="inlineStr"/>
      <c r="K148" s="86" t="n">
        <v>69.98999999999999</v>
      </c>
      <c r="L148" s="86" t="n"/>
      <c r="M148" s="87">
        <f>IF(AND(ISNUMBER(L148),ISNUMBER(K148),N(K148)&gt;0),L148/K148-1,"")</f>
        <v/>
      </c>
      <c r="N148" s="88">
        <f>IF(M148="","No List Price",IF(M148&lt;=0,"At/below price",IF(M148&lt;=0.12,"&lt;=12% STR zone",IF(M148&lt;=0.25,"12-25%","&gt;25% over"))))</f>
        <v/>
      </c>
      <c r="O148" s="86" t="n">
        <v>94.98999999999999</v>
      </c>
      <c r="P148" s="89">
        <f>IF(AND(ISNUMBER(K148),ISNUMBER(O148),N(O148)&gt;0),K148/O148-1,"")</f>
        <v/>
      </c>
      <c r="Q148" s="32" t="inlineStr">
        <is>
          <t>Same size (King). Ours live: Helium 10 Xray, 2026-10-13; 16 children</t>
        </is>
      </c>
      <c r="R148" s="85" t="n">
        <v>33423</v>
      </c>
      <c r="S148" s="85" t="n">
        <v>35</v>
      </c>
      <c r="T148" s="90">
        <f>IF(AND(ISNUMBER(K148),ISNUMBER(S148)),K148*S148*52/12,"")</f>
        <v/>
      </c>
      <c r="U148" s="91" t="n">
        <v>4.4</v>
      </c>
      <c r="V148" s="85" t="n">
        <v>1040</v>
      </c>
      <c r="W148" s="92" t="n">
        <v>46307</v>
      </c>
      <c r="X148" s="92" t="n">
        <v>44681</v>
      </c>
      <c r="Y148" s="84" t="inlineStr">
        <is>
          <t>FBA</t>
        </is>
      </c>
      <c r="Z148" s="84" t="inlineStr">
        <is>
          <t>CN</t>
        </is>
      </c>
      <c r="AA148" s="85" t="n"/>
      <c r="AB148" s="85" t="n"/>
      <c r="AC148" s="93" t="n"/>
      <c r="AD148" s="93" t="n"/>
      <c r="AE148" s="32" t="n"/>
      <c r="AF148" s="93" t="n"/>
      <c r="AG148" s="93" t="n"/>
      <c r="AH148" s="93" t="n"/>
      <c r="AI148" s="93" t="n"/>
      <c r="AJ148" s="85" t="n"/>
      <c r="AK148" s="85" t="n"/>
      <c r="AL148" s="85" t="n"/>
      <c r="AM148" s="85" t="n"/>
      <c r="AN148" s="85" t="n"/>
      <c r="AO148" s="85" t="n"/>
      <c r="AP148" s="94" t="n"/>
      <c r="AQ148" s="89" t="n"/>
      <c r="AR148" s="95" t="inlineStr">
        <is>
          <t>N</t>
        </is>
      </c>
      <c r="AS148" s="95" t="inlineStr">
        <is>
          <t>none</t>
        </is>
      </c>
      <c r="AT148" s="101" t="n"/>
      <c r="AU148" s="96" t="n">
        <v>69.98999999999999</v>
      </c>
      <c r="AV148" s="95" t="inlineStr">
        <is>
          <t>none</t>
        </is>
      </c>
      <c r="AW148" s="95" t="inlineStr">
        <is>
          <t>Y</t>
        </is>
      </c>
      <c r="AX148" s="95" t="inlineStr">
        <is>
          <t>2026-10-13 23:35:28</t>
        </is>
      </c>
      <c r="AY148" s="97" t="inlineStr">
        <is>
          <t>Prime Exclusive Discount</t>
        </is>
      </c>
      <c r="AZ148" s="97" t="inlineStr">
        <is>
          <t>11-26 to 12-01</t>
        </is>
      </c>
      <c r="BA148" s="98" t="n">
        <v>59.49</v>
      </c>
      <c r="BB148" s="98" t="n">
        <v>59.49</v>
      </c>
      <c r="BC148" s="87">
        <f>IF(AND(ISNUMBER(BA148),ISNUMBER(BB148),N(BA148)&gt;0),1-BB148/BA148,"")</f>
        <v/>
      </c>
      <c r="BD148" s="99" t="n">
        <v>33899</v>
      </c>
      <c r="BE148" s="99" t="n">
        <v>51988</v>
      </c>
      <c r="BF148" s="100">
        <f>IF(AND(ISNUMBER(BD148),ISNUMBER(BE148),N(BE148)&gt;0),BD148/BE148,"")</f>
        <v/>
      </c>
      <c r="BG148" s="97" t="inlineStr">
        <is>
          <t>N</t>
        </is>
      </c>
      <c r="BH148" s="97" t="inlineStr">
        <is>
          <t>Lightning Deal 11-13 to 11-13; Buy Box RAISED in BFCM week (median $74.99 vs $69.99 before); List Price $74.99</t>
        </is>
      </c>
    </row>
    <row r="149" ht="62" customHeight="1">
      <c r="A149" s="10">
        <f>_xlfn.IMAGE("https://images-na.ssl-images-amazon.com/images/I/61NbNWE+BJL.jpg")</f>
        <v/>
      </c>
      <c r="B149" s="84" t="inlineStr">
        <is>
          <t>Cozy Earth</t>
        </is>
      </c>
      <c r="C149" s="32" t="inlineStr">
        <is>
          <t>Cozy Earth Luxury Bed Sheet Set, 100% Viscose from Bamboo Fabric</t>
        </is>
      </c>
      <c r="D149" s="84" t="inlineStr">
        <is>
          <t>Poor</t>
        </is>
      </c>
      <c r="E149" s="84" t="inlineStr">
        <is>
          <t>B0DSQ9V4ML</t>
        </is>
      </c>
      <c r="F149" s="84" t="inlineStr">
        <is>
          <t>B0F22JR4S8</t>
        </is>
      </c>
      <c r="G149" s="84" t="n"/>
      <c r="H149" s="84" t="n"/>
      <c r="I149" s="85" t="n">
        <v>54</v>
      </c>
      <c r="J149" s="32" t="inlineStr"/>
      <c r="K149" s="86" t="n">
        <v>328</v>
      </c>
      <c r="L149" s="86" t="n"/>
      <c r="M149" s="87">
        <f>IF(AND(ISNUMBER(L149),ISNUMBER(K149),N(K149)&gt;0),L149/K149-1,"")</f>
        <v/>
      </c>
      <c r="N149" s="88">
        <f>IF(M149="","No List Price",IF(M149&lt;=0,"At/below price",IF(M149&lt;=0.12,"&lt;=12% STR zone",IF(M149&lt;=0.25,"12-25%","&gt;25% over"))))</f>
        <v/>
      </c>
      <c r="O149" s="86" t="n">
        <v>89.98999999999999</v>
      </c>
      <c r="P149" s="89">
        <f>IF(AND(ISNUMBER(K149),ISNUMBER(O149),N(O149)&gt;0),K149/O149-1,"")</f>
        <v/>
      </c>
      <c r="Q149" s="32" t="inlineStr">
        <is>
          <t>Size not stated - vs our Queen. Ours live: Helium 10 Xray, 2026-10-13; 16 children</t>
        </is>
      </c>
      <c r="R149" s="85" t="n">
        <v>45709</v>
      </c>
      <c r="S149" s="85" t="n">
        <v>35</v>
      </c>
      <c r="T149" s="90">
        <f>IF(AND(ISNUMBER(K149),ISNUMBER(S149)),K149*S149*52/12,"")</f>
        <v/>
      </c>
      <c r="U149" s="91" t="n">
        <v>3.9</v>
      </c>
      <c r="V149" s="85" t="n">
        <v>425</v>
      </c>
      <c r="W149" s="92" t="n">
        <v>46307</v>
      </c>
      <c r="X149" s="92" t="n">
        <v>41624</v>
      </c>
      <c r="Y149" s="84" t="inlineStr">
        <is>
          <t>FBA</t>
        </is>
      </c>
      <c r="Z149" s="84" t="inlineStr">
        <is>
          <t>US</t>
        </is>
      </c>
      <c r="AA149" s="85" t="n"/>
      <c r="AB149" s="85" t="n"/>
      <c r="AC149" s="93" t="n"/>
      <c r="AD149" s="93" t="n"/>
      <c r="AE149" s="32" t="n"/>
      <c r="AF149" s="93" t="n"/>
      <c r="AG149" s="93" t="n"/>
      <c r="AH149" s="93" t="n"/>
      <c r="AI149" s="93" t="n"/>
      <c r="AJ149" s="85" t="n"/>
      <c r="AK149" s="85" t="n"/>
      <c r="AL149" s="85" t="n"/>
      <c r="AM149" s="85" t="n"/>
      <c r="AN149" s="85" t="n"/>
      <c r="AO149" s="85" t="n"/>
      <c r="AP149" s="94" t="n"/>
      <c r="AQ149" s="89" t="n"/>
      <c r="AR149" s="95" t="inlineStr">
        <is>
          <t>N</t>
        </is>
      </c>
      <c r="AS149" s="95" t="inlineStr">
        <is>
          <t>none</t>
        </is>
      </c>
      <c r="AT149" s="101" t="n"/>
      <c r="AU149" s="96" t="n">
        <v>328</v>
      </c>
      <c r="AV149" s="95" t="inlineStr">
        <is>
          <t>none</t>
        </is>
      </c>
      <c r="AW149" s="95" t="inlineStr">
        <is>
          <t>Y</t>
        </is>
      </c>
      <c r="AX149" s="95" t="inlineStr">
        <is>
          <t>2026-10-13 23:36:06</t>
        </is>
      </c>
      <c r="AY149" s="97" t="inlineStr">
        <is>
          <t>Prime Exclusive Discount</t>
        </is>
      </c>
      <c r="AZ149" s="97" t="inlineStr">
        <is>
          <t>11-27 to 12-01</t>
        </is>
      </c>
      <c r="BA149" s="98" t="n">
        <v>262.4</v>
      </c>
      <c r="BB149" s="98" t="n">
        <v>229.6</v>
      </c>
      <c r="BC149" s="87">
        <f>IF(AND(ISNUMBER(BA149),ISNUMBER(BB149),N(BA149)&gt;0),1-BB149/BA149,"")</f>
        <v/>
      </c>
      <c r="BD149" s="99" t="n">
        <v>51830</v>
      </c>
      <c r="BE149" s="99" t="n">
        <v>28404</v>
      </c>
      <c r="BF149" s="100">
        <f>IF(AND(ISNUMBER(BD149),ISNUMBER(BE149),N(BE149)&gt;0),BD149/BE149,"")</f>
        <v/>
      </c>
      <c r="BG149" s="97" t="inlineStr">
        <is>
          <t>N</t>
        </is>
      </c>
      <c r="BH149" s="97" t="inlineStr">
        <is>
          <t>List Price $328.00</t>
        </is>
      </c>
    </row>
    <row r="150" ht="62" customHeight="1">
      <c r="A150" s="10">
        <f>_xlfn.IMAGE("https://images-na.ssl-images-amazon.com/images/I/61iqSV9TaLL.jpg")</f>
        <v/>
      </c>
      <c r="B150" s="84" t="inlineStr">
        <is>
          <t>DREAMCARE</t>
        </is>
      </c>
      <c r="C150" s="32" t="inlineStr">
        <is>
          <t>DREAMCARE 100% Rayon Bamboo Sheets King Size - 4pc Cooling Sheets King Size</t>
        </is>
      </c>
      <c r="D150" s="84" t="inlineStr">
        <is>
          <t>Poor</t>
        </is>
      </c>
      <c r="E150" s="84" t="inlineStr">
        <is>
          <t>B0DVZFLVMG</t>
        </is>
      </c>
      <c r="F150" s="84" t="inlineStr">
        <is>
          <t>B0CF2MND41</t>
        </is>
      </c>
      <c r="G150" s="84" t="inlineStr">
        <is>
          <t>King</t>
        </is>
      </c>
      <c r="H150" s="84" t="n"/>
      <c r="I150" s="85" t="n">
        <v>30</v>
      </c>
      <c r="J150" s="32" t="inlineStr"/>
      <c r="K150" s="86" t="n">
        <v>46.74</v>
      </c>
      <c r="L150" s="86" t="n">
        <v>59.99</v>
      </c>
      <c r="M150" s="87">
        <f>IF(AND(ISNUMBER(L150),ISNUMBER(K150),N(K150)&gt;0),L150/K150-1,"")</f>
        <v/>
      </c>
      <c r="N150" s="88">
        <f>IF(M150="","No List Price",IF(M150&lt;=0,"At/below price",IF(M150&lt;=0.12,"&lt;=12% STR zone",IF(M150&lt;=0.25,"12-25%","&gt;25% over"))))</f>
        <v/>
      </c>
      <c r="O150" s="86" t="n">
        <v>94.98999999999999</v>
      </c>
      <c r="P150" s="89">
        <f>IF(AND(ISNUMBER(K150),ISNUMBER(O150),N(O150)&gt;0),K150/O150-1,"")</f>
        <v/>
      </c>
      <c r="Q150" s="32" t="inlineStr">
        <is>
          <t>Same size (King). Ours live: Helium 10 Xray, 2026-10-13; 16 children</t>
        </is>
      </c>
      <c r="R150" s="85" t="n">
        <v>37217</v>
      </c>
      <c r="S150" s="85" t="n">
        <v>35</v>
      </c>
      <c r="T150" s="90">
        <f>IF(AND(ISNUMBER(K150),ISNUMBER(S150)),K150*S150*52/12,"")</f>
        <v/>
      </c>
      <c r="U150" s="91" t="n">
        <v>4.5</v>
      </c>
      <c r="V150" s="85" t="n">
        <v>2261</v>
      </c>
      <c r="W150" s="92" t="n">
        <v>46307</v>
      </c>
      <c r="X150" s="92" t="n">
        <v>45146</v>
      </c>
      <c r="Y150" s="84" t="inlineStr">
        <is>
          <t>FBA</t>
        </is>
      </c>
      <c r="Z150" s="84" t="inlineStr">
        <is>
          <t>US</t>
        </is>
      </c>
      <c r="AA150" s="85" t="n"/>
      <c r="AB150" s="85" t="n"/>
      <c r="AC150" s="93" t="n"/>
      <c r="AD150" s="93" t="n"/>
      <c r="AE150" s="32" t="n"/>
      <c r="AF150" s="93" t="n"/>
      <c r="AG150" s="93" t="n"/>
      <c r="AH150" s="93" t="n"/>
      <c r="AI150" s="93" t="n"/>
      <c r="AJ150" s="85" t="n"/>
      <c r="AK150" s="85" t="n"/>
      <c r="AL150" s="85" t="n"/>
      <c r="AM150" s="85" t="n"/>
      <c r="AN150" s="85" t="n"/>
      <c r="AO150" s="85" t="n"/>
      <c r="AP150" s="94" t="n"/>
      <c r="AQ150" s="89" t="n"/>
      <c r="AR150" s="95" t="inlineStr">
        <is>
          <t>Y</t>
        </is>
      </c>
      <c r="AS150" s="95" t="inlineStr">
        <is>
          <t>List Price</t>
        </is>
      </c>
      <c r="AT150" s="96" t="n">
        <v>59.99</v>
      </c>
      <c r="AU150" s="96" t="n">
        <v>46.74</v>
      </c>
      <c r="AV150" s="95" t="inlineStr">
        <is>
          <t>Limited time deal</t>
        </is>
      </c>
      <c r="AW150" s="95" t="inlineStr">
        <is>
          <t>Y</t>
        </is>
      </c>
      <c r="AX150" s="95" t="inlineStr">
        <is>
          <t>2026-10-13 23:36:12</t>
        </is>
      </c>
      <c r="AY150" s="97" t="inlineStr">
        <is>
          <t>Prime Exclusive Discount</t>
        </is>
      </c>
      <c r="AZ150" s="97" t="inlineStr">
        <is>
          <t>11-22 to 12-01</t>
        </is>
      </c>
      <c r="BA150" s="98" t="n">
        <v>58.99</v>
      </c>
      <c r="BB150" s="98" t="n">
        <v>49.99</v>
      </c>
      <c r="BC150" s="87">
        <f>IF(AND(ISNUMBER(BA150),ISNUMBER(BB150),N(BA150)&gt;0),1-BB150/BA150,"")</f>
        <v/>
      </c>
      <c r="BD150" s="99" t="n">
        <v>209915</v>
      </c>
      <c r="BE150" s="99" t="n">
        <v>169120</v>
      </c>
      <c r="BF150" s="100">
        <f>IF(AND(ISNUMBER(BD150),ISNUMBER(BE150),N(BE150)&gt;0),BD150/BE150,"")</f>
        <v/>
      </c>
      <c r="BG150" s="97" t="inlineStr">
        <is>
          <t>N</t>
        </is>
      </c>
      <c r="BH150" s="97" t="inlineStr">
        <is>
          <t>Buy Box RAISED in BFCM week (median $62.88 vs $58.99 before); List Price $58.99</t>
        </is>
      </c>
    </row>
    <row r="151" ht="62" customHeight="1">
      <c r="A151" s="10">
        <f>_xlfn.IMAGE("https://images-na.ssl-images-amazon.com/images/I/81noqNc+ZjL.jpg")</f>
        <v/>
      </c>
      <c r="B151" s="84" t="inlineStr">
        <is>
          <t>HOT SLEEPER SHEETS</t>
        </is>
      </c>
      <c r="C151" s="32" t="inlineStr">
        <is>
          <t>Cooling Sheets Set Queen Size, Viscose Derived from Bamboo for Hot Sleepers | Deep Pocket Up to 16 Inch | Silky Soft &amp; Breathable Bedding - 4PC (Queen, Navy)</t>
        </is>
      </c>
      <c r="D151" s="84" t="inlineStr">
        <is>
          <t>Poor</t>
        </is>
      </c>
      <c r="E151" s="84" t="inlineStr">
        <is>
          <t>B0DM3GDCTR</t>
        </is>
      </c>
      <c r="F151" s="84" t="inlineStr">
        <is>
          <t>B0D3XQM7DL</t>
        </is>
      </c>
      <c r="G151" s="84" t="inlineStr">
        <is>
          <t>Queen</t>
        </is>
      </c>
      <c r="H151" s="84" t="inlineStr">
        <is>
          <t>Navy</t>
        </is>
      </c>
      <c r="I151" s="85" t="n">
        <v>74</v>
      </c>
      <c r="J151" s="32" t="inlineStr"/>
      <c r="K151" s="86" t="n">
        <v>51.29</v>
      </c>
      <c r="L151" s="86" t="n">
        <v>62.99</v>
      </c>
      <c r="M151" s="87">
        <f>IF(AND(ISNUMBER(L151),ISNUMBER(K151),N(K151)&gt;0),L151/K151-1,"")</f>
        <v/>
      </c>
      <c r="N151" s="88">
        <f>IF(M151="","No List Price",IF(M151&lt;=0,"At/below price",IF(M151&lt;=0.12,"&lt;=12% STR zone",IF(M151&lt;=0.25,"12-25%","&gt;25% over"))))</f>
        <v/>
      </c>
      <c r="O151" s="86" t="n">
        <v>89.98999999999999</v>
      </c>
      <c r="P151" s="89">
        <f>IF(AND(ISNUMBER(K151),ISNUMBER(O151),N(O151)&gt;0),K151/O151-1,"")</f>
        <v/>
      </c>
      <c r="Q151" s="32" t="inlineStr">
        <is>
          <t>Same size (Queen). Ours live: Helium 10 Xray, 2026-10-13; 16 children</t>
        </is>
      </c>
      <c r="R151" s="85" t="n">
        <v>33959</v>
      </c>
      <c r="S151" s="85" t="n">
        <v>35</v>
      </c>
      <c r="T151" s="90">
        <f>IF(AND(ISNUMBER(K151),ISNUMBER(S151)),K151*S151*52/12,"")</f>
        <v/>
      </c>
      <c r="U151" s="91" t="n">
        <v>4.4</v>
      </c>
      <c r="V151" s="85" t="n">
        <v>674</v>
      </c>
      <c r="W151" s="92" t="n">
        <v>46307</v>
      </c>
      <c r="X151" s="92" t="n">
        <v>45423</v>
      </c>
      <c r="Y151" s="84" t="inlineStr">
        <is>
          <t>FBA</t>
        </is>
      </c>
      <c r="Z151" s="84" t="inlineStr">
        <is>
          <t>CN</t>
        </is>
      </c>
      <c r="AA151" s="85" t="n"/>
      <c r="AB151" s="85" t="n"/>
      <c r="AC151" s="93" t="n"/>
      <c r="AD151" s="93" t="n"/>
      <c r="AE151" s="32" t="n"/>
      <c r="AF151" s="93" t="n"/>
      <c r="AG151" s="93" t="n"/>
      <c r="AH151" s="93" t="n"/>
      <c r="AI151" s="93" t="n"/>
      <c r="AJ151" s="85" t="n"/>
      <c r="AK151" s="85" t="n"/>
      <c r="AL151" s="85" t="n"/>
      <c r="AM151" s="85" t="n"/>
      <c r="AN151" s="85" t="n"/>
      <c r="AO151" s="85" t="n"/>
      <c r="AP151" s="94" t="n"/>
      <c r="AQ151" s="89" t="n"/>
      <c r="AR151" s="95" t="inlineStr">
        <is>
          <t>Y</t>
        </is>
      </c>
      <c r="AS151" s="95" t="inlineStr">
        <is>
          <t>Typical price</t>
        </is>
      </c>
      <c r="AT151" s="96" t="n">
        <v>62.99</v>
      </c>
      <c r="AU151" s="96" t="n">
        <v>51.29</v>
      </c>
      <c r="AV151" s="95" t="inlineStr">
        <is>
          <t>Limited time deal</t>
        </is>
      </c>
      <c r="AW151" s="95" t="inlineStr">
        <is>
          <t>Y</t>
        </is>
      </c>
      <c r="AX151" s="95" t="inlineStr">
        <is>
          <t>2026-10-13 23:36:21</t>
        </is>
      </c>
      <c r="AY151" s="97" t="inlineStr">
        <is>
          <t>Price cut only</t>
        </is>
      </c>
      <c r="AZ151" s="97" t="inlineStr">
        <is>
          <t>11-20 to 12-01</t>
        </is>
      </c>
      <c r="BA151" s="98" t="n">
        <v>62.99</v>
      </c>
      <c r="BB151" s="98" t="n">
        <v>45.89</v>
      </c>
      <c r="BC151" s="87">
        <f>IF(AND(ISNUMBER(BA151),ISNUMBER(BB151),N(BA151)&gt;0),1-BB151/BA151,"")</f>
        <v/>
      </c>
      <c r="BD151" s="99" t="n">
        <v>44317</v>
      </c>
      <c r="BE151" s="99" t="n">
        <v>18465</v>
      </c>
      <c r="BF151" s="100">
        <f>IF(AND(ISNUMBER(BD151),ISNUMBER(BE151),N(BE151)&gt;0),BD151/BE151,"")</f>
        <v/>
      </c>
      <c r="BG151" s="97" t="inlineStr">
        <is>
          <t>N</t>
        </is>
      </c>
      <c r="BH151" s="97" t="inlineStr">
        <is>
          <t>List Price $107.98</t>
        </is>
      </c>
    </row>
    <row r="152" ht="62" customHeight="1">
      <c r="A152" s="10">
        <f>_xlfn.IMAGE("https://images-na.ssl-images-amazon.com/images/I/71+O+E9PlaL.jpg")</f>
        <v/>
      </c>
      <c r="B152" s="84" t="inlineStr">
        <is>
          <t>Shilucheng</t>
        </is>
      </c>
      <c r="C152" s="32" t="inlineStr">
        <is>
          <t>Shilucheng 100% Viscose Derived from Bamboo_ Sheets Queen Size 4pcs</t>
        </is>
      </c>
      <c r="D152" s="84" t="inlineStr">
        <is>
          <t>Poor</t>
        </is>
      </c>
      <c r="E152" s="84" t="inlineStr">
        <is>
          <t>B09PYKYCCF</t>
        </is>
      </c>
      <c r="F152" s="84" t="inlineStr">
        <is>
          <t>B09PYKYCCF</t>
        </is>
      </c>
      <c r="G152" s="84" t="inlineStr">
        <is>
          <t>Queen</t>
        </is>
      </c>
      <c r="H152" s="84" t="n"/>
      <c r="I152" s="85" t="n">
        <v>79</v>
      </c>
      <c r="J152" s="32" t="inlineStr"/>
      <c r="K152" s="86" t="n">
        <v>46.66</v>
      </c>
      <c r="L152" s="86" t="n">
        <v>54.9</v>
      </c>
      <c r="M152" s="87">
        <f>IF(AND(ISNUMBER(L152),ISNUMBER(K152),N(K152)&gt;0),L152/K152-1,"")</f>
        <v/>
      </c>
      <c r="N152" s="88">
        <f>IF(M152="","No List Price",IF(M152&lt;=0,"At/below price",IF(M152&lt;=0.12,"&lt;=12% STR zone",IF(M152&lt;=0.25,"12-25%","&gt;25% over"))))</f>
        <v/>
      </c>
      <c r="O152" s="86" t="n">
        <v>89.98999999999999</v>
      </c>
      <c r="P152" s="89">
        <f>IF(AND(ISNUMBER(K152),ISNUMBER(O152),N(O152)&gt;0),K152/O152-1,"")</f>
        <v/>
      </c>
      <c r="Q152" s="32" t="inlineStr">
        <is>
          <t>Same size (Queen). Ours live: Helium 10 Xray, 2026-10-13; 16 children</t>
        </is>
      </c>
      <c r="R152" s="85" t="n">
        <v>26043</v>
      </c>
      <c r="S152" s="85" t="n">
        <v>35</v>
      </c>
      <c r="T152" s="90">
        <f>IF(AND(ISNUMBER(K152),ISNUMBER(S152)),K152*S152*52/12,"")</f>
        <v/>
      </c>
      <c r="U152" s="91" t="n">
        <v>4.4</v>
      </c>
      <c r="V152" s="85" t="n">
        <v>6629</v>
      </c>
      <c r="W152" s="92" t="n">
        <v>46307</v>
      </c>
      <c r="X152" s="92" t="n">
        <v>44652</v>
      </c>
      <c r="Y152" s="84" t="inlineStr">
        <is>
          <t>FBA</t>
        </is>
      </c>
      <c r="Z152" s="84" t="inlineStr">
        <is>
          <t>CN</t>
        </is>
      </c>
      <c r="AA152" s="85" t="n"/>
      <c r="AB152" s="85" t="n"/>
      <c r="AC152" s="93" t="n"/>
      <c r="AD152" s="93" t="n"/>
      <c r="AE152" s="32" t="n"/>
      <c r="AF152" s="93" t="n"/>
      <c r="AG152" s="93" t="n"/>
      <c r="AH152" s="93" t="n"/>
      <c r="AI152" s="93" t="n"/>
      <c r="AJ152" s="85" t="n"/>
      <c r="AK152" s="85" t="n"/>
      <c r="AL152" s="85" t="n"/>
      <c r="AM152" s="85" t="n"/>
      <c r="AN152" s="85" t="n"/>
      <c r="AO152" s="85" t="n"/>
      <c r="AP152" s="94" t="n"/>
      <c r="AQ152" s="89" t="n">
        <v>-0.9774436090225564</v>
      </c>
      <c r="AR152" s="95" t="inlineStr">
        <is>
          <t>Y</t>
        </is>
      </c>
      <c r="AS152" s="95" t="inlineStr">
        <is>
          <t>List Price</t>
        </is>
      </c>
      <c r="AT152" s="96" t="n">
        <v>54.9</v>
      </c>
      <c r="AU152" s="96" t="n">
        <v>46.66</v>
      </c>
      <c r="AV152" s="95" t="inlineStr">
        <is>
          <t>Limited time deal</t>
        </is>
      </c>
      <c r="AW152" s="95" t="inlineStr">
        <is>
          <t>Y</t>
        </is>
      </c>
      <c r="AX152" s="95" t="inlineStr">
        <is>
          <t>2026-10-13 23:36:49</t>
        </is>
      </c>
      <c r="AY152" s="97" t="inlineStr">
        <is>
          <t>Prime Exclusive Discount</t>
        </is>
      </c>
      <c r="AZ152" s="97" t="inlineStr">
        <is>
          <t>11-23 to 12-01</t>
        </is>
      </c>
      <c r="BA152" s="98" t="n">
        <v>54.9</v>
      </c>
      <c r="BB152" s="98" t="n">
        <v>46.64</v>
      </c>
      <c r="BC152" s="87">
        <f>IF(AND(ISNUMBER(BA152),ISNUMBER(BB152),N(BA152)&gt;0),1-BB152/BA152,"")</f>
        <v/>
      </c>
      <c r="BD152" s="99" t="n">
        <v>15970</v>
      </c>
      <c r="BE152" s="99" t="n">
        <v>18592</v>
      </c>
      <c r="BF152" s="100">
        <f>IF(AND(ISNUMBER(BD152),ISNUMBER(BE152),N(BE152)&gt;0),BD152/BE152,"")</f>
        <v/>
      </c>
      <c r="BG152" s="97" t="inlineStr">
        <is>
          <t>N</t>
        </is>
      </c>
      <c r="BH152" s="97" t="inlineStr">
        <is>
          <t>Buy Box RAISED in BFCM week (median $58.30 vs $54.90 before); List Price $59.90</t>
        </is>
      </c>
    </row>
    <row r="153" ht="62" customHeight="1">
      <c r="A153" s="39" t="inlineStr">
        <is>
          <t>IMAGE MISSING</t>
        </is>
      </c>
      <c r="B153" s="84" t="inlineStr">
        <is>
          <t>Bamtek</t>
        </is>
      </c>
      <c r="C153" s="32" t="inlineStr">
        <is>
          <t>Viscose Bamboo Sheets Queen Size 4PC Set - Cooling Bedding for Hot Sleepers with</t>
        </is>
      </c>
      <c r="D153" s="84" t="inlineStr">
        <is>
          <t>Poor</t>
        </is>
      </c>
      <c r="E153" s="84" t="inlineStr">
        <is>
          <t>B0CZHCZQZ3</t>
        </is>
      </c>
      <c r="F153" s="84" t="inlineStr">
        <is>
          <t>B09TQ6ZVKZ</t>
        </is>
      </c>
      <c r="G153" s="84" t="inlineStr">
        <is>
          <t>Queen</t>
        </is>
      </c>
      <c r="H153" s="84" t="n"/>
      <c r="I153" s="85" t="n"/>
      <c r="J153" s="32" t="inlineStr"/>
      <c r="K153" s="86" t="n">
        <v>94.98999999999999</v>
      </c>
      <c r="L153" s="86" t="n"/>
      <c r="M153" s="87">
        <f>IF(AND(ISNUMBER(L153),ISNUMBER(K153),N(K153)&gt;0),L153/K153-1,"")</f>
        <v/>
      </c>
      <c r="N153" s="88">
        <f>IF(M153="","No List Price",IF(M153&lt;=0,"At/below price",IF(M153&lt;=0.12,"&lt;=12% STR zone",IF(M153&lt;=0.25,"12-25%","&gt;25% over"))))</f>
        <v/>
      </c>
      <c r="O153" s="86" t="n">
        <v>89.98999999999999</v>
      </c>
      <c r="P153" s="89">
        <f>IF(AND(ISNUMBER(K153),ISNUMBER(O153),N(O153)&gt;0),K153/O153-1,"")</f>
        <v/>
      </c>
      <c r="Q153" s="32" t="inlineStr">
        <is>
          <t>Same size (Queen). Ours live: Helium 10 Xray, 2026-10-13; 16 children</t>
        </is>
      </c>
      <c r="R153" s="85" t="n">
        <v>79376</v>
      </c>
      <c r="S153" s="85" t="n">
        <v>18</v>
      </c>
      <c r="T153" s="90">
        <f>IF(AND(ISNUMBER(K153),ISNUMBER(S153)),K153*S153*52/12,"")</f>
        <v/>
      </c>
      <c r="U153" s="91" t="n">
        <v>4.4</v>
      </c>
      <c r="V153" s="85" t="n">
        <v>641</v>
      </c>
      <c r="W153" s="92" t="n">
        <v>46307</v>
      </c>
      <c r="X153" s="92" t="n"/>
      <c r="Y153" s="84" t="n"/>
      <c r="Z153" s="84" t="n"/>
      <c r="AA153" s="85" t="n"/>
      <c r="AB153" s="85" t="n"/>
      <c r="AC153" s="93" t="n"/>
      <c r="AD153" s="93" t="n"/>
      <c r="AE153" s="32" t="n"/>
      <c r="AF153" s="93" t="n"/>
      <c r="AG153" s="93" t="n"/>
      <c r="AH153" s="93" t="n"/>
      <c r="AI153" s="93" t="n"/>
      <c r="AJ153" s="85" t="n"/>
      <c r="AK153" s="85" t="n"/>
      <c r="AL153" s="85" t="n"/>
      <c r="AM153" s="85" t="n"/>
      <c r="AN153" s="85" t="n"/>
      <c r="AO153" s="85" t="n"/>
      <c r="AP153" s="94" t="n"/>
      <c r="AQ153" s="89" t="n"/>
      <c r="AR153" s="95" t="inlineStr">
        <is>
          <t>N</t>
        </is>
      </c>
      <c r="AS153" s="95" t="inlineStr">
        <is>
          <t>none</t>
        </is>
      </c>
      <c r="AT153" s="101" t="n"/>
      <c r="AU153" s="96" t="n">
        <v>94.98999999999999</v>
      </c>
      <c r="AV153" s="95" t="inlineStr">
        <is>
          <t>none</t>
        </is>
      </c>
      <c r="AW153" s="95" t="inlineStr">
        <is>
          <t>Y</t>
        </is>
      </c>
      <c r="AX153" s="95" t="inlineStr">
        <is>
          <t>2026-10-13 23:35:47</t>
        </is>
      </c>
      <c r="AY153" s="97" t="inlineStr">
        <is>
          <t>Prime Exclusive Discount</t>
        </is>
      </c>
      <c r="AZ153" s="97" t="inlineStr">
        <is>
          <t>11-24 to 12-01</t>
        </is>
      </c>
      <c r="BA153" s="98" t="n">
        <v>104.99</v>
      </c>
      <c r="BB153" s="98" t="n">
        <v>83.98999999999999</v>
      </c>
      <c r="BC153" s="87">
        <f>IF(AND(ISNUMBER(BA153),ISNUMBER(BB153),N(BA153)&gt;0),1-BB153/BA153,"")</f>
        <v/>
      </c>
      <c r="BD153" s="99" t="n">
        <v>99218</v>
      </c>
      <c r="BE153" s="99" t="n">
        <v>70530</v>
      </c>
      <c r="BF153" s="100">
        <f>IF(AND(ISNUMBER(BD153),ISNUMBER(BE153),N(BE153)&gt;0),BD153/BE153,"")</f>
        <v/>
      </c>
      <c r="BG153" s="97" t="inlineStr">
        <is>
          <t>N</t>
        </is>
      </c>
      <c r="BH153" s="97" t="inlineStr">
        <is>
          <t>Coupon 40.00 USD (11-01 to 11-10); List Price $129.99</t>
        </is>
      </c>
    </row>
    <row r="154" ht="62" customHeight="1">
      <c r="A154" s="10">
        <f>_xlfn.IMAGE("https://images-na.ssl-images-amazon.com/images/I/61imzycbiwL.jpg")</f>
        <v/>
      </c>
      <c r="B154" s="84" t="inlineStr">
        <is>
          <t>JSD</t>
        </is>
      </c>
      <c r="C154" s="32" t="inlineStr">
        <is>
          <t>JSD Sage Green 100% Viscose Derived from Bamboo Cooling Sheet Set Queen</t>
        </is>
      </c>
      <c r="D154" s="84" t="inlineStr">
        <is>
          <t>Poor</t>
        </is>
      </c>
      <c r="E154" s="84" t="inlineStr">
        <is>
          <t>B0DTY15N29</t>
        </is>
      </c>
      <c r="F154" s="84" t="inlineStr">
        <is>
          <t>B0DSZTLBV1</t>
        </is>
      </c>
      <c r="G154" s="84" t="inlineStr">
        <is>
          <t>Queen</t>
        </is>
      </c>
      <c r="H154" s="84" t="inlineStr">
        <is>
          <t>Green</t>
        </is>
      </c>
      <c r="I154" s="85" t="n">
        <v>32</v>
      </c>
      <c r="J154" s="32" t="inlineStr"/>
      <c r="K154" s="86" t="n">
        <v>56.99</v>
      </c>
      <c r="L154" s="86" t="n"/>
      <c r="M154" s="87">
        <f>IF(AND(ISNUMBER(L154),ISNUMBER(K154),N(K154)&gt;0),L154/K154-1,"")</f>
        <v/>
      </c>
      <c r="N154" s="88">
        <f>IF(M154="","No List Price",IF(M154&lt;=0,"At/below price",IF(M154&lt;=0.12,"&lt;=12% STR zone",IF(M154&lt;=0.25,"12-25%","&gt;25% over"))))</f>
        <v/>
      </c>
      <c r="O154" s="86" t="n">
        <v>89.98999999999999</v>
      </c>
      <c r="P154" s="89">
        <f>IF(AND(ISNUMBER(K154),ISNUMBER(O154),N(O154)&gt;0),K154/O154-1,"")</f>
        <v/>
      </c>
      <c r="Q154" s="32" t="inlineStr">
        <is>
          <t>Same size (Queen). Ours live: Helium 10 Xray, 2026-10-13; 16 children</t>
        </is>
      </c>
      <c r="R154" s="85" t="n">
        <v>76312</v>
      </c>
      <c r="S154" s="85" t="n">
        <v>18</v>
      </c>
      <c r="T154" s="90">
        <f>IF(AND(ISNUMBER(K154),ISNUMBER(S154)),K154*S154*52/12,"")</f>
        <v/>
      </c>
      <c r="U154" s="91" t="n">
        <v>4.3</v>
      </c>
      <c r="V154" s="85" t="n">
        <v>281</v>
      </c>
      <c r="W154" s="92" t="n">
        <v>46307</v>
      </c>
      <c r="X154" s="92" t="n">
        <v>45671</v>
      </c>
      <c r="Y154" s="84" t="inlineStr">
        <is>
          <t>FBA</t>
        </is>
      </c>
      <c r="Z154" s="84" t="inlineStr">
        <is>
          <t>CN</t>
        </is>
      </c>
      <c r="AA154" s="85" t="n"/>
      <c r="AB154" s="85" t="n"/>
      <c r="AC154" s="93" t="n"/>
      <c r="AD154" s="93" t="n"/>
      <c r="AE154" s="32" t="n"/>
      <c r="AF154" s="93" t="n"/>
      <c r="AG154" s="93" t="n"/>
      <c r="AH154" s="93" t="n"/>
      <c r="AI154" s="93" t="n"/>
      <c r="AJ154" s="85" t="n"/>
      <c r="AK154" s="85" t="n"/>
      <c r="AL154" s="85" t="n"/>
      <c r="AM154" s="85" t="n"/>
      <c r="AN154" s="85" t="n"/>
      <c r="AO154" s="85" t="n"/>
      <c r="AP154" s="94" t="n"/>
      <c r="AQ154" s="89" t="n"/>
      <c r="AR154" s="95" t="inlineStr">
        <is>
          <t>N</t>
        </is>
      </c>
      <c r="AS154" s="95" t="inlineStr">
        <is>
          <t>none</t>
        </is>
      </c>
      <c r="AT154" s="101" t="n"/>
      <c r="AU154" s="96" t="n">
        <v>56.99</v>
      </c>
      <c r="AV154" s="95" t="inlineStr">
        <is>
          <t>none</t>
        </is>
      </c>
      <c r="AW154" s="95" t="inlineStr">
        <is>
          <t>Y</t>
        </is>
      </c>
      <c r="AX154" s="95" t="inlineStr">
        <is>
          <t>2026-10-13 23:36:24</t>
        </is>
      </c>
      <c r="AY154" s="97" t="inlineStr">
        <is>
          <t>None</t>
        </is>
      </c>
      <c r="AZ154" s="102" t="n"/>
      <c r="BA154" s="98" t="n">
        <v>56.99</v>
      </c>
      <c r="BB154" s="98" t="n">
        <v>56.99</v>
      </c>
      <c r="BC154" s="87">
        <f>IF(AND(ISNUMBER(BA154),ISNUMBER(BB154),N(BA154)&gt;0),1-BB154/BA154,"")</f>
        <v/>
      </c>
      <c r="BD154" s="99" t="n">
        <v>97969</v>
      </c>
      <c r="BE154" s="99" t="n">
        <v>108941</v>
      </c>
      <c r="BF154" s="100">
        <f>IF(AND(ISNUMBER(BD154),ISNUMBER(BE154),N(BE154)&gt;0),BD154/BE154,"")</f>
        <v/>
      </c>
      <c r="BG154" s="97" t="inlineStr">
        <is>
          <t>N</t>
        </is>
      </c>
      <c r="BH154" s="97" t="inlineStr">
        <is>
          <t>Coupon 5% (11-01 to 11-17); List Price $74.99</t>
        </is>
      </c>
    </row>
    <row r="155" ht="62" customHeight="1">
      <c r="A155" s="10">
        <f>_xlfn.IMAGE("https://images-na.ssl-images-amazon.com/images/I/71zrq2AtnUL.jpg")</f>
        <v/>
      </c>
      <c r="B155" s="84" t="inlineStr">
        <is>
          <t>Kickoff Home</t>
        </is>
      </c>
      <c r="C155" s="32" t="inlineStr">
        <is>
          <t>Bamboo Sheets</t>
        </is>
      </c>
      <c r="D155" s="84" t="inlineStr">
        <is>
          <t>Poor</t>
        </is>
      </c>
      <c r="E155" s="84" t="inlineStr">
        <is>
          <t>B0D4KS4MVX</t>
        </is>
      </c>
      <c r="F155" s="84" t="inlineStr">
        <is>
          <t>B0CHN5ZPFH</t>
        </is>
      </c>
      <c r="G155" s="84" t="n"/>
      <c r="H155" s="84" t="n"/>
      <c r="I155" s="85" t="n">
        <v>106</v>
      </c>
      <c r="J155" s="32" t="inlineStr">
        <is>
          <t>B0CHN5ZPFH (27%), B0CHN6N986 (11%), B0G84K7MZQ (9%), B0G84MQQX4 (8%), B0CHN4BSZP (5%)</t>
        </is>
      </c>
      <c r="K155" s="86" t="n">
        <v>76.98999999999999</v>
      </c>
      <c r="L155" s="86" t="n">
        <v>84.98999999999999</v>
      </c>
      <c r="M155" s="87">
        <f>IF(AND(ISNUMBER(L155),ISNUMBER(K155),N(K155)&gt;0),L155/K155-1,"")</f>
        <v/>
      </c>
      <c r="N155" s="88">
        <f>IF(M155="","No List Price",IF(M155&lt;=0,"At/below price",IF(M155&lt;=0.12,"&lt;=12% STR zone",IF(M155&lt;=0.25,"12-25%","&gt;25% over"))))</f>
        <v/>
      </c>
      <c r="O155" s="86" t="n">
        <v>89.98999999999999</v>
      </c>
      <c r="P155" s="89">
        <f>IF(AND(ISNUMBER(K155),ISNUMBER(O155),N(O155)&gt;0),K155/O155-1,"")</f>
        <v/>
      </c>
      <c r="Q155" s="32" t="inlineStr">
        <is>
          <t>Size not stated - vs our Queen. Ours live: Helium 10 Xray, 2026-10-13; 16 children</t>
        </is>
      </c>
      <c r="R155" s="85" t="n">
        <v>23579</v>
      </c>
      <c r="S155" s="85" t="n">
        <v>18</v>
      </c>
      <c r="T155" s="90">
        <f>IF(AND(ISNUMBER(K155),ISNUMBER(S155)),K155*S155*52/12,"")</f>
        <v/>
      </c>
      <c r="U155" s="91" t="n">
        <v>4.6</v>
      </c>
      <c r="V155" s="85" t="n">
        <v>688</v>
      </c>
      <c r="W155" s="92" t="n">
        <v>46307</v>
      </c>
      <c r="X155" s="92" t="n"/>
      <c r="Y155" s="84" t="n"/>
      <c r="Z155" s="84" t="n"/>
      <c r="AA155" s="85" t="n">
        <v>58169</v>
      </c>
      <c r="AB155" s="85" t="n">
        <v>1164</v>
      </c>
      <c r="AC155" s="93" t="n">
        <v>0.8765498702057799</v>
      </c>
      <c r="AD155" s="93" t="n">
        <v>0.12345023981846</v>
      </c>
      <c r="AE155" s="32" t="inlineStr">
        <is>
          <t>bamboo sheets</t>
        </is>
      </c>
      <c r="AF155" s="93" t="n">
        <v>0.6749987106534409</v>
      </c>
      <c r="AG155" s="93" t="n"/>
      <c r="AH155" s="93" t="n">
        <v>0.08715982739947395</v>
      </c>
      <c r="AI155" s="93" t="n">
        <v>0.0003782083240213859</v>
      </c>
      <c r="AJ155" s="85" t="n">
        <v>644</v>
      </c>
      <c r="AK155" s="85" t="n">
        <v>330</v>
      </c>
      <c r="AL155" s="85" t="n">
        <v>218</v>
      </c>
      <c r="AM155" s="85" t="n">
        <v>520</v>
      </c>
      <c r="AN155" s="85" t="n">
        <v>54</v>
      </c>
      <c r="AO155" s="85" t="n">
        <v>35</v>
      </c>
      <c r="AP155" s="94" t="n"/>
      <c r="AQ155" s="89" t="n"/>
      <c r="AR155" s="95" t="inlineStr">
        <is>
          <t>N</t>
        </is>
      </c>
      <c r="AS155" s="95" t="inlineStr">
        <is>
          <t>none</t>
        </is>
      </c>
      <c r="AT155" s="101" t="n"/>
      <c r="AU155" s="96" t="n">
        <v>86.98999999999999</v>
      </c>
      <c r="AV155" s="95" t="inlineStr">
        <is>
          <t>none</t>
        </is>
      </c>
      <c r="AW155" s="95" t="inlineStr">
        <is>
          <t>Y</t>
        </is>
      </c>
      <c r="AX155" s="95" t="inlineStr">
        <is>
          <t>2026-10-13 23:36:30</t>
        </is>
      </c>
      <c r="AY155" s="97" t="inlineStr">
        <is>
          <t>Price cut only</t>
        </is>
      </c>
      <c r="AZ155" s="97" t="inlineStr">
        <is>
          <t>11-21 to 12-01</t>
        </is>
      </c>
      <c r="BA155" s="98" t="n">
        <v>118.99</v>
      </c>
      <c r="BB155" s="98" t="n">
        <v>79.13</v>
      </c>
      <c r="BC155" s="87">
        <f>IF(AND(ISNUMBER(BA155),ISNUMBER(BB155),N(BA155)&gt;0),1-BB155/BA155,"")</f>
        <v/>
      </c>
      <c r="BD155" s="99" t="n">
        <v>70541</v>
      </c>
      <c r="BE155" s="99" t="n">
        <v>28546</v>
      </c>
      <c r="BF155" s="100">
        <f>IF(AND(ISNUMBER(BD155),ISNUMBER(BE155),N(BE155)&gt;0),BD155/BE155,"")</f>
        <v/>
      </c>
      <c r="BG155" s="97" t="inlineStr">
        <is>
          <t>N</t>
        </is>
      </c>
      <c r="BH155" s="97" t="inlineStr">
        <is>
          <t>Coupon 25% (11-01 to 11-05); List Price $124.99</t>
        </is>
      </c>
    </row>
    <row r="156" ht="62" customHeight="1">
      <c r="A156" s="39" t="inlineStr">
        <is>
          <t>IMAGE MISSING</t>
        </is>
      </c>
      <c r="B156" s="84" t="inlineStr">
        <is>
          <t>LB Luxury Bamboo Market</t>
        </is>
      </c>
      <c r="C156" s="32" t="inlineStr">
        <is>
          <t>Bamboo Sheets</t>
        </is>
      </c>
      <c r="D156" s="84" t="inlineStr">
        <is>
          <t>Poor</t>
        </is>
      </c>
      <c r="E156" s="84" t="inlineStr">
        <is>
          <t>B0D1HWHDL2</t>
        </is>
      </c>
      <c r="F156" s="84" t="inlineStr">
        <is>
          <t>B0CH7N9WVC</t>
        </is>
      </c>
      <c r="G156" s="84" t="n"/>
      <c r="H156" s="84" t="n"/>
      <c r="I156" s="85" t="n"/>
      <c r="J156" s="32" t="inlineStr"/>
      <c r="K156" s="86" t="n">
        <v>129.94</v>
      </c>
      <c r="L156" s="86" t="n"/>
      <c r="M156" s="87">
        <f>IF(AND(ISNUMBER(L156),ISNUMBER(K156),N(K156)&gt;0),L156/K156-1,"")</f>
        <v/>
      </c>
      <c r="N156" s="88">
        <f>IF(M156="","No List Price",IF(M156&lt;=0,"At/below price",IF(M156&lt;=0.12,"&lt;=12% STR zone",IF(M156&lt;=0.25,"12-25%","&gt;25% over"))))</f>
        <v/>
      </c>
      <c r="O156" s="86" t="n">
        <v>89.98999999999999</v>
      </c>
      <c r="P156" s="89">
        <f>IF(AND(ISNUMBER(K156),ISNUMBER(O156),N(O156)&gt;0),K156/O156-1,"")</f>
        <v/>
      </c>
      <c r="Q156" s="32" t="inlineStr">
        <is>
          <t>Size not stated - vs our Queen. Ours live: Helium 10 Xray, 2026-10-13; 16 children</t>
        </is>
      </c>
      <c r="R156" s="85" t="n">
        <v>47800</v>
      </c>
      <c r="S156" s="85" t="n">
        <v>18</v>
      </c>
      <c r="T156" s="90">
        <f>IF(AND(ISNUMBER(K156),ISNUMBER(S156)),K156*S156*52/12,"")</f>
        <v/>
      </c>
      <c r="U156" s="91" t="n">
        <v>4.5</v>
      </c>
      <c r="V156" s="85" t="n">
        <v>517</v>
      </c>
      <c r="W156" s="92" t="n">
        <v>46307</v>
      </c>
      <c r="X156" s="92" t="n"/>
      <c r="Y156" s="84" t="n"/>
      <c r="Z156" s="84" t="n"/>
      <c r="AA156" s="85" t="n"/>
      <c r="AB156" s="85" t="n"/>
      <c r="AC156" s="93" t="n"/>
      <c r="AD156" s="93" t="n"/>
      <c r="AE156" s="32" t="n"/>
      <c r="AF156" s="93" t="n"/>
      <c r="AG156" s="93" t="n"/>
      <c r="AH156" s="93" t="n"/>
      <c r="AI156" s="93" t="n"/>
      <c r="AJ156" s="85" t="n"/>
      <c r="AK156" s="85" t="n"/>
      <c r="AL156" s="85" t="n"/>
      <c r="AM156" s="85" t="n"/>
      <c r="AN156" s="85" t="n"/>
      <c r="AO156" s="85" t="n"/>
      <c r="AP156" s="94" t="n"/>
      <c r="AQ156" s="89" t="n"/>
      <c r="AR156" s="95" t="inlineStr">
        <is>
          <t>N</t>
        </is>
      </c>
      <c r="AS156" s="95" t="inlineStr">
        <is>
          <t>none</t>
        </is>
      </c>
      <c r="AT156" s="101" t="n"/>
      <c r="AU156" s="96" t="n">
        <v>129.94</v>
      </c>
      <c r="AV156" s="95" t="inlineStr">
        <is>
          <t>none</t>
        </is>
      </c>
      <c r="AW156" s="95" t="inlineStr">
        <is>
          <t>Y</t>
        </is>
      </c>
      <c r="AX156" s="95" t="inlineStr">
        <is>
          <t>2026-10-13 23:36:34</t>
        </is>
      </c>
      <c r="AY156" s="97" t="inlineStr">
        <is>
          <t>Prime Exclusive Discount</t>
        </is>
      </c>
      <c r="AZ156" s="97" t="inlineStr">
        <is>
          <t>11-26 to 12-01</t>
        </is>
      </c>
      <c r="BA156" s="98" t="n">
        <v>119.94</v>
      </c>
      <c r="BB156" s="98" t="n">
        <v>103.95</v>
      </c>
      <c r="BC156" s="87">
        <f>IF(AND(ISNUMBER(BA156),ISNUMBER(BB156),N(BA156)&gt;0),1-BB156/BA156,"")</f>
        <v/>
      </c>
      <c r="BD156" s="99" t="n">
        <v>73868</v>
      </c>
      <c r="BE156" s="99" t="n">
        <v>96746</v>
      </c>
      <c r="BF156" s="100">
        <f>IF(AND(ISNUMBER(BD156),ISNUMBER(BE156),N(BE156)&gt;0),BD156/BE156,"")</f>
        <v/>
      </c>
      <c r="BG156" s="97" t="inlineStr">
        <is>
          <t>N</t>
        </is>
      </c>
      <c r="BH156" s="97" t="inlineStr">
        <is>
          <t>List Price $159.94</t>
        </is>
      </c>
    </row>
    <row r="157" ht="62" customHeight="1">
      <c r="A157" s="10">
        <f>_xlfn.IMAGE("https://images-na.ssl-images-amazon.com/images/I/71NxE1i+4jL.jpg")</f>
        <v/>
      </c>
      <c r="B157" s="84" t="inlineStr">
        <is>
          <t>Shilucheng</t>
        </is>
      </c>
      <c r="C157" s="32" t="inlineStr">
        <is>
          <t>Shilucheng 100% Viscose Derived from Bamboo_Sheets, Extra Deep Pocket</t>
        </is>
      </c>
      <c r="D157" s="84" t="inlineStr">
        <is>
          <t>Poor</t>
        </is>
      </c>
      <c r="E157" s="84" t="inlineStr">
        <is>
          <t>B0F2TBWTZR</t>
        </is>
      </c>
      <c r="F157" s="84" t="inlineStr">
        <is>
          <t>B0F2TBWTZR</t>
        </is>
      </c>
      <c r="G157" s="84" t="n"/>
      <c r="H157" s="84" t="n"/>
      <c r="I157" s="85" t="n">
        <v>32</v>
      </c>
      <c r="J157" s="32" t="inlineStr"/>
      <c r="K157" s="86" t="n">
        <v>69.98999999999999</v>
      </c>
      <c r="L157" s="86" t="n">
        <v>84.98999999999999</v>
      </c>
      <c r="M157" s="87">
        <f>IF(AND(ISNUMBER(L157),ISNUMBER(K157),N(K157)&gt;0),L157/K157-1,"")</f>
        <v/>
      </c>
      <c r="N157" s="88">
        <f>IF(M157="","No List Price",IF(M157&lt;=0,"At/below price",IF(M157&lt;=0.12,"&lt;=12% STR zone",IF(M157&lt;=0.25,"12-25%","&gt;25% over"))))</f>
        <v/>
      </c>
      <c r="O157" s="86" t="n">
        <v>89.98999999999999</v>
      </c>
      <c r="P157" s="89">
        <f>IF(AND(ISNUMBER(K157),ISNUMBER(O157),N(O157)&gt;0),K157/O157-1,"")</f>
        <v/>
      </c>
      <c r="Q157" s="32" t="inlineStr">
        <is>
          <t>Size not stated - vs our Queen. Ours live: Helium 10 Xray, 2026-10-13; 16 children</t>
        </is>
      </c>
      <c r="R157" s="85" t="n">
        <v>39194</v>
      </c>
      <c r="S157" s="85" t="n">
        <v>18</v>
      </c>
      <c r="T157" s="90">
        <f>IF(AND(ISNUMBER(K157),ISNUMBER(S157)),K157*S157*52/12,"")</f>
        <v/>
      </c>
      <c r="U157" s="91" t="n">
        <v>4.5</v>
      </c>
      <c r="V157" s="85" t="n">
        <v>1639</v>
      </c>
      <c r="W157" s="92" t="n">
        <v>46307</v>
      </c>
      <c r="X157" s="92" t="n">
        <v>45744</v>
      </c>
      <c r="Y157" s="84" t="inlineStr">
        <is>
          <t>FBA</t>
        </is>
      </c>
      <c r="Z157" s="84" t="inlineStr">
        <is>
          <t>CN</t>
        </is>
      </c>
      <c r="AA157" s="85" t="n"/>
      <c r="AB157" s="85" t="n"/>
      <c r="AC157" s="93" t="n"/>
      <c r="AD157" s="93" t="n"/>
      <c r="AE157" s="32" t="n"/>
      <c r="AF157" s="93" t="n"/>
      <c r="AG157" s="93" t="n"/>
      <c r="AH157" s="93" t="n"/>
      <c r="AI157" s="93" t="n"/>
      <c r="AJ157" s="85" t="n"/>
      <c r="AK157" s="85" t="n"/>
      <c r="AL157" s="85" t="n"/>
      <c r="AM157" s="85" t="n"/>
      <c r="AN157" s="85" t="n"/>
      <c r="AO157" s="85" t="n"/>
      <c r="AP157" s="94" t="n"/>
      <c r="AQ157" s="89" t="n">
        <v>-0.9655172413793104</v>
      </c>
      <c r="AR157" s="95" t="inlineStr">
        <is>
          <t>Y</t>
        </is>
      </c>
      <c r="AS157" s="95" t="inlineStr">
        <is>
          <t>List Price</t>
        </is>
      </c>
      <c r="AT157" s="96" t="n">
        <v>84.98999999999999</v>
      </c>
      <c r="AU157" s="96" t="n">
        <v>69.98999999999999</v>
      </c>
      <c r="AV157" s="95" t="inlineStr">
        <is>
          <t>Limited time deal</t>
        </is>
      </c>
      <c r="AW157" s="95" t="inlineStr">
        <is>
          <t>Y</t>
        </is>
      </c>
      <c r="AX157" s="95" t="inlineStr">
        <is>
          <t>2026-10-13 23:36:52</t>
        </is>
      </c>
      <c r="AY157" s="97" t="inlineStr">
        <is>
          <t>Prime Exclusive Discount</t>
        </is>
      </c>
      <c r="AZ157" s="97" t="inlineStr">
        <is>
          <t>11-21 to 12-01</t>
        </is>
      </c>
      <c r="BA157" s="98" t="n">
        <v>84.98999999999999</v>
      </c>
      <c r="BB157" s="98" t="n">
        <v>64.59</v>
      </c>
      <c r="BC157" s="87">
        <f>IF(AND(ISNUMBER(BA157),ISNUMBER(BB157),N(BA157)&gt;0),1-BB157/BA157,"")</f>
        <v/>
      </c>
      <c r="BD157" s="99" t="n">
        <v>28104</v>
      </c>
      <c r="BE157" s="99" t="n">
        <v>38474</v>
      </c>
      <c r="BF157" s="100">
        <f>IF(AND(ISNUMBER(BD157),ISNUMBER(BE157),N(BE157)&gt;0),BD157/BE157,"")</f>
        <v/>
      </c>
      <c r="BG157" s="97" t="inlineStr">
        <is>
          <t>N</t>
        </is>
      </c>
      <c r="BH157" s="97" t="inlineStr">
        <is>
          <t>Coupon 20% (11-02 to 11-12); List Price $84.99</t>
        </is>
      </c>
    </row>
    <row r="158" ht="62" customHeight="1">
      <c r="A158" s="39" t="inlineStr">
        <is>
          <t>IMAGE MISSING</t>
        </is>
      </c>
      <c r="B158" s="84" t="inlineStr">
        <is>
          <t>Bamboo Bay</t>
        </is>
      </c>
      <c r="C158" s="32" t="inlineStr">
        <is>
          <t>Bamboo Sheets</t>
        </is>
      </c>
      <c r="D158" s="84" t="inlineStr">
        <is>
          <t>Poor</t>
        </is>
      </c>
      <c r="E158" s="84" t="inlineStr">
        <is>
          <t>B0DLF1SWJ5</t>
        </is>
      </c>
      <c r="F158" s="84" t="inlineStr">
        <is>
          <t>B07TBHLZJM</t>
        </is>
      </c>
      <c r="G158" s="84" t="n"/>
      <c r="H158" s="84" t="n"/>
      <c r="I158" s="85" t="n"/>
      <c r="J158" s="32" t="inlineStr"/>
      <c r="K158" s="86" t="n">
        <v>79.98</v>
      </c>
      <c r="L158" s="86" t="n"/>
      <c r="M158" s="87">
        <f>IF(AND(ISNUMBER(L158),ISNUMBER(K158),N(K158)&gt;0),L158/K158-1,"")</f>
        <v/>
      </c>
      <c r="N158" s="88">
        <f>IF(M158="","No List Price",IF(M158&lt;=0,"At/below price",IF(M158&lt;=0.12,"&lt;=12% STR zone",IF(M158&lt;=0.25,"12-25%","&gt;25% over"))))</f>
        <v/>
      </c>
      <c r="O158" s="86" t="n">
        <v>89.98999999999999</v>
      </c>
      <c r="P158" s="89">
        <f>IF(AND(ISNUMBER(K158),ISNUMBER(O158),N(O158)&gt;0),K158/O158-1,"")</f>
        <v/>
      </c>
      <c r="Q158" s="32" t="inlineStr">
        <is>
          <t>Size not stated - vs our Queen. Ours live: Helium 10 Xray, 2026-10-13; 16 children</t>
        </is>
      </c>
      <c r="R158" s="85" t="n">
        <v>131083</v>
      </c>
      <c r="S158" s="85" t="n">
        <v>5</v>
      </c>
      <c r="T158" s="90">
        <f>IF(AND(ISNUMBER(K158),ISNUMBER(S158)),K158*S158*52/12,"")</f>
        <v/>
      </c>
      <c r="U158" s="91" t="n">
        <v>4.5</v>
      </c>
      <c r="V158" s="85" t="n">
        <v>2691</v>
      </c>
      <c r="W158" s="92" t="n">
        <v>46307</v>
      </c>
      <c r="X158" s="92" t="n"/>
      <c r="Y158" s="84" t="n"/>
      <c r="Z158" s="84" t="n"/>
      <c r="AA158" s="85" t="n"/>
      <c r="AB158" s="85" t="n"/>
      <c r="AC158" s="93" t="n"/>
      <c r="AD158" s="93" t="n"/>
      <c r="AE158" s="32" t="n"/>
      <c r="AF158" s="93" t="n"/>
      <c r="AG158" s="93" t="n"/>
      <c r="AH158" s="93" t="n"/>
      <c r="AI158" s="93" t="n"/>
      <c r="AJ158" s="85" t="n"/>
      <c r="AK158" s="85" t="n"/>
      <c r="AL158" s="85" t="n"/>
      <c r="AM158" s="85" t="n"/>
      <c r="AN158" s="85" t="n"/>
      <c r="AO158" s="85" t="n"/>
      <c r="AP158" s="94" t="n"/>
      <c r="AQ158" s="89" t="n"/>
      <c r="AR158" s="95" t="inlineStr">
        <is>
          <t>N</t>
        </is>
      </c>
      <c r="AS158" s="95" t="inlineStr">
        <is>
          <t>none</t>
        </is>
      </c>
      <c r="AT158" s="101" t="n"/>
      <c r="AU158" s="96" t="n">
        <v>79.98</v>
      </c>
      <c r="AV158" s="95" t="inlineStr">
        <is>
          <t>none</t>
        </is>
      </c>
      <c r="AW158" s="95" t="inlineStr">
        <is>
          <t>Y</t>
        </is>
      </c>
      <c r="AX158" s="95" t="inlineStr">
        <is>
          <t>2026-10-13 23:35:44</t>
        </is>
      </c>
      <c r="AY158" s="97" t="inlineStr">
        <is>
          <t>None</t>
        </is>
      </c>
      <c r="AZ158" s="102" t="n"/>
      <c r="BA158" s="98" t="n">
        <v>86.98999999999999</v>
      </c>
      <c r="BB158" s="98" t="n">
        <v>93.48</v>
      </c>
      <c r="BC158" s="87">
        <f>IF(AND(ISNUMBER(BA158),ISNUMBER(BB158),N(BA158)&gt;0),1-BB158/BA158,"")</f>
        <v/>
      </c>
      <c r="BD158" s="99" t="n">
        <v>43439</v>
      </c>
      <c r="BE158" s="99" t="n">
        <v>53047</v>
      </c>
      <c r="BF158" s="100">
        <f>IF(AND(ISNUMBER(BD158),ISNUMBER(BE158),N(BE158)&gt;0),BD158/BE158,"")</f>
        <v/>
      </c>
      <c r="BG158" s="97" t="inlineStr">
        <is>
          <t>N</t>
        </is>
      </c>
      <c r="BH158" s="97" t="inlineStr">
        <is>
          <t>Buy Box RAISED in BFCM week (median $109.98 vs $86.99 before); List Price $129.98</t>
        </is>
      </c>
    </row>
    <row r="159" ht="62" customHeight="1">
      <c r="A159" s="39" t="inlineStr">
        <is>
          <t>IMAGE MISSING</t>
        </is>
      </c>
      <c r="B159" s="84" t="inlineStr">
        <is>
          <t>LBRO2M</t>
        </is>
      </c>
      <c r="C159" s="32" t="inlineStr">
        <is>
          <t>LBRO2M Cooling Bed Sheet 100% Viscose Derived from Bamboo Sheet Set Queen Size 6</t>
        </is>
      </c>
      <c r="D159" s="84" t="inlineStr">
        <is>
          <t>Poor</t>
        </is>
      </c>
      <c r="E159" s="84" t="inlineStr">
        <is>
          <t>B0F9FK3L6J</t>
        </is>
      </c>
      <c r="F159" s="84" t="inlineStr">
        <is>
          <t>B0F9FK7SMW</t>
        </is>
      </c>
      <c r="G159" s="84" t="inlineStr">
        <is>
          <t>Queen</t>
        </is>
      </c>
      <c r="H159" s="84" t="n"/>
      <c r="I159" s="85" t="n"/>
      <c r="J159" s="32" t="inlineStr"/>
      <c r="K159" s="86" t="n">
        <v>94.98999999999999</v>
      </c>
      <c r="L159" s="86" t="n"/>
      <c r="M159" s="87">
        <f>IF(AND(ISNUMBER(L159),ISNUMBER(K159),N(K159)&gt;0),L159/K159-1,"")</f>
        <v/>
      </c>
      <c r="N159" s="88">
        <f>IF(M159="","No List Price",IF(M159&lt;=0,"At/below price",IF(M159&lt;=0.12,"&lt;=12% STR zone",IF(M159&lt;=0.25,"12-25%","&gt;25% over"))))</f>
        <v/>
      </c>
      <c r="O159" s="86" t="n">
        <v>89.98999999999999</v>
      </c>
      <c r="P159" s="89">
        <f>IF(AND(ISNUMBER(K159),ISNUMBER(O159),N(O159)&gt;0),K159/O159-1,"")</f>
        <v/>
      </c>
      <c r="Q159" s="32" t="inlineStr">
        <is>
          <t>Same size (Queen). Ours live: Helium 10 Xray, 2026-10-13; 16 children</t>
        </is>
      </c>
      <c r="R159" s="85" t="n">
        <v>1003118</v>
      </c>
      <c r="S159" s="85" t="n">
        <v>5</v>
      </c>
      <c r="T159" s="90">
        <f>IF(AND(ISNUMBER(K159),ISNUMBER(S159)),K159*S159*52/12,"")</f>
        <v/>
      </c>
      <c r="U159" s="91" t="n">
        <v>4.4</v>
      </c>
      <c r="V159" s="85" t="n">
        <v>18</v>
      </c>
      <c r="W159" s="92" t="n">
        <v>46307</v>
      </c>
      <c r="X159" s="92" t="n"/>
      <c r="Y159" s="84" t="n"/>
      <c r="Z159" s="84" t="n"/>
      <c r="AA159" s="85" t="n"/>
      <c r="AB159" s="85" t="n"/>
      <c r="AC159" s="93" t="n"/>
      <c r="AD159" s="93" t="n"/>
      <c r="AE159" s="32" t="n"/>
      <c r="AF159" s="93" t="n"/>
      <c r="AG159" s="93" t="n"/>
      <c r="AH159" s="93" t="n"/>
      <c r="AI159" s="93" t="n"/>
      <c r="AJ159" s="85" t="n"/>
      <c r="AK159" s="85" t="n"/>
      <c r="AL159" s="85" t="n"/>
      <c r="AM159" s="85" t="n"/>
      <c r="AN159" s="85" t="n"/>
      <c r="AO159" s="85" t="n"/>
      <c r="AP159" s="94" t="n"/>
      <c r="AQ159" s="89" t="n"/>
      <c r="AR159" s="95" t="inlineStr">
        <is>
          <t>N</t>
        </is>
      </c>
      <c r="AS159" s="95" t="inlineStr">
        <is>
          <t>none</t>
        </is>
      </c>
      <c r="AT159" s="101" t="n"/>
      <c r="AU159" s="101" t="n"/>
      <c r="AV159" s="95" t="inlineStr">
        <is>
          <t>none</t>
        </is>
      </c>
      <c r="AW159" s="95" t="inlineStr">
        <is>
          <t>N</t>
        </is>
      </c>
      <c r="AX159" s="95" t="inlineStr">
        <is>
          <t>2026-10-13 23:36:36</t>
        </is>
      </c>
      <c r="AY159" s="97" t="inlineStr">
        <is>
          <t>Prime Exclusive Discount</t>
        </is>
      </c>
      <c r="AZ159" s="97" t="inlineStr">
        <is>
          <t>11-22 to 12-01</t>
        </is>
      </c>
      <c r="BA159" s="98" t="n">
        <v>95.98999999999999</v>
      </c>
      <c r="BB159" s="98" t="n">
        <v>67.19</v>
      </c>
      <c r="BC159" s="87">
        <f>IF(AND(ISNUMBER(BA159),ISNUMBER(BB159),N(BA159)&gt;0),1-BB159/BA159,"")</f>
        <v/>
      </c>
      <c r="BD159" s="99" t="n">
        <v>114176</v>
      </c>
      <c r="BE159" s="99" t="n">
        <v>68746</v>
      </c>
      <c r="BF159" s="100">
        <f>IF(AND(ISNUMBER(BD159),ISNUMBER(BE159),N(BE159)&gt;0),BD159/BE159,"")</f>
        <v/>
      </c>
      <c r="BG159" s="97" t="inlineStr">
        <is>
          <t>N</t>
        </is>
      </c>
      <c r="BH159" s="97" t="inlineStr">
        <is>
          <t>Lightning Deal 11-01 to 11-01; List Price $179.97</t>
        </is>
      </c>
    </row>
    <row r="160" ht="62" customHeight="1">
      <c r="A160" s="10">
        <f>_xlfn.IMAGE("https://images-na.ssl-images-amazon.com/images/I/71YlZk0Q9-L.jpg")</f>
        <v/>
      </c>
      <c r="B160" s="84" t="inlineStr">
        <is>
          <t>TWK</t>
        </is>
      </c>
      <c r="C160" s="32" t="inlineStr">
        <is>
          <t>TWK Luxury Sheet Set, Genuine 100% Viscose Derived from Bamboo, Cooling &amp; Breathable, Silky Soft, Bedding Sheets &amp; Pillowcases (White, King(78 * 80 * 15))</t>
        </is>
      </c>
      <c r="D160" s="84" t="inlineStr">
        <is>
          <t>Poor</t>
        </is>
      </c>
      <c r="E160" s="84" t="inlineStr">
        <is>
          <t>B0GVP3B7LS</t>
        </is>
      </c>
      <c r="F160" s="84" t="inlineStr">
        <is>
          <t>B0GVP3B7LS</t>
        </is>
      </c>
      <c r="G160" s="84" t="inlineStr">
        <is>
          <t>King</t>
        </is>
      </c>
      <c r="H160" s="84" t="inlineStr">
        <is>
          <t>White</t>
        </is>
      </c>
      <c r="I160" s="85" t="n">
        <v>1</v>
      </c>
      <c r="J160" s="32" t="inlineStr"/>
      <c r="K160" s="86" t="n">
        <v>46.74</v>
      </c>
      <c r="L160" s="86" t="n"/>
      <c r="M160" s="87">
        <f>IF(AND(ISNUMBER(L160),ISNUMBER(K160),N(K160)&gt;0),L160/K160-1,"")</f>
        <v/>
      </c>
      <c r="N160" s="88">
        <f>IF(M160="","No List Price",IF(M160&lt;=0,"At/below price",IF(M160&lt;=0.12,"&lt;=12% STR zone",IF(M160&lt;=0.25,"12-25%","&gt;25% over"))))</f>
        <v/>
      </c>
      <c r="O160" s="86" t="n">
        <v>94.98999999999999</v>
      </c>
      <c r="P160" s="89">
        <f>IF(AND(ISNUMBER(K160),ISNUMBER(O160),N(O160)&gt;0),K160/O160-1,"")</f>
        <v/>
      </c>
      <c r="Q160" s="32" t="inlineStr">
        <is>
          <t>Same size (King). Ours live: Helium 10 Xray, 2026-10-13; 16 children</t>
        </is>
      </c>
      <c r="R160" s="85" t="n">
        <v>2065761</v>
      </c>
      <c r="S160" s="85" t="n">
        <v>5</v>
      </c>
      <c r="T160" s="90">
        <f>IF(AND(ISNUMBER(K160),ISNUMBER(S160)),K160*S160*52/12,"")</f>
        <v/>
      </c>
      <c r="U160" s="91" t="n">
        <v>4.5</v>
      </c>
      <c r="V160" s="85" t="n">
        <v>11</v>
      </c>
      <c r="W160" s="92" t="n">
        <v>46307</v>
      </c>
      <c r="X160" s="92" t="n">
        <v>46078</v>
      </c>
      <c r="Y160" s="84" t="inlineStr">
        <is>
          <t>FBM</t>
        </is>
      </c>
      <c r="Z160" s="84" t="inlineStr">
        <is>
          <t>N/A</t>
        </is>
      </c>
      <c r="AA160" s="85" t="n"/>
      <c r="AB160" s="85" t="n"/>
      <c r="AC160" s="93" t="n"/>
      <c r="AD160" s="93" t="n"/>
      <c r="AE160" s="32" t="n"/>
      <c r="AF160" s="93" t="n"/>
      <c r="AG160" s="93" t="n"/>
      <c r="AH160" s="93" t="n"/>
      <c r="AI160" s="93" t="n"/>
      <c r="AJ160" s="85" t="n"/>
      <c r="AK160" s="85" t="n"/>
      <c r="AL160" s="85" t="n"/>
      <c r="AM160" s="85" t="n"/>
      <c r="AN160" s="85" t="n"/>
      <c r="AO160" s="85" t="n"/>
      <c r="AP160" s="94" t="n"/>
      <c r="AQ160" s="89" t="n"/>
      <c r="AR160" s="95" t="inlineStr">
        <is>
          <t>N</t>
        </is>
      </c>
      <c r="AS160" s="95" t="inlineStr">
        <is>
          <t>none</t>
        </is>
      </c>
      <c r="AT160" s="101" t="n"/>
      <c r="AU160" s="101" t="n"/>
      <c r="AV160" s="95" t="inlineStr">
        <is>
          <t>none</t>
        </is>
      </c>
      <c r="AW160" s="95" t="inlineStr">
        <is>
          <t>N</t>
        </is>
      </c>
      <c r="AX160" s="95" t="inlineStr">
        <is>
          <t>2026-10-13 23:36:57</t>
        </is>
      </c>
      <c r="AY160" s="97" t="inlineStr">
        <is>
          <t>Not live in 2025</t>
        </is>
      </c>
      <c r="AZ160" s="102" t="n"/>
      <c r="BA160" s="101" t="n"/>
      <c r="BB160" s="101" t="n"/>
      <c r="BC160" s="87">
        <f>IF(AND(ISNUMBER(BA160),ISNUMBER(BB160),N(BA160)&gt;0),1-BB160/BA160,"")</f>
        <v/>
      </c>
      <c r="BD160" s="103" t="n"/>
      <c r="BE160" s="103" t="n"/>
      <c r="BF160" s="100">
        <f>IF(AND(ISNUMBER(BD160),ISNUMBER(BE160),N(BE160)&gt;0),BD160/BE160,"")</f>
        <v/>
      </c>
      <c r="BG160" s="102" t="n"/>
      <c r="BH160" s="102" t="n"/>
    </row>
    <row r="161" ht="62" customHeight="1">
      <c r="A161" s="10">
        <f>_xlfn.IMAGE("https://images-na.ssl-images-amazon.com/images/I/71gw0WpuNuL.jpg")</f>
        <v/>
      </c>
      <c r="B161" s="84" t="inlineStr">
        <is>
          <t>TWK</t>
        </is>
      </c>
      <c r="C161" s="32" t="inlineStr">
        <is>
          <t>TWK Luxury Sheet Set, Genuine 100% Organic Viscose Derived from Bamboo, Cooling &amp; Breathable, Silky Soft, Bedding Sheets &amp; Pillowcases (Mist Gray, King)</t>
        </is>
      </c>
      <c r="D161" s="84" t="inlineStr">
        <is>
          <t>Poor</t>
        </is>
      </c>
      <c r="E161" s="84" t="inlineStr">
        <is>
          <t>B0DYT2QWLC</t>
        </is>
      </c>
      <c r="F161" s="84" t="inlineStr">
        <is>
          <t>B0DYT2QWLC</t>
        </is>
      </c>
      <c r="G161" s="84" t="inlineStr">
        <is>
          <t>King</t>
        </is>
      </c>
      <c r="H161" s="84" t="inlineStr">
        <is>
          <t>Mist Gray</t>
        </is>
      </c>
      <c r="I161" s="85" t="n">
        <v>1</v>
      </c>
      <c r="J161" s="32" t="inlineStr"/>
      <c r="K161" s="86" t="n">
        <v>109.99</v>
      </c>
      <c r="L161" s="86" t="n"/>
      <c r="M161" s="87">
        <f>IF(AND(ISNUMBER(L161),ISNUMBER(K161),N(K161)&gt;0),L161/K161-1,"")</f>
        <v/>
      </c>
      <c r="N161" s="88">
        <f>IF(M161="","No List Price",IF(M161&lt;=0,"At/below price",IF(M161&lt;=0.12,"&lt;=12% STR zone",IF(M161&lt;=0.25,"12-25%","&gt;25% over"))))</f>
        <v/>
      </c>
      <c r="O161" s="86" t="n">
        <v>94.98999999999999</v>
      </c>
      <c r="P161" s="89">
        <f>IF(AND(ISNUMBER(K161),ISNUMBER(O161),N(O161)&gt;0),K161/O161-1,"")</f>
        <v/>
      </c>
      <c r="Q161" s="32" t="inlineStr">
        <is>
          <t>Same size (King). Ours live: Helium 10 Xray, 2026-10-13; 16 children</t>
        </is>
      </c>
      <c r="R161" s="85" t="n">
        <v>1506045</v>
      </c>
      <c r="S161" s="85" t="n">
        <v>5</v>
      </c>
      <c r="T161" s="90">
        <f>IF(AND(ISNUMBER(K161),ISNUMBER(S161)),K161*S161*52/12,"")</f>
        <v/>
      </c>
      <c r="U161" s="91" t="n">
        <v>4.5</v>
      </c>
      <c r="V161" s="85" t="n">
        <v>39</v>
      </c>
      <c r="W161" s="92" t="n">
        <v>46307</v>
      </c>
      <c r="X161" s="92" t="n">
        <v>45716</v>
      </c>
      <c r="Y161" s="84" t="inlineStr">
        <is>
          <t>FBM</t>
        </is>
      </c>
      <c r="Z161" s="84" t="inlineStr">
        <is>
          <t>N/A</t>
        </is>
      </c>
      <c r="AA161" s="85" t="n"/>
      <c r="AB161" s="85" t="n"/>
      <c r="AC161" s="93" t="n"/>
      <c r="AD161" s="93" t="n"/>
      <c r="AE161" s="32" t="n"/>
      <c r="AF161" s="93" t="n"/>
      <c r="AG161" s="93" t="n"/>
      <c r="AH161" s="93" t="n"/>
      <c r="AI161" s="93" t="n"/>
      <c r="AJ161" s="85" t="n"/>
      <c r="AK161" s="85" t="n"/>
      <c r="AL161" s="85" t="n"/>
      <c r="AM161" s="85" t="n"/>
      <c r="AN161" s="85" t="n"/>
      <c r="AO161" s="85" t="n"/>
      <c r="AP161" s="94" t="n"/>
      <c r="AQ161" s="89" t="n"/>
      <c r="AR161" s="95" t="inlineStr">
        <is>
          <t>N</t>
        </is>
      </c>
      <c r="AS161" s="95" t="inlineStr">
        <is>
          <t>none</t>
        </is>
      </c>
      <c r="AT161" s="101" t="n"/>
      <c r="AU161" s="101" t="n"/>
      <c r="AV161" s="95" t="inlineStr">
        <is>
          <t>none</t>
        </is>
      </c>
      <c r="AW161" s="95" t="inlineStr">
        <is>
          <t>N</t>
        </is>
      </c>
      <c r="AX161" s="95" t="inlineStr">
        <is>
          <t>2026-10-13 23:37:00</t>
        </is>
      </c>
      <c r="AY161" s="97" t="inlineStr">
        <is>
          <t>Coupon only</t>
        </is>
      </c>
      <c r="AZ161" s="97" t="inlineStr">
        <is>
          <t>11-20 to 12-05</t>
        </is>
      </c>
      <c r="BA161" s="98" t="n">
        <v>69</v>
      </c>
      <c r="BB161" s="98" t="n">
        <v>74</v>
      </c>
      <c r="BC161" s="87">
        <f>IF(AND(ISNUMBER(BA161),ISNUMBER(BB161),N(BA161)&gt;0),1-BB161/BA161,"")</f>
        <v/>
      </c>
      <c r="BD161" s="99" t="n">
        <v>46533</v>
      </c>
      <c r="BE161" s="99" t="n">
        <v>67944</v>
      </c>
      <c r="BF161" s="100">
        <f>IF(AND(ISNUMBER(BD161),ISNUMBER(BE161),N(BE161)&gt;0),BD161/BE161,"")</f>
        <v/>
      </c>
      <c r="BG161" s="97" t="inlineStr">
        <is>
          <t>N</t>
        </is>
      </c>
      <c r="BH161" s="97" t="inlineStr">
        <is>
          <t>Coupon 30%; Buy Box RAISED in BFCM week (median $79.00 vs $69.00 before); List Price $69.00</t>
        </is>
      </c>
    </row>
    <row r="162" ht="62" customHeight="1">
      <c r="A162" s="39" t="inlineStr">
        <is>
          <t>IMAGE MISSING</t>
        </is>
      </c>
      <c r="B162" s="84" t="inlineStr">
        <is>
          <t>TWK</t>
        </is>
      </c>
      <c r="C162" s="32" t="inlineStr">
        <is>
          <t>4 Piece Bamboo Sheet Set</t>
        </is>
      </c>
      <c r="D162" s="84" t="inlineStr">
        <is>
          <t>Poor</t>
        </is>
      </c>
      <c r="E162" s="84" t="inlineStr">
        <is>
          <t>B0GKFHP6L6</t>
        </is>
      </c>
      <c r="F162" s="84" t="inlineStr">
        <is>
          <t>B0GW7H7RHY</t>
        </is>
      </c>
      <c r="G162" s="84" t="n"/>
      <c r="H162" s="84" t="n"/>
      <c r="I162" s="85" t="n"/>
      <c r="J162" s="32" t="inlineStr"/>
      <c r="K162" s="86" t="n">
        <v>109.99</v>
      </c>
      <c r="L162" s="86" t="n"/>
      <c r="M162" s="87">
        <f>IF(AND(ISNUMBER(L162),ISNUMBER(K162),N(K162)&gt;0),L162/K162-1,"")</f>
        <v/>
      </c>
      <c r="N162" s="88">
        <f>IF(M162="","No List Price",IF(M162&lt;=0,"At/below price",IF(M162&lt;=0.12,"&lt;=12% STR zone",IF(M162&lt;=0.25,"12-25%","&gt;25% over"))))</f>
        <v/>
      </c>
      <c r="O162" s="86" t="n">
        <v>89.98999999999999</v>
      </c>
      <c r="P162" s="89">
        <f>IF(AND(ISNUMBER(K162),ISNUMBER(O162),N(O162)&gt;0),K162/O162-1,"")</f>
        <v/>
      </c>
      <c r="Q162" s="32" t="inlineStr">
        <is>
          <t>Size not stated - vs our Queen. Ours live: Helium 10 Xray, 2026-10-13; 16 children</t>
        </is>
      </c>
      <c r="R162" s="85" t="n">
        <v>4355899</v>
      </c>
      <c r="S162" s="85" t="n">
        <v>5</v>
      </c>
      <c r="T162" s="90">
        <f>IF(AND(ISNUMBER(K162),ISNUMBER(S162)),K162*S162*52/12,"")</f>
        <v/>
      </c>
      <c r="U162" s="91" t="n">
        <v>4.5</v>
      </c>
      <c r="V162" s="85" t="n">
        <v>2</v>
      </c>
      <c r="W162" s="92" t="n">
        <v>46307</v>
      </c>
      <c r="X162" s="92" t="n"/>
      <c r="Y162" s="84" t="n"/>
      <c r="Z162" s="84" t="n"/>
      <c r="AA162" s="85" t="n"/>
      <c r="AB162" s="85" t="n"/>
      <c r="AC162" s="93" t="n"/>
      <c r="AD162" s="93" t="n"/>
      <c r="AE162" s="32" t="n"/>
      <c r="AF162" s="93" t="n"/>
      <c r="AG162" s="93" t="n"/>
      <c r="AH162" s="93" t="n"/>
      <c r="AI162" s="93" t="n"/>
      <c r="AJ162" s="85" t="n"/>
      <c r="AK162" s="85" t="n"/>
      <c r="AL162" s="85" t="n"/>
      <c r="AM162" s="85" t="n"/>
      <c r="AN162" s="85" t="n"/>
      <c r="AO162" s="85" t="n"/>
      <c r="AP162" s="94" t="n"/>
      <c r="AQ162" s="89" t="n"/>
      <c r="AR162" s="95" t="inlineStr">
        <is>
          <t>N</t>
        </is>
      </c>
      <c r="AS162" s="95" t="inlineStr">
        <is>
          <t>none</t>
        </is>
      </c>
      <c r="AT162" s="101" t="n"/>
      <c r="AU162" s="101" t="n"/>
      <c r="AV162" s="95" t="inlineStr">
        <is>
          <t>none</t>
        </is>
      </c>
      <c r="AW162" s="95" t="inlineStr">
        <is>
          <t>N</t>
        </is>
      </c>
      <c r="AX162" s="95" t="inlineStr">
        <is>
          <t>2026-10-13 23:37:03</t>
        </is>
      </c>
      <c r="AY162" s="97" t="inlineStr">
        <is>
          <t>Not live in 2025</t>
        </is>
      </c>
      <c r="AZ162" s="102" t="n"/>
      <c r="BA162" s="101" t="n"/>
      <c r="BB162" s="101" t="n"/>
      <c r="BC162" s="87">
        <f>IF(AND(ISNUMBER(BA162),ISNUMBER(BB162),N(BA162)&gt;0),1-BB162/BA162,"")</f>
        <v/>
      </c>
      <c r="BD162" s="103" t="n"/>
      <c r="BE162" s="103" t="n"/>
      <c r="BF162" s="100">
        <f>IF(AND(ISNUMBER(BD162),ISNUMBER(BE162),N(BE162)&gt;0),BD162/BE162,"")</f>
        <v/>
      </c>
      <c r="BG162" s="102" t="n"/>
      <c r="BH162" s="102" t="n"/>
    </row>
    <row r="163" ht="62" customHeight="1">
      <c r="A163" s="39" t="inlineStr">
        <is>
          <t>IMAGE MISSING</t>
        </is>
      </c>
      <c r="B163" s="84" t="inlineStr">
        <is>
          <t>Vesta</t>
        </is>
      </c>
      <c r="C163" s="32" t="inlineStr">
        <is>
          <t>Vesta Sheet Set – Soft, Breathable &amp; Cooling, 100% Viscose Derived from Bamboo,</t>
        </is>
      </c>
      <c r="D163" s="84" t="inlineStr">
        <is>
          <t>Poor</t>
        </is>
      </c>
      <c r="E163" s="84" t="inlineStr">
        <is>
          <t>B0CZRJY68B</t>
        </is>
      </c>
      <c r="F163" s="84" t="inlineStr">
        <is>
          <t>B0DM214YG3</t>
        </is>
      </c>
      <c r="G163" s="84" t="n"/>
      <c r="H163" s="84" t="n"/>
      <c r="I163" s="85" t="n"/>
      <c r="J163" s="32" t="inlineStr"/>
      <c r="K163" s="86" t="n">
        <v>174.3</v>
      </c>
      <c r="L163" s="86" t="n"/>
      <c r="M163" s="87">
        <f>IF(AND(ISNUMBER(L163),ISNUMBER(K163),N(K163)&gt;0),L163/K163-1,"")</f>
        <v/>
      </c>
      <c r="N163" s="88">
        <f>IF(M163="","No List Price",IF(M163&lt;=0,"At/below price",IF(M163&lt;=0.12,"&lt;=12% STR zone",IF(M163&lt;=0.25,"12-25%","&gt;25% over"))))</f>
        <v/>
      </c>
      <c r="O163" s="86" t="n">
        <v>89.98999999999999</v>
      </c>
      <c r="P163" s="89">
        <f>IF(AND(ISNUMBER(K163),ISNUMBER(O163),N(O163)&gt;0),K163/O163-1,"")</f>
        <v/>
      </c>
      <c r="Q163" s="32" t="inlineStr">
        <is>
          <t>Size not stated - vs our Queen. Ours live: Helium 10 Xray, 2026-10-13; 16 children</t>
        </is>
      </c>
      <c r="R163" s="85" t="n">
        <v>591414</v>
      </c>
      <c r="S163" s="85" t="n">
        <v>5</v>
      </c>
      <c r="T163" s="90">
        <f>IF(AND(ISNUMBER(K163),ISNUMBER(S163)),K163*S163*52/12,"")</f>
        <v/>
      </c>
      <c r="U163" s="91" t="n">
        <v>4.3</v>
      </c>
      <c r="V163" s="85" t="n">
        <v>35</v>
      </c>
      <c r="W163" s="92" t="n">
        <v>46307</v>
      </c>
      <c r="X163" s="92" t="n"/>
      <c r="Y163" s="84" t="n"/>
      <c r="Z163" s="84" t="n"/>
      <c r="AA163" s="85" t="n"/>
      <c r="AB163" s="85" t="n"/>
      <c r="AC163" s="93" t="n"/>
      <c r="AD163" s="93" t="n"/>
      <c r="AE163" s="32" t="n"/>
      <c r="AF163" s="93" t="n"/>
      <c r="AG163" s="93" t="n"/>
      <c r="AH163" s="93" t="n"/>
      <c r="AI163" s="93" t="n"/>
      <c r="AJ163" s="85" t="n"/>
      <c r="AK163" s="85" t="n"/>
      <c r="AL163" s="85" t="n"/>
      <c r="AM163" s="85" t="n"/>
      <c r="AN163" s="85" t="n"/>
      <c r="AO163" s="85" t="n"/>
      <c r="AP163" s="94" t="n"/>
      <c r="AQ163" s="89" t="n"/>
      <c r="AR163" s="95" t="inlineStr">
        <is>
          <t>N</t>
        </is>
      </c>
      <c r="AS163" s="95" t="inlineStr">
        <is>
          <t>none</t>
        </is>
      </c>
      <c r="AT163" s="101" t="n"/>
      <c r="AU163" s="96" t="n">
        <v>174.3</v>
      </c>
      <c r="AV163" s="95" t="inlineStr">
        <is>
          <t>none</t>
        </is>
      </c>
      <c r="AW163" s="95" t="inlineStr">
        <is>
          <t>Y</t>
        </is>
      </c>
      <c r="AX163" s="95" t="inlineStr">
        <is>
          <t>2026-10-13 23:37:06</t>
        </is>
      </c>
      <c r="AY163" s="97" t="inlineStr">
        <is>
          <t>None</t>
        </is>
      </c>
      <c r="AZ163" s="102" t="n"/>
      <c r="BA163" s="98" t="n">
        <v>174.3</v>
      </c>
      <c r="BB163" s="98" t="n">
        <v>174.3</v>
      </c>
      <c r="BC163" s="87">
        <f>IF(AND(ISNUMBER(BA163),ISNUMBER(BB163),N(BA163)&gt;0),1-BB163/BA163,"")</f>
        <v/>
      </c>
      <c r="BD163" s="99" t="n">
        <v>1047082</v>
      </c>
      <c r="BE163" s="99" t="n">
        <v>909398</v>
      </c>
      <c r="BF163" s="100">
        <f>IF(AND(ISNUMBER(BD163),ISNUMBER(BE163),N(BE163)&gt;0),BD163/BE163,"")</f>
        <v/>
      </c>
      <c r="BG163" s="97" t="inlineStr">
        <is>
          <t>N</t>
        </is>
      </c>
      <c r="BH163" s="97" t="inlineStr">
        <is>
          <t>List Price $174.30</t>
        </is>
      </c>
    </row>
    <row r="164" ht="62" customHeight="1">
      <c r="A164" s="10">
        <f>_xlfn.IMAGE("https://images-na.ssl-images-amazon.com/images/I/716Vqhk8VxL.jpg")</f>
        <v/>
      </c>
      <c r="B164" s="84" t="inlineStr">
        <is>
          <t>CozyLux</t>
        </is>
      </c>
      <c r="C164" s="32" t="inlineStr">
        <is>
          <t>CozyLux King Size Sheets Set, 100% Rayon Derived from Bamboo, Sateen Weave</t>
        </is>
      </c>
      <c r="D164" s="84" t="inlineStr">
        <is>
          <t>Untiered</t>
        </is>
      </c>
      <c r="E164" s="84" t="inlineStr">
        <is>
          <t>B0GC2GQNMT</t>
        </is>
      </c>
      <c r="F164" s="84" t="inlineStr">
        <is>
          <t>B0GC5CJGWC</t>
        </is>
      </c>
      <c r="G164" s="84" t="inlineStr">
        <is>
          <t>King</t>
        </is>
      </c>
      <c r="H164" s="84" t="n"/>
      <c r="I164" s="85" t="n">
        <v>18</v>
      </c>
      <c r="J164" s="32" t="inlineStr"/>
      <c r="K164" s="86" t="n">
        <v>35.99</v>
      </c>
      <c r="L164" s="86" t="n"/>
      <c r="M164" s="87">
        <f>IF(AND(ISNUMBER(L164),ISNUMBER(K164),N(K164)&gt;0),L164/K164-1,"")</f>
        <v/>
      </c>
      <c r="N164" s="88">
        <f>IF(M164="","No List Price",IF(M164&lt;=0,"At/below price",IF(M164&lt;=0.12,"&lt;=12% STR zone",IF(M164&lt;=0.25,"12-25%","&gt;25% over"))))</f>
        <v/>
      </c>
      <c r="O164" s="86" t="n">
        <v>94.98999999999999</v>
      </c>
      <c r="P164" s="89">
        <f>IF(AND(ISNUMBER(K164),ISNUMBER(O164),N(O164)&gt;0),K164/O164-1,"")</f>
        <v/>
      </c>
      <c r="Q164" s="32" t="inlineStr">
        <is>
          <t>Same size (King). Ours live: Helium 10 Xray, 2026-10-13; 16 children</t>
        </is>
      </c>
      <c r="R164" s="85" t="n">
        <v>33018</v>
      </c>
      <c r="S164" s="85" t="n">
        <v>185</v>
      </c>
      <c r="T164" s="90">
        <f>IF(AND(ISNUMBER(K164),ISNUMBER(S164)),K164*S164*52/12,"")</f>
        <v/>
      </c>
      <c r="U164" s="91" t="n">
        <v>4.6</v>
      </c>
      <c r="V164" s="85" t="n">
        <v>93</v>
      </c>
      <c r="W164" s="92" t="n">
        <v>46307</v>
      </c>
      <c r="X164" s="92" t="n">
        <v>46014</v>
      </c>
      <c r="Y164" s="84" t="inlineStr">
        <is>
          <t>FBA</t>
        </is>
      </c>
      <c r="Z164" s="84" t="inlineStr">
        <is>
          <t>CN</t>
        </is>
      </c>
      <c r="AA164" s="85" t="n"/>
      <c r="AB164" s="85" t="n"/>
      <c r="AC164" s="93" t="n"/>
      <c r="AD164" s="93" t="n"/>
      <c r="AE164" s="32" t="n"/>
      <c r="AF164" s="93" t="n"/>
      <c r="AG164" s="93" t="n"/>
      <c r="AH164" s="93" t="n"/>
      <c r="AI164" s="93" t="n"/>
      <c r="AJ164" s="85" t="n"/>
      <c r="AK164" s="85" t="n"/>
      <c r="AL164" s="85" t="n"/>
      <c r="AM164" s="85" t="n"/>
      <c r="AN164" s="85" t="n"/>
      <c r="AO164" s="85" t="n"/>
      <c r="AP164" s="94" t="n"/>
      <c r="AQ164" s="89" t="n"/>
      <c r="AR164" s="95" t="inlineStr">
        <is>
          <t>Y</t>
        </is>
      </c>
      <c r="AS164" s="95" t="inlineStr">
        <is>
          <t>List Price</t>
        </is>
      </c>
      <c r="AT164" s="96" t="n">
        <v>44.99</v>
      </c>
      <c r="AU164" s="96" t="n">
        <v>35.99</v>
      </c>
      <c r="AV164" s="95" t="inlineStr">
        <is>
          <t>none</t>
        </is>
      </c>
      <c r="AW164" s="95" t="inlineStr">
        <is>
          <t>Y</t>
        </is>
      </c>
      <c r="AX164" s="95" t="inlineStr">
        <is>
          <t>2026-10-13 23:36:09</t>
        </is>
      </c>
      <c r="AY164" s="97" t="inlineStr">
        <is>
          <t>Not live in 2025</t>
        </is>
      </c>
      <c r="AZ164" s="102" t="n"/>
      <c r="BA164" s="101" t="n"/>
      <c r="BB164" s="101" t="n"/>
      <c r="BC164" s="87">
        <f>IF(AND(ISNUMBER(BA164),ISNUMBER(BB164),N(BA164)&gt;0),1-BB164/BA164,"")</f>
        <v/>
      </c>
      <c r="BD164" s="103" t="n"/>
      <c r="BE164" s="103" t="n"/>
      <c r="BF164" s="100">
        <f>IF(AND(ISNUMBER(BD164),ISNUMBER(BE164),N(BE164)&gt;0),BD164/BE164,"")</f>
        <v/>
      </c>
      <c r="BG164" s="102" t="n"/>
      <c r="BH164" s="102" t="n"/>
    </row>
    <row r="165" ht="62" customHeight="1">
      <c r="A165" s="39" t="inlineStr">
        <is>
          <t>IMAGE MISSING</t>
        </is>
      </c>
      <c r="B165" s="84" t="inlineStr">
        <is>
          <t>Amazon Basics</t>
        </is>
      </c>
      <c r="C165" s="32" t="inlineStr">
        <is>
          <t>Amazon Basics Bamboo Viscose Sheet Set, 4-Piece, Queen, White</t>
        </is>
      </c>
      <c r="D165" s="84" t="inlineStr">
        <is>
          <t>Untiered</t>
        </is>
      </c>
      <c r="E165" s="84" t="inlineStr">
        <is>
          <t>B0GFHP5V9H</t>
        </is>
      </c>
      <c r="F165" s="84" t="inlineStr">
        <is>
          <t>B0GFHGS4DP</t>
        </is>
      </c>
      <c r="G165" s="84" t="inlineStr">
        <is>
          <t>Queen</t>
        </is>
      </c>
      <c r="H165" s="84" t="inlineStr">
        <is>
          <t>White</t>
        </is>
      </c>
      <c r="I165" s="85" t="n"/>
      <c r="J165" s="32" t="inlineStr"/>
      <c r="K165" s="86" t="n">
        <v>29.99</v>
      </c>
      <c r="L165" s="86" t="n"/>
      <c r="M165" s="87">
        <f>IF(AND(ISNUMBER(L165),ISNUMBER(K165),N(K165)&gt;0),L165/K165-1,"")</f>
        <v/>
      </c>
      <c r="N165" s="88">
        <f>IF(M165="","No List Price",IF(M165&lt;=0,"At/below price",IF(M165&lt;=0.12,"&lt;=12% STR zone",IF(M165&lt;=0.25,"12-25%","&gt;25% over"))))</f>
        <v/>
      </c>
      <c r="O165" s="86" t="n">
        <v>89.98999999999999</v>
      </c>
      <c r="P165" s="89">
        <f>IF(AND(ISNUMBER(K165),ISNUMBER(O165),N(O165)&gt;0),K165/O165-1,"")</f>
        <v/>
      </c>
      <c r="Q165" s="32" t="inlineStr">
        <is>
          <t>Same size (Queen). Ours live: Helium 10 Xray, 2026-10-13; 16 children</t>
        </is>
      </c>
      <c r="R165" s="85" t="n">
        <v>21965</v>
      </c>
      <c r="S165" s="85" t="n">
        <v>173</v>
      </c>
      <c r="T165" s="90">
        <f>IF(AND(ISNUMBER(K165),ISNUMBER(S165)),K165*S165*52/12,"")</f>
        <v/>
      </c>
      <c r="U165" s="91" t="n">
        <v>4</v>
      </c>
      <c r="V165" s="85" t="n">
        <v>36</v>
      </c>
      <c r="W165" s="92" t="n">
        <v>46307</v>
      </c>
      <c r="X165" s="92" t="n"/>
      <c r="Y165" s="84" t="n"/>
      <c r="Z165" s="84" t="n"/>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96" t="n">
        <v>29.99</v>
      </c>
      <c r="AV165" s="95" t="inlineStr">
        <is>
          <t>none</t>
        </is>
      </c>
      <c r="AW165" s="95" t="inlineStr">
        <is>
          <t>Y</t>
        </is>
      </c>
      <c r="AX165" s="95" t="inlineStr">
        <is>
          <t>2026-10-13 23:35:34</t>
        </is>
      </c>
      <c r="AY165" s="97" t="inlineStr">
        <is>
          <t>Not live in 2025</t>
        </is>
      </c>
      <c r="AZ165" s="102" t="n"/>
      <c r="BA165" s="101" t="n"/>
      <c r="BB165" s="101" t="n"/>
      <c r="BC165" s="87">
        <f>IF(AND(ISNUMBER(BA165),ISNUMBER(BB165),N(BA165)&gt;0),1-BB165/BA165,"")</f>
        <v/>
      </c>
      <c r="BD165" s="103" t="n"/>
      <c r="BE165" s="103" t="n"/>
      <c r="BF165" s="100">
        <f>IF(AND(ISNUMBER(BD165),ISNUMBER(BE165),N(BE165)&gt;0),BD165/BE165,"")</f>
        <v/>
      </c>
      <c r="BG165" s="102" t="n"/>
      <c r="BH165" s="102" t="n"/>
    </row>
    <row r="166" ht="62" customHeight="1">
      <c r="A166" s="10">
        <f>_xlfn.IMAGE("https://images-na.ssl-images-amazon.com/images/I/61WgRn96SbL.jpg")</f>
        <v/>
      </c>
      <c r="B166" s="84" t="inlineStr">
        <is>
          <t>CGK Unlimited</t>
        </is>
      </c>
      <c r="C166" s="32" t="inlineStr">
        <is>
          <t>100% Rayon Derived from Bamboo - Bamboo Sheets Queen Size - Black</t>
        </is>
      </c>
      <c r="D166" s="84" t="inlineStr">
        <is>
          <t>Untiered</t>
        </is>
      </c>
      <c r="E166" s="84" t="inlineStr">
        <is>
          <t>B0F2GR2DKR</t>
        </is>
      </c>
      <c r="F166" s="84" t="inlineStr">
        <is>
          <t>B0D429MCF7</t>
        </is>
      </c>
      <c r="G166" s="84" t="inlineStr">
        <is>
          <t>Queen</t>
        </is>
      </c>
      <c r="H166" s="84" t="inlineStr">
        <is>
          <t>Black</t>
        </is>
      </c>
      <c r="I166" s="85" t="n">
        <v>58</v>
      </c>
      <c r="J166" s="32" t="inlineStr"/>
      <c r="K166" s="86" t="n">
        <v>49.99</v>
      </c>
      <c r="L166" s="86" t="n"/>
      <c r="M166" s="87">
        <f>IF(AND(ISNUMBER(L166),ISNUMBER(K166),N(K166)&gt;0),L166/K166-1,"")</f>
        <v/>
      </c>
      <c r="N166" s="88">
        <f>IF(M166="","No List Price",IF(M166&lt;=0,"At/below price",IF(M166&lt;=0.12,"&lt;=12% STR zone",IF(M166&lt;=0.25,"12-25%","&gt;25% over"))))</f>
        <v/>
      </c>
      <c r="O166" s="86" t="n">
        <v>89.98999999999999</v>
      </c>
      <c r="P166" s="89">
        <f>IF(AND(ISNUMBER(K166),ISNUMBER(O166),N(O166)&gt;0),K166/O166-1,"")</f>
        <v/>
      </c>
      <c r="Q166" s="32" t="inlineStr">
        <is>
          <t>Same size (Queen). Ours live: Helium 10 Xray, 2026-10-13; 16 children</t>
        </is>
      </c>
      <c r="R166" s="85" t="n">
        <v>2554</v>
      </c>
      <c r="S166" s="85" t="n">
        <v>173</v>
      </c>
      <c r="T166" s="90">
        <f>IF(AND(ISNUMBER(K166),ISNUMBER(S166)),K166*S166*52/12,"")</f>
        <v/>
      </c>
      <c r="U166" s="91" t="n">
        <v>4.4</v>
      </c>
      <c r="V166" s="85" t="n">
        <v>1169</v>
      </c>
      <c r="W166" s="92" t="n">
        <v>46307</v>
      </c>
      <c r="X166" s="92" t="n">
        <v>45575</v>
      </c>
      <c r="Y166" s="84" t="inlineStr">
        <is>
          <t>FBA</t>
        </is>
      </c>
      <c r="Z166" s="84" t="inlineStr">
        <is>
          <t>US</t>
        </is>
      </c>
      <c r="AA166" s="85" t="n"/>
      <c r="AB166" s="85" t="n"/>
      <c r="AC166" s="93" t="n"/>
      <c r="AD166" s="93" t="n"/>
      <c r="AE166" s="32" t="n"/>
      <c r="AF166" s="93" t="n"/>
      <c r="AG166" s="93" t="n"/>
      <c r="AH166" s="93" t="n"/>
      <c r="AI166" s="93" t="n"/>
      <c r="AJ166" s="85" t="n"/>
      <c r="AK166" s="85" t="n"/>
      <c r="AL166" s="85" t="n"/>
      <c r="AM166" s="85" t="n"/>
      <c r="AN166" s="85" t="n"/>
      <c r="AO166" s="85" t="n"/>
      <c r="AP166" s="94" t="n"/>
      <c r="AQ166" s="89" t="n"/>
      <c r="AR166" s="95" t="inlineStr">
        <is>
          <t>N</t>
        </is>
      </c>
      <c r="AS166" s="95" t="inlineStr">
        <is>
          <t>none</t>
        </is>
      </c>
      <c r="AT166" s="101" t="n"/>
      <c r="AU166" s="96" t="n">
        <v>49.99</v>
      </c>
      <c r="AV166" s="95" t="inlineStr">
        <is>
          <t>none</t>
        </is>
      </c>
      <c r="AW166" s="95" t="inlineStr">
        <is>
          <t>Y</t>
        </is>
      </c>
      <c r="AX166" s="95" t="inlineStr">
        <is>
          <t>2026-10-13 23:35:53</t>
        </is>
      </c>
      <c r="AY166" s="97" t="inlineStr">
        <is>
          <t>Price cut only</t>
        </is>
      </c>
      <c r="AZ166" s="97" t="inlineStr">
        <is>
          <t>11-20 to 12-01</t>
        </is>
      </c>
      <c r="BA166" s="98" t="n">
        <v>39.99</v>
      </c>
      <c r="BB166" s="98" t="n">
        <v>29.74</v>
      </c>
      <c r="BC166" s="87">
        <f>IF(AND(ISNUMBER(BA166),ISNUMBER(BB166),N(BA166)&gt;0),1-BB166/BA166,"")</f>
        <v/>
      </c>
      <c r="BD166" s="99" t="n">
        <v>16161</v>
      </c>
      <c r="BE166" s="99" t="n">
        <v>12770</v>
      </c>
      <c r="BF166" s="100">
        <f>IF(AND(ISNUMBER(BD166),ISNUMBER(BE166),N(BE166)&gt;0),BD166/BE166,"")</f>
        <v/>
      </c>
      <c r="BG166" s="97" t="inlineStr">
        <is>
          <t>N</t>
        </is>
      </c>
      <c r="BH166" s="97" t="inlineStr">
        <is>
          <t>List Price $64.99</t>
        </is>
      </c>
    </row>
    <row r="167" ht="62" customHeight="1">
      <c r="A167" s="10">
        <f>_xlfn.IMAGE("https://images-na.ssl-images-amazon.com/images/I/81fpVjndH2L.jpg")</f>
        <v/>
      </c>
      <c r="B167" s="84" t="inlineStr">
        <is>
          <t>Shilucheng</t>
        </is>
      </c>
      <c r="C167" s="32" t="inlineStr">
        <is>
          <t>Shilucheng 4 Piece Queen Sheet Sets, Cooling Sheets, Dark Grey</t>
        </is>
      </c>
      <c r="D167" s="84" t="inlineStr">
        <is>
          <t>Untiered</t>
        </is>
      </c>
      <c r="E167" s="84" t="inlineStr">
        <is>
          <t>B0HJSVWNRS</t>
        </is>
      </c>
      <c r="F167" s="84" t="inlineStr">
        <is>
          <t>B0FWY1TGFK</t>
        </is>
      </c>
      <c r="G167" s="84" t="inlineStr">
        <is>
          <t>Queen</t>
        </is>
      </c>
      <c r="H167" s="84" t="inlineStr">
        <is>
          <t>Grey</t>
        </is>
      </c>
      <c r="I167" s="85" t="n">
        <v>49</v>
      </c>
      <c r="J167" s="32" t="inlineStr">
        <is>
          <t>B0FWY1TGFK (67%), B098JT1RF2 (22%)</t>
        </is>
      </c>
      <c r="K167" s="86" t="n">
        <v>34.99</v>
      </c>
      <c r="L167" s="86" t="n"/>
      <c r="M167" s="87">
        <f>IF(AND(ISNUMBER(L167),ISNUMBER(K167),N(K167)&gt;0),L167/K167-1,"")</f>
        <v/>
      </c>
      <c r="N167" s="88">
        <f>IF(M167="","No List Price",IF(M167&lt;=0,"At/below price",IF(M167&lt;=0.12,"&lt;=12% STR zone",IF(M167&lt;=0.25,"12-25%","&gt;25% over"))))</f>
        <v/>
      </c>
      <c r="O167" s="86" t="n">
        <v>89.98999999999999</v>
      </c>
      <c r="P167" s="89">
        <f>IF(AND(ISNUMBER(K167),ISNUMBER(O167),N(O167)&gt;0),K167/O167-1,"")</f>
        <v/>
      </c>
      <c r="Q167" s="32" t="inlineStr">
        <is>
          <t>Same size (Queen). Ours live: Helium 10 Xray, 2026-10-13; 16 children</t>
        </is>
      </c>
      <c r="R167" s="85" t="n">
        <v>5396</v>
      </c>
      <c r="S167" s="85" t="n">
        <v>173</v>
      </c>
      <c r="T167" s="90">
        <f>IF(AND(ISNUMBER(K167),ISNUMBER(S167)),K167*S167*52/12,"")</f>
        <v/>
      </c>
      <c r="U167" s="91" t="n">
        <v>4.3</v>
      </c>
      <c r="V167" s="85" t="n">
        <v>24352</v>
      </c>
      <c r="W167" s="92" t="n">
        <v>46307</v>
      </c>
      <c r="X167" s="92" t="n"/>
      <c r="Y167" s="84" t="n"/>
      <c r="Z167" s="84" t="n"/>
      <c r="AA167" s="85" t="n">
        <v>135323</v>
      </c>
      <c r="AB167" s="85" t="n">
        <v>1187</v>
      </c>
      <c r="AC167" s="93" t="n">
        <v>0.7652350080917514</v>
      </c>
      <c r="AD167" s="93" t="n">
        <v>0.234765015555375</v>
      </c>
      <c r="AE167" s="32" t="inlineStr">
        <is>
          <t>bamboo sheets</t>
        </is>
      </c>
      <c r="AF167" s="93" t="n">
        <v>0.4715236877692632</v>
      </c>
      <c r="AG167" s="93" t="n"/>
      <c r="AH167" s="93" t="n"/>
      <c r="AI167" s="93" t="n">
        <v>0.03684517783377549</v>
      </c>
      <c r="AJ167" s="85" t="n">
        <v>680</v>
      </c>
      <c r="AK167" s="85" t="n">
        <v>214</v>
      </c>
      <c r="AL167" s="85" t="n">
        <v>439</v>
      </c>
      <c r="AM167" s="85" t="n">
        <v>507</v>
      </c>
      <c r="AN167" s="85" t="n">
        <v>384</v>
      </c>
      <c r="AO167" s="85" t="n">
        <v>18</v>
      </c>
      <c r="AP167" s="94" t="n"/>
      <c r="AQ167" s="89" t="n">
        <v>-0.9497907949790795</v>
      </c>
      <c r="AR167" s="95" t="inlineStr">
        <is>
          <t>N</t>
        </is>
      </c>
      <c r="AS167" s="95" t="inlineStr">
        <is>
          <t>none</t>
        </is>
      </c>
      <c r="AT167" s="101" t="n"/>
      <c r="AU167" s="96" t="n">
        <v>34.99</v>
      </c>
      <c r="AV167" s="95" t="inlineStr">
        <is>
          <t>coupon 15%</t>
        </is>
      </c>
      <c r="AW167" s="95" t="inlineStr">
        <is>
          <t>Y</t>
        </is>
      </c>
      <c r="AX167" s="95" t="inlineStr">
        <is>
          <t>2026-10-13 12:11:26</t>
        </is>
      </c>
      <c r="AY167" s="97" t="inlineStr">
        <is>
          <t>Coupon only</t>
        </is>
      </c>
      <c r="AZ167" s="97" t="inlineStr">
        <is>
          <t>11-09 to 11-21</t>
        </is>
      </c>
      <c r="BA167" s="98" t="n">
        <v>34.9</v>
      </c>
      <c r="BB167" s="98" t="n">
        <v>28.18</v>
      </c>
      <c r="BC167" s="87">
        <f>IF(AND(ISNUMBER(BA167),ISNUMBER(BB167),N(BA167)&gt;0),1-BB167/BA167,"")</f>
        <v/>
      </c>
      <c r="BD167" s="99" t="n">
        <v>4671</v>
      </c>
      <c r="BE167" s="99" t="n">
        <v>3278</v>
      </c>
      <c r="BF167" s="100">
        <f>IF(AND(ISNUMBER(BD167),ISNUMBER(BE167),N(BE167)&gt;0),BD167/BE167,"")</f>
        <v/>
      </c>
      <c r="BG167" s="97" t="inlineStr">
        <is>
          <t>N</t>
        </is>
      </c>
      <c r="BH167" s="97" t="inlineStr">
        <is>
          <t>Coupon 15%; List Price $34.90</t>
        </is>
      </c>
    </row>
    <row r="168" ht="62" customHeight="1">
      <c r="A168" s="10">
        <f>_xlfn.IMAGE("https://images-na.ssl-images-amazon.com/images/I/61sz2mcvZmL.jpg")</f>
        <v/>
      </c>
      <c r="B168" s="84" t="inlineStr">
        <is>
          <t>Cosy House Collection</t>
        </is>
      </c>
      <c r="C168" s="32" t="inlineStr">
        <is>
          <t>Cosy House Collection 100% Rayon Derived from Bamboo Bed Sheet Set</t>
        </is>
      </c>
      <c r="D168" s="84" t="inlineStr">
        <is>
          <t>Untiered</t>
        </is>
      </c>
      <c r="E168" s="84" t="inlineStr">
        <is>
          <t>B0CLBDW265</t>
        </is>
      </c>
      <c r="F168" s="84" t="inlineStr">
        <is>
          <t>B0B4F4NTBL</t>
        </is>
      </c>
      <c r="G168" s="84" t="n"/>
      <c r="H168" s="84" t="n"/>
      <c r="I168" s="85" t="n">
        <v>77</v>
      </c>
      <c r="J168" s="32" t="inlineStr"/>
      <c r="K168" s="86" t="n">
        <v>89.95</v>
      </c>
      <c r="L168" s="86" t="n"/>
      <c r="M168" s="87">
        <f>IF(AND(ISNUMBER(L168),ISNUMBER(K168),N(K168)&gt;0),L168/K168-1,"")</f>
        <v/>
      </c>
      <c r="N168" s="88">
        <f>IF(M168="","No List Price",IF(M168&lt;=0,"At/below price",IF(M168&lt;=0.12,"&lt;=12% STR zone",IF(M168&lt;=0.25,"12-25%","&gt;25% over"))))</f>
        <v/>
      </c>
      <c r="O168" s="86" t="n">
        <v>89.98999999999999</v>
      </c>
      <c r="P168" s="89">
        <f>IF(AND(ISNUMBER(K168),ISNUMBER(O168),N(O168)&gt;0),K168/O168-1,"")</f>
        <v/>
      </c>
      <c r="Q168" s="32" t="inlineStr">
        <is>
          <t>Size not stated - vs our Queen. Ours live: Helium 10 Xray, 2026-10-13; 16 children</t>
        </is>
      </c>
      <c r="R168" s="85" t="n">
        <v>20356</v>
      </c>
      <c r="S168" s="85" t="n">
        <v>35</v>
      </c>
      <c r="T168" s="90">
        <f>IF(AND(ISNUMBER(K168),ISNUMBER(S168)),K168*S168*52/12,"")</f>
        <v/>
      </c>
      <c r="U168" s="91" t="n">
        <v>4.3</v>
      </c>
      <c r="V168" s="85" t="n">
        <v>7941</v>
      </c>
      <c r="W168" s="92" t="n">
        <v>46307</v>
      </c>
      <c r="X168" s="92" t="n">
        <v>45344</v>
      </c>
      <c r="Y168" s="84" t="inlineStr">
        <is>
          <t>FBA</t>
        </is>
      </c>
      <c r="Z168" s="84" t="inlineStr">
        <is>
          <t>US</t>
        </is>
      </c>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N</t>
        </is>
      </c>
      <c r="AS168" s="95" t="inlineStr">
        <is>
          <t>none</t>
        </is>
      </c>
      <c r="AT168" s="101" t="n"/>
      <c r="AU168" s="96" t="n">
        <v>89.95</v>
      </c>
      <c r="AV168" s="95" t="inlineStr">
        <is>
          <t>none</t>
        </is>
      </c>
      <c r="AW168" s="95" t="inlineStr">
        <is>
          <t>Y</t>
        </is>
      </c>
      <c r="AX168" s="95" t="inlineStr">
        <is>
          <t>2026-10-13 23:35:59</t>
        </is>
      </c>
      <c r="AY168" s="97" t="inlineStr">
        <is>
          <t>None</t>
        </is>
      </c>
      <c r="AZ168" s="102" t="n"/>
      <c r="BA168" s="98" t="n">
        <v>89.95</v>
      </c>
      <c r="BB168" s="98" t="n">
        <v>89.95</v>
      </c>
      <c r="BC168" s="87">
        <f>IF(AND(ISNUMBER(BA168),ISNUMBER(BB168),N(BA168)&gt;0),1-BB168/BA168,"")</f>
        <v/>
      </c>
      <c r="BD168" s="99" t="n">
        <v>56877</v>
      </c>
      <c r="BE168" s="99" t="n">
        <v>87565</v>
      </c>
      <c r="BF168" s="100">
        <f>IF(AND(ISNUMBER(BD168),ISNUMBER(BE168),N(BE168)&gt;0),BD168/BE168,"")</f>
        <v/>
      </c>
      <c r="BG168" s="97" t="inlineStr">
        <is>
          <t>Y</t>
        </is>
      </c>
      <c r="BH168" s="97" t="inlineStr">
        <is>
          <t>List Price $199.99</t>
        </is>
      </c>
    </row>
    <row r="169" ht="62" customHeight="1">
      <c r="A169" s="10">
        <f>_xlfn.IMAGE("https://images-na.ssl-images-amazon.com/images/I/71QdkBMIZ3L.jpg")</f>
        <v/>
      </c>
      <c r="B169" s="84" t="inlineStr">
        <is>
          <t>MR&amp;HM</t>
        </is>
      </c>
      <c r="C169" s="32" t="inlineStr">
        <is>
          <t>MR&amp;HM Queen Sheets 4 Pieces, Rayon Derived from Bamboo Blend, Dark Grey</t>
        </is>
      </c>
      <c r="D169" s="84" t="inlineStr">
        <is>
          <t>Untiered</t>
        </is>
      </c>
      <c r="E169" s="84" t="inlineStr">
        <is>
          <t>B0DQDMN3WK</t>
        </is>
      </c>
      <c r="F169" s="84" t="inlineStr">
        <is>
          <t>B0DL5NCTYF</t>
        </is>
      </c>
      <c r="G169" s="84" t="inlineStr">
        <is>
          <t>Queen</t>
        </is>
      </c>
      <c r="H169" s="84" t="inlineStr">
        <is>
          <t>Grey</t>
        </is>
      </c>
      <c r="I169" s="85" t="n">
        <v>65</v>
      </c>
      <c r="J169" s="32" t="inlineStr"/>
      <c r="K169" s="86" t="n">
        <v>36.99</v>
      </c>
      <c r="L169" s="86" t="n"/>
      <c r="M169" s="87">
        <f>IF(AND(ISNUMBER(L169),ISNUMBER(K169),N(K169)&gt;0),L169/K169-1,"")</f>
        <v/>
      </c>
      <c r="N169" s="88">
        <f>IF(M169="","No List Price",IF(M169&lt;=0,"At/below price",IF(M169&lt;=0.12,"&lt;=12% STR zone",IF(M169&lt;=0.25,"12-25%","&gt;25% over"))))</f>
        <v/>
      </c>
      <c r="O169" s="86" t="n">
        <v>89.98999999999999</v>
      </c>
      <c r="P169" s="89">
        <f>IF(AND(ISNUMBER(K169),ISNUMBER(O169),N(O169)&gt;0),K169/O169-1,"")</f>
        <v/>
      </c>
      <c r="Q169" s="32" t="inlineStr">
        <is>
          <t>Same size (Queen). Ours live: Helium 10 Xray, 2026-10-13; 16 children</t>
        </is>
      </c>
      <c r="R169" s="85" t="n">
        <v>30653</v>
      </c>
      <c r="S169" s="85" t="n">
        <v>35</v>
      </c>
      <c r="T169" s="90">
        <f>IF(AND(ISNUMBER(K169),ISNUMBER(S169)),K169*S169*52/12,"")</f>
        <v/>
      </c>
      <c r="U169" s="91" t="n">
        <v>4.4</v>
      </c>
      <c r="V169" s="85" t="n">
        <v>616</v>
      </c>
      <c r="W169" s="92" t="n">
        <v>46307</v>
      </c>
      <c r="X169" s="92" t="n">
        <v>45593</v>
      </c>
      <c r="Y169" s="84" t="inlineStr">
        <is>
          <t>FBA</t>
        </is>
      </c>
      <c r="Z169" s="84" t="inlineStr">
        <is>
          <t>HK</t>
        </is>
      </c>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Y</t>
        </is>
      </c>
      <c r="AS169" s="95" t="inlineStr">
        <is>
          <t>List Price</t>
        </is>
      </c>
      <c r="AT169" s="96" t="n">
        <v>38.99</v>
      </c>
      <c r="AU169" s="96" t="n">
        <v>36.99</v>
      </c>
      <c r="AV169" s="95" t="inlineStr">
        <is>
          <t>none</t>
        </is>
      </c>
      <c r="AW169" s="95" t="inlineStr">
        <is>
          <t>Y</t>
        </is>
      </c>
      <c r="AX169" s="95" t="inlineStr">
        <is>
          <t>2026-10-13 23:36:40</t>
        </is>
      </c>
      <c r="AY169" s="97" t="inlineStr">
        <is>
          <t>Prime Exclusive Discount</t>
        </is>
      </c>
      <c r="AZ169" s="97" t="inlineStr">
        <is>
          <t>11-03 to 12-01</t>
        </is>
      </c>
      <c r="BA169" s="98" t="n">
        <v>29.99</v>
      </c>
      <c r="BB169" s="98" t="n">
        <v>28.04</v>
      </c>
      <c r="BC169" s="87">
        <f>IF(AND(ISNUMBER(BA169),ISNUMBER(BB169),N(BA169)&gt;0),1-BB169/BA169,"")</f>
        <v/>
      </c>
      <c r="BD169" s="99" t="n">
        <v>32725</v>
      </c>
      <c r="BE169" s="99" t="n">
        <v>36240</v>
      </c>
      <c r="BF169" s="100">
        <f>IF(AND(ISNUMBER(BD169),ISNUMBER(BE169),N(BE169)&gt;0),BD169/BE169,"")</f>
        <v/>
      </c>
      <c r="BG169" s="97" t="inlineStr">
        <is>
          <t>N</t>
        </is>
      </c>
      <c r="BH169" s="97" t="inlineStr">
        <is>
          <t>Prime Exclusive already running before BFCM week; Buy Box RAISED in BFCM week (median $37.99 vs $32.99 before); List Price $45.99</t>
        </is>
      </c>
    </row>
    <row r="170" ht="62" customHeight="1">
      <c r="A170" s="39" t="inlineStr">
        <is>
          <t>IMAGE MISSING</t>
        </is>
      </c>
      <c r="B170" s="84" t="inlineStr">
        <is>
          <t>KAKIJUMN</t>
        </is>
      </c>
      <c r="C170" s="32" t="inlineStr">
        <is>
          <t>KAKIJUMN 6 Piece King Sheets Set, Rayon Derived from Bamboo Blend</t>
        </is>
      </c>
      <c r="D170" s="84" t="inlineStr">
        <is>
          <t>Untiered</t>
        </is>
      </c>
      <c r="E170" s="84" t="inlineStr">
        <is>
          <t>B0HFVC6529</t>
        </is>
      </c>
      <c r="F170" s="84" t="inlineStr">
        <is>
          <t>B0H1MNZ16Z</t>
        </is>
      </c>
      <c r="G170" s="84" t="inlineStr">
        <is>
          <t>King</t>
        </is>
      </c>
      <c r="H170" s="84" t="n"/>
      <c r="I170" s="85" t="n"/>
      <c r="J170" s="32" t="inlineStr"/>
      <c r="K170" s="86" t="n">
        <v>38.39</v>
      </c>
      <c r="L170" s="86" t="n">
        <v>47.99</v>
      </c>
      <c r="M170" s="87">
        <f>IF(AND(ISNUMBER(L170),ISNUMBER(K170),N(K170)&gt;0),L170/K170-1,"")</f>
        <v/>
      </c>
      <c r="N170" s="88">
        <f>IF(M170="","No List Price",IF(M170&lt;=0,"At/below price",IF(M170&lt;=0.12,"&lt;=12% STR zone",IF(M170&lt;=0.25,"12-25%","&gt;25% over"))))</f>
        <v/>
      </c>
      <c r="O170" s="86" t="n">
        <v>94.98999999999999</v>
      </c>
      <c r="P170" s="89">
        <f>IF(AND(ISNUMBER(K170),ISNUMBER(O170),N(O170)&gt;0),K170/O170-1,"")</f>
        <v/>
      </c>
      <c r="Q170" s="32" t="inlineStr">
        <is>
          <t>Same size (King). Ours live: Helium 10 Xray, 2026-10-13; 16 children</t>
        </is>
      </c>
      <c r="R170" s="85" t="n">
        <v>64915</v>
      </c>
      <c r="S170" s="85" t="n">
        <v>18</v>
      </c>
      <c r="T170" s="90">
        <f>IF(AND(ISNUMBER(K170),ISNUMBER(S170)),K170*S170*52/12,"")</f>
        <v/>
      </c>
      <c r="U170" s="91" t="n">
        <v>4</v>
      </c>
      <c r="V170" s="85" t="n">
        <v>71</v>
      </c>
      <c r="W170" s="92" t="n">
        <v>46307</v>
      </c>
      <c r="X170" s="92" t="n"/>
      <c r="Y170" s="84" t="n"/>
      <c r="Z170" s="84" t="n"/>
      <c r="AA170" s="85" t="n"/>
      <c r="AB170" s="85" t="n"/>
      <c r="AC170" s="93" t="n"/>
      <c r="AD170" s="93" t="n"/>
      <c r="AE170" s="32" t="n"/>
      <c r="AF170" s="93" t="n"/>
      <c r="AG170" s="93" t="n"/>
      <c r="AH170" s="93" t="n"/>
      <c r="AI170" s="93" t="n"/>
      <c r="AJ170" s="85" t="n"/>
      <c r="AK170" s="85" t="n"/>
      <c r="AL170" s="85" t="n"/>
      <c r="AM170" s="85" t="n"/>
      <c r="AN170" s="85" t="n"/>
      <c r="AO170" s="85" t="n"/>
      <c r="AP170" s="94" t="n"/>
      <c r="AQ170" s="89" t="n"/>
      <c r="AR170" s="95" t="inlineStr">
        <is>
          <t>Y</t>
        </is>
      </c>
      <c r="AS170" s="95" t="inlineStr">
        <is>
          <t>List Price</t>
        </is>
      </c>
      <c r="AT170" s="96" t="n">
        <v>47.99</v>
      </c>
      <c r="AU170" s="96" t="n">
        <v>38.39</v>
      </c>
      <c r="AV170" s="95" t="inlineStr">
        <is>
          <t>none</t>
        </is>
      </c>
      <c r="AW170" s="95" t="inlineStr">
        <is>
          <t>Y</t>
        </is>
      </c>
      <c r="AX170" s="95" t="inlineStr">
        <is>
          <t>2026-10-13 23:36:27</t>
        </is>
      </c>
      <c r="AY170" s="97" t="inlineStr">
        <is>
          <t>Not live in 2025</t>
        </is>
      </c>
      <c r="AZ170" s="102" t="n"/>
      <c r="BA170" s="101" t="n"/>
      <c r="BB170" s="101" t="n"/>
      <c r="BC170" s="87">
        <f>IF(AND(ISNUMBER(BA170),ISNUMBER(BB170),N(BA170)&gt;0),1-BB170/BA170,"")</f>
        <v/>
      </c>
      <c r="BD170" s="103" t="n"/>
      <c r="BE170" s="103" t="n"/>
      <c r="BF170" s="100">
        <f>IF(AND(ISNUMBER(BD170),ISNUMBER(BE170),N(BE170)&gt;0),BD170/BE170,"")</f>
        <v/>
      </c>
      <c r="BG170" s="102" t="n"/>
      <c r="BH170" s="102" t="n"/>
    </row>
    <row r="171" ht="62" customHeight="1">
      <c r="A171" s="10">
        <f>_xlfn.IMAGE("https://images-na.ssl-images-amazon.com/images/I/81fpVjndH2L.jpg")</f>
        <v/>
      </c>
      <c r="B171" s="84" t="inlineStr">
        <is>
          <t>Shilucheng</t>
        </is>
      </c>
      <c r="C171" s="32" t="inlineStr">
        <is>
          <t>Shilucheng 4 Piece King Sheet Sets, Cooling Sheets, Dark Grey</t>
        </is>
      </c>
      <c r="D171" s="84" t="inlineStr">
        <is>
          <t>Untiered</t>
        </is>
      </c>
      <c r="E171" s="84" t="inlineStr">
        <is>
          <t>B098JT1RF2</t>
        </is>
      </c>
      <c r="F171" s="84" t="inlineStr">
        <is>
          <t>B098JT1RF2</t>
        </is>
      </c>
      <c r="G171" s="84" t="inlineStr">
        <is>
          <t>King</t>
        </is>
      </c>
      <c r="H171" s="84" t="inlineStr">
        <is>
          <t>Grey</t>
        </is>
      </c>
      <c r="I171" s="85" t="n">
        <v>100</v>
      </c>
      <c r="J171" s="32" t="inlineStr">
        <is>
          <t>B0FWY1TGFK (65%), B098JT1RF2 (23%)</t>
        </is>
      </c>
      <c r="K171" s="86" t="n">
        <v>37.9</v>
      </c>
      <c r="L171" s="86" t="n"/>
      <c r="M171" s="87">
        <f>IF(AND(ISNUMBER(L171),ISNUMBER(K171),N(K171)&gt;0),L171/K171-1,"")</f>
        <v/>
      </c>
      <c r="N171" s="88">
        <f>IF(M171="","No List Price",IF(M171&lt;=0,"At/below price",IF(M171&lt;=0.12,"&lt;=12% STR zone",IF(M171&lt;=0.25,"12-25%","&gt;25% over"))))</f>
        <v/>
      </c>
      <c r="O171" s="86" t="n">
        <v>94.98999999999999</v>
      </c>
      <c r="P171" s="89">
        <f>IF(AND(ISNUMBER(K171),ISNUMBER(O171),N(O171)&gt;0),K171/O171-1,"")</f>
        <v/>
      </c>
      <c r="Q171" s="32" t="inlineStr">
        <is>
          <t>Same size (King). Ours live: Helium 10 Xray, 2026-10-13; 16 children</t>
        </is>
      </c>
      <c r="R171" s="85" t="n">
        <v>9187</v>
      </c>
      <c r="S171" s="85" t="n">
        <v>18</v>
      </c>
      <c r="T171" s="90">
        <f>IF(AND(ISNUMBER(K171),ISNUMBER(S171)),K171*S171*52/12,"")</f>
        <v/>
      </c>
      <c r="U171" s="91" t="n">
        <v>4.3</v>
      </c>
      <c r="V171" s="85" t="n">
        <v>24333</v>
      </c>
      <c r="W171" s="92" t="n">
        <v>46286</v>
      </c>
      <c r="X171" s="92" t="n">
        <v>44379</v>
      </c>
      <c r="Y171" s="84" t="inlineStr">
        <is>
          <t>FBA</t>
        </is>
      </c>
      <c r="Z171" s="84" t="inlineStr">
        <is>
          <t>CN</t>
        </is>
      </c>
      <c r="AA171" s="85" t="n">
        <v>23320</v>
      </c>
      <c r="AB171" s="85" t="n">
        <v>859</v>
      </c>
      <c r="AC171" s="93" t="n">
        <v>0.6141093996569467</v>
      </c>
      <c r="AD171" s="93" t="n">
        <v>0.3858907375643228</v>
      </c>
      <c r="AE171" s="32" t="inlineStr">
        <is>
          <t>bamboo sheets</t>
        </is>
      </c>
      <c r="AF171" s="93" t="n">
        <v>0.5330188679245284</v>
      </c>
      <c r="AG171" s="93" t="n"/>
      <c r="AH171" s="93" t="n"/>
      <c r="AI171" s="93" t="n">
        <v>0.006989708404802744</v>
      </c>
      <c r="AJ171" s="85" t="n">
        <v>550</v>
      </c>
      <c r="AK171" s="85" t="n">
        <v>255</v>
      </c>
      <c r="AL171" s="85" t="n">
        <v>264</v>
      </c>
      <c r="AM171" s="85" t="n">
        <v>309</v>
      </c>
      <c r="AN171" s="85" t="n">
        <v>186</v>
      </c>
      <c r="AO171" s="85" t="n">
        <v>22</v>
      </c>
      <c r="AP171" s="94" t="n"/>
      <c r="AQ171" s="89" t="n">
        <v>-0.9551569506726457</v>
      </c>
      <c r="AR171" s="95" t="inlineStr">
        <is>
          <t>N</t>
        </is>
      </c>
      <c r="AS171" s="95" t="inlineStr">
        <is>
          <t>none</t>
        </is>
      </c>
      <c r="AT171" s="101" t="n"/>
      <c r="AU171" s="96" t="n">
        <v>37.9</v>
      </c>
      <c r="AV171" s="95" t="inlineStr">
        <is>
          <t>coupon 15%</t>
        </is>
      </c>
      <c r="AW171" s="95" t="inlineStr">
        <is>
          <t>Y</t>
        </is>
      </c>
      <c r="AX171" s="95" t="inlineStr">
        <is>
          <t>2026-10-13 12:11:29</t>
        </is>
      </c>
      <c r="AY171" s="97" t="inlineStr">
        <is>
          <t>Coupon only</t>
        </is>
      </c>
      <c r="AZ171" s="97" t="inlineStr">
        <is>
          <t>11-05 to 12-05</t>
        </is>
      </c>
      <c r="BA171" s="98" t="n">
        <v>37.9</v>
      </c>
      <c r="BB171" s="98" t="n">
        <v>30.32</v>
      </c>
      <c r="BC171" s="87">
        <f>IF(AND(ISNUMBER(BA171),ISNUMBER(BB171),N(BA171)&gt;0),1-BB171/BA171,"")</f>
        <v/>
      </c>
      <c r="BD171" s="99" t="n">
        <v>4668</v>
      </c>
      <c r="BE171" s="99" t="n">
        <v>3277</v>
      </c>
      <c r="BF171" s="100">
        <f>IF(AND(ISNUMBER(BD171),ISNUMBER(BE171),N(BE171)&gt;0),BD171/BE171,"")</f>
        <v/>
      </c>
      <c r="BG171" s="97" t="inlineStr">
        <is>
          <t>N</t>
        </is>
      </c>
      <c r="BH171" s="97" t="inlineStr">
        <is>
          <t>Coupon 15%; List Price $37.90</t>
        </is>
      </c>
    </row>
    <row r="172" ht="62" customHeight="1">
      <c r="A172" s="39" t="inlineStr">
        <is>
          <t>IMAGE MISSING</t>
        </is>
      </c>
      <c r="B172" s="84" t="inlineStr">
        <is>
          <t>Brooklyn Loom</t>
        </is>
      </c>
      <c r="C172" s="32" t="inlineStr">
        <is>
          <t>Brooklyn Loom 300 Thread Count Sateen 100% Rayon from Bamboo Deep Pocket 4 Piece</t>
        </is>
      </c>
      <c r="D172" s="84" t="inlineStr">
        <is>
          <t>Untiered</t>
        </is>
      </c>
      <c r="E172" s="84" t="inlineStr">
        <is>
          <t>B0H29TVSQX</t>
        </is>
      </c>
      <c r="F172" s="84" t="inlineStr">
        <is>
          <t>B0FQ8JCH46</t>
        </is>
      </c>
      <c r="G172" s="84" t="n"/>
      <c r="H172" s="84" t="n"/>
      <c r="I172" s="85" t="n"/>
      <c r="J172" s="32" t="inlineStr"/>
      <c r="K172" s="86" t="n">
        <v>84.98999999999999</v>
      </c>
      <c r="L172" s="86" t="n"/>
      <c r="M172" s="87">
        <f>IF(AND(ISNUMBER(L172),ISNUMBER(K172),N(K172)&gt;0),L172/K172-1,"")</f>
        <v/>
      </c>
      <c r="N172" s="88">
        <f>IF(M172="","No List Price",IF(M172&lt;=0,"At/below price",IF(M172&lt;=0.12,"&lt;=12% STR zone",IF(M172&lt;=0.25,"12-25%","&gt;25% over"))))</f>
        <v/>
      </c>
      <c r="O172" s="86" t="n">
        <v>89.98999999999999</v>
      </c>
      <c r="P172" s="89">
        <f>IF(AND(ISNUMBER(K172),ISNUMBER(O172),N(O172)&gt;0),K172/O172-1,"")</f>
        <v/>
      </c>
      <c r="Q172" s="32" t="inlineStr">
        <is>
          <t>Size not stated - vs our Queen. Ours live: Helium 10 Xray, 2026-10-13; 16 children</t>
        </is>
      </c>
      <c r="R172" s="85" t="n">
        <v>1216102</v>
      </c>
      <c r="S172" s="85" t="n">
        <v>5</v>
      </c>
      <c r="T172" s="90">
        <f>IF(AND(ISNUMBER(K172),ISNUMBER(S172)),K172*S172*52/12,"")</f>
        <v/>
      </c>
      <c r="U172" s="91" t="n">
        <v>4.5</v>
      </c>
      <c r="V172" s="85" t="n">
        <v>13</v>
      </c>
      <c r="W172" s="92" t="n">
        <v>46307</v>
      </c>
      <c r="X172" s="92" t="n"/>
      <c r="Y172" s="84" t="n"/>
      <c r="Z172" s="84" t="n"/>
      <c r="AA172" s="85" t="n"/>
      <c r="AB172" s="85" t="n"/>
      <c r="AC172" s="93" t="n"/>
      <c r="AD172" s="93" t="n"/>
      <c r="AE172" s="32" t="n"/>
      <c r="AF172" s="93" t="n"/>
      <c r="AG172" s="93" t="n"/>
      <c r="AH172" s="93" t="n"/>
      <c r="AI172" s="93" t="n"/>
      <c r="AJ172" s="85" t="n"/>
      <c r="AK172" s="85" t="n"/>
      <c r="AL172" s="85" t="n"/>
      <c r="AM172" s="85" t="n"/>
      <c r="AN172" s="85" t="n"/>
      <c r="AO172" s="85" t="n"/>
      <c r="AP172" s="94" t="n"/>
      <c r="AQ172" s="89" t="n"/>
      <c r="AR172" s="95" t="inlineStr">
        <is>
          <t>N</t>
        </is>
      </c>
      <c r="AS172" s="95" t="inlineStr">
        <is>
          <t>none</t>
        </is>
      </c>
      <c r="AT172" s="101" t="n"/>
      <c r="AU172" s="96" t="n">
        <v>129.99</v>
      </c>
      <c r="AV172" s="95" t="inlineStr">
        <is>
          <t>none</t>
        </is>
      </c>
      <c r="AW172" s="95" t="inlineStr">
        <is>
          <t>Y</t>
        </is>
      </c>
      <c r="AX172" s="95" t="inlineStr">
        <is>
          <t>2026-10-13 23:47:55</t>
        </is>
      </c>
      <c r="AY172" s="97" t="inlineStr">
        <is>
          <t>None</t>
        </is>
      </c>
      <c r="AZ172" s="102" t="n"/>
      <c r="BA172" s="98" t="n">
        <v>129.99</v>
      </c>
      <c r="BB172" s="98" t="n">
        <v>129.99</v>
      </c>
      <c r="BC172" s="87">
        <f>IF(AND(ISNUMBER(BA172),ISNUMBER(BB172),N(BA172)&gt;0),1-BB172/BA172,"")</f>
        <v/>
      </c>
      <c r="BD172" s="99" t="n">
        <v>1517805</v>
      </c>
      <c r="BE172" s="103" t="n"/>
      <c r="BF172" s="100">
        <f>IF(AND(ISNUMBER(BD172),ISNUMBER(BE172),N(BE172)&gt;0),BD172/BE172,"")</f>
        <v/>
      </c>
      <c r="BG172" s="97" t="inlineStr">
        <is>
          <t>N</t>
        </is>
      </c>
      <c r="BH172" s="97" t="inlineStr">
        <is>
          <t>List Price $260.00</t>
        </is>
      </c>
    </row>
    <row r="173" ht="62" customHeight="1">
      <c r="A173" s="39" t="inlineStr">
        <is>
          <t>IMAGE MISSING</t>
        </is>
      </c>
      <c r="B173" s="84" t="inlineStr">
        <is>
          <t>MRIDU</t>
        </is>
      </c>
      <c r="C173" s="32" t="inlineStr">
        <is>
          <t>MRIDU Bamboo Viscose Sheet Set, 4-Piece, Pure White, King</t>
        </is>
      </c>
      <c r="D173" s="84" t="inlineStr">
        <is>
          <t>Untiered</t>
        </is>
      </c>
      <c r="E173" s="84" t="inlineStr">
        <is>
          <t>B0GSXPDW9C</t>
        </is>
      </c>
      <c r="F173" s="84" t="inlineStr">
        <is>
          <t>B0GSXRR9DN</t>
        </is>
      </c>
      <c r="G173" s="84" t="inlineStr">
        <is>
          <t>King</t>
        </is>
      </c>
      <c r="H173" s="84" t="inlineStr">
        <is>
          <t>White</t>
        </is>
      </c>
      <c r="I173" s="85" t="n"/>
      <c r="J173" s="32" t="inlineStr"/>
      <c r="K173" s="86" t="n">
        <v>89.98999999999999</v>
      </c>
      <c r="L173" s="86" t="n"/>
      <c r="M173" s="87">
        <f>IF(AND(ISNUMBER(L173),ISNUMBER(K173),N(K173)&gt;0),L173/K173-1,"")</f>
        <v/>
      </c>
      <c r="N173" s="88">
        <f>IF(M173="","No List Price",IF(M173&lt;=0,"At/below price",IF(M173&lt;=0.12,"&lt;=12% STR zone",IF(M173&lt;=0.25,"12-25%","&gt;25% over"))))</f>
        <v/>
      </c>
      <c r="O173" s="86" t="n">
        <v>94.98999999999999</v>
      </c>
      <c r="P173" s="89">
        <f>IF(AND(ISNUMBER(K173),ISNUMBER(O173),N(O173)&gt;0),K173/O173-1,"")</f>
        <v/>
      </c>
      <c r="Q173" s="32" t="inlineStr">
        <is>
          <t>Same size (King). Ours live: Helium 10 Xray, 2026-10-13; 16 children</t>
        </is>
      </c>
      <c r="R173" s="85" t="n">
        <v>1970806</v>
      </c>
      <c r="S173" s="85" t="n">
        <v>5</v>
      </c>
      <c r="T173" s="90">
        <f>IF(AND(ISNUMBER(K173),ISNUMBER(S173)),K173*S173*52/12,"")</f>
        <v/>
      </c>
      <c r="U173" s="91" t="n">
        <v>3.9</v>
      </c>
      <c r="V173" s="85" t="n">
        <v>24</v>
      </c>
      <c r="W173" s="92" t="n">
        <v>46307</v>
      </c>
      <c r="X173" s="92" t="n"/>
      <c r="Y173" s="84" t="n"/>
      <c r="Z173" s="84" t="n"/>
      <c r="AA173" s="85" t="n"/>
      <c r="AB173" s="85" t="n"/>
      <c r="AC173" s="93" t="n"/>
      <c r="AD173" s="93" t="n"/>
      <c r="AE173" s="32" t="n"/>
      <c r="AF173" s="93" t="n"/>
      <c r="AG173" s="93" t="n"/>
      <c r="AH173" s="93" t="n"/>
      <c r="AI173" s="93" t="n"/>
      <c r="AJ173" s="85" t="n"/>
      <c r="AK173" s="85" t="n"/>
      <c r="AL173" s="85" t="n"/>
      <c r="AM173" s="85" t="n"/>
      <c r="AN173" s="85" t="n"/>
      <c r="AO173" s="85" t="n"/>
      <c r="AP173" s="94" t="n"/>
      <c r="AQ173" s="89" t="n"/>
      <c r="AR173" s="95" t="inlineStr">
        <is>
          <t>N</t>
        </is>
      </c>
      <c r="AS173" s="95" t="inlineStr">
        <is>
          <t>none</t>
        </is>
      </c>
      <c r="AT173" s="101" t="n"/>
      <c r="AU173" s="96" t="n">
        <v>89.98999999999999</v>
      </c>
      <c r="AV173" s="95" t="inlineStr">
        <is>
          <t>none</t>
        </is>
      </c>
      <c r="AW173" s="95" t="inlineStr">
        <is>
          <t>Y</t>
        </is>
      </c>
      <c r="AX173" s="95" t="inlineStr">
        <is>
          <t>2026-10-13 23:36:42</t>
        </is>
      </c>
      <c r="AY173" s="97" t="inlineStr">
        <is>
          <t>Not live in 2025</t>
        </is>
      </c>
      <c r="AZ173" s="102" t="n"/>
      <c r="BA173" s="101" t="n"/>
      <c r="BB173" s="101" t="n"/>
      <c r="BC173" s="87">
        <f>IF(AND(ISNUMBER(BA173),ISNUMBER(BB173),N(BA173)&gt;0),1-BB173/BA173,"")</f>
        <v/>
      </c>
      <c r="BD173" s="103" t="n"/>
      <c r="BE173" s="103" t="n"/>
      <c r="BF173" s="100">
        <f>IF(AND(ISNUMBER(BD173),ISNUMBER(BE173),N(BE173)&gt;0),BD173/BE173,"")</f>
        <v/>
      </c>
      <c r="BG173" s="102" t="n"/>
      <c r="BH173" s="102" t="n"/>
    </row>
    <row r="175" ht="20" customHeight="1">
      <c r="A175" s="54" t="inlineStr">
        <is>
          <t>5 · WHAT THIS MEANS FOR BFCM</t>
        </is>
      </c>
    </row>
    <row r="176" ht="30" customHeight="1">
      <c r="A176" s="104" t="inlineStr">
        <is>
          <t>•  Who sells most: Love's cabin ~924/wk at $37.99 (List $44.99, +18%); Bedsure ~809/wk at $62.99 (List $69.99, +11%); Pure Bamboo ~809/wk at $109.99; Hotel Sheets Direct ~347/wk at $79.99; KRIMANO ~185/wk at $84.99. Tracked rivals ~5,455 units/wk; we sell ~453/wk (7.7% of the tracked set).</t>
        </is>
      </c>
    </row>
    <row r="177" ht="18" customHeight="1">
      <c r="A177" s="104" t="inlineStr">
        <is>
          <t>•  Strikethrough: 15 of 55 rivals set a List Price above price; 3 within 12%: Bedsure +11%, AiAngu +7%, Kickoff Home +10%.</t>
        </is>
      </c>
    </row>
    <row r="178" ht="30" customHeight="1">
      <c r="A178" s="104" t="inlineStr">
        <is>
          <t>•  Price: 35 of 55 rivals sit below our price today (same size where the title states one). Cheapest strong rivals: Love's cabin $37.99, BAMPURE $37.99, DOZ by SIJO $55.00, SONORO KATE $59.99.</t>
        </is>
      </c>
    </row>
    <row r="179" ht="30" customHeight="1">
      <c r="A179" s="104" t="inlineStr">
        <is>
          <t>•  Strikethrough on the page today (Oct 13 check): 18 of 55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80" ht="30" customHeight="1">
      <c r="A180" s="104" t="inlineStr">
        <is>
          <t>•  Search: we lose most shared keywords to Bedsure (we win 122, lose 1398), Pure Bamboo (we win 118, lose 1357), Love's cabin (we win 186, lose 1128). Biggest ad gaps (they advertise where we don't or harder): Pure Bamboo 3,363 + 139 KWs, Bedsure 2,984 + 140 KWs, Bedsure 2,055 + 211 KWs.</t>
        </is>
      </c>
    </row>
    <row r="181" ht="30" customHeight="1">
      <c r="A181" s="104" t="inlineStr">
        <is>
          <t>•  Brand ads: Bedsure (SB 94%, SBV 65%), Pure Bamboo (SB 82%, SBV 88%), Bedsure (SB 98%, SBV 53%), BC BELLA COTERIE (SB 57%, SBV 56%), GOKOTTA (SB 8%, SBV 85%) hold Sponsored Brands / video on most of their traffic - the plan has our SB, SBV and display live by Nov 1.</t>
        </is>
      </c>
    </row>
    <row r="182" ht="18" customHeight="1">
      <c r="A182" s="104" t="inlineStr">
        <is>
          <t>•  Our BFCM 2025: 4.25x daily sales in BFCM week vs the 30 days before; TACoS 6.3% vs 11.2% before; December 1.86x.</t>
        </is>
      </c>
    </row>
    <row r="183" ht="18" customHeight="1">
      <c r="A183" s="104" t="inlineStr">
        <is>
          <t>•  Prime Day 2026: our organic visibility 0.91x vs rivals' median 1.25x (n=14) - rivals gained more event visibility than we did.</t>
        </is>
      </c>
    </row>
    <row r="184" ht="30" customHeight="1">
      <c r="A184" s="104" t="inlineStr">
        <is>
          <t>•  BFCM 2025, 37 rivals with Keepa history: Prime Exclusive Discount 16, None 11, Price cut only 6, Coupon only 4. Median depth vs their Nov 1-19 price 15%; median BSR lift 1.17x. 9 raised their Buy Box in BFCM week, so their deal looked deeper than it was.</t>
        </is>
      </c>
    </row>
    <row r="185" ht="18" customHeight="1">
      <c r="A185" s="104" t="inlineStr">
        <is>
          <t>•  1 rival not in the Keepa pulls yet (yellow BFCM 2025 columns) - remaining P2 batches, AGENT_PROMPTS Prompt 2.</t>
        </is>
      </c>
    </row>
  </sheetData>
  <autoFilter ref="B118:BH173"/>
  <mergeCells count="72">
    <mergeCell ref="A15:BH15"/>
    <mergeCell ref="K117:W117"/>
    <mergeCell ref="A108:C108"/>
    <mergeCell ref="A182:BH182"/>
    <mergeCell ref="L5:Q5"/>
    <mergeCell ref="A1:BH1"/>
    <mergeCell ref="A178:BH178"/>
    <mergeCell ref="A110:BH110"/>
    <mergeCell ref="Q11:T11"/>
    <mergeCell ref="A101:C101"/>
    <mergeCell ref="L8:Q8"/>
    <mergeCell ref="L4:Q4"/>
    <mergeCell ref="D7:I7"/>
    <mergeCell ref="A13:D13"/>
    <mergeCell ref="A104:C104"/>
    <mergeCell ref="I13:L13"/>
    <mergeCell ref="AA117:AQ117"/>
    <mergeCell ref="A16:BH16"/>
    <mergeCell ref="A183:BH183"/>
    <mergeCell ref="D4:I4"/>
    <mergeCell ref="L10:Q10"/>
    <mergeCell ref="E12:H12"/>
    <mergeCell ref="Q13:T13"/>
    <mergeCell ref="A177:BH177"/>
    <mergeCell ref="A117:H117"/>
    <mergeCell ref="D9:I9"/>
    <mergeCell ref="X117:Z117"/>
    <mergeCell ref="U12:X12"/>
    <mergeCell ref="L9:Q9"/>
    <mergeCell ref="Q12:T12"/>
    <mergeCell ref="A106:C106"/>
    <mergeCell ref="A11:D11"/>
    <mergeCell ref="A109:C109"/>
    <mergeCell ref="I11:L11"/>
    <mergeCell ref="A3:BH3"/>
    <mergeCell ref="L6:Q6"/>
    <mergeCell ref="D8:I8"/>
    <mergeCell ref="A4:B9"/>
    <mergeCell ref="T6:Y6"/>
    <mergeCell ref="A113:BH113"/>
    <mergeCell ref="AR117:AX117"/>
    <mergeCell ref="A102:C102"/>
    <mergeCell ref="A179:BH179"/>
    <mergeCell ref="A175:BH175"/>
    <mergeCell ref="D5:I5"/>
    <mergeCell ref="A185:BH185"/>
    <mergeCell ref="A116:BH116"/>
    <mergeCell ref="M11:P11"/>
    <mergeCell ref="U11:X11"/>
    <mergeCell ref="A181:BH181"/>
    <mergeCell ref="A100:BH100"/>
    <mergeCell ref="E13:H13"/>
    <mergeCell ref="A184:BH184"/>
    <mergeCell ref="A180:BH180"/>
    <mergeCell ref="D10:I10"/>
    <mergeCell ref="L7:Q7"/>
    <mergeCell ref="T5:Y5"/>
    <mergeCell ref="A107:C107"/>
    <mergeCell ref="AY117:BH117"/>
    <mergeCell ref="A103:C103"/>
    <mergeCell ref="A12:D12"/>
    <mergeCell ref="M13:P13"/>
    <mergeCell ref="A112:BH112"/>
    <mergeCell ref="A115:BH115"/>
    <mergeCell ref="I12:L12"/>
    <mergeCell ref="U13:X13"/>
    <mergeCell ref="M12:P12"/>
    <mergeCell ref="A111:BH111"/>
    <mergeCell ref="T4:Y4"/>
    <mergeCell ref="D6:I6"/>
    <mergeCell ref="E11:H11"/>
    <mergeCell ref="A176:BH176"/>
  </mergeCells>
  <conditionalFormatting sqref="N119:N173">
    <cfRule type="expression" priority="1" dxfId="1">
      <formula>N119="&lt;=12% STR zone"</formula>
    </cfRule>
  </conditionalFormatting>
  <conditionalFormatting sqref="W119:W173">
    <cfRule type="expression" priority="2" dxfId="0">
      <formula>AND(ISNUMBER(W119),W119&lt;DATE(2026,10,6))</formula>
    </cfRule>
  </conditionalFormatting>
  <conditionalFormatting sqref="Q119:Q173">
    <cfRule type="expression" priority="3" dxfId="0">
      <formula>ISNUMBER(SEARCH("STALE",Q119))</formula>
    </cfRule>
  </conditionalFormatting>
  <conditionalFormatting sqref="P119:P173">
    <cfRule type="expression" priority="4" dxfId="0">
      <formula>AND(ISNUMBER(P119),P119&lt;0)</formula>
    </cfRule>
  </conditionalFormatting>
  <dataValidations count="3">
    <dataValidation sqref="AR119:AR173 BG119:BG173" showDropDown="0" showInputMessage="0" showErrorMessage="0" allowBlank="1" type="list">
      <formula1>"Y,N"</formula1>
    </dataValidation>
    <dataValidation sqref="AS119:AS173" showDropDown="0" showInputMessage="0" showErrorMessage="0" allowBlank="1" type="list">
      <formula1>"List Price,Typical price,Was price,None"</formula1>
    </dataValidation>
    <dataValidation sqref="AY119: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BH13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4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_xlfn.IMAGE("https://m.media-amazon.com/images/I/81E9bvs4TYL._AC_SL1500_.jpg")</f>
        <v/>
      </c>
      <c r="C4" s="11" t="inlineStr">
        <is>
          <t>Title</t>
        </is>
      </c>
      <c r="D4" s="12" t="inlineStr">
        <is>
          <t>DECOLURE 100% Organic Bamboo Viscose Sheets Queen Size 4 pcs - Ultra Soft &amp; Luxuriously Cooling, 16" Deep Pocket, Double Stitching, Perfect for Hot Sleepers - Luxury Queen Bed Sheets Set (White)</t>
        </is>
      </c>
      <c r="K4" s="11" t="inlineStr">
        <is>
          <t>Sizes</t>
        </is>
      </c>
      <c r="L4" s="55" t="inlineStr">
        <is>
          <t>California King, Full, King, Queen, Twin</t>
        </is>
      </c>
      <c r="S4" s="11" t="inlineStr">
        <is>
          <t>Break-even ACoS</t>
        </is>
      </c>
      <c r="T4" s="55" t="inlineStr">
        <is>
          <t>47%</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479</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B0BZQ1G5B8 (one of our child ASINs, not the Amazon parent)</t>
        </is>
      </c>
    </row>
    <row r="7" ht="22" customHeight="1">
      <c r="C7" s="11" t="inlineStr">
        <is>
          <t>Parent ASIN (Amazon)</t>
        </is>
      </c>
      <c r="D7" s="55" t="inlineStr">
        <is>
          <t>B08LW37SB9</t>
        </is>
      </c>
      <c r="K7" s="11" t="inlineStr">
        <is>
          <t>Rating / reviews now</t>
        </is>
      </c>
      <c r="L7" s="55" t="inlineStr">
        <is>
          <t>Not checked yet</t>
        </is>
      </c>
    </row>
    <row r="8" ht="22" customHeight="1">
      <c r="C8" s="11" t="inlineStr">
        <is>
          <t>Best-selling child ASIN</t>
        </is>
      </c>
      <c r="D8" s="55" t="inlineStr">
        <is>
          <t>B08KQJGM74</t>
        </is>
      </c>
      <c r="K8" s="11" t="inlineStr">
        <is>
          <t>Live prices held</t>
        </is>
      </c>
      <c r="L8" s="55" t="inlineStr">
        <is>
          <t>0 of 80 variations</t>
        </is>
      </c>
    </row>
    <row r="9" ht="22" customHeight="1">
      <c r="C9" s="11" t="inlineStr">
        <is>
          <t>Stage</t>
        </is>
      </c>
      <c r="D9" s="55" t="inlineStr">
        <is>
          <t>Re-Launch</t>
        </is>
      </c>
      <c r="K9" s="11" t="inlineStr">
        <is>
          <t>Blended price (Command Center)</t>
        </is>
      </c>
      <c r="L9" s="55" t="inlineStr">
        <is>
          <t>$98.14 - fee feed as of 2026-03-30, STALE</t>
        </is>
      </c>
    </row>
    <row r="10">
      <c r="C10" s="11" t="inlineStr">
        <is>
          <t>Total variations (SKUs)</t>
        </is>
      </c>
      <c r="D10" s="55" t="n">
        <v>80</v>
      </c>
      <c r="K10" s="11" t="inlineStr">
        <is>
          <t>Contribution / unit</t>
        </is>
      </c>
      <c r="L10" s="55" t="inlineStr">
        <is>
          <t>$45.80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3.08x</t>
        </is>
      </c>
      <c r="E12" s="57" t="inlineStr">
        <is>
          <t>11.5%</t>
        </is>
      </c>
      <c r="I12" s="57" t="inlineStr">
        <is>
          <t>2.19x</t>
        </is>
      </c>
      <c r="M12" s="57" t="inlineStr">
        <is>
          <t>15</t>
        </is>
      </c>
      <c r="Q12" s="57" t="inlineStr">
        <is>
          <t>13</t>
        </is>
      </c>
      <c r="U12" s="57" t="inlineStr">
        <is>
          <t>8 of 15</t>
        </is>
      </c>
    </row>
    <row r="13">
      <c r="A13" s="58" t="inlineStr">
        <is>
          <t>daily sales, BFCM wk vs 30 days before (SellerBoard actual)</t>
        </is>
      </c>
      <c r="E13" s="58" t="inlineStr">
        <is>
          <t>vs 12.7%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_xlfn.IMAGE("https://m.media-amazon.com/images/I/81E9bvs4TYL.jpg")</f>
        <v/>
      </c>
      <c r="B18" s="32" t="inlineStr">
        <is>
          <t>B08KQJGM74</t>
        </is>
      </c>
      <c r="C18" s="32" t="inlineStr">
        <is>
          <t>BAMBOO-QUEEN-WHITE</t>
        </is>
      </c>
      <c r="D18" s="32" t="inlineStr">
        <is>
          <t>DECOLURE 100% Organic Bamboo Viscose Sheets Queen Size 4 pcs - Ultra Soft &amp; Luxuriously Cooling, 16" Deep Pocket, Double Stitching, Perfect for Hot Sleepers - Luxury Queen Bed Sheets Set (White)</t>
        </is>
      </c>
      <c r="E18" s="32" t="inlineStr">
        <is>
          <t>Queen</t>
        </is>
      </c>
      <c r="F18" s="32" t="inlineStr">
        <is>
          <t>White</t>
        </is>
      </c>
      <c r="G18" s="33" t="n"/>
      <c r="H18" s="32" t="n"/>
      <c r="I18" s="61" t="n">
        <v>99.98999999999999</v>
      </c>
      <c r="J18" s="62" t="inlineStr">
        <is>
          <t>2026-03-30</t>
        </is>
      </c>
      <c r="K18" s="33" t="n">
        <v>49.53999999999999</v>
      </c>
      <c r="L18" s="63" t="n">
        <v>0.4954495449544954</v>
      </c>
      <c r="M18" s="64" t="n">
        <v>36</v>
      </c>
      <c r="N18" s="32" t="inlineStr">
        <is>
          <t>Active</t>
        </is>
      </c>
      <c r="O18" s="32" t="n"/>
      <c r="P18" s="65" t="n"/>
      <c r="Q18" s="64" t="n"/>
      <c r="R18" s="64" t="n"/>
      <c r="S18" s="64" t="n"/>
      <c r="T18" s="32" t="n"/>
    </row>
    <row r="19" ht="62" customHeight="1">
      <c r="A19" s="10">
        <f>_xlfn.IMAGE("https://m.media-amazon.com/images/I/81bmbyz5uFL.jpg")</f>
        <v/>
      </c>
      <c r="B19" s="32" t="inlineStr">
        <is>
          <t>B08KQJ61T7</t>
        </is>
      </c>
      <c r="C19" s="32" t="inlineStr">
        <is>
          <t>BAMBOO-KING-TAUPE</t>
        </is>
      </c>
      <c r="D19" s="32" t="inlineStr">
        <is>
          <t>DECOLURE 100% Organic Bamboo Viscose Sheets King Size 4 pcs - Ultra Soft &amp; Luxuriously Cooling, 16" Deep Pocket, Double Stitching, Perfect for Hot Sleepers - Luxury King Bed Sheets Set (Taupe)</t>
        </is>
      </c>
      <c r="E19" s="32" t="inlineStr">
        <is>
          <t>King</t>
        </is>
      </c>
      <c r="F19" s="32" t="inlineStr">
        <is>
          <t>Taupe</t>
        </is>
      </c>
      <c r="G19" s="33" t="n"/>
      <c r="H19" s="32" t="n"/>
      <c r="I19" s="61" t="n">
        <v>99.98999999999999</v>
      </c>
      <c r="J19" s="62" t="inlineStr">
        <is>
          <t>2026-03-30</t>
        </is>
      </c>
      <c r="K19" s="33" t="n">
        <v>44.84</v>
      </c>
      <c r="L19" s="63" t="n">
        <v>0.4484448444844485</v>
      </c>
      <c r="M19" s="64" t="n">
        <v>30</v>
      </c>
      <c r="N19" s="32" t="inlineStr">
        <is>
          <t>Active</t>
        </is>
      </c>
      <c r="O19" s="32" t="n"/>
      <c r="P19" s="65" t="n"/>
      <c r="Q19" s="64" t="n"/>
      <c r="R19" s="64" t="n"/>
      <c r="S19" s="64" t="n"/>
      <c r="T19" s="32" t="n"/>
    </row>
    <row r="20" ht="62" customHeight="1">
      <c r="A20" s="10">
        <f>_xlfn.IMAGE("https://m.media-amazon.com/images/I/81E9bvs4TYL.jpg")</f>
        <v/>
      </c>
      <c r="B20" s="32" t="inlineStr">
        <is>
          <t>B08KQHRDDG</t>
        </is>
      </c>
      <c r="C20" s="32" t="inlineStr">
        <is>
          <t>BAMBOO-KING-WHITE</t>
        </is>
      </c>
      <c r="D20" s="32" t="inlineStr">
        <is>
          <t>DECOLURE 100% Organic Bamboo Viscose Sheets King Size 4 pcs - Ultra Soft &amp; Luxuriously Cooling, 16" Deep Pocket, Double Stitching, Perfect for Hot Sleepers - Luxury King Bed Sheets Set (White)</t>
        </is>
      </c>
      <c r="E20" s="32" t="inlineStr">
        <is>
          <t>King</t>
        </is>
      </c>
      <c r="F20" s="32" t="inlineStr">
        <is>
          <t>White</t>
        </is>
      </c>
      <c r="G20" s="33" t="n"/>
      <c r="H20" s="32" t="n"/>
      <c r="I20" s="61" t="n">
        <v>99.98999999999999</v>
      </c>
      <c r="J20" s="62" t="inlineStr">
        <is>
          <t>2026-03-30</t>
        </is>
      </c>
      <c r="K20" s="33" t="n">
        <v>44.74999999999999</v>
      </c>
      <c r="L20" s="63" t="n">
        <v>0.4475447544754474</v>
      </c>
      <c r="M20" s="64" t="n">
        <v>27</v>
      </c>
      <c r="N20" s="32" t="inlineStr">
        <is>
          <t>Active</t>
        </is>
      </c>
      <c r="O20" s="32" t="n"/>
      <c r="P20" s="65" t="n"/>
      <c r="Q20" s="64" t="n"/>
      <c r="R20" s="64" t="n"/>
      <c r="S20" s="64" t="n"/>
      <c r="T20" s="32" t="n"/>
    </row>
    <row r="21" ht="62" customHeight="1">
      <c r="A21" s="10">
        <f>_xlfn.IMAGE("https://m.media-amazon.com/images/I/81Jrmiuxy2L.jpg")</f>
        <v/>
      </c>
      <c r="B21" s="32" t="inlineStr">
        <is>
          <t>B08KQKKRNC</t>
        </is>
      </c>
      <c r="C21" s="32" t="inlineStr">
        <is>
          <t>BAMBOO-QUEEN-NAVYBLUE</t>
        </is>
      </c>
      <c r="D21" s="32" t="inlineStr">
        <is>
          <t>DECOLURE 100% Organic Bamboo Viscose Sheets Queen Size 4 pcs - Ultra Soft &amp; Luxuriously Cooling, 16" Deep Pocket, Double Stitching,Perfect for Hot Sleepers - Luxury Queen Bed Sheets Set (Navy Blue)</t>
        </is>
      </c>
      <c r="E21" s="32" t="inlineStr">
        <is>
          <t>Queen</t>
        </is>
      </c>
      <c r="F21" s="32" t="inlineStr">
        <is>
          <t>Navy Blue</t>
        </is>
      </c>
      <c r="G21" s="33" t="n"/>
      <c r="H21" s="32" t="n"/>
      <c r="I21" s="61" t="n">
        <v>99.98999999999999</v>
      </c>
      <c r="J21" s="62" t="inlineStr">
        <is>
          <t>2026-03-30</t>
        </is>
      </c>
      <c r="K21" s="33" t="n">
        <v>49.59999999999999</v>
      </c>
      <c r="L21" s="63" t="n">
        <v>0.4960496049604959</v>
      </c>
      <c r="M21" s="64" t="n">
        <v>25</v>
      </c>
      <c r="N21" s="32" t="inlineStr">
        <is>
          <t>Active</t>
        </is>
      </c>
      <c r="O21" s="32" t="n"/>
      <c r="P21" s="65" t="n"/>
      <c r="Q21" s="64" t="n"/>
      <c r="R21" s="64" t="n"/>
      <c r="S21" s="64" t="n"/>
      <c r="T21" s="32" t="n"/>
    </row>
    <row r="22" ht="62" customHeight="1">
      <c r="A22" s="10">
        <f>_xlfn.IMAGE("https://m.media-amazon.com/images/I/81bmbyz5uFL.jpg")</f>
        <v/>
      </c>
      <c r="B22" s="32" t="inlineStr">
        <is>
          <t>B08KQJMZ8Q</t>
        </is>
      </c>
      <c r="C22" s="32" t="inlineStr">
        <is>
          <t>BAMBOO-QUEEN-TAUPE</t>
        </is>
      </c>
      <c r="D22" s="32" t="inlineStr">
        <is>
          <t>DECOLURE 100% Organic Bamboo Viscose Sheets Queen Size 4 pcs - Ultra Soft &amp; Luxuriously Cooling, 16" Deep Pocket, Double Stitching, Perfect for Hot Sleepers - Luxury Queen Bed Sheets Set (Taupe)</t>
        </is>
      </c>
      <c r="E22" s="32" t="inlineStr">
        <is>
          <t>Queen</t>
        </is>
      </c>
      <c r="F22" s="32" t="inlineStr">
        <is>
          <t>Taupe</t>
        </is>
      </c>
      <c r="G22" s="33" t="n"/>
      <c r="H22" s="32" t="n"/>
      <c r="I22" s="61" t="n">
        <v>99.98999999999999</v>
      </c>
      <c r="J22" s="62" t="inlineStr">
        <is>
          <t>2026-03-30</t>
        </is>
      </c>
      <c r="K22" s="33" t="n">
        <v>49.54999999999999</v>
      </c>
      <c r="L22" s="63" t="n">
        <v>0.4955495549554955</v>
      </c>
      <c r="M22" s="64" t="n">
        <v>25</v>
      </c>
      <c r="N22" s="32" t="inlineStr">
        <is>
          <t>Active</t>
        </is>
      </c>
      <c r="O22" s="32" t="n"/>
      <c r="P22" s="65" t="n"/>
      <c r="Q22" s="64" t="n"/>
      <c r="R22" s="64" t="n"/>
      <c r="S22" s="64" t="n"/>
      <c r="T22" s="32" t="n"/>
    </row>
    <row r="23" ht="62" customHeight="1">
      <c r="A23" s="10">
        <f>_xlfn.IMAGE("https://m.media-amazon.com/images/I/81mgYawt2DL.jpg")</f>
        <v/>
      </c>
      <c r="B23" s="32" t="inlineStr">
        <is>
          <t>B0BZPZ2L1R</t>
        </is>
      </c>
      <c r="C23" s="32" t="inlineStr">
        <is>
          <t>BAMBOO-KING-BLACK</t>
        </is>
      </c>
      <c r="D23" s="32" t="inlineStr">
        <is>
          <t>DECOLURE 100% Organic Bamboo Viscose Sheets King Size 4 pcs - Ultra Soft &amp; Luxuriously Cooling, 16" Deep Pocket, Double Stitching, Perfect for Hot Sleepers - Luxury King Bed Sheets Set (Black)</t>
        </is>
      </c>
      <c r="E23" s="32" t="inlineStr">
        <is>
          <t>King</t>
        </is>
      </c>
      <c r="F23" s="32" t="inlineStr">
        <is>
          <t>Black</t>
        </is>
      </c>
      <c r="G23" s="33" t="n"/>
      <c r="H23" s="32" t="n"/>
      <c r="I23" s="61" t="n">
        <v>99.98999999999999</v>
      </c>
      <c r="J23" s="62" t="inlineStr">
        <is>
          <t>2026-03-30</t>
        </is>
      </c>
      <c r="K23" s="33" t="n">
        <v>44.52999999999999</v>
      </c>
      <c r="L23" s="63" t="n">
        <v>0.4453445344534453</v>
      </c>
      <c r="M23" s="64" t="n">
        <v>23</v>
      </c>
      <c r="N23" s="32" t="inlineStr">
        <is>
          <t>Active</t>
        </is>
      </c>
      <c r="O23" s="32" t="n"/>
      <c r="P23" s="65" t="n"/>
      <c r="Q23" s="64" t="n"/>
      <c r="R23" s="64" t="n"/>
      <c r="S23" s="64" t="n"/>
      <c r="T23" s="32" t="n"/>
    </row>
    <row r="24" ht="62" customHeight="1">
      <c r="A24" s="10">
        <f>_xlfn.IMAGE("https://m.media-amazon.com/images/I/81Mz595QL2L.jpg")</f>
        <v/>
      </c>
      <c r="B24" s="32" t="inlineStr">
        <is>
          <t>B08KQJ3M9N</t>
        </is>
      </c>
      <c r="C24" s="32" t="inlineStr">
        <is>
          <t>BAMBOO-KING-LIGHTGREY</t>
        </is>
      </c>
      <c r="D24" s="32" t="inlineStr">
        <is>
          <t>DECOLURE 100% Organic Bamboo Viscose Sheets King Size 4 pcs - Ultra Soft &amp; Luxuriously Cooling, 16" Deep Pocket, Double Stitching, Perfect for Hot Sleepers - Luxury King Bed Sheets Set (Light Grey)</t>
        </is>
      </c>
      <c r="E24" s="32" t="inlineStr">
        <is>
          <t>King</t>
        </is>
      </c>
      <c r="F24" s="32" t="inlineStr">
        <is>
          <t>Light Grey</t>
        </is>
      </c>
      <c r="G24" s="33" t="n"/>
      <c r="H24" s="32" t="n"/>
      <c r="I24" s="61" t="n">
        <v>99.98999999999999</v>
      </c>
      <c r="J24" s="62" t="inlineStr">
        <is>
          <t>2026-03-30</t>
        </is>
      </c>
      <c r="K24" s="33" t="n">
        <v>44.34999999999999</v>
      </c>
      <c r="L24" s="63" t="n">
        <v>0.4435443544354435</v>
      </c>
      <c r="M24" s="64" t="n">
        <v>22</v>
      </c>
      <c r="N24" s="32" t="inlineStr">
        <is>
          <t>Active</t>
        </is>
      </c>
      <c r="O24" s="32" t="n"/>
      <c r="P24" s="65" t="n"/>
      <c r="Q24" s="64" t="n"/>
      <c r="R24" s="64" t="n"/>
      <c r="S24" s="64" t="n"/>
      <c r="T24" s="32" t="n"/>
    </row>
    <row r="25" ht="62" customHeight="1">
      <c r="A25" s="10">
        <f>_xlfn.IMAGE("https://m.media-amazon.com/images/I/81Jj2qvOarL.jpg")</f>
        <v/>
      </c>
      <c r="B25" s="32" t="inlineStr">
        <is>
          <t>B08KQL6HKG</t>
        </is>
      </c>
      <c r="C25" s="32" t="inlineStr">
        <is>
          <t>BAMBOO-KING-LIGHTBLUE</t>
        </is>
      </c>
      <c r="D25" s="32" t="inlineStr">
        <is>
          <t>DECOLURE 100% Organic Bamboo Viscose Sheets King Size 4 pcs - Ultra Soft &amp; Luxuriously Cooling, 16" Deep Pocket, Double Stitching, Perfect for Hot Sleepers - Luxury King Bed Sheets Set (Light Blue)</t>
        </is>
      </c>
      <c r="E25" s="32" t="inlineStr">
        <is>
          <t>King</t>
        </is>
      </c>
      <c r="F25" s="32" t="inlineStr">
        <is>
          <t>Light Blue</t>
        </is>
      </c>
      <c r="G25" s="33" t="n"/>
      <c r="H25" s="32" t="n"/>
      <c r="I25" s="61" t="n">
        <v>99.98999999999999</v>
      </c>
      <c r="J25" s="62" t="inlineStr">
        <is>
          <t>2026-03-30</t>
        </is>
      </c>
      <c r="K25" s="33" t="n">
        <v>45.19</v>
      </c>
      <c r="L25" s="63" t="n">
        <v>0.4519451945194519</v>
      </c>
      <c r="M25" s="64" t="n">
        <v>21</v>
      </c>
      <c r="N25" s="32" t="inlineStr">
        <is>
          <t>Active</t>
        </is>
      </c>
      <c r="O25" s="32" t="n"/>
      <c r="P25" s="65" t="n"/>
      <c r="Q25" s="64" t="n"/>
      <c r="R25" s="64" t="n"/>
      <c r="S25" s="64" t="n"/>
      <c r="T25" s="32" t="n"/>
    </row>
    <row r="26" ht="62" customHeight="1">
      <c r="A26" s="10">
        <f>_xlfn.IMAGE("https://m.media-amazon.com/images/I/81xihWts51L.jpg")</f>
        <v/>
      </c>
      <c r="B26" s="32" t="inlineStr">
        <is>
          <t>B08KQJRSW6</t>
        </is>
      </c>
      <c r="C26" s="32" t="inlineStr">
        <is>
          <t>BAMBOO-QUEEN-OLIVE</t>
        </is>
      </c>
      <c r="D26" s="32" t="inlineStr">
        <is>
          <t>DECOLURE 100% Organic Bamboo Viscose Sheets Queen Size 4 pcs - Ultra Soft &amp; Luxuriously Cooling, 16" Deep Pocket, Double Stitching, Perfect for Hot Sleepers - Luxury Queen Bed Sheets Set (Olive)</t>
        </is>
      </c>
      <c r="E26" s="32" t="inlineStr">
        <is>
          <t>Queen</t>
        </is>
      </c>
      <c r="F26" s="32" t="inlineStr">
        <is>
          <t>Olive</t>
        </is>
      </c>
      <c r="G26" s="33" t="n"/>
      <c r="H26" s="32" t="n"/>
      <c r="I26" s="61" t="n">
        <v>99.98999999999999</v>
      </c>
      <c r="J26" s="62" t="inlineStr">
        <is>
          <t>2026-03-30</t>
        </is>
      </c>
      <c r="K26" s="33" t="n">
        <v>49.30999999999999</v>
      </c>
      <c r="L26" s="63" t="n">
        <v>0.493149314931493</v>
      </c>
      <c r="M26" s="64" t="n">
        <v>21</v>
      </c>
      <c r="N26" s="32" t="inlineStr">
        <is>
          <t>Active</t>
        </is>
      </c>
      <c r="O26" s="32" t="n"/>
      <c r="P26" s="65" t="n"/>
      <c r="Q26" s="64" t="n"/>
      <c r="R26" s="64" t="n"/>
      <c r="S26" s="64" t="n"/>
      <c r="T26" s="32" t="n"/>
    </row>
    <row r="27" ht="62" customHeight="1">
      <c r="A27" s="10">
        <f>_xlfn.IMAGE("https://m.media-amazon.com/images/I/81wmkV-8ExL.jpg")</f>
        <v/>
      </c>
      <c r="B27" s="32" t="inlineStr">
        <is>
          <t>B08KQJQ3C2</t>
        </is>
      </c>
      <c r="C27" s="32" t="inlineStr">
        <is>
          <t>BAMBOO-KING-GREY</t>
        </is>
      </c>
      <c r="D27" s="32" t="inlineStr">
        <is>
          <t>DECOLURE 100% Organic Bamboo Viscose Sheets King Size 4 pcs - Ultra Soft &amp; Luxuriously Cooling, 16" Deep Pocket, Double Stitching, Perfect for Hot Sleepers - Luxury King Bed Sheets Set (Grey)</t>
        </is>
      </c>
      <c r="E27" s="32" t="inlineStr">
        <is>
          <t>King</t>
        </is>
      </c>
      <c r="F27" s="32" t="inlineStr">
        <is>
          <t>Grey</t>
        </is>
      </c>
      <c r="G27" s="33" t="n"/>
      <c r="H27" s="32" t="n"/>
      <c r="I27" s="61" t="n">
        <v>113.86</v>
      </c>
      <c r="J27" s="62" t="inlineStr">
        <is>
          <t>2026-03-30</t>
        </is>
      </c>
      <c r="K27" s="33" t="n">
        <v>50.98999999999999</v>
      </c>
      <c r="L27" s="63" t="n">
        <v>0.4478306692429299</v>
      </c>
      <c r="M27" s="64" t="n">
        <v>19</v>
      </c>
      <c r="N27" s="32" t="inlineStr">
        <is>
          <t>Active</t>
        </is>
      </c>
      <c r="O27" s="32" t="n"/>
      <c r="P27" s="65" t="n"/>
      <c r="Q27" s="64" t="n"/>
      <c r="R27" s="64" t="n"/>
      <c r="S27" s="64" t="n"/>
      <c r="T27" s="32" t="n"/>
    </row>
    <row r="28" ht="62" customHeight="1">
      <c r="A28" s="10">
        <f>_xlfn.IMAGE("https://m.media-amazon.com/images/I/81mgYawt2DL.jpg")</f>
        <v/>
      </c>
      <c r="B28" s="32" t="inlineStr">
        <is>
          <t>B0BZPYZ1XY</t>
        </is>
      </c>
      <c r="C28" s="32" t="inlineStr">
        <is>
          <t>BAMBOO-FULL-BLACK</t>
        </is>
      </c>
      <c r="D28" s="32" t="inlineStr">
        <is>
          <t>DECOLURE 100% Organic Bamboo Viscose Sheets Full Size 4 pcs - Ultra Soft &amp; Luxuriously Cooling, 16" Deep Pocket, Double Stitching, Perfect for Hot Sleepers - Luxury Full Bed Sheets Set (Black)</t>
        </is>
      </c>
      <c r="E28" s="32" t="inlineStr">
        <is>
          <t>Full</t>
        </is>
      </c>
      <c r="F28" s="32" t="inlineStr">
        <is>
          <t>Black</t>
        </is>
      </c>
      <c r="G28" s="33" t="n"/>
      <c r="H28" s="32" t="n"/>
      <c r="I28" s="61" t="n">
        <v>79.98999999999999</v>
      </c>
      <c r="J28" s="62" t="inlineStr">
        <is>
          <t>2026-03-30</t>
        </is>
      </c>
      <c r="K28" s="33" t="n">
        <v>33.75999999999999</v>
      </c>
      <c r="L28" s="63" t="n">
        <v>0.4220527565945743</v>
      </c>
      <c r="M28" s="64" t="n">
        <v>15</v>
      </c>
      <c r="N28" s="32" t="inlineStr">
        <is>
          <t>Active</t>
        </is>
      </c>
      <c r="O28" s="32" t="n"/>
      <c r="P28" s="65" t="n"/>
      <c r="Q28" s="64" t="n"/>
      <c r="R28" s="64" t="n"/>
      <c r="S28" s="64" t="n"/>
      <c r="T28" s="32" t="n"/>
    </row>
    <row r="29" ht="62" customHeight="1">
      <c r="A29" s="10">
        <f>_xlfn.IMAGE("https://m.media-amazon.com/images/I/81aBlh93veL.jpg")</f>
        <v/>
      </c>
      <c r="B29" s="32" t="inlineStr">
        <is>
          <t>B0BZQ18QJB</t>
        </is>
      </c>
      <c r="C29" s="32" t="inlineStr">
        <is>
          <t>BAMBOO-QUEEN-MIDGREY</t>
        </is>
      </c>
      <c r="D29" s="32" t="inlineStr">
        <is>
          <t>DECOLURE 100% Organic Bamboo Viscose Sheets Queen Size 4 pcs - Ultra Soft &amp; Luxuriously Cooling, 16" Deep Pocket, Double Stitching, Perfect for Hot Sleepers - Luxury Queen Bed Sheets Set (Midgrey)</t>
        </is>
      </c>
      <c r="E29" s="32" t="inlineStr">
        <is>
          <t>Queen</t>
        </is>
      </c>
      <c r="F29" s="32" t="inlineStr">
        <is>
          <t>Midgrey</t>
        </is>
      </c>
      <c r="G29" s="33" t="n"/>
      <c r="H29" s="32" t="n"/>
      <c r="I29" s="61" t="n">
        <v>99.98999999999999</v>
      </c>
      <c r="J29" s="62" t="inlineStr">
        <is>
          <t>2026-03-30</t>
        </is>
      </c>
      <c r="K29" s="33" t="n">
        <v>49.42999999999999</v>
      </c>
      <c r="L29" s="63" t="n">
        <v>0.4943494349434943</v>
      </c>
      <c r="M29" s="64" t="n">
        <v>14</v>
      </c>
      <c r="N29" s="32" t="inlineStr">
        <is>
          <t>Active</t>
        </is>
      </c>
      <c r="O29" s="32" t="n"/>
      <c r="P29" s="65" t="n"/>
      <c r="Q29" s="64" t="n"/>
      <c r="R29" s="64" t="n"/>
      <c r="S29" s="64" t="n"/>
      <c r="T29" s="32" t="n"/>
    </row>
    <row r="30" ht="62" customHeight="1">
      <c r="A30" s="10">
        <f>_xlfn.IMAGE("https://m.media-amazon.com/images/I/81Jj2qvOarL.jpg")</f>
        <v/>
      </c>
      <c r="B30" s="32" t="inlineStr">
        <is>
          <t>B08KQKXQLS</t>
        </is>
      </c>
      <c r="C30" s="32" t="inlineStr">
        <is>
          <t>BAMBOO-QUEEN-LIGHTBLUE</t>
        </is>
      </c>
      <c r="D30" s="32" t="inlineStr">
        <is>
          <t>DECOLURE 100% Organic Bamboo Viscose Sheets Queen Size 4 pcs - Ultra Soft &amp; Luxuriously Cooling, 16" Deep Pocket, Double Stitching,Perfect for Hot Sleepers - Luxury Queen Bed Sheets Set (Light Blue)</t>
        </is>
      </c>
      <c r="E30" s="32" t="inlineStr">
        <is>
          <t>Queen</t>
        </is>
      </c>
      <c r="F30" s="32" t="inlineStr">
        <is>
          <t>Light Blue</t>
        </is>
      </c>
      <c r="G30" s="33" t="n"/>
      <c r="H30" s="32" t="n"/>
      <c r="I30" s="61" t="n">
        <v>99.98999999999999</v>
      </c>
      <c r="J30" s="62" t="inlineStr">
        <is>
          <t>2026-03-30</t>
        </is>
      </c>
      <c r="K30" s="33" t="n">
        <v>48.67999999999999</v>
      </c>
      <c r="L30" s="63" t="n">
        <v>0.4868486848684868</v>
      </c>
      <c r="M30" s="64" t="n">
        <v>13</v>
      </c>
      <c r="N30" s="32" t="inlineStr">
        <is>
          <t>Active</t>
        </is>
      </c>
      <c r="O30" s="32" t="n"/>
      <c r="P30" s="65" t="n"/>
      <c r="Q30" s="64" t="n"/>
      <c r="R30" s="64" t="n"/>
      <c r="S30" s="64" t="n"/>
      <c r="T30" s="32" t="n"/>
    </row>
    <row r="31" ht="62" customHeight="1">
      <c r="A31" s="10">
        <f>_xlfn.IMAGE("https://m.media-amazon.com/images/I/81jtUZ9WZqL.jpg")</f>
        <v/>
      </c>
      <c r="B31" s="32" t="inlineStr">
        <is>
          <t>B08KQJ62YC</t>
        </is>
      </c>
      <c r="C31" s="32" t="inlineStr">
        <is>
          <t>BAMBOO-KING-CREME</t>
        </is>
      </c>
      <c r="D31" s="32" t="inlineStr">
        <is>
          <t>DECOLURE 100% Organic Bamboo Viscose Sheets King Size 4 pcs - Ultra Soft &amp; Luxuriously Cooling, 16" Deep Pocket, Double Stitching, Perfect for Hot Sleepers - Luxury King Bed Sheets Set (Creme)</t>
        </is>
      </c>
      <c r="E31" s="32" t="inlineStr">
        <is>
          <t>King</t>
        </is>
      </c>
      <c r="F31" s="32" t="inlineStr">
        <is>
          <t>Creme</t>
        </is>
      </c>
      <c r="G31" s="33" t="n"/>
      <c r="H31" s="32" t="n"/>
      <c r="I31" s="61" t="n">
        <v>99.98999999999999</v>
      </c>
      <c r="J31" s="62" t="inlineStr">
        <is>
          <t>2026-03-30</t>
        </is>
      </c>
      <c r="K31" s="33" t="n">
        <v>44.83</v>
      </c>
      <c r="L31" s="63" t="n">
        <v>0.4483448344834484</v>
      </c>
      <c r="M31" s="64" t="n">
        <v>12</v>
      </c>
      <c r="N31" s="32" t="inlineStr">
        <is>
          <t>Active</t>
        </is>
      </c>
      <c r="O31" s="32" t="n"/>
      <c r="P31" s="65" t="n"/>
      <c r="Q31" s="64" t="n"/>
      <c r="R31" s="64" t="n"/>
      <c r="S31" s="64" t="n"/>
      <c r="T31" s="32" t="n"/>
    </row>
    <row r="32" ht="62" customHeight="1">
      <c r="A32" s="10">
        <f>_xlfn.IMAGE("https://m.media-amazon.com/images/I/81LPiN50m6L.jpg")</f>
        <v/>
      </c>
      <c r="B32" s="32" t="inlineStr">
        <is>
          <t>B0BZQ3ZGNG</t>
        </is>
      </c>
      <c r="C32" s="32" t="inlineStr">
        <is>
          <t>BAMBOO-QUEEN-PURPLE</t>
        </is>
      </c>
      <c r="D32" s="32" t="inlineStr">
        <is>
          <t>DECOLURE 100% Organic Bamboo Viscose Sheets Queen Size 4 pcs - Ultra Soft &amp; Luxuriously Cooling, 16" Deep Pocket, Double Stitching, Perfect for Hot Sleepers - Luxury Queen Bed Sheets Set (Purple)</t>
        </is>
      </c>
      <c r="E32" s="32" t="inlineStr">
        <is>
          <t>Queen</t>
        </is>
      </c>
      <c r="F32" s="32" t="inlineStr">
        <is>
          <t>Purple</t>
        </is>
      </c>
      <c r="G32" s="33" t="n"/>
      <c r="H32" s="32" t="n"/>
      <c r="I32" s="61" t="n">
        <v>99.98999999999999</v>
      </c>
      <c r="J32" s="62" t="inlineStr">
        <is>
          <t>2026-03-30</t>
        </is>
      </c>
      <c r="K32" s="33" t="n">
        <v>49.12</v>
      </c>
      <c r="L32" s="63" t="n">
        <v>0.4912491249124913</v>
      </c>
      <c r="M32" s="64" t="n">
        <v>11</v>
      </c>
      <c r="N32" s="32" t="inlineStr">
        <is>
          <t>Active</t>
        </is>
      </c>
      <c r="O32" s="32" t="n"/>
      <c r="P32" s="65" t="n"/>
      <c r="Q32" s="64" t="n"/>
      <c r="R32" s="64" t="n"/>
      <c r="S32" s="64" t="n"/>
      <c r="T32" s="32" t="n"/>
    </row>
    <row r="33" ht="62" customHeight="1">
      <c r="A33" s="10">
        <f>_xlfn.IMAGE("https://m.media-amazon.com/images/I/81Dxp2jtVQL.jpg")</f>
        <v/>
      </c>
      <c r="B33" s="32" t="inlineStr">
        <is>
          <t>B08KQJRL41</t>
        </is>
      </c>
      <c r="C33" s="32" t="inlineStr">
        <is>
          <t>BAMBOO-TWIN-NAVYBLUE</t>
        </is>
      </c>
      <c r="D33" s="32" t="inlineStr">
        <is>
          <t>DECOLURE 100% Organic Bamboo Viscose Sheets Twin Size 3 pcs - Ultra Soft &amp; Luxuriously Cooling, 16" Deep Pocket, Double Stitching, Perfect for Hot Sleepers - Luxury Twin Bed Sheets Set (Navy Blue)</t>
        </is>
      </c>
      <c r="E33" s="32" t="inlineStr">
        <is>
          <t>Twin</t>
        </is>
      </c>
      <c r="F33" s="32" t="inlineStr">
        <is>
          <t>Navy Blue</t>
        </is>
      </c>
      <c r="G33" s="33" t="n"/>
      <c r="H33" s="32" t="n"/>
      <c r="I33" s="61" t="n">
        <v>79.98999999999999</v>
      </c>
      <c r="J33" s="62" t="inlineStr">
        <is>
          <t>2026-03-30</t>
        </is>
      </c>
      <c r="K33" s="33" t="n">
        <v>40.03999999999999</v>
      </c>
      <c r="L33" s="63" t="n">
        <v>0.5005625703212901</v>
      </c>
      <c r="M33" s="64" t="n">
        <v>10</v>
      </c>
      <c r="N33" s="32" t="inlineStr">
        <is>
          <t>Active</t>
        </is>
      </c>
      <c r="O33" s="32" t="n"/>
      <c r="P33" s="65" t="n"/>
      <c r="Q33" s="64" t="n"/>
      <c r="R33" s="64" t="n"/>
      <c r="S33" s="64" t="n"/>
      <c r="T33" s="32" t="n"/>
    </row>
    <row r="34" ht="62" customHeight="1">
      <c r="A34" s="10">
        <f>_xlfn.IMAGE("https://m.media-amazon.com/images/I/81hxPp-zxnL.jpg")</f>
        <v/>
      </c>
      <c r="B34" s="32" t="inlineStr">
        <is>
          <t>B0CLK9QXX3</t>
        </is>
      </c>
      <c r="C34" s="32" t="inlineStr">
        <is>
          <t>BAMBOO-KING-LIGHT PINK</t>
        </is>
      </c>
      <c r="D34" s="32" t="inlineStr">
        <is>
          <t>DECOLURE 100% Organic Viscose Derived from Bamboo Sheets King Size 4pcs - Ultra Soft &amp; Luxuriously Cooling, 17" Deep Pocket, Double Stitching, Perfect for Hot Sleepers - King Bed Sheets (Light Pink)</t>
        </is>
      </c>
      <c r="E34" s="32" t="inlineStr">
        <is>
          <t>King</t>
        </is>
      </c>
      <c r="F34" s="32" t="inlineStr">
        <is>
          <t>Light Pink</t>
        </is>
      </c>
      <c r="G34" s="33" t="n"/>
      <c r="H34" s="32" t="n"/>
      <c r="I34" s="61" t="n">
        <v>99.98999999999999</v>
      </c>
      <c r="J34" s="62" t="inlineStr">
        <is>
          <t>2026-03-30</t>
        </is>
      </c>
      <c r="K34" s="33" t="n">
        <v>43.71999999999998</v>
      </c>
      <c r="L34" s="63" t="n">
        <v>0.4372437243724371</v>
      </c>
      <c r="M34" s="64" t="n">
        <v>9</v>
      </c>
      <c r="N34" s="32" t="inlineStr">
        <is>
          <t>Active</t>
        </is>
      </c>
      <c r="O34" s="32" t="n"/>
      <c r="P34" s="65" t="n"/>
      <c r="Q34" s="64" t="n"/>
      <c r="R34" s="64" t="n"/>
      <c r="S34" s="64" t="n"/>
      <c r="T34" s="32" t="n"/>
    </row>
    <row r="35" ht="62" customHeight="1">
      <c r="A35" s="10">
        <f>_xlfn.IMAGE("https://m.media-amazon.com/images/I/81T+gwobemL.jpg")</f>
        <v/>
      </c>
      <c r="B35" s="32" t="inlineStr">
        <is>
          <t>B0CLKJL9KD</t>
        </is>
      </c>
      <c r="C35" s="32" t="inlineStr">
        <is>
          <t>BAMBOO-QUEEN-SAGE GREEN</t>
        </is>
      </c>
      <c r="D35" s="32" t="inlineStr">
        <is>
          <t>DECOLURE 100% Organic Viscose Derived from Bamboo Sheets Queen Size 4pcs - Ultra Soft &amp; Luxuriously Cooling, 17" Deep Pocket, Double Stitching, Perfect for Hot Sleepers - Queen Bed Sheets (Sage Green)</t>
        </is>
      </c>
      <c r="E35" s="32" t="inlineStr">
        <is>
          <t>Queen</t>
        </is>
      </c>
      <c r="F35" s="32" t="inlineStr">
        <is>
          <t>Sage Green</t>
        </is>
      </c>
      <c r="G35" s="33" t="n"/>
      <c r="H35" s="32" t="n"/>
      <c r="I35" s="61" t="n">
        <v>99.98999999999999</v>
      </c>
      <c r="J35" s="62" t="inlineStr">
        <is>
          <t>2026-03-22</t>
        </is>
      </c>
      <c r="K35" s="33" t="n">
        <v>49.34999999999999</v>
      </c>
      <c r="L35" s="63" t="n">
        <v>0.4935493549354935</v>
      </c>
      <c r="M35" s="64" t="n">
        <v>9</v>
      </c>
      <c r="N35" s="32" t="inlineStr">
        <is>
          <t>Active</t>
        </is>
      </c>
      <c r="O35" s="32" t="n"/>
      <c r="P35" s="65" t="n"/>
      <c r="Q35" s="64" t="n"/>
      <c r="R35" s="64" t="n"/>
      <c r="S35" s="64" t="n"/>
      <c r="T35" s="32" t="n"/>
    </row>
    <row r="36" ht="62" customHeight="1">
      <c r="A36" s="10">
        <f>_xlfn.IMAGE("https://m.media-amazon.com/images/I/81jAmePDWeL.jpg")</f>
        <v/>
      </c>
      <c r="B36" s="32" t="inlineStr">
        <is>
          <t>B0BZPZPGDC</t>
        </is>
      </c>
      <c r="C36" s="32" t="inlineStr">
        <is>
          <t>BAMBOO-FULL-LIGHTOLIVE</t>
        </is>
      </c>
      <c r="D36" s="32" t="inlineStr">
        <is>
          <t>DECOLURE 100% Organic Bamboo Viscose Sheets Full Size 4 pcs - Ultra Soft &amp; Luxuriously Cooling, 16" Deep Pocket, Double Stitching,Perfect for Hot Sleepers - Luxury Full Bed Sheets Set (Light Olive)</t>
        </is>
      </c>
      <c r="E36" s="32" t="inlineStr">
        <is>
          <t>Full</t>
        </is>
      </c>
      <c r="F36" s="32" t="inlineStr">
        <is>
          <t>Light Olive</t>
        </is>
      </c>
      <c r="G36" s="33" t="n"/>
      <c r="H36" s="32" t="n"/>
      <c r="I36" s="61" t="n">
        <v>93.01000000000001</v>
      </c>
      <c r="J36" s="62" t="inlineStr">
        <is>
          <t>2026-03-30</t>
        </is>
      </c>
      <c r="K36" s="33" t="n">
        <v>39.43</v>
      </c>
      <c r="L36" s="63" t="n">
        <v>0.4239329104397376</v>
      </c>
      <c r="M36" s="64" t="n">
        <v>8</v>
      </c>
      <c r="N36" s="32" t="inlineStr">
        <is>
          <t>Active</t>
        </is>
      </c>
      <c r="O36" s="32" t="n"/>
      <c r="P36" s="65" t="n"/>
      <c r="Q36" s="64" t="n"/>
      <c r="R36" s="64" t="n"/>
      <c r="S36" s="64" t="n"/>
      <c r="T36" s="32" t="n"/>
    </row>
    <row r="37" ht="62" customHeight="1">
      <c r="A37" s="10">
        <f>_xlfn.IMAGE("https://m.media-amazon.com/images/I/81LPiN50m6L.jpg")</f>
        <v/>
      </c>
      <c r="B37" s="32" t="inlineStr">
        <is>
          <t>B0BZPY4PXY</t>
        </is>
      </c>
      <c r="C37" s="32" t="inlineStr">
        <is>
          <t>BAMBOO-FULL-PURPLE</t>
        </is>
      </c>
      <c r="D37" s="32" t="inlineStr">
        <is>
          <t>DECOLURE 100% Organic Bamboo Viscose Sheets Full Size 4 pcs - Ultra Soft &amp; Luxuriously Cooling, 16" Deep Pocket, Double Stitching, Perfect for Hot Sleepers - Luxury Full Bed Sheets Set (Purple)</t>
        </is>
      </c>
      <c r="E37" s="32" t="inlineStr">
        <is>
          <t>Full</t>
        </is>
      </c>
      <c r="F37" s="32" t="inlineStr">
        <is>
          <t>Purple</t>
        </is>
      </c>
      <c r="G37" s="33" t="n"/>
      <c r="H37" s="32" t="n"/>
      <c r="I37" s="61" t="n">
        <v>79.98999999999999</v>
      </c>
      <c r="J37" s="62" t="inlineStr">
        <is>
          <t>2026-03-30</t>
        </is>
      </c>
      <c r="K37" s="33" t="n">
        <v>34.45</v>
      </c>
      <c r="L37" s="63" t="n">
        <v>0.4306788348543568</v>
      </c>
      <c r="M37" s="64" t="n">
        <v>8</v>
      </c>
      <c r="N37" s="32" t="inlineStr">
        <is>
          <t>Active</t>
        </is>
      </c>
      <c r="O37" s="32" t="n"/>
      <c r="P37" s="65" t="n"/>
      <c r="Q37" s="64" t="n"/>
      <c r="R37" s="64" t="n"/>
      <c r="S37" s="64" t="n"/>
      <c r="T37" s="32" t="n"/>
    </row>
    <row r="38" ht="62" customHeight="1">
      <c r="A38" s="10">
        <f>_xlfn.IMAGE("https://m.media-amazon.com/images/I/81T+gwobemL.jpg")</f>
        <v/>
      </c>
      <c r="B38" s="32" t="inlineStr">
        <is>
          <t>B0CLKFLJMZ</t>
        </is>
      </c>
      <c r="C38" s="32" t="inlineStr">
        <is>
          <t>BAMBOO-FULL-SAGE GREEN</t>
        </is>
      </c>
      <c r="D38" s="32" t="inlineStr">
        <is>
          <t>DECOLURE 100% Organic Viscose Derived from Bamboo Sheets Full Size 4pcs - Ultra Soft &amp; Luxuriously Cooling, 17" Deep Pocket, Double Stitching, Perfect for Hot Sleepers - Full Bed Sheets (Sage Green)</t>
        </is>
      </c>
      <c r="E38" s="32" t="inlineStr">
        <is>
          <t>Full</t>
        </is>
      </c>
      <c r="F38" s="32" t="inlineStr">
        <is>
          <t>Sage Green</t>
        </is>
      </c>
      <c r="G38" s="33" t="n"/>
      <c r="H38" s="32" t="n"/>
      <c r="I38" s="61" t="n">
        <v>92.81999999999999</v>
      </c>
      <c r="J38" s="62" t="inlineStr">
        <is>
          <t>2026-03-30</t>
        </is>
      </c>
      <c r="K38" s="33" t="n">
        <v>38.87</v>
      </c>
      <c r="L38" s="63" t="n">
        <v>0.4187675070028011</v>
      </c>
      <c r="M38" s="64" t="n">
        <v>8</v>
      </c>
      <c r="N38" s="32" t="inlineStr">
        <is>
          <t>Active</t>
        </is>
      </c>
      <c r="O38" s="32" t="n"/>
      <c r="P38" s="65" t="n"/>
      <c r="Q38" s="64" t="n"/>
      <c r="R38" s="64" t="n"/>
      <c r="S38" s="64" t="n"/>
      <c r="T38" s="32" t="n"/>
    </row>
    <row r="39" ht="62" customHeight="1">
      <c r="A39" s="10">
        <f>_xlfn.IMAGE("https://m.media-amazon.com/images/I/81kW25KnIDL.jpg")</f>
        <v/>
      </c>
      <c r="B39" s="32" t="inlineStr">
        <is>
          <t>B0CRHYYVZQ</t>
        </is>
      </c>
      <c r="C39" s="32" t="inlineStr">
        <is>
          <t>BAMBOO-KING-BURGUNDY-NEW</t>
        </is>
      </c>
      <c r="D39" s="32" t="inlineStr">
        <is>
          <t>DECOLURE 100% Organic Viscose Derived from Bamboo Sheets King Size 4pcs - Ultra Soft &amp; Luxuriously Cooling, 17" Deep Pocket, Double Stitching, Perfect for Hot Sleepers - King Bed Sheets (Burgundy)</t>
        </is>
      </c>
      <c r="E39" s="32" t="inlineStr">
        <is>
          <t>King</t>
        </is>
      </c>
      <c r="F39" s="32" t="inlineStr">
        <is>
          <t>Burgundy</t>
        </is>
      </c>
      <c r="G39" s="33" t="n"/>
      <c r="H39" s="32" t="n"/>
      <c r="I39" s="61" t="n">
        <v>99.98999999999999</v>
      </c>
      <c r="J39" s="62" t="inlineStr">
        <is>
          <t>2026-03-30</t>
        </is>
      </c>
      <c r="K39" s="33" t="n">
        <v>44.11</v>
      </c>
      <c r="L39" s="63" t="n">
        <v>0.4411441144114411</v>
      </c>
      <c r="M39" s="64" t="n">
        <v>8</v>
      </c>
      <c r="N39" s="32" t="inlineStr">
        <is>
          <t>Active</t>
        </is>
      </c>
      <c r="O39" s="32" t="n"/>
      <c r="P39" s="65" t="n"/>
      <c r="Q39" s="64" t="n"/>
      <c r="R39" s="64" t="n"/>
      <c r="S39" s="64" t="n"/>
      <c r="T39" s="32" t="n"/>
    </row>
    <row r="40" ht="62" customHeight="1">
      <c r="A40" s="10">
        <f>_xlfn.IMAGE("https://m.media-amazon.com/images/I/81jtUZ9WZqL.jpg")</f>
        <v/>
      </c>
      <c r="B40" s="32" t="inlineStr">
        <is>
          <t>B08KQK91X7</t>
        </is>
      </c>
      <c r="C40" s="32" t="inlineStr">
        <is>
          <t>BAMBOO-QUEEN-CREME</t>
        </is>
      </c>
      <c r="D40" s="32" t="inlineStr">
        <is>
          <t>DECOLURE 100% Organic Bamboo Viscose Sheets Queen Size 4 pcs - Ultra Soft &amp; Luxuriously Cooling, 16" Deep Pocket, Double Stitching, Perfect for Hot Sleepers - Luxury Queen Bed Sheets Set (Creme)</t>
        </is>
      </c>
      <c r="E40" s="32" t="inlineStr">
        <is>
          <t>Queen</t>
        </is>
      </c>
      <c r="F40" s="32" t="inlineStr">
        <is>
          <t>Creme</t>
        </is>
      </c>
      <c r="G40" s="33" t="n"/>
      <c r="H40" s="32" t="n"/>
      <c r="I40" s="61" t="n">
        <v>99.98999999999999</v>
      </c>
      <c r="J40" s="62" t="inlineStr">
        <is>
          <t>2026-03-30</t>
        </is>
      </c>
      <c r="K40" s="33" t="n">
        <v>49.35999999999999</v>
      </c>
      <c r="L40" s="63" t="n">
        <v>0.4936493649364935</v>
      </c>
      <c r="M40" s="64" t="n">
        <v>8</v>
      </c>
      <c r="N40" s="32" t="inlineStr">
        <is>
          <t>Active</t>
        </is>
      </c>
      <c r="O40" s="32" t="n"/>
      <c r="P40" s="65" t="n"/>
      <c r="Q40" s="64" t="n"/>
      <c r="R40" s="64" t="n"/>
      <c r="S40" s="64" t="n"/>
      <c r="T40" s="32" t="n"/>
    </row>
    <row r="41" ht="62" customHeight="1">
      <c r="A41" s="10">
        <f>_xlfn.IMAGE("https://m.media-amazon.com/images/I/81Mz595QL2L.jpg")</f>
        <v/>
      </c>
      <c r="B41" s="32" t="inlineStr">
        <is>
          <t>B08KQJDSVC</t>
        </is>
      </c>
      <c r="C41" s="32" t="inlineStr">
        <is>
          <t>BAMBOO-QUEEN-LIGHTGREY</t>
        </is>
      </c>
      <c r="D41" s="32" t="inlineStr">
        <is>
          <t>DECOLURE 100% Organic Bamboo Viscose Sheets Queen Size 4 pcs - Ultra Soft &amp; Luxuriously Cooling, 16" Deep Pocket, Double Stitching,Perfect for Hot Sleepers - Luxury Queen Bed Sheets Set (Light Grey)</t>
        </is>
      </c>
      <c r="E41" s="32" t="inlineStr">
        <is>
          <t>Queen</t>
        </is>
      </c>
      <c r="F41" s="32" t="inlineStr">
        <is>
          <t>Light Grey</t>
        </is>
      </c>
      <c r="G41" s="33" t="n"/>
      <c r="H41" s="32" t="n"/>
      <c r="I41" s="61" t="n">
        <v>99.98999999999999</v>
      </c>
      <c r="J41" s="62" t="inlineStr">
        <is>
          <t>2026-03-30</t>
        </is>
      </c>
      <c r="K41" s="33" t="n">
        <v>49.29</v>
      </c>
      <c r="L41" s="63" t="n">
        <v>0.4929492949294929</v>
      </c>
      <c r="M41" s="64" t="n">
        <v>8</v>
      </c>
      <c r="N41" s="32" t="inlineStr">
        <is>
          <t>Active</t>
        </is>
      </c>
      <c r="O41" s="32" t="n"/>
      <c r="P41" s="65" t="n"/>
      <c r="Q41" s="64" t="n"/>
      <c r="R41" s="64" t="n"/>
      <c r="S41" s="64" t="n"/>
      <c r="T41" s="32" t="n"/>
    </row>
    <row r="42" ht="62" customHeight="1">
      <c r="A42" s="10">
        <f>_xlfn.IMAGE("https://m.media-amazon.com/images/I/81hxPp-zxnL.jpg")</f>
        <v/>
      </c>
      <c r="B42" s="32" t="inlineStr">
        <is>
          <t>B0CLKCT674</t>
        </is>
      </c>
      <c r="C42" s="32" t="inlineStr">
        <is>
          <t>BAMBOO-QUEEN-LIGHT PINK</t>
        </is>
      </c>
      <c r="D42" s="32" t="inlineStr">
        <is>
          <t>DECOLURE 100% Organic Viscose Derived from Bamboo Sheets Queen Size 4pcs - Ultra Soft &amp; Luxuriously Cooling, 17" Deep Pocket, Double Stitching, Perfect for Hot Sleepers - Queen Bed Sheets (Light Pink)</t>
        </is>
      </c>
      <c r="E42" s="32" t="inlineStr">
        <is>
          <t>Queen</t>
        </is>
      </c>
      <c r="F42" s="32" t="inlineStr">
        <is>
          <t>Light Pink</t>
        </is>
      </c>
      <c r="G42" s="33" t="n"/>
      <c r="H42" s="32" t="n"/>
      <c r="I42" s="61" t="n">
        <v>99.98999999999999</v>
      </c>
      <c r="J42" s="62" t="inlineStr">
        <is>
          <t>2026-03-30</t>
        </is>
      </c>
      <c r="K42" s="33" t="n">
        <v>49.39999999999999</v>
      </c>
      <c r="L42" s="63" t="n">
        <v>0.494049404940494</v>
      </c>
      <c r="M42" s="64" t="n">
        <v>8</v>
      </c>
      <c r="N42" s="32" t="inlineStr">
        <is>
          <t>Active</t>
        </is>
      </c>
      <c r="O42" s="32" t="n"/>
      <c r="P42" s="65" t="n"/>
      <c r="Q42" s="64" t="n"/>
      <c r="R42" s="64" t="n"/>
      <c r="S42" s="64" t="n"/>
      <c r="T42" s="32" t="n"/>
    </row>
    <row r="43" ht="62" customHeight="1">
      <c r="A43" s="10">
        <f>_xlfn.IMAGE("https://m.media-amazon.com/images/I/81YWxJJr8JL.jpg")</f>
        <v/>
      </c>
      <c r="B43" s="32" t="inlineStr">
        <is>
          <t>B0BZQ1JFM7</t>
        </is>
      </c>
      <c r="C43" s="32" t="inlineStr">
        <is>
          <t>BAMBOO-QUEEN-CHARCOAL</t>
        </is>
      </c>
      <c r="D43" s="32" t="inlineStr">
        <is>
          <t>DECOLURE 100% Organic Bamboo Viscose Sheets Queen Size 4 pcs - Ultra Soft &amp; Luxuriously Cooling, 16" Deep Pocket, Double Stitching, Perfect for Hot Sleepers - Luxury Queen Bed Sheets Set (Charcoal)</t>
        </is>
      </c>
      <c r="E43" s="32" t="inlineStr">
        <is>
          <t>Queen</t>
        </is>
      </c>
      <c r="F43" s="32" t="inlineStr">
        <is>
          <t>Charcoal</t>
        </is>
      </c>
      <c r="G43" s="33" t="n"/>
      <c r="H43" s="32" t="n"/>
      <c r="I43" s="61" t="n">
        <v>99.98999999999999</v>
      </c>
      <c r="J43" s="62" t="inlineStr">
        <is>
          <t>2026-03-30</t>
        </is>
      </c>
      <c r="K43" s="33" t="n">
        <v>48.36999999999999</v>
      </c>
      <c r="L43" s="63" t="n">
        <v>0.4837483748374837</v>
      </c>
      <c r="M43" s="64" t="n">
        <v>7</v>
      </c>
      <c r="N43" s="32" t="inlineStr">
        <is>
          <t>Active</t>
        </is>
      </c>
      <c r="O43" s="32" t="n"/>
      <c r="P43" s="65" t="n"/>
      <c r="Q43" s="64" t="n"/>
      <c r="R43" s="64" t="n"/>
      <c r="S43" s="64" t="n"/>
      <c r="T43" s="32" t="n"/>
    </row>
    <row r="44" ht="62" customHeight="1">
      <c r="A44" s="10">
        <f>_xlfn.IMAGE("https://m.media-amazon.com/images/I/81wmkV-8ExL.jpg")</f>
        <v/>
      </c>
      <c r="B44" s="32" t="inlineStr">
        <is>
          <t>B08KQ5VVRV</t>
        </is>
      </c>
      <c r="C44" s="32" t="inlineStr">
        <is>
          <t>BAMBOO-QUEEN-GREY</t>
        </is>
      </c>
      <c r="D44" s="32" t="inlineStr">
        <is>
          <t>DECOLURE 100% Organic Bamboo Viscose Sheets Queen Size 4 pcs - Ultra Soft &amp; Luxuriously Cooling, 16" Deep Pocket, Double Stitching, Perfect for Hot Sleepers - Luxury Queen Bed Sheets Set (Grey)</t>
        </is>
      </c>
      <c r="E44" s="32" t="inlineStr">
        <is>
          <t>Queen</t>
        </is>
      </c>
      <c r="F44" s="32" t="inlineStr">
        <is>
          <t>Grey</t>
        </is>
      </c>
      <c r="G44" s="33" t="n"/>
      <c r="H44" s="32" t="n"/>
      <c r="I44" s="61" t="n">
        <v>113.64</v>
      </c>
      <c r="J44" s="62" t="inlineStr">
        <is>
          <t>2026-03-30</t>
        </is>
      </c>
      <c r="K44" s="33" t="n">
        <v>55.68000000000001</v>
      </c>
      <c r="L44" s="63" t="n">
        <v>0.4899683210137276</v>
      </c>
      <c r="M44" s="64" t="n">
        <v>7</v>
      </c>
      <c r="N44" s="32" t="inlineStr">
        <is>
          <t>Active</t>
        </is>
      </c>
      <c r="O44" s="32" t="n"/>
      <c r="P44" s="65" t="n"/>
      <c r="Q44" s="64" t="n"/>
      <c r="R44" s="64" t="n"/>
      <c r="S44" s="64" t="n"/>
      <c r="T44" s="32" t="n"/>
    </row>
    <row r="45" ht="62" customHeight="1">
      <c r="A45" s="10">
        <f>_xlfn.IMAGE("https://m.media-amazon.com/images/I/81bmbyz5uFL.jpg")</f>
        <v/>
      </c>
      <c r="B45" s="32" t="inlineStr">
        <is>
          <t>B08KQJTLZP</t>
        </is>
      </c>
      <c r="C45" s="32" t="inlineStr">
        <is>
          <t>BAMBOO-CALIFKING-TAUPE</t>
        </is>
      </c>
      <c r="D45" s="32" t="inlineStr">
        <is>
          <t>DECOLURE 100% Organic Bamboo Viscose Sheets California King Size 4 pcs - Ultra Soft &amp; Luxuriously Cooling, 16" Deep Pocket, Double Stitching, Perfect for Hot Sleepers - King Bed Sheets Set (Taupe)</t>
        </is>
      </c>
      <c r="E45" s="32" t="inlineStr">
        <is>
          <t>California King</t>
        </is>
      </c>
      <c r="F45" s="32" t="inlineStr">
        <is>
          <t>Taupe</t>
        </is>
      </c>
      <c r="G45" s="33" t="n"/>
      <c r="H45" s="32" t="n"/>
      <c r="I45" s="61" t="n">
        <v>99.98999999999999</v>
      </c>
      <c r="J45" s="62" t="inlineStr">
        <is>
          <t>2026-03-30</t>
        </is>
      </c>
      <c r="K45" s="33" t="n">
        <v>45.06999999999999</v>
      </c>
      <c r="L45" s="63" t="n">
        <v>0.4507450745074507</v>
      </c>
      <c r="M45" s="64" t="n">
        <v>5</v>
      </c>
      <c r="N45" s="32" t="inlineStr">
        <is>
          <t>Active</t>
        </is>
      </c>
      <c r="O45" s="32" t="n"/>
      <c r="P45" s="65" t="n"/>
      <c r="Q45" s="64" t="n"/>
      <c r="R45" s="64" t="n"/>
      <c r="S45" s="64" t="n"/>
      <c r="T45" s="32" t="n"/>
    </row>
    <row r="46" ht="62" customHeight="1">
      <c r="A46" s="10">
        <f>_xlfn.IMAGE("https://m.media-amazon.com/images/I/81jAmePDWeL.jpg")</f>
        <v/>
      </c>
      <c r="B46" s="32" t="inlineStr">
        <is>
          <t>B0BZPZP12L</t>
        </is>
      </c>
      <c r="C46" s="32" t="inlineStr">
        <is>
          <t>BAMBOO-KING-LIGHTOLIVE</t>
        </is>
      </c>
      <c r="D46" s="32" t="inlineStr">
        <is>
          <t>DECOLURE 100% Organic Bamboo Viscose Sheets King Size 4 pcs - Ultra Soft &amp; Luxuriously Cooling, 16" Deep Pocket, Double Stitching,Perfect for Hot Sleepers - Luxury King Bed Sheets Set (Light Olive)</t>
        </is>
      </c>
      <c r="E46" s="32" t="inlineStr">
        <is>
          <t>King</t>
        </is>
      </c>
      <c r="F46" s="32" t="inlineStr">
        <is>
          <t>Light Olive</t>
        </is>
      </c>
      <c r="G46" s="33" t="n"/>
      <c r="H46" s="32" t="n"/>
      <c r="I46" s="61" t="n">
        <v>99.98999999999999</v>
      </c>
      <c r="J46" s="62" t="inlineStr">
        <is>
          <t>2026-03-30</t>
        </is>
      </c>
      <c r="K46" s="33" t="n">
        <v>45.02999999999999</v>
      </c>
      <c r="L46" s="63" t="n">
        <v>0.4503450345034503</v>
      </c>
      <c r="M46" s="64" t="n">
        <v>5</v>
      </c>
      <c r="N46" s="32" t="inlineStr">
        <is>
          <t>Inactive</t>
        </is>
      </c>
      <c r="O46" s="32" t="n"/>
      <c r="P46" s="65" t="n"/>
      <c r="Q46" s="64" t="n"/>
      <c r="R46" s="64" t="n"/>
      <c r="S46" s="64" t="n"/>
      <c r="T46" s="32" t="n"/>
    </row>
    <row r="47" ht="62" customHeight="1">
      <c r="A47" s="10">
        <f>_xlfn.IMAGE("https://m.media-amazon.com/images/I/81mgYawt2DL.jpg")</f>
        <v/>
      </c>
      <c r="B47" s="32" t="inlineStr">
        <is>
          <t>B0BZQ1FBJ9</t>
        </is>
      </c>
      <c r="C47" s="32" t="inlineStr">
        <is>
          <t>BAMBOO-QUEEN-BLACK</t>
        </is>
      </c>
      <c r="D47" s="32" t="inlineStr">
        <is>
          <t>DECOLURE 100% Organic Bamboo Viscose Sheets Queen Size 4 pcs - Ultra Soft &amp; Luxuriously Cooling, 16" Deep Pocket, Double Stitching, Perfect for Hot Sleepers - Luxury Queen Bed Sheets Set (Black)</t>
        </is>
      </c>
      <c r="E47" s="32" t="inlineStr">
        <is>
          <t>Queen</t>
        </is>
      </c>
      <c r="F47" s="32" t="inlineStr">
        <is>
          <t>Black</t>
        </is>
      </c>
      <c r="G47" s="33" t="n"/>
      <c r="H47" s="32" t="n"/>
      <c r="I47" s="61" t="n">
        <v>113.48</v>
      </c>
      <c r="J47" s="62" t="inlineStr">
        <is>
          <t>2026-03-04</t>
        </is>
      </c>
      <c r="K47" s="33" t="n">
        <v>60.55000000000001</v>
      </c>
      <c r="L47" s="63" t="n">
        <v>0.533574198096581</v>
      </c>
      <c r="M47" s="64" t="n">
        <v>5</v>
      </c>
      <c r="N47" s="32" t="inlineStr">
        <is>
          <t>Inactive</t>
        </is>
      </c>
      <c r="O47" s="32" t="n"/>
      <c r="P47" s="65" t="n"/>
      <c r="Q47" s="64" t="n"/>
      <c r="R47" s="64" t="n"/>
      <c r="S47" s="64" t="n"/>
      <c r="T47" s="32" t="n"/>
    </row>
    <row r="48" ht="62" customHeight="1">
      <c r="A48" s="10">
        <f>_xlfn.IMAGE("https://m.media-amazon.com/images/I/81E9bvs4TYL.jpg")</f>
        <v/>
      </c>
      <c r="B48" s="32" t="inlineStr">
        <is>
          <t>B08KQKQ44M</t>
        </is>
      </c>
      <c r="C48" s="32" t="inlineStr">
        <is>
          <t>BAMBOO-CALIFKING-WHITE</t>
        </is>
      </c>
      <c r="D48" s="32" t="inlineStr">
        <is>
          <t>DECOLURE 100% Organic Bamboo Viscose Sheets California King Size 4 pcs - Ultra Soft &amp; Luxuriously Cooling, 16" Deep Pocket, Double Stitching, Perfect for Hot Sleepers - King Bed Sheets Set (White)</t>
        </is>
      </c>
      <c r="E48" s="32" t="inlineStr">
        <is>
          <t>California King</t>
        </is>
      </c>
      <c r="F48" s="32" t="inlineStr">
        <is>
          <t>White</t>
        </is>
      </c>
      <c r="G48" s="33" t="n"/>
      <c r="H48" s="32" t="n"/>
      <c r="I48" s="61" t="n">
        <v>84.98999999999999</v>
      </c>
      <c r="J48" s="62" t="inlineStr">
        <is>
          <t>2026-03-30</t>
        </is>
      </c>
      <c r="K48" s="33" t="n">
        <v>32.44</v>
      </c>
      <c r="L48" s="63" t="n">
        <v>0.3816919637604424</v>
      </c>
      <c r="M48" s="64" t="n">
        <v>4</v>
      </c>
      <c r="N48" s="32" t="inlineStr">
        <is>
          <t>Active</t>
        </is>
      </c>
      <c r="O48" s="32" t="n"/>
      <c r="P48" s="65" t="n"/>
      <c r="Q48" s="64" t="n"/>
      <c r="R48" s="64" t="n"/>
      <c r="S48" s="64" t="n"/>
      <c r="T48" s="32" t="n"/>
    </row>
    <row r="49" ht="62" customHeight="1">
      <c r="A49" s="10">
        <f>_xlfn.IMAGE("https://m.media-amazon.com/images/I/81xihWts51L.jpg")</f>
        <v/>
      </c>
      <c r="B49" s="32" t="inlineStr">
        <is>
          <t>B08KQJTP39</t>
        </is>
      </c>
      <c r="C49" s="32" t="inlineStr">
        <is>
          <t>BAMBOO-FULL-OLIVE</t>
        </is>
      </c>
      <c r="D49" s="32" t="inlineStr">
        <is>
          <t>DECOLURE 100% Organic Bamboo Viscose Sheets Full Size 4 pcs - Ultra Soft &amp; Luxuriously Cooling, 16" Deep Pocket, Double Stitching, Perfect for Hot Sleepers - Luxury Full Bed Sheets Set (Olive)</t>
        </is>
      </c>
      <c r="E49" s="32" t="inlineStr">
        <is>
          <t>Full</t>
        </is>
      </c>
      <c r="F49" s="32" t="inlineStr">
        <is>
          <t>Olive</t>
        </is>
      </c>
      <c r="G49" s="33" t="n"/>
      <c r="H49" s="32" t="n"/>
      <c r="I49" s="61" t="n">
        <v>79.98999999999999</v>
      </c>
      <c r="J49" s="62" t="inlineStr">
        <is>
          <t>2026-03-30</t>
        </is>
      </c>
      <c r="K49" s="33" t="n">
        <v>34.25</v>
      </c>
      <c r="L49" s="63" t="n">
        <v>0.4281785223152894</v>
      </c>
      <c r="M49" s="64" t="n">
        <v>4</v>
      </c>
      <c r="N49" s="32" t="inlineStr">
        <is>
          <t>Active</t>
        </is>
      </c>
      <c r="O49" s="32" t="n"/>
      <c r="P49" s="65" t="n"/>
      <c r="Q49" s="64" t="n"/>
      <c r="R49" s="64" t="n"/>
      <c r="S49" s="64" t="n"/>
      <c r="T49" s="32" t="n"/>
    </row>
    <row r="50" ht="62" customHeight="1">
      <c r="A50" s="10">
        <f>_xlfn.IMAGE("https://m.media-amazon.com/images/I/81tiGTo9hDL.jpg")</f>
        <v/>
      </c>
      <c r="B50" s="32" t="inlineStr">
        <is>
          <t>B0BZQ39BTX</t>
        </is>
      </c>
      <c r="C50" s="32" t="inlineStr">
        <is>
          <t>BAMBOO-TWIN-PURPLE</t>
        </is>
      </c>
      <c r="D50" s="32" t="inlineStr">
        <is>
          <t>DECOLURE 100% Organic Bamboo Viscose Sheets Twin Size 3 pcs - Ultra Soft &amp; Luxuriously Cooling, 16" Deep Pocket, Double Stitching, Perfect for Hot Sleepers - Luxury Twin Bed Sheets Set (Purple)</t>
        </is>
      </c>
      <c r="E50" s="32" t="inlineStr">
        <is>
          <t>Twin</t>
        </is>
      </c>
      <c r="F50" s="32" t="inlineStr">
        <is>
          <t>Purple</t>
        </is>
      </c>
      <c r="G50" s="33" t="n"/>
      <c r="H50" s="32" t="n"/>
      <c r="I50" s="61" t="n">
        <v>79.98999999999999</v>
      </c>
      <c r="J50" s="62" t="inlineStr">
        <is>
          <t>2026-03-30</t>
        </is>
      </c>
      <c r="K50" s="33" t="n">
        <v>38.75</v>
      </c>
      <c r="L50" s="63" t="n">
        <v>0.4844355544443056</v>
      </c>
      <c r="M50" s="64" t="n">
        <v>4</v>
      </c>
      <c r="N50" s="32" t="inlineStr">
        <is>
          <t>Active</t>
        </is>
      </c>
      <c r="O50" s="32" t="n"/>
      <c r="P50" s="65" t="n"/>
      <c r="Q50" s="64" t="n"/>
      <c r="R50" s="64" t="n"/>
      <c r="S50" s="64" t="n"/>
      <c r="T50" s="32" t="n"/>
    </row>
    <row r="51" ht="62" customHeight="1">
      <c r="A51" s="10">
        <f>_xlfn.IMAGE("https://m.media-amazon.com/images/I/81kW25KnIDL.jpg")</f>
        <v/>
      </c>
      <c r="B51" s="32" t="inlineStr">
        <is>
          <t>B0CRHYS5KT</t>
        </is>
      </c>
      <c r="C51" s="32" t="inlineStr">
        <is>
          <t>BAMBOO-FULL-BURGUNDY-NEW</t>
        </is>
      </c>
      <c r="D51" s="32" t="inlineStr">
        <is>
          <t>DECOLURE 100% Organic Viscose Derived from Bamboo Sheets Full Size 4pcs - Ultra Soft &amp; Luxuriously Cooling, 17" Deep Pocket, Double Stitching, Perfect for Hot Sleepers - Full Bed Sheets (Burgundy)</t>
        </is>
      </c>
      <c r="E51" s="32" t="inlineStr">
        <is>
          <t>Full</t>
        </is>
      </c>
      <c r="F51" s="32" t="inlineStr">
        <is>
          <t>Burgundy</t>
        </is>
      </c>
      <c r="G51" s="33" t="n"/>
      <c r="H51" s="32" t="n"/>
      <c r="I51" s="61" t="n">
        <v>92.95</v>
      </c>
      <c r="J51" s="62" t="inlineStr">
        <is>
          <t>2026-03-30</t>
        </is>
      </c>
      <c r="K51" s="33" t="n">
        <v>39.68000000000001</v>
      </c>
      <c r="L51" s="63" t="n">
        <v>0.4268961807423347</v>
      </c>
      <c r="M51" s="64" t="n">
        <v>3</v>
      </c>
      <c r="N51" s="32" t="inlineStr">
        <is>
          <t>Inactive</t>
        </is>
      </c>
      <c r="O51" s="32" t="n"/>
      <c r="P51" s="65" t="n"/>
      <c r="Q51" s="64" t="n"/>
      <c r="R51" s="64" t="n"/>
      <c r="S51" s="64" t="n"/>
      <c r="T51" s="32" t="n"/>
    </row>
    <row r="52" ht="62" customHeight="1">
      <c r="A52" s="10">
        <f>_xlfn.IMAGE("https://m.media-amazon.com/images/I/81hxPp-zxnL.jpg")</f>
        <v/>
      </c>
      <c r="B52" s="32" t="inlineStr">
        <is>
          <t>B0CLKDSVCV</t>
        </is>
      </c>
      <c r="C52" s="32" t="inlineStr">
        <is>
          <t>BAMBOO-FULL-LIGHT PINK</t>
        </is>
      </c>
      <c r="D52" s="32" t="inlineStr">
        <is>
          <t>DECOLURE 100% Organic Viscose Derived from Bamboo Sheets Full Size 4pcs - Ultra Soft &amp; Luxuriously Cooling, 17" Deep Pocket, Double Stitching, Perfect for Hot Sleepers - Full Bed Sheets (Light Pink)</t>
        </is>
      </c>
      <c r="E52" s="32" t="inlineStr">
        <is>
          <t>Full</t>
        </is>
      </c>
      <c r="F52" s="32" t="inlineStr">
        <is>
          <t>Light Pink</t>
        </is>
      </c>
      <c r="G52" s="33" t="n"/>
      <c r="H52" s="32" t="n"/>
      <c r="I52" s="61" t="n">
        <v>92.59</v>
      </c>
      <c r="J52" s="62" t="inlineStr">
        <is>
          <t>2026-03-04</t>
        </is>
      </c>
      <c r="K52" s="33" t="n">
        <v>45.2</v>
      </c>
      <c r="L52" s="63" t="n">
        <v>0.4881736688627282</v>
      </c>
      <c r="M52" s="64" t="n">
        <v>3</v>
      </c>
      <c r="N52" s="32" t="inlineStr">
        <is>
          <t>Inactive</t>
        </is>
      </c>
      <c r="O52" s="32" t="n"/>
      <c r="P52" s="65" t="n"/>
      <c r="Q52" s="64" t="n"/>
      <c r="R52" s="64" t="n"/>
      <c r="S52" s="64" t="n"/>
      <c r="T52" s="32" t="n"/>
    </row>
    <row r="53" ht="62" customHeight="1">
      <c r="A53" s="10">
        <f>_xlfn.IMAGE("https://m.media-amazon.com/images/I/81kW25KnIDL.jpg")</f>
        <v/>
      </c>
      <c r="B53" s="32" t="inlineStr">
        <is>
          <t>B0CRHZ1CK3</t>
        </is>
      </c>
      <c r="C53" s="32" t="inlineStr">
        <is>
          <t>BAMBOO-QUEEN-BURGUNDY-NEW</t>
        </is>
      </c>
      <c r="D53" s="32" t="inlineStr">
        <is>
          <t>DECOLURE 100% Organic Viscose Derived from Bamboo Sheets Queen Size 4pcs - Ultra Soft &amp; Luxuriously Cooling, 17" Deep Pocket, Double Stitching, Perfect for Hot Sleepers - Queen Bed Sheets (Burgundy)</t>
        </is>
      </c>
      <c r="E53" s="32" t="inlineStr">
        <is>
          <t>Queen</t>
        </is>
      </c>
      <c r="F53" s="32" t="inlineStr">
        <is>
          <t>Burgundy</t>
        </is>
      </c>
      <c r="G53" s="33" t="n"/>
      <c r="H53" s="32" t="n"/>
      <c r="I53" s="61" t="n">
        <v>99.98999999999999</v>
      </c>
      <c r="J53" s="62" t="inlineStr">
        <is>
          <t>2026-03-30</t>
        </is>
      </c>
      <c r="K53" s="33" t="n">
        <v>48.96</v>
      </c>
      <c r="L53" s="63" t="n">
        <v>0.4896489648964896</v>
      </c>
      <c r="M53" s="64" t="n">
        <v>3</v>
      </c>
      <c r="N53" s="32" t="inlineStr">
        <is>
          <t>Active</t>
        </is>
      </c>
      <c r="O53" s="32" t="n"/>
      <c r="P53" s="65" t="n"/>
      <c r="Q53" s="64" t="n"/>
      <c r="R53" s="64" t="n"/>
      <c r="S53" s="64" t="n"/>
      <c r="T53" s="32" t="n"/>
    </row>
    <row r="54" ht="62" customHeight="1">
      <c r="A54" s="10">
        <f>_xlfn.IMAGE("https://m.media-amazon.com/images/I/81Fhkpx6DdL.jpg")</f>
        <v/>
      </c>
      <c r="B54" s="32" t="inlineStr">
        <is>
          <t>B0CRHX3LKM</t>
        </is>
      </c>
      <c r="C54" s="32" t="inlineStr">
        <is>
          <t>BAMBOO-TWIN-BURGUNDY-NEW</t>
        </is>
      </c>
      <c r="D54" s="32" t="inlineStr">
        <is>
          <t>DECOLURE 100% Organic Viscose Derived from Bamboo Sheets Twin Size 3pcs - Ultra Soft &amp; Luxuriously Cooling, 17" Deep Pocket, Double Stitching, Perfect for Hot Sleepers - Twin Bed Sheets (Burgundy)</t>
        </is>
      </c>
      <c r="E54" s="32" t="inlineStr">
        <is>
          <t>Twin</t>
        </is>
      </c>
      <c r="F54" s="32" t="inlineStr">
        <is>
          <t>Burgundy</t>
        </is>
      </c>
      <c r="G54" s="33" t="n"/>
      <c r="H54" s="32" t="n"/>
      <c r="I54" s="61" t="n">
        <v>79.98999999999999</v>
      </c>
      <c r="J54" s="62" t="inlineStr">
        <is>
          <t>2026-03-30</t>
        </is>
      </c>
      <c r="K54" s="33" t="n">
        <v>38.66999999999999</v>
      </c>
      <c r="L54" s="63" t="n">
        <v>0.4834354294286786</v>
      </c>
      <c r="M54" s="64" t="n">
        <v>3</v>
      </c>
      <c r="N54" s="32" t="inlineStr">
        <is>
          <t>Active</t>
        </is>
      </c>
      <c r="O54" s="32" t="n"/>
      <c r="P54" s="65" t="n"/>
      <c r="Q54" s="64" t="n"/>
      <c r="R54" s="64" t="n"/>
      <c r="S54" s="64" t="n"/>
      <c r="T54" s="32" t="n"/>
    </row>
    <row r="55" ht="62" customHeight="1">
      <c r="A55" s="10">
        <f>_xlfn.IMAGE("https://m.media-amazon.com/images/I/81VPGVLRjlL.jpg")</f>
        <v/>
      </c>
      <c r="B55" s="32" t="inlineStr">
        <is>
          <t>B0BZQ3XM7P</t>
        </is>
      </c>
      <c r="C55" s="32" t="inlineStr">
        <is>
          <t>BAMBOO-TWIN-LIGHTOLIVE</t>
        </is>
      </c>
      <c r="D55" s="32" t="inlineStr">
        <is>
          <t>DECOLURE 100% Organic Bamboo Viscose Sheets Twin Size 3 pcs - Ultra Soft &amp; Luxuriously Cooling, 16" Deep Pocket,Double Stitching,Perfect for Hot Sleepers - Luxury Twin Bed Sheets Set (Light Olive)</t>
        </is>
      </c>
      <c r="E55" s="32" t="inlineStr">
        <is>
          <t>Twin</t>
        </is>
      </c>
      <c r="F55" s="32" t="inlineStr">
        <is>
          <t>Light Olive</t>
        </is>
      </c>
      <c r="G55" s="33" t="n"/>
      <c r="H55" s="32" t="n"/>
      <c r="I55" s="61" t="n">
        <v>79.98999999999999</v>
      </c>
      <c r="J55" s="62" t="inlineStr">
        <is>
          <t>2026-03-30</t>
        </is>
      </c>
      <c r="K55" s="33" t="n">
        <v>38.18</v>
      </c>
      <c r="L55" s="63" t="n">
        <v>0.4773096637079635</v>
      </c>
      <c r="M55" s="64" t="n">
        <v>3</v>
      </c>
      <c r="N55" s="32" t="inlineStr">
        <is>
          <t>Inactive</t>
        </is>
      </c>
      <c r="O55" s="32" t="n"/>
      <c r="P55" s="65" t="n"/>
      <c r="Q55" s="64" t="n"/>
      <c r="R55" s="64" t="n"/>
      <c r="S55" s="64" t="n"/>
      <c r="T55" s="32" t="n"/>
    </row>
    <row r="56" ht="62" customHeight="1">
      <c r="A56" s="10">
        <f>_xlfn.IMAGE("https://m.media-amazon.com/images/I/81jtUZ9WZqL.jpg")</f>
        <v/>
      </c>
      <c r="B56" s="32" t="inlineStr">
        <is>
          <t>B08KQLQ7RG</t>
        </is>
      </c>
      <c r="C56" s="32" t="inlineStr">
        <is>
          <t>BAMBOO-CALIFKING-CREME</t>
        </is>
      </c>
      <c r="D56" s="32" t="inlineStr">
        <is>
          <t>DECOLURE 100% Organic Bamboo Viscose Sheets California King Size 4 pcs - Ultra Soft &amp; Luxuriously Cooling, 16" Deep Pocket, Double Stitching, Perfect for Hot Sleepers - King Bed Sheets Set (Creme)</t>
        </is>
      </c>
      <c r="E56" s="32" t="inlineStr">
        <is>
          <t>California King</t>
        </is>
      </c>
      <c r="F56" s="32" t="inlineStr">
        <is>
          <t>Creme</t>
        </is>
      </c>
      <c r="G56" s="33" t="n"/>
      <c r="H56" s="32" t="n"/>
      <c r="I56" s="61" t="n">
        <v>99.98999999999999</v>
      </c>
      <c r="J56" s="62" t="inlineStr">
        <is>
          <t>2026-03-30</t>
        </is>
      </c>
      <c r="K56" s="33" t="n">
        <v>44.95999999999999</v>
      </c>
      <c r="L56" s="63" t="n">
        <v>0.4496449644964496</v>
      </c>
      <c r="M56" s="64" t="n">
        <v>2</v>
      </c>
      <c r="N56" s="32" t="inlineStr">
        <is>
          <t>Active</t>
        </is>
      </c>
      <c r="O56" s="32" t="n"/>
      <c r="P56" s="65" t="n"/>
      <c r="Q56" s="64" t="n"/>
      <c r="R56" s="64" t="n"/>
      <c r="S56" s="64" t="n"/>
      <c r="T56" s="32" t="n"/>
    </row>
    <row r="57" ht="62" customHeight="1">
      <c r="A57" s="10">
        <f>_xlfn.IMAGE("https://m.media-amazon.com/images/I/81LPiN50m6L.jpg")</f>
        <v/>
      </c>
      <c r="B57" s="32" t="inlineStr">
        <is>
          <t>B0BZQ5SDNS</t>
        </is>
      </c>
      <c r="C57" s="32" t="inlineStr">
        <is>
          <t>BAMBOO-CALIFKING-PURPLE</t>
        </is>
      </c>
      <c r="D57" s="32" t="inlineStr">
        <is>
          <t>DECOLURE 100% Organic Bamboo Viscose Sheets California King Size 4 pcs - Ultra Soft &amp; Luxuriously Cooling, 16" Deep Pocket, Double Stitching, Perfect for Hot Sleepers - King Bed Sheets Set (Purple)</t>
        </is>
      </c>
      <c r="E57" s="32" t="inlineStr">
        <is>
          <t>California King</t>
        </is>
      </c>
      <c r="F57" s="32" t="inlineStr">
        <is>
          <t>Purple</t>
        </is>
      </c>
      <c r="G57" s="33" t="n"/>
      <c r="H57" s="32" t="n"/>
      <c r="I57" s="61" t="n">
        <v>99.98999999999999</v>
      </c>
      <c r="J57" s="62" t="inlineStr">
        <is>
          <t>2026-03-30</t>
        </is>
      </c>
      <c r="K57" s="33" t="n">
        <v>44.59999999999999</v>
      </c>
      <c r="L57" s="63" t="n">
        <v>0.446044604460446</v>
      </c>
      <c r="M57" s="64" t="n">
        <v>2</v>
      </c>
      <c r="N57" s="32" t="inlineStr">
        <is>
          <t>Active</t>
        </is>
      </c>
      <c r="O57" s="32" t="n"/>
      <c r="P57" s="65" t="n"/>
      <c r="Q57" s="64" t="n"/>
      <c r="R57" s="64" t="n"/>
      <c r="S57" s="64" t="n"/>
      <c r="T57" s="32" t="n"/>
    </row>
    <row r="58" ht="62" customHeight="1">
      <c r="A58" s="10">
        <f>_xlfn.IMAGE("https://m.media-amazon.com/images/I/81YWxJJr8JL.jpg")</f>
        <v/>
      </c>
      <c r="B58" s="32" t="inlineStr">
        <is>
          <t>B0BZQ19QT6</t>
        </is>
      </c>
      <c r="C58" s="32" t="inlineStr">
        <is>
          <t>BAMBOO-FULL-CHARCOAL</t>
        </is>
      </c>
      <c r="D58" s="32" t="inlineStr">
        <is>
          <t>DECOLURE 100% Organic Bamboo Viscose Sheets Full Size 4 pcs - Ultra Soft &amp; Luxuriously Cooling, 16" Deep Pocket, Double Stitching, Perfect for Hot Sleepers - Luxury Full Bed Sheets Set (Charcoal)</t>
        </is>
      </c>
      <c r="E58" s="32" t="inlineStr">
        <is>
          <t>Full</t>
        </is>
      </c>
      <c r="F58" s="32" t="inlineStr">
        <is>
          <t>Charcoal</t>
        </is>
      </c>
      <c r="G58" s="33" t="n"/>
      <c r="H58" s="32" t="n"/>
      <c r="I58" s="61" t="n">
        <v>93.31</v>
      </c>
      <c r="J58" s="62" t="inlineStr">
        <is>
          <t>2026-03-30</t>
        </is>
      </c>
      <c r="K58" s="33" t="n">
        <v>39.57</v>
      </c>
      <c r="L58" s="63" t="n">
        <v>0.4240703032901083</v>
      </c>
      <c r="M58" s="64" t="n">
        <v>2</v>
      </c>
      <c r="N58" s="32" t="inlineStr">
        <is>
          <t>Inactive</t>
        </is>
      </c>
      <c r="O58" s="32" t="n"/>
      <c r="P58" s="65" t="n"/>
      <c r="Q58" s="64" t="n"/>
      <c r="R58" s="64" t="n"/>
      <c r="S58" s="64" t="n"/>
      <c r="T58" s="32" t="n"/>
    </row>
    <row r="59" ht="62" customHeight="1">
      <c r="A59" s="10">
        <f>_xlfn.IMAGE("https://m.media-amazon.com/images/I/81wmkV-8ExL.jpg")</f>
        <v/>
      </c>
      <c r="B59" s="32" t="inlineStr">
        <is>
          <t>B08KQJP1K7</t>
        </is>
      </c>
      <c r="C59" s="32" t="inlineStr">
        <is>
          <t>BAMBOO-FULL-GREY</t>
        </is>
      </c>
      <c r="D59" s="32" t="inlineStr">
        <is>
          <t>DECOLURE 100% Organic Bamboo Viscose Sheets Full Size 4 pcs - Ultra Soft &amp; Luxuriously Cooling, 16" Deep Pocket, Double Stitching, Perfect for Hot Sleepers - Luxury Full Bed Sheets Set (Grey)</t>
        </is>
      </c>
      <c r="E59" s="32" t="inlineStr">
        <is>
          <t>Full</t>
        </is>
      </c>
      <c r="F59" s="32" t="inlineStr">
        <is>
          <t>Grey</t>
        </is>
      </c>
      <c r="G59" s="33" t="n"/>
      <c r="H59" s="32" t="n"/>
      <c r="I59" s="33" t="n"/>
      <c r="J59" s="32" t="n"/>
      <c r="K59" s="33" t="n"/>
      <c r="L59" s="63" t="n"/>
      <c r="M59" s="64" t="n">
        <v>2</v>
      </c>
      <c r="N59" s="32" t="inlineStr">
        <is>
          <t>Active</t>
        </is>
      </c>
      <c r="O59" s="32" t="n"/>
      <c r="P59" s="65" t="n"/>
      <c r="Q59" s="64" t="n"/>
      <c r="R59" s="64" t="n"/>
      <c r="S59" s="64" t="n"/>
      <c r="T59" s="32" t="n"/>
    </row>
    <row r="60" ht="62" customHeight="1">
      <c r="A60" s="10">
        <f>_xlfn.IMAGE("https://m.media-amazon.com/images/I/81Jj2qvOarL.jpg")</f>
        <v/>
      </c>
      <c r="B60" s="32" t="inlineStr">
        <is>
          <t>B08KQJYDCR</t>
        </is>
      </c>
      <c r="C60" s="32" t="inlineStr">
        <is>
          <t>BAMBOO-FULL-LIGHTBLUE</t>
        </is>
      </c>
      <c r="D60" s="32" t="inlineStr">
        <is>
          <t>DECOLURE 100% Organic Bamboo Viscose Sheets Full Size 4 pcs - Ultra Soft &amp; Luxuriously Cooling, 16" Deep Pocket, Double Stitching,Perfect for Hot Sleepers - Luxury Full Bed Sheets Set (Light Blue)</t>
        </is>
      </c>
      <c r="E60" s="32" t="inlineStr">
        <is>
          <t>Full</t>
        </is>
      </c>
      <c r="F60" s="32" t="inlineStr">
        <is>
          <t>Light Blue</t>
        </is>
      </c>
      <c r="G60" s="33" t="n"/>
      <c r="H60" s="32" t="n"/>
      <c r="I60" s="61" t="n">
        <v>79.98999999999999</v>
      </c>
      <c r="J60" s="62" t="inlineStr">
        <is>
          <t>2026-03-30</t>
        </is>
      </c>
      <c r="K60" s="33" t="n">
        <v>34.27999999999999</v>
      </c>
      <c r="L60" s="63" t="n">
        <v>0.4285535691961495</v>
      </c>
      <c r="M60" s="64" t="n">
        <v>2</v>
      </c>
      <c r="N60" s="32" t="inlineStr">
        <is>
          <t>Active</t>
        </is>
      </c>
      <c r="O60" s="32" t="n"/>
      <c r="P60" s="65" t="n"/>
      <c r="Q60" s="64" t="n"/>
      <c r="R60" s="64" t="n"/>
      <c r="S60" s="64" t="n"/>
      <c r="T60" s="32" t="n"/>
    </row>
    <row r="61" ht="62" customHeight="1">
      <c r="A61" s="10">
        <f>_xlfn.IMAGE("https://m.media-amazon.com/images/I/81Mz595QL2L.jpg")</f>
        <v/>
      </c>
      <c r="B61" s="32" t="inlineStr">
        <is>
          <t>B08KQJHKFJ</t>
        </is>
      </c>
      <c r="C61" s="32" t="inlineStr">
        <is>
          <t>BAMBOO-FULL-LIGHTGREY</t>
        </is>
      </c>
      <c r="D61" s="32" t="inlineStr">
        <is>
          <t>DECOLURE 100% Organic Bamboo Viscose Sheets Full Size 4 pcs - Ultra Soft &amp; Luxuriously Cooling, 16" Deep Pocket, Double Stitching,Perfect for Hot Sleepers - Luxury Full Bed Sheets Set (Light Grey)</t>
        </is>
      </c>
      <c r="E61" s="32" t="inlineStr">
        <is>
          <t>Full</t>
        </is>
      </c>
      <c r="F61" s="32" t="inlineStr">
        <is>
          <t>Light Grey</t>
        </is>
      </c>
      <c r="G61" s="33" t="n"/>
      <c r="H61" s="32" t="n"/>
      <c r="I61" s="61" t="n">
        <v>79.98999999999999</v>
      </c>
      <c r="J61" s="62" t="inlineStr">
        <is>
          <t>2026-03-30</t>
        </is>
      </c>
      <c r="K61" s="33" t="n">
        <v>34.70999999999999</v>
      </c>
      <c r="L61" s="63" t="n">
        <v>0.4339292411551444</v>
      </c>
      <c r="M61" s="64" t="n">
        <v>2</v>
      </c>
      <c r="N61" s="32" t="inlineStr">
        <is>
          <t>Inactive</t>
        </is>
      </c>
      <c r="O61" s="32" t="n"/>
      <c r="P61" s="65" t="n"/>
      <c r="Q61" s="64" t="n"/>
      <c r="R61" s="64" t="n"/>
      <c r="S61" s="64" t="n"/>
      <c r="T61" s="32" t="n"/>
    </row>
    <row r="62" ht="62" customHeight="1">
      <c r="A62" s="10">
        <f>_xlfn.IMAGE("https://m.media-amazon.com/images/I/81YWxJJr8JL.jpg")</f>
        <v/>
      </c>
      <c r="B62" s="32" t="inlineStr">
        <is>
          <t>B0BZPZ588L</t>
        </is>
      </c>
      <c r="C62" s="32" t="inlineStr">
        <is>
          <t>BAMBOO-KING-CHARCOAL</t>
        </is>
      </c>
      <c r="D62" s="32" t="inlineStr">
        <is>
          <t>DECOLURE 100% Organic Bamboo Viscose Sheets King Size 4 pcs - Ultra Soft &amp; Luxuriously Cooling, 16" Deep Pocket, Double Stitching, Perfect for Hot Sleepers - Luxury King Bed Sheets Set (Charcoal)</t>
        </is>
      </c>
      <c r="E62" s="32" t="inlineStr">
        <is>
          <t>King</t>
        </is>
      </c>
      <c r="F62" s="32" t="inlineStr">
        <is>
          <t>Charcoal</t>
        </is>
      </c>
      <c r="G62" s="33" t="n"/>
      <c r="H62" s="32" t="n"/>
      <c r="I62" s="61" t="n">
        <v>99.98999999999999</v>
      </c>
      <c r="J62" s="62" t="inlineStr">
        <is>
          <t>2026-03-30</t>
        </is>
      </c>
      <c r="K62" s="33" t="n">
        <v>44.46999999999999</v>
      </c>
      <c r="L62" s="63" t="n">
        <v>0.4447444744474447</v>
      </c>
      <c r="M62" s="64" t="n">
        <v>2</v>
      </c>
      <c r="N62" s="32" t="inlineStr">
        <is>
          <t>Active</t>
        </is>
      </c>
      <c r="O62" s="32" t="n"/>
      <c r="P62" s="65" t="n"/>
      <c r="Q62" s="64" t="n"/>
      <c r="R62" s="64" t="n"/>
      <c r="S62" s="64" t="n"/>
      <c r="T62" s="32" t="n"/>
    </row>
    <row r="63" ht="62" customHeight="1">
      <c r="A63" s="10">
        <f>_xlfn.IMAGE("https://m.media-amazon.com/images/I/81mgYawt2DL.jpg")</f>
        <v/>
      </c>
      <c r="B63" s="32" t="inlineStr">
        <is>
          <t>B0BZQ1G5B8</t>
        </is>
      </c>
      <c r="C63" s="32" t="inlineStr">
        <is>
          <t>BAMBOO-CALIFKING-BLACK</t>
        </is>
      </c>
      <c r="D63" s="32" t="inlineStr">
        <is>
          <t>DECOLURE 100% Organic Bamboo Viscose Sheets California King Size 4 pcs - Ultra Soft &amp; Luxuriously Cooling, 16" Deep Pocket, Double Stitching, Perfect for Hot Sleepers - King Bed Sheets Set (Black)</t>
        </is>
      </c>
      <c r="E63" s="32" t="inlineStr">
        <is>
          <t>California King</t>
        </is>
      </c>
      <c r="F63" s="32" t="inlineStr">
        <is>
          <t>Black</t>
        </is>
      </c>
      <c r="G63" s="33" t="n"/>
      <c r="H63" s="32" t="n"/>
      <c r="I63" s="61" t="n">
        <v>99.98999999999999</v>
      </c>
      <c r="J63" s="62" t="inlineStr">
        <is>
          <t>2026-03-30</t>
        </is>
      </c>
      <c r="K63" s="33" t="n">
        <v>43.33999999999999</v>
      </c>
      <c r="L63" s="63" t="n">
        <v>0.4334433443344334</v>
      </c>
      <c r="M63" s="64" t="n">
        <v>1</v>
      </c>
      <c r="N63" s="32" t="inlineStr">
        <is>
          <t>Active</t>
        </is>
      </c>
      <c r="O63" s="32" t="n"/>
      <c r="P63" s="65" t="n"/>
      <c r="Q63" s="64" t="n"/>
      <c r="R63" s="64" t="n"/>
      <c r="S63" s="64" t="n"/>
      <c r="T63" s="32" t="n"/>
    </row>
    <row r="64" ht="62" customHeight="1">
      <c r="A64" s="10">
        <f>_xlfn.IMAGE("https://m.media-amazon.com/images/I/81kW25KnIDL.jpg")</f>
        <v/>
      </c>
      <c r="B64" s="32" t="inlineStr">
        <is>
          <t>B0CRHYHS4X</t>
        </is>
      </c>
      <c r="C64" s="32" t="inlineStr">
        <is>
          <t>BAMBOO-CALIFKING-BURGUNDY-NEW</t>
        </is>
      </c>
      <c r="D64" s="32" t="inlineStr">
        <is>
          <t>DECOLURE 100% Organic Viscose Derived from Bamboo Sheets Cal King Size 4pcs - Ultra Soft &amp; Luxuriously Cooling, 17" Deep Pocket, Double Stitching, Perfect for Hot Sleepers - King Bed Sheets (Burgundy)</t>
        </is>
      </c>
      <c r="E64" s="32" t="inlineStr">
        <is>
          <t>California King</t>
        </is>
      </c>
      <c r="F64" s="32" t="inlineStr">
        <is>
          <t>Burgundy</t>
        </is>
      </c>
      <c r="G64" s="33" t="n"/>
      <c r="H64" s="32" t="n"/>
      <c r="I64" s="61" t="n">
        <v>99.98999999999999</v>
      </c>
      <c r="J64" s="62" t="inlineStr">
        <is>
          <t>2026-03-30</t>
        </is>
      </c>
      <c r="K64" s="33" t="n">
        <v>43.48</v>
      </c>
      <c r="L64" s="63" t="n">
        <v>0.4348434843484348</v>
      </c>
      <c r="M64" s="64" t="n">
        <v>1</v>
      </c>
      <c r="N64" s="32" t="inlineStr">
        <is>
          <t>Active</t>
        </is>
      </c>
      <c r="O64" s="32" t="n"/>
      <c r="P64" s="65" t="n"/>
      <c r="Q64" s="64" t="n"/>
      <c r="R64" s="64" t="n"/>
      <c r="S64" s="64" t="n"/>
      <c r="T64" s="32" t="n"/>
    </row>
    <row r="65" ht="62" customHeight="1">
      <c r="A65" s="10">
        <f>_xlfn.IMAGE("https://m.media-amazon.com/images/I/81Mz595QL2L.jpg")</f>
        <v/>
      </c>
      <c r="B65" s="32" t="inlineStr">
        <is>
          <t>B08KQLFRVR</t>
        </is>
      </c>
      <c r="C65" s="32" t="inlineStr">
        <is>
          <t>BAMBOO-CALIFKING-LIGHTGREY</t>
        </is>
      </c>
      <c r="D65" s="32" t="inlineStr">
        <is>
          <t>DECOLURE 100% Organic Bamboo Viscose Sheets California King Size 4 pcs - Ultra Soft &amp; Luxuriously Cooling, 16" Deep Pocket, Double Stitching,Perfect for Hot Sleepers - King Bed Sheets Set (Light Grey)</t>
        </is>
      </c>
      <c r="E65" s="32" t="inlineStr">
        <is>
          <t>California King</t>
        </is>
      </c>
      <c r="F65" s="32" t="inlineStr">
        <is>
          <t>Light Grey</t>
        </is>
      </c>
      <c r="G65" s="33" t="n"/>
      <c r="H65" s="32" t="n"/>
      <c r="I65" s="61" t="n">
        <v>99.98999999999999</v>
      </c>
      <c r="J65" s="62" t="inlineStr">
        <is>
          <t>2026-03-30</t>
        </is>
      </c>
      <c r="K65" s="33" t="n">
        <v>44.69999999999999</v>
      </c>
      <c r="L65" s="63" t="n">
        <v>0.447044704470447</v>
      </c>
      <c r="M65" s="64" t="n">
        <v>1</v>
      </c>
      <c r="N65" s="32" t="inlineStr">
        <is>
          <t>Active</t>
        </is>
      </c>
      <c r="O65" s="32" t="n"/>
      <c r="P65" s="65" t="n"/>
      <c r="Q65" s="64" t="n"/>
      <c r="R65" s="64" t="n"/>
      <c r="S65" s="64" t="n"/>
      <c r="T65" s="32" t="n"/>
    </row>
    <row r="66" ht="62" customHeight="1">
      <c r="A66" s="10">
        <f>_xlfn.IMAGE("https://m.media-amazon.com/images/I/81Jrmiuxy2L.jpg")</f>
        <v/>
      </c>
      <c r="B66" s="32" t="inlineStr">
        <is>
          <t>B08KQ3C8BX</t>
        </is>
      </c>
      <c r="C66" s="32" t="inlineStr">
        <is>
          <t>BAMBOO-CALIFKING-NAVYBLUE</t>
        </is>
      </c>
      <c r="D66" s="32" t="inlineStr">
        <is>
          <t>DECOLURE 100% Organic Bamboo Viscose Sheets California King Size 4 pcs - Ultra Soft &amp; Luxuriously Cooling, 16" Deep Pocket, Double Stitching,Perfect for Hot Sleepers - King Bed Sheets Set (Navy Blue)</t>
        </is>
      </c>
      <c r="E66" s="32" t="inlineStr">
        <is>
          <t>California King</t>
        </is>
      </c>
      <c r="F66" s="32" t="inlineStr">
        <is>
          <t>Navy Blue</t>
        </is>
      </c>
      <c r="G66" s="33" t="n"/>
      <c r="H66" s="32" t="n"/>
      <c r="I66" s="61" t="n">
        <v>99.98999999999999</v>
      </c>
      <c r="J66" s="62" t="inlineStr">
        <is>
          <t>2026-03-30</t>
        </is>
      </c>
      <c r="K66" s="33" t="n">
        <v>45.2</v>
      </c>
      <c r="L66" s="63" t="n">
        <v>0.4520452045204521</v>
      </c>
      <c r="M66" s="64" t="n">
        <v>1</v>
      </c>
      <c r="N66" s="32" t="inlineStr">
        <is>
          <t>Active</t>
        </is>
      </c>
      <c r="O66" s="32" t="n"/>
      <c r="P66" s="65" t="n"/>
      <c r="Q66" s="64" t="n"/>
      <c r="R66" s="64" t="n"/>
      <c r="S66" s="64" t="n"/>
      <c r="T66" s="32" t="n"/>
    </row>
    <row r="67" ht="62" customHeight="1">
      <c r="A67" s="10">
        <f>_xlfn.IMAGE("https://m.media-amazon.com/images/I/81T+gwobemL.jpg")</f>
        <v/>
      </c>
      <c r="B67" s="32" t="inlineStr">
        <is>
          <t>B0CLKCVLRG</t>
        </is>
      </c>
      <c r="C67" s="32" t="inlineStr">
        <is>
          <t>BAMBOO-CALIFKING-SAGE GREEN</t>
        </is>
      </c>
      <c r="D67" s="32" t="inlineStr">
        <is>
          <t>DECOLURE 100% Organic Viscose Derived from Bamboo Sheets Cal King Size 4pcs - Ultra Soft &amp; Luxuriously Cooling, 17" Deep Pocket,Double Stitching,Perfect for Hot Sleepers - King Bed Sheets (Sage Green)</t>
        </is>
      </c>
      <c r="E67" s="32" t="inlineStr">
        <is>
          <t>California King</t>
        </is>
      </c>
      <c r="F67" s="32" t="inlineStr">
        <is>
          <t>Sage Green</t>
        </is>
      </c>
      <c r="G67" s="33" t="n"/>
      <c r="H67" s="32" t="n"/>
      <c r="I67" s="61" t="n">
        <v>99.98999999999999</v>
      </c>
      <c r="J67" s="62" t="inlineStr">
        <is>
          <t>2026-03-30</t>
        </is>
      </c>
      <c r="K67" s="33" t="n">
        <v>44.78</v>
      </c>
      <c r="L67" s="63" t="n">
        <v>0.4478447844784479</v>
      </c>
      <c r="M67" s="64" t="n">
        <v>1</v>
      </c>
      <c r="N67" s="32" t="inlineStr">
        <is>
          <t>Inactive</t>
        </is>
      </c>
      <c r="O67" s="32" t="n"/>
      <c r="P67" s="65" t="n"/>
      <c r="Q67" s="64" t="n"/>
      <c r="R67" s="64" t="n"/>
      <c r="S67" s="64" t="n"/>
      <c r="T67" s="32" t="n"/>
    </row>
    <row r="68" ht="62" customHeight="1">
      <c r="A68" s="10">
        <f>_xlfn.IMAGE("https://m.media-amazon.com/images/I/81jtUZ9WZqL.jpg")</f>
        <v/>
      </c>
      <c r="B68" s="32" t="inlineStr">
        <is>
          <t>B08KQJ3JSW</t>
        </is>
      </c>
      <c r="C68" s="32" t="inlineStr">
        <is>
          <t>BAMBOO-FULL-CREME</t>
        </is>
      </c>
      <c r="D68" s="32" t="inlineStr">
        <is>
          <t>DECOLURE 100% Organic Bamboo Viscose Sheets Full Size 4 pcs - Ultra Soft &amp; Luxuriously Cooling, 16" Deep Pocket, Double Stitching, Perfect for Hot Sleepers - Luxury Full Bed Sheets Set (Creme)</t>
        </is>
      </c>
      <c r="E68" s="32" t="inlineStr">
        <is>
          <t>Full</t>
        </is>
      </c>
      <c r="F68" s="32" t="inlineStr">
        <is>
          <t>Creme</t>
        </is>
      </c>
      <c r="G68" s="33" t="n"/>
      <c r="H68" s="32" t="n"/>
      <c r="I68" s="61" t="n">
        <v>92.36</v>
      </c>
      <c r="J68" s="62" t="inlineStr">
        <is>
          <t>2026-03-30</t>
        </is>
      </c>
      <c r="K68" s="33" t="n">
        <v>39.60000000000001</v>
      </c>
      <c r="L68" s="63" t="n">
        <v>0.4287570376786489</v>
      </c>
      <c r="M68" s="64" t="n">
        <v>1</v>
      </c>
      <c r="N68" s="32" t="inlineStr">
        <is>
          <t>Active</t>
        </is>
      </c>
      <c r="O68" s="32" t="n"/>
      <c r="P68" s="65" t="n"/>
      <c r="Q68" s="64" t="n"/>
      <c r="R68" s="64" t="n"/>
      <c r="S68" s="64" t="n"/>
      <c r="T68" s="32" t="n"/>
    </row>
    <row r="69" ht="62" customHeight="1">
      <c r="A69" s="10">
        <f>_xlfn.IMAGE("https://m.media-amazon.com/images/I/81aBlh93veL.jpg")</f>
        <v/>
      </c>
      <c r="B69" s="32" t="inlineStr">
        <is>
          <t>B0BZQ43D7W</t>
        </is>
      </c>
      <c r="C69" s="32" t="inlineStr">
        <is>
          <t>BAMBOO-FULL-MIDGREY</t>
        </is>
      </c>
      <c r="D69" s="32" t="inlineStr">
        <is>
          <t>DECOLURE 100% Organic Bamboo Viscose Sheets Full Size 4 pcs - Ultra Soft &amp; Luxuriously Cooling, 16" Deep Pocket, Double Stitching, Perfect for Hot Sleepers - Luxury Full Bed Sheets Set (Midgrey)</t>
        </is>
      </c>
      <c r="E69" s="32" t="inlineStr">
        <is>
          <t>Full</t>
        </is>
      </c>
      <c r="F69" s="32" t="inlineStr">
        <is>
          <t>Midgrey</t>
        </is>
      </c>
      <c r="G69" s="33" t="n"/>
      <c r="H69" s="32" t="n"/>
      <c r="I69" s="61" t="n">
        <v>92.14</v>
      </c>
      <c r="J69" s="62" t="inlineStr">
        <is>
          <t>2026-03-30</t>
        </is>
      </c>
      <c r="K69" s="33" t="n">
        <v>39.20999999999999</v>
      </c>
      <c r="L69" s="63" t="n">
        <v>0.4255480790102018</v>
      </c>
      <c r="M69" s="64" t="n">
        <v>1</v>
      </c>
      <c r="N69" s="32" t="inlineStr">
        <is>
          <t>Active</t>
        </is>
      </c>
      <c r="O69" s="32" t="n"/>
      <c r="P69" s="65" t="n"/>
      <c r="Q69" s="64" t="n"/>
      <c r="R69" s="64" t="n"/>
      <c r="S69" s="64" t="n"/>
      <c r="T69" s="32" t="n"/>
    </row>
    <row r="70" ht="62" customHeight="1">
      <c r="A70" s="10">
        <f>_xlfn.IMAGE("https://m.media-amazon.com/images/I/81Jrmiuxy2L.jpg")</f>
        <v/>
      </c>
      <c r="B70" s="32" t="inlineStr">
        <is>
          <t>B08KQK9WCY</t>
        </is>
      </c>
      <c r="C70" s="32" t="inlineStr">
        <is>
          <t>BAMBOO-KING-NAVYBLUE</t>
        </is>
      </c>
      <c r="D70" s="32" t="inlineStr">
        <is>
          <t>DECOLURE 100% Organic Bamboo Viscose Sheets King Size 4 pcs - Ultra Soft &amp; Luxuriously Cooling, 16" Deep Pocket, Double Stitching, Perfect for Hot Sleepers - Luxury King Bed Sheets Set (Navy Blue)</t>
        </is>
      </c>
      <c r="E70" s="32" t="inlineStr">
        <is>
          <t>King</t>
        </is>
      </c>
      <c r="F70" s="32" t="inlineStr">
        <is>
          <t>Navy Blue</t>
        </is>
      </c>
      <c r="G70" s="33" t="n"/>
      <c r="H70" s="32" t="n"/>
      <c r="I70" s="61" t="n">
        <v>115.68</v>
      </c>
      <c r="J70" s="62" t="inlineStr">
        <is>
          <t>2026-03-30</t>
        </is>
      </c>
      <c r="K70" s="33" t="n">
        <v>51.41000000000001</v>
      </c>
      <c r="L70" s="63" t="n">
        <v>0.4444156293222685</v>
      </c>
      <c r="M70" s="64" t="n">
        <v>1</v>
      </c>
      <c r="N70" s="32" t="inlineStr">
        <is>
          <t>Active</t>
        </is>
      </c>
      <c r="O70" s="32" t="n"/>
      <c r="P70" s="65" t="n"/>
      <c r="Q70" s="64" t="n"/>
      <c r="R70" s="64" t="n"/>
      <c r="S70" s="64" t="n"/>
      <c r="T70" s="32" t="n"/>
    </row>
    <row r="71" ht="62" customHeight="1">
      <c r="A71" s="10">
        <f>_xlfn.IMAGE("https://m.media-amazon.com/images/I/81OoEiBHwdL.jpg")</f>
        <v/>
      </c>
      <c r="B71" s="32" t="inlineStr">
        <is>
          <t>B08KQK8Z1J</t>
        </is>
      </c>
      <c r="C71" s="32" t="inlineStr">
        <is>
          <t>BAMBOO-TWIN-LIGHTGREY</t>
        </is>
      </c>
      <c r="D71" s="32" t="inlineStr">
        <is>
          <t>DECOLURE 100% Organic Bamboo Viscose Sheets Twin Size 3 pcs - Ultra Soft &amp; Luxuriously Cooling, 16" Deep Pocket, Double Stitching,Perfect for Hot Sleepers - Luxury Twin Bed Sheets Set (Light Grey)</t>
        </is>
      </c>
      <c r="E71" s="32" t="inlineStr">
        <is>
          <t>Twin</t>
        </is>
      </c>
      <c r="F71" s="32" t="inlineStr">
        <is>
          <t>Light Grey</t>
        </is>
      </c>
      <c r="G71" s="33" t="n"/>
      <c r="H71" s="32" t="n"/>
      <c r="I71" s="61" t="n">
        <v>79.98999999999999</v>
      </c>
      <c r="J71" s="62" t="inlineStr">
        <is>
          <t>2026-03-30</t>
        </is>
      </c>
      <c r="K71" s="33" t="n">
        <v>38.87</v>
      </c>
      <c r="L71" s="63" t="n">
        <v>0.485935741967746</v>
      </c>
      <c r="M71" s="64" t="n">
        <v>1</v>
      </c>
      <c r="N71" s="32" t="inlineStr">
        <is>
          <t>Active</t>
        </is>
      </c>
      <c r="O71" s="32" t="n"/>
      <c r="P71" s="65" t="n"/>
      <c r="Q71" s="64" t="n"/>
      <c r="R71" s="64" t="n"/>
      <c r="S71" s="64" t="n"/>
      <c r="T71" s="32" t="n"/>
    </row>
    <row r="72" ht="62" customHeight="1">
      <c r="A72" s="10">
        <f>_xlfn.IMAGE("https://m.media-amazon.com/images/I/810zJsI9KBL.jpg")</f>
        <v/>
      </c>
      <c r="B72" s="32" t="inlineStr">
        <is>
          <t>B0CLKDMGHC</t>
        </is>
      </c>
      <c r="C72" s="32" t="inlineStr">
        <is>
          <t>BAMBOO-TWIN-LIGHT PINK</t>
        </is>
      </c>
      <c r="D72" s="32" t="inlineStr">
        <is>
          <t>DECOLURE 100% Organic Viscose Derived from Bamboo Sheets Twin Size 3pcs - Ultra Soft &amp; Luxuriously Cooling, 17" Deep Pocket, Double Stitching, Perfect for Hot Sleepers - Twin Bed Sheets (Light Pink)</t>
        </is>
      </c>
      <c r="E72" s="32" t="inlineStr">
        <is>
          <t>Twin</t>
        </is>
      </c>
      <c r="F72" s="32" t="inlineStr">
        <is>
          <t>Light Pink</t>
        </is>
      </c>
      <c r="G72" s="33" t="n"/>
      <c r="H72" s="32" t="n"/>
      <c r="I72" s="61" t="n">
        <v>79.98999999999999</v>
      </c>
      <c r="J72" s="62" t="inlineStr">
        <is>
          <t>2026-03-30</t>
        </is>
      </c>
      <c r="K72" s="33" t="n">
        <v>39.41</v>
      </c>
      <c r="L72" s="63" t="n">
        <v>0.4926865858232279</v>
      </c>
      <c r="M72" s="64" t="n">
        <v>1</v>
      </c>
      <c r="N72" s="32" t="inlineStr">
        <is>
          <t>Active</t>
        </is>
      </c>
      <c r="O72" s="32" t="n"/>
      <c r="P72" s="65" t="n"/>
      <c r="Q72" s="64" t="n"/>
      <c r="R72" s="64" t="n"/>
      <c r="S72" s="64" t="n"/>
      <c r="T72" s="32" t="n"/>
    </row>
    <row r="73" ht="62" customHeight="1">
      <c r="A73" s="10">
        <f>_xlfn.IMAGE("https://m.media-amazon.com/images/I/81F0yDBRKQL.jpg")</f>
        <v/>
      </c>
      <c r="B73" s="32" t="inlineStr">
        <is>
          <t>B0CLKBT95K</t>
        </is>
      </c>
      <c r="C73" s="32" t="inlineStr">
        <is>
          <t>BAMBOO-TWIN-SAGE GREEN</t>
        </is>
      </c>
      <c r="D73" s="32" t="inlineStr">
        <is>
          <t>DECOLURE 100% Organic Viscose Derived from Bamboo Sheets Twin Size 3pcs - Ultra Soft &amp; Luxuriously Cooling, 17" Deep Pocket, Double Stitching, Perfect for Hot Sleepers - Twin Bed Sheets (Sage Green)</t>
        </is>
      </c>
      <c r="E73" s="32" t="inlineStr">
        <is>
          <t>Twin</t>
        </is>
      </c>
      <c r="F73" s="32" t="inlineStr">
        <is>
          <t>Sage Green</t>
        </is>
      </c>
      <c r="G73" s="33" t="n"/>
      <c r="H73" s="32" t="n"/>
      <c r="I73" s="61" t="n">
        <v>79.98999999999999</v>
      </c>
      <c r="J73" s="62" t="inlineStr">
        <is>
          <t>2026-03-30</t>
        </is>
      </c>
      <c r="K73" s="33" t="n">
        <v>39.62</v>
      </c>
      <c r="L73" s="63" t="n">
        <v>0.4953119139892487</v>
      </c>
      <c r="M73" s="64" t="n">
        <v>1</v>
      </c>
      <c r="N73" s="32" t="inlineStr">
        <is>
          <t>Active</t>
        </is>
      </c>
      <c r="O73" s="32" t="n"/>
      <c r="P73" s="65" t="n"/>
      <c r="Q73" s="64" t="n"/>
      <c r="R73" s="64" t="n"/>
      <c r="S73" s="64" t="n"/>
      <c r="T73" s="32" t="n"/>
    </row>
    <row r="74" ht="62" customHeight="1">
      <c r="A74" s="10">
        <f>_xlfn.IMAGE("https://m.media-amazon.com/images/I/81YWxJJr8JL.jpg")</f>
        <v/>
      </c>
      <c r="B74" s="32" t="inlineStr">
        <is>
          <t>B0BZPZQCBL</t>
        </is>
      </c>
      <c r="C74" s="32" t="inlineStr">
        <is>
          <t>BAMBOO-CALIFKING-CHARCOAL</t>
        </is>
      </c>
      <c r="D74" s="32" t="inlineStr">
        <is>
          <t>DECOLURE 100% Organic Bamboo Viscose Sheets California King Size 4 pcs - Ultra Soft &amp; Luxuriously Cooling, 16" Deep Pocket, Double Stitching,Perfect for Hot Sleepers - King Bed Sheets Set (Charcoal)</t>
        </is>
      </c>
      <c r="E74" s="32" t="inlineStr">
        <is>
          <t>California King</t>
        </is>
      </c>
      <c r="F74" s="32" t="inlineStr">
        <is>
          <t>Charcoal</t>
        </is>
      </c>
      <c r="G74" s="33" t="n"/>
      <c r="H74" s="32" t="n"/>
      <c r="I74" s="61" t="n">
        <v>99.98999999999999</v>
      </c>
      <c r="J74" s="62" t="inlineStr">
        <is>
          <t>2026-03-30</t>
        </is>
      </c>
      <c r="K74" s="33" t="n">
        <v>44.33</v>
      </c>
      <c r="L74" s="63" t="n">
        <v>0.4433443344334434</v>
      </c>
      <c r="M74" s="64" t="n"/>
      <c r="N74" s="32" t="inlineStr">
        <is>
          <t>Inactive</t>
        </is>
      </c>
      <c r="O74" s="32" t="n"/>
      <c r="P74" s="65" t="n"/>
      <c r="Q74" s="64" t="n"/>
      <c r="R74" s="64" t="n"/>
      <c r="S74" s="64" t="n"/>
      <c r="T74" s="32" t="n"/>
    </row>
    <row r="75" ht="62" customHeight="1">
      <c r="A75" s="10">
        <f>_xlfn.IMAGE("https://m.media-amazon.com/images/I/81wmkV-8ExL.jpg")</f>
        <v/>
      </c>
      <c r="B75" s="32" t="inlineStr">
        <is>
          <t>B08KQJBFFY</t>
        </is>
      </c>
      <c r="C75" s="32" t="inlineStr">
        <is>
          <t>BAMBOO-CALIFKING-GREY</t>
        </is>
      </c>
      <c r="D75" s="32" t="inlineStr">
        <is>
          <t>DECOLURE 100% Organic Bamboo Viscose Sheets California King Size 4 pcs - Ultra Soft &amp; Luxuriously Cooling, 16" Deep Pocket, Double Stitching, Perfect for Hot Sleepers - King Bed Sheets Set (Grey)</t>
        </is>
      </c>
      <c r="E75" s="32" t="inlineStr">
        <is>
          <t>California King</t>
        </is>
      </c>
      <c r="F75" s="32" t="inlineStr">
        <is>
          <t>Grey</t>
        </is>
      </c>
      <c r="G75" s="33" t="n"/>
      <c r="H75" s="32" t="n"/>
      <c r="I75" s="61" t="n">
        <v>99.98999999999999</v>
      </c>
      <c r="J75" s="62" t="inlineStr">
        <is>
          <t>2026-03-30</t>
        </is>
      </c>
      <c r="K75" s="33" t="n">
        <v>44.95999999999999</v>
      </c>
      <c r="L75" s="63" t="n">
        <v>0.4496449644964496</v>
      </c>
      <c r="M75" s="64" t="n">
        <v>0</v>
      </c>
      <c r="N75" s="32" t="inlineStr">
        <is>
          <t>Active</t>
        </is>
      </c>
      <c r="O75" s="32" t="n"/>
      <c r="P75" s="65" t="n"/>
      <c r="Q75" s="64" t="n"/>
      <c r="R75" s="64" t="n"/>
      <c r="S75" s="64" t="n"/>
      <c r="T75" s="32" t="n"/>
    </row>
    <row r="76" ht="62" customHeight="1">
      <c r="A76" s="10">
        <f>_xlfn.IMAGE("https://m.media-amazon.com/images/I/81Jj2qvOarL.jpg")</f>
        <v/>
      </c>
      <c r="B76" s="32" t="inlineStr">
        <is>
          <t>B08KQHSWSJ</t>
        </is>
      </c>
      <c r="C76" s="32" t="inlineStr">
        <is>
          <t>BAMBOO-CALIFKING-LIGHTBLUE</t>
        </is>
      </c>
      <c r="D76" s="32" t="inlineStr">
        <is>
          <t>DECOLURE 100% Organic Bamboo Viscose Sheets California King Size 4 pcs - Ultra Soft &amp; Luxuriously Cooling, 16" Deep Pocket, Double Stitching,Perfect for Hot Sleepers - King Bed Sheets Set (Light Blue)</t>
        </is>
      </c>
      <c r="E76" s="32" t="inlineStr">
        <is>
          <t>California King</t>
        </is>
      </c>
      <c r="F76" s="32" t="inlineStr">
        <is>
          <t>Light Blue</t>
        </is>
      </c>
      <c r="G76" s="33" t="n"/>
      <c r="H76" s="32" t="n"/>
      <c r="I76" s="61" t="n">
        <v>99.98999999999999</v>
      </c>
      <c r="J76" s="62" t="inlineStr">
        <is>
          <t>2026-03-30</t>
        </is>
      </c>
      <c r="K76" s="33" t="n">
        <v>44.01999999999999</v>
      </c>
      <c r="L76" s="63" t="n">
        <v>0.4402440244024401</v>
      </c>
      <c r="M76" s="64" t="n"/>
      <c r="N76" s="32" t="inlineStr">
        <is>
          <t>Inactive</t>
        </is>
      </c>
      <c r="O76" s="32" t="n"/>
      <c r="P76" s="65" t="n"/>
      <c r="Q76" s="64" t="n"/>
      <c r="R76" s="64" t="n"/>
      <c r="S76" s="64" t="n"/>
      <c r="T76" s="32" t="n"/>
    </row>
    <row r="77" ht="62" customHeight="1">
      <c r="A77" s="10">
        <f>_xlfn.IMAGE("https://m.media-amazon.com/images/I/81jAmePDWeL.jpg")</f>
        <v/>
      </c>
      <c r="B77" s="32" t="inlineStr">
        <is>
          <t>B0BZQ19Z47</t>
        </is>
      </c>
      <c r="C77" s="32" t="inlineStr">
        <is>
          <t>BAMBOO-CALIFKING-LIGHTOLIVE</t>
        </is>
      </c>
      <c r="D77" s="32" t="inlineStr">
        <is>
          <t>DECOLURE 100% Organic Bamboo Viscose Sheets California King Size 4 pcs - Ultra Soft &amp; Luxuriously Cooling, 16" Deep Pocket,Double Stitching,Perfect for Hot Sleepers - King Bed Sheets Set (Light Olive)</t>
        </is>
      </c>
      <c r="E77" s="32" t="inlineStr">
        <is>
          <t>California King</t>
        </is>
      </c>
      <c r="F77" s="32" t="inlineStr">
        <is>
          <t>Light Olive</t>
        </is>
      </c>
      <c r="G77" s="33" t="n"/>
      <c r="H77" s="32" t="n"/>
      <c r="I77" s="61" t="n">
        <v>99.98999999999999</v>
      </c>
      <c r="J77" s="62" t="inlineStr">
        <is>
          <t>2026-03-30</t>
        </is>
      </c>
      <c r="K77" s="33" t="n">
        <v>44.51000000000001</v>
      </c>
      <c r="L77" s="63" t="n">
        <v>0.4451445144514452</v>
      </c>
      <c r="M77" s="64" t="n">
        <v>0</v>
      </c>
      <c r="N77" s="32" t="inlineStr">
        <is>
          <t>Active</t>
        </is>
      </c>
      <c r="O77" s="32" t="n"/>
      <c r="P77" s="65" t="n"/>
      <c r="Q77" s="64" t="n"/>
      <c r="R77" s="64" t="n"/>
      <c r="S77" s="64" t="n"/>
      <c r="T77" s="32" t="n"/>
    </row>
    <row r="78" ht="62" customHeight="1">
      <c r="A78" s="10">
        <f>_xlfn.IMAGE("https://m.media-amazon.com/images/I/81hxPp-zxnL.jpg")</f>
        <v/>
      </c>
      <c r="B78" s="32" t="inlineStr">
        <is>
          <t>B0CLKD23ZH</t>
        </is>
      </c>
      <c r="C78" s="32" t="inlineStr">
        <is>
          <t>BAMBOO-CALIFKING-LIGHT PINK</t>
        </is>
      </c>
      <c r="D78" s="32" t="inlineStr">
        <is>
          <t>DECOLURE 100% Organic Viscose Derived from Bamboo Sheets Cal King Size 4pcs - Ultra Soft &amp; Luxuriously Cooling, 17" Deep Pocket,Double Stitching,Perfect for Hot Sleepers - King Bed Sheets (Light Pink)</t>
        </is>
      </c>
      <c r="E78" s="32" t="inlineStr">
        <is>
          <t>California King</t>
        </is>
      </c>
      <c r="F78" s="32" t="inlineStr">
        <is>
          <t>Light Pink</t>
        </is>
      </c>
      <c r="G78" s="33" t="n"/>
      <c r="H78" s="32" t="n"/>
      <c r="I78" s="61" t="n">
        <v>99.98999999999999</v>
      </c>
      <c r="J78" s="62" t="inlineStr">
        <is>
          <t>2026-03-30</t>
        </is>
      </c>
      <c r="K78" s="33" t="n">
        <v>44.78</v>
      </c>
      <c r="L78" s="63" t="n">
        <v>0.4478447844784479</v>
      </c>
      <c r="M78" s="64" t="n">
        <v>0</v>
      </c>
      <c r="N78" s="32" t="inlineStr">
        <is>
          <t>Active</t>
        </is>
      </c>
      <c r="O78" s="32" t="n"/>
      <c r="P78" s="65" t="n"/>
      <c r="Q78" s="64" t="n"/>
      <c r="R78" s="64" t="n"/>
      <c r="S78" s="64" t="n"/>
      <c r="T78" s="32" t="n"/>
    </row>
    <row r="79" ht="62" customHeight="1">
      <c r="A79" s="10">
        <f>_xlfn.IMAGE("https://m.media-amazon.com/images/I/81aBlh93veL.jpg")</f>
        <v/>
      </c>
      <c r="B79" s="32" t="inlineStr">
        <is>
          <t>B0BZPY841G</t>
        </is>
      </c>
      <c r="C79" s="32" t="inlineStr">
        <is>
          <t>BAMBOO-CALIFKING-MIDGREY</t>
        </is>
      </c>
      <c r="D79" s="32" t="inlineStr">
        <is>
          <t>DECOLURE 100% Organic Bamboo Viscose Sheets California King Size 4 pcs - Ultra Soft &amp; Luxuriously Cooling, 16" Deep Pocket, Double Stitching, Perfect for Hot Sleepers - King Bed Sheets Set (Midgrey)</t>
        </is>
      </c>
      <c r="E79" s="32" t="inlineStr">
        <is>
          <t>California King</t>
        </is>
      </c>
      <c r="F79" s="32" t="inlineStr">
        <is>
          <t>Midgrey</t>
        </is>
      </c>
      <c r="G79" s="33" t="n"/>
      <c r="H79" s="32" t="n"/>
      <c r="I79" s="61" t="n">
        <v>99.98999999999999</v>
      </c>
      <c r="J79" s="62" t="inlineStr">
        <is>
          <t>2026-03-30</t>
        </is>
      </c>
      <c r="K79" s="33" t="n">
        <v>44.41</v>
      </c>
      <c r="L79" s="63" t="n">
        <v>0.4441444144414441</v>
      </c>
      <c r="M79" s="64" t="n">
        <v>0</v>
      </c>
      <c r="N79" s="32" t="inlineStr">
        <is>
          <t>Active</t>
        </is>
      </c>
      <c r="O79" s="32" t="n"/>
      <c r="P79" s="65" t="n"/>
      <c r="Q79" s="64" t="n"/>
      <c r="R79" s="64" t="n"/>
      <c r="S79" s="64" t="n"/>
      <c r="T79" s="32" t="n"/>
    </row>
    <row r="80" ht="62" customHeight="1">
      <c r="A80" s="10">
        <f>_xlfn.IMAGE("https://m.media-amazon.com/images/I/81xihWts51L.jpg")</f>
        <v/>
      </c>
      <c r="B80" s="32" t="inlineStr">
        <is>
          <t>B08KQJZHGC</t>
        </is>
      </c>
      <c r="C80" s="32" t="inlineStr">
        <is>
          <t>BAMBOO-CALIFKING-OLIVE</t>
        </is>
      </c>
      <c r="D80" s="32" t="inlineStr">
        <is>
          <t>DECOLURE 100% Organic Bamboo Viscose Sheets California King Size 4 pcs - Ultra Soft &amp; Luxuriously Cooling, 16" Deep Pocket, Double Stitching, Perfect for Hot Sleepers - King Bed Sheets Set (Olive)</t>
        </is>
      </c>
      <c r="E80" s="32" t="inlineStr">
        <is>
          <t>California King</t>
        </is>
      </c>
      <c r="F80" s="32" t="inlineStr">
        <is>
          <t>Olive</t>
        </is>
      </c>
      <c r="G80" s="33" t="n"/>
      <c r="H80" s="32" t="n"/>
      <c r="I80" s="61" t="n">
        <v>99.98999999999999</v>
      </c>
      <c r="J80" s="62" t="inlineStr">
        <is>
          <t>2026-03-30</t>
        </is>
      </c>
      <c r="K80" s="33" t="n">
        <v>44.95999999999999</v>
      </c>
      <c r="L80" s="63" t="n">
        <v>0.4496449644964496</v>
      </c>
      <c r="M80" s="64" t="n">
        <v>0</v>
      </c>
      <c r="N80" s="32" t="inlineStr">
        <is>
          <t>Active</t>
        </is>
      </c>
      <c r="O80" s="32" t="n"/>
      <c r="P80" s="65" t="n"/>
      <c r="Q80" s="64" t="n"/>
      <c r="R80" s="64" t="n"/>
      <c r="S80" s="64" t="n"/>
      <c r="T80" s="32" t="n"/>
    </row>
    <row r="81" ht="62" customHeight="1">
      <c r="A81" s="10">
        <f>_xlfn.IMAGE("https://m.media-amazon.com/images/I/81Jrmiuxy2L.jpg")</f>
        <v/>
      </c>
      <c r="B81" s="32" t="inlineStr">
        <is>
          <t>B08KQL2JT8</t>
        </is>
      </c>
      <c r="C81" s="32" t="inlineStr">
        <is>
          <t>BAMBOO-FULL-NAVYBLUE</t>
        </is>
      </c>
      <c r="D81" s="32" t="inlineStr">
        <is>
          <t>DECOLURE 100% Organic Bamboo Viscose Sheets Full Size 4 pcs - Ultra Soft &amp; Luxuriously Cooling, 16" Deep Pocket, Double Stitching, Perfect for Hot Sleepers - Luxury Full Bed Sheets Set (Navy Blue)</t>
        </is>
      </c>
      <c r="E81" s="32" t="inlineStr">
        <is>
          <t>Full</t>
        </is>
      </c>
      <c r="F81" s="32" t="inlineStr">
        <is>
          <t>Navy Blue</t>
        </is>
      </c>
      <c r="G81" s="33" t="n"/>
      <c r="H81" s="32" t="n"/>
      <c r="I81" s="61" t="n">
        <v>92.98</v>
      </c>
      <c r="J81" s="62" t="inlineStr">
        <is>
          <t>2026-03-30</t>
        </is>
      </c>
      <c r="K81" s="33" t="n">
        <v>39.67</v>
      </c>
      <c r="L81" s="63" t="n">
        <v>0.4266508926650893</v>
      </c>
      <c r="M81" s="64" t="n">
        <v>0</v>
      </c>
      <c r="N81" s="32" t="inlineStr">
        <is>
          <t>Inactive</t>
        </is>
      </c>
      <c r="O81" s="32" t="n"/>
      <c r="P81" s="65" t="n"/>
      <c r="Q81" s="64" t="n"/>
      <c r="R81" s="64" t="n"/>
      <c r="S81" s="64" t="n"/>
      <c r="T81" s="32" t="n"/>
    </row>
    <row r="82" ht="62" customHeight="1">
      <c r="A82" s="10">
        <f>_xlfn.IMAGE("https://m.media-amazon.com/images/I/81bmbyz5uFL.jpg")</f>
        <v/>
      </c>
      <c r="B82" s="32" t="inlineStr">
        <is>
          <t>B08KQJBRKM</t>
        </is>
      </c>
      <c r="C82" s="32" t="inlineStr">
        <is>
          <t>BAMBOO-FULL-TAUPE</t>
        </is>
      </c>
      <c r="D82" s="32" t="inlineStr">
        <is>
          <t>DECOLURE 100% Organic Bamboo Viscose Sheets Full Size 4 pcs - Ultra Soft &amp; Luxuriously Cooling, 16" Deep Pocket, Double Stitching, Perfect for Hot Sleepers - Luxury Full Bed Sheets Set (Taupe)</t>
        </is>
      </c>
      <c r="E82" s="32" t="inlineStr">
        <is>
          <t>Full</t>
        </is>
      </c>
      <c r="F82" s="32" t="inlineStr">
        <is>
          <t>Taupe</t>
        </is>
      </c>
      <c r="G82" s="33" t="n"/>
      <c r="H82" s="32" t="n"/>
      <c r="I82" s="61" t="n">
        <v>90.72</v>
      </c>
      <c r="J82" s="62" t="inlineStr">
        <is>
          <t>2026-03-30</t>
        </is>
      </c>
      <c r="K82" s="33" t="n">
        <v>38.14</v>
      </c>
      <c r="L82" s="63" t="n">
        <v>0.4204144620811288</v>
      </c>
      <c r="M82" s="64" t="n"/>
      <c r="N82" s="32" t="inlineStr">
        <is>
          <t>Inactive</t>
        </is>
      </c>
      <c r="O82" s="32" t="n"/>
      <c r="P82" s="65" t="n"/>
      <c r="Q82" s="64" t="n"/>
      <c r="R82" s="64" t="n"/>
      <c r="S82" s="64" t="n"/>
      <c r="T82" s="32" t="n"/>
    </row>
    <row r="83" ht="62" customHeight="1">
      <c r="A83" s="10">
        <f>_xlfn.IMAGE("https://m.media-amazon.com/images/I/81E9bvs4TYL.jpg")</f>
        <v/>
      </c>
      <c r="B83" s="32" t="inlineStr">
        <is>
          <t>B08KQJV49M</t>
        </is>
      </c>
      <c r="C83" s="32" t="inlineStr">
        <is>
          <t>BAMBOO-FULL-WHITE</t>
        </is>
      </c>
      <c r="D83" s="32" t="inlineStr">
        <is>
          <t>DECOLURE 100% Organic Bamboo Viscose Sheets Full Size 4 pcs - Ultra Soft &amp; Luxuriously Cooling, 16" Deep Pocket, Double Stitching, Perfect for Hot Sleepers - Luxury Full Bed Sheets Set (White)</t>
        </is>
      </c>
      <c r="E83" s="32" t="inlineStr">
        <is>
          <t>Full</t>
        </is>
      </c>
      <c r="F83" s="32" t="inlineStr">
        <is>
          <t>White</t>
        </is>
      </c>
      <c r="G83" s="33" t="n"/>
      <c r="H83" s="32" t="n"/>
      <c r="I83" s="61" t="n">
        <v>79.98999999999999</v>
      </c>
      <c r="J83" s="62" t="inlineStr">
        <is>
          <t>2026-03-30</t>
        </is>
      </c>
      <c r="K83" s="33" t="n">
        <v>34.3</v>
      </c>
      <c r="L83" s="63" t="n">
        <v>0.4288036004500562</v>
      </c>
      <c r="M83" s="64" t="n">
        <v>0</v>
      </c>
      <c r="N83" s="32" t="inlineStr">
        <is>
          <t>Inactive</t>
        </is>
      </c>
      <c r="O83" s="32" t="n"/>
      <c r="P83" s="65" t="n"/>
      <c r="Q83" s="64" t="n"/>
      <c r="R83" s="64" t="n"/>
      <c r="S83" s="64" t="n"/>
      <c r="T83" s="32" t="n"/>
    </row>
    <row r="84" ht="62" customHeight="1">
      <c r="A84" s="10">
        <f>_xlfn.IMAGE("https://m.media-amazon.com/images/I/81aBlh93veL.jpg")</f>
        <v/>
      </c>
      <c r="B84" s="32" t="inlineStr">
        <is>
          <t>B0BZPVXR69</t>
        </is>
      </c>
      <c r="C84" s="32" t="inlineStr">
        <is>
          <t>BAMBOO-KING-MIDGREY</t>
        </is>
      </c>
      <c r="D84" s="32" t="inlineStr">
        <is>
          <t>DECOLURE 100% Organic Bamboo Viscose Sheets King Size 4 pcs - Ultra Soft &amp; Luxuriously Cooling, 16" Deep Pocket, Double Stitching, Perfect for Hot Sleepers - Luxury King Bed Sheets Set (Midgrey)</t>
        </is>
      </c>
      <c r="E84" s="32" t="inlineStr">
        <is>
          <t>King</t>
        </is>
      </c>
      <c r="F84" s="32" t="inlineStr">
        <is>
          <t>Midgrey</t>
        </is>
      </c>
      <c r="G84" s="33" t="n"/>
      <c r="H84" s="32" t="n"/>
      <c r="I84" s="61" t="n">
        <v>99.98999999999999</v>
      </c>
      <c r="J84" s="62" t="inlineStr">
        <is>
          <t>2026-03-30</t>
        </is>
      </c>
      <c r="K84" s="33" t="n">
        <v>44.38</v>
      </c>
      <c r="L84" s="63" t="n">
        <v>0.4438443844384438</v>
      </c>
      <c r="M84" s="64" t="n"/>
      <c r="N84" s="32" t="inlineStr">
        <is>
          <t>Inactive</t>
        </is>
      </c>
      <c r="O84" s="32" t="n"/>
      <c r="P84" s="65" t="n"/>
      <c r="Q84" s="64" t="n"/>
      <c r="R84" s="64" t="n"/>
      <c r="S84" s="64" t="n"/>
      <c r="T84" s="32" t="n"/>
    </row>
    <row r="85" ht="62" customHeight="1">
      <c r="A85" s="10">
        <f>_xlfn.IMAGE("https://m.media-amazon.com/images/I/81xihWts51L.jpg")</f>
        <v/>
      </c>
      <c r="B85" s="32" t="inlineStr">
        <is>
          <t>B08KQLK2HK</t>
        </is>
      </c>
      <c r="C85" s="32" t="inlineStr">
        <is>
          <t>BAMBOO-KING-OLIVE</t>
        </is>
      </c>
      <c r="D85" s="32" t="inlineStr">
        <is>
          <t>DECOLURE 100% Organic Bamboo Viscose Sheets King Size 4 pcs - Ultra Soft &amp; Luxuriously Cooling, 16" Deep Pocket, Double Stitching, Perfect for Hot Sleepers - Luxury King Bed Sheets Set (Olive)</t>
        </is>
      </c>
      <c r="E85" s="32" t="inlineStr">
        <is>
          <t>King</t>
        </is>
      </c>
      <c r="F85" s="32" t="inlineStr">
        <is>
          <t>Olive</t>
        </is>
      </c>
      <c r="G85" s="33" t="n"/>
      <c r="H85" s="32" t="n"/>
      <c r="I85" s="61" t="n">
        <v>99.98999999999999</v>
      </c>
      <c r="J85" s="62" t="inlineStr">
        <is>
          <t>2026-03-30</t>
        </is>
      </c>
      <c r="K85" s="33" t="n">
        <v>44.66</v>
      </c>
      <c r="L85" s="63" t="n">
        <v>0.4466446644664466</v>
      </c>
      <c r="M85" s="64" t="n"/>
      <c r="N85" s="32" t="inlineStr">
        <is>
          <t>Inactive</t>
        </is>
      </c>
      <c r="O85" s="32" t="n"/>
      <c r="P85" s="65" t="n"/>
      <c r="Q85" s="64" t="n"/>
      <c r="R85" s="64" t="n"/>
      <c r="S85" s="64" t="n"/>
      <c r="T85" s="32" t="n"/>
    </row>
    <row r="86" ht="62" customHeight="1">
      <c r="A86" s="10">
        <f>_xlfn.IMAGE("https://m.media-amazon.com/images/I/81LPiN50m6L.jpg")</f>
        <v/>
      </c>
      <c r="B86" s="32" t="inlineStr">
        <is>
          <t>B0BZQ3F8RQ</t>
        </is>
      </c>
      <c r="C86" s="32" t="inlineStr">
        <is>
          <t>BAMBOO-KING-PURPLE</t>
        </is>
      </c>
      <c r="D86" s="32" t="inlineStr">
        <is>
          <t>DECOLURE 100% Organic Bamboo Viscose Sheets King Size 4 pcs - Ultra Soft &amp; Luxuriously Cooling, 16" Deep Pocket, Double Stitching, Perfect for Hot Sleepers - Luxury King Bed Sheets Set (Purple)</t>
        </is>
      </c>
      <c r="E86" s="32" t="inlineStr">
        <is>
          <t>King</t>
        </is>
      </c>
      <c r="F86" s="32" t="inlineStr">
        <is>
          <t>Purple</t>
        </is>
      </c>
      <c r="G86" s="33" t="n"/>
      <c r="H86" s="32" t="n"/>
      <c r="I86" s="61" t="n">
        <v>99.98999999999999</v>
      </c>
      <c r="J86" s="62" t="inlineStr">
        <is>
          <t>2026-03-30</t>
        </is>
      </c>
      <c r="K86" s="33" t="n">
        <v>45.48</v>
      </c>
      <c r="L86" s="63" t="n">
        <v>0.454845484548455</v>
      </c>
      <c r="M86" s="64" t="n">
        <v>0</v>
      </c>
      <c r="N86" s="32" t="inlineStr">
        <is>
          <t>Inactive</t>
        </is>
      </c>
      <c r="O86" s="32" t="n"/>
      <c r="P86" s="65" t="n"/>
      <c r="Q86" s="64" t="n"/>
      <c r="R86" s="64" t="n"/>
      <c r="S86" s="64" t="n"/>
      <c r="T86" s="32" t="n"/>
    </row>
    <row r="87" ht="62" customHeight="1">
      <c r="A87" s="10">
        <f>_xlfn.IMAGE("https://m.media-amazon.com/images/I/81T+gwobemL.jpg")</f>
        <v/>
      </c>
      <c r="B87" s="32" t="inlineStr">
        <is>
          <t>B0CLKCDHHS</t>
        </is>
      </c>
      <c r="C87" s="32" t="inlineStr">
        <is>
          <t>BAMBOO-KING-SAGE GREEN</t>
        </is>
      </c>
      <c r="D87" s="32" t="inlineStr">
        <is>
          <t>DECOLURE 100% Organic Viscose Derived from Bamboo Sheets King Size 4pcs - Ultra Soft &amp; Luxuriously Cooling, 17" Deep Pocket, Double Stitching, Perfect for Hot Sleepers - King Bed Sheets (Sage Green)</t>
        </is>
      </c>
      <c r="E87" s="32" t="inlineStr">
        <is>
          <t>King</t>
        </is>
      </c>
      <c r="F87" s="32" t="inlineStr">
        <is>
          <t>Sage Green</t>
        </is>
      </c>
      <c r="G87" s="33" t="n"/>
      <c r="H87" s="32" t="n"/>
      <c r="I87" s="61" t="n">
        <v>99.98999999999999</v>
      </c>
      <c r="J87" s="62" t="inlineStr">
        <is>
          <t>2026-03-30</t>
        </is>
      </c>
      <c r="K87" s="33" t="n">
        <v>44.38</v>
      </c>
      <c r="L87" s="63" t="n">
        <v>0.4438443844384438</v>
      </c>
      <c r="M87" s="64" t="n">
        <v>0</v>
      </c>
      <c r="N87" s="32" t="inlineStr">
        <is>
          <t>Inactive</t>
        </is>
      </c>
      <c r="O87" s="32" t="n"/>
      <c r="P87" s="65" t="n"/>
      <c r="Q87" s="64" t="n"/>
      <c r="R87" s="64" t="n"/>
      <c r="S87" s="64" t="n"/>
      <c r="T87" s="32" t="n"/>
    </row>
    <row r="88" ht="62" customHeight="1">
      <c r="A88" s="10">
        <f>_xlfn.IMAGE("https://m.media-amazon.com/images/I/81jAmePDWeL.jpg")</f>
        <v/>
      </c>
      <c r="B88" s="32" t="inlineStr">
        <is>
          <t>B0BZQ19Z44</t>
        </is>
      </c>
      <c r="C88" s="32" t="inlineStr">
        <is>
          <t>BAMBOO-QUEEN-LIGHTOLIVE</t>
        </is>
      </c>
      <c r="D88" s="32" t="inlineStr">
        <is>
          <t>DECOLURE 100% Organic Bamboo Viscose Sheets Queen Size 4 pcs - Ultra Soft &amp; Luxuriously Cooling, 16" Deep Pocket, Double Stitching,Perfect for Hot Sleepers - Luxury Queen Bed Sheets Set (Light Olive)</t>
        </is>
      </c>
      <c r="E88" s="32" t="inlineStr">
        <is>
          <t>Queen</t>
        </is>
      </c>
      <c r="F88" s="32" t="inlineStr">
        <is>
          <t>Light Olive</t>
        </is>
      </c>
      <c r="G88" s="33" t="n"/>
      <c r="H88" s="32" t="n"/>
      <c r="I88" s="61" t="n">
        <v>99.98999999999999</v>
      </c>
      <c r="J88" s="62" t="inlineStr">
        <is>
          <t>2026-03-30</t>
        </is>
      </c>
      <c r="K88" s="33" t="n">
        <v>49.55</v>
      </c>
      <c r="L88" s="63" t="n">
        <v>0.4955495549554955</v>
      </c>
      <c r="M88" s="64" t="n">
        <v>0</v>
      </c>
      <c r="N88" s="32" t="inlineStr">
        <is>
          <t>Active</t>
        </is>
      </c>
      <c r="O88" s="32" t="n"/>
      <c r="P88" s="65" t="n"/>
      <c r="Q88" s="64" t="n"/>
      <c r="R88" s="64" t="n"/>
      <c r="S88" s="64" t="n"/>
      <c r="T88" s="32" t="n"/>
    </row>
    <row r="89" ht="62" customHeight="1">
      <c r="A89" s="10">
        <f>_xlfn.IMAGE("https://m.media-amazon.com/images/I/81URS7+KRYL.jpg")</f>
        <v/>
      </c>
      <c r="B89" s="32" t="inlineStr">
        <is>
          <t>B0BZPZN1GV</t>
        </is>
      </c>
      <c r="C89" s="32" t="inlineStr">
        <is>
          <t>BAMBOO-TWIN-BLACK</t>
        </is>
      </c>
      <c r="D89" s="32" t="inlineStr">
        <is>
          <t>DECOLURE 100% Organic Bamboo Viscose Sheets Twin Size 3 pcs - Ultra Soft &amp; Luxuriously Cooling, 16" Deep Pocket, Double Stitching, Perfect for Hot Sleepers - Luxury Twin Bed Sheets Set (Black)</t>
        </is>
      </c>
      <c r="E89" s="32" t="inlineStr">
        <is>
          <t>Twin</t>
        </is>
      </c>
      <c r="F89" s="32" t="inlineStr">
        <is>
          <t>Black</t>
        </is>
      </c>
      <c r="G89" s="33" t="n"/>
      <c r="H89" s="32" t="n"/>
      <c r="I89" s="61" t="n">
        <v>79.98999999999999</v>
      </c>
      <c r="J89" s="62" t="inlineStr">
        <is>
          <t>2026-03-30</t>
        </is>
      </c>
      <c r="K89" s="33" t="n">
        <v>38.09</v>
      </c>
      <c r="L89" s="63" t="n">
        <v>0.4761845230653832</v>
      </c>
      <c r="M89" s="64" t="n"/>
      <c r="N89" s="32" t="inlineStr">
        <is>
          <t>Inactive</t>
        </is>
      </c>
      <c r="O89" s="32" t="n"/>
      <c r="P89" s="65" t="n"/>
      <c r="Q89" s="64" t="n"/>
      <c r="R89" s="64" t="n"/>
      <c r="S89" s="64" t="n"/>
      <c r="T89" s="32" t="n"/>
    </row>
    <row r="90" ht="62" customHeight="1">
      <c r="A90" s="10">
        <f>_xlfn.IMAGE("https://m.media-amazon.com/images/I/81iM1GJtuCL.jpg")</f>
        <v/>
      </c>
      <c r="B90" s="32" t="inlineStr">
        <is>
          <t>B0BZQ228PV</t>
        </is>
      </c>
      <c r="C90" s="32" t="inlineStr">
        <is>
          <t>BAMBOO-TWIN-CHARCOAL</t>
        </is>
      </c>
      <c r="D90" s="32" t="inlineStr">
        <is>
          <t>DECOLURE 100% Organic Viscose Derived from Bamboo Sheets Twin Size 3pcs - Ultra Soft &amp; Luxuriously Cooling, 17" Deep Pocket, Double Stitching, Perfect for Hot Sleepers - Twin Bed Sheets (Charcoal)</t>
        </is>
      </c>
      <c r="E90" s="32" t="inlineStr">
        <is>
          <t>Twin</t>
        </is>
      </c>
      <c r="F90" s="32" t="inlineStr">
        <is>
          <t>Charcoal</t>
        </is>
      </c>
      <c r="G90" s="33" t="n"/>
      <c r="H90" s="32" t="n"/>
      <c r="I90" s="61" t="n">
        <v>79.98999999999999</v>
      </c>
      <c r="J90" s="62" t="inlineStr">
        <is>
          <t>2026-03-30</t>
        </is>
      </c>
      <c r="K90" s="33" t="n">
        <v>38.59999999999999</v>
      </c>
      <c r="L90" s="63" t="n">
        <v>0.4825603200400049</v>
      </c>
      <c r="M90" s="64" t="n">
        <v>0</v>
      </c>
      <c r="N90" s="32" t="inlineStr">
        <is>
          <t>Active</t>
        </is>
      </c>
      <c r="O90" s="32" t="n"/>
      <c r="P90" s="65" t="n"/>
      <c r="Q90" s="64" t="n"/>
      <c r="R90" s="64" t="n"/>
      <c r="S90" s="64" t="n"/>
      <c r="T90" s="32" t="n"/>
    </row>
    <row r="91" ht="62" customHeight="1">
      <c r="A91" s="10">
        <f>_xlfn.IMAGE("https://m.media-amazon.com/images/I/81xF6TwRowL.jpg")</f>
        <v/>
      </c>
      <c r="B91" s="32" t="inlineStr">
        <is>
          <t>B08KQKS54Q</t>
        </is>
      </c>
      <c r="C91" s="32" t="inlineStr">
        <is>
          <t>BAMBOO-TWIN-CREME</t>
        </is>
      </c>
      <c r="D91" s="32" t="inlineStr">
        <is>
          <t>DECOLURE 100% Organic Bamboo Viscose Sheets Twin Size 3 pcs - Ultra Soft &amp; Luxuriously Cooling, 16" Deep Pocket, Double Stitching, Perfect for Hot Sleepers - Luxury Twin Bed Sheets Set (Creme)</t>
        </is>
      </c>
      <c r="E91" s="32" t="inlineStr">
        <is>
          <t>Twin</t>
        </is>
      </c>
      <c r="F91" s="32" t="inlineStr">
        <is>
          <t>Creme</t>
        </is>
      </c>
      <c r="G91" s="33" t="n"/>
      <c r="H91" s="32" t="n"/>
      <c r="I91" s="61" t="n">
        <v>79.98999999999999</v>
      </c>
      <c r="J91" s="62" t="inlineStr">
        <is>
          <t>2026-03-30</t>
        </is>
      </c>
      <c r="K91" s="33" t="n">
        <v>39.84999999999999</v>
      </c>
      <c r="L91" s="63" t="n">
        <v>0.4981872734091761</v>
      </c>
      <c r="M91" s="64" t="n"/>
      <c r="N91" s="32" t="inlineStr">
        <is>
          <t>Inactive</t>
        </is>
      </c>
      <c r="O91" s="32" t="n"/>
      <c r="P91" s="65" t="n"/>
      <c r="Q91" s="64" t="n"/>
      <c r="R91" s="64" t="n"/>
      <c r="S91" s="64" t="n"/>
      <c r="T91" s="32" t="n"/>
    </row>
    <row r="92" ht="62" customHeight="1">
      <c r="A92" s="10">
        <f>_xlfn.IMAGE("https://m.media-amazon.com/images/I/81tcLn4AhyL.jpg")</f>
        <v/>
      </c>
      <c r="B92" s="32" t="inlineStr">
        <is>
          <t>B08KQKJXDK</t>
        </is>
      </c>
      <c r="C92" s="32" t="inlineStr">
        <is>
          <t>BAMBOO-TWIN-GREY</t>
        </is>
      </c>
      <c r="D92" s="32" t="inlineStr">
        <is>
          <t>DECOLURE 100% Organic Viscose Derived from Bamboo Sheets Twin Size 3pcs - Ultra Soft &amp; Luxuriously Cooling, 17" Deep Pocket, Double Stitching, Perfect for Hot Sleepers - Twin Bed Sheets (Grey)</t>
        </is>
      </c>
      <c r="E92" s="32" t="inlineStr">
        <is>
          <t>Twin</t>
        </is>
      </c>
      <c r="F92" s="32" t="inlineStr">
        <is>
          <t>Grey</t>
        </is>
      </c>
      <c r="G92" s="33" t="n"/>
      <c r="H92" s="32" t="n"/>
      <c r="I92" s="61" t="n">
        <v>62.99</v>
      </c>
      <c r="J92" s="62" t="inlineStr">
        <is>
          <t>2026-03-30</t>
        </is>
      </c>
      <c r="K92" s="33" t="n">
        <v>25.33000000000001</v>
      </c>
      <c r="L92" s="63" t="n">
        <v>0.4021273217971108</v>
      </c>
      <c r="M92" s="64" t="n">
        <v>0</v>
      </c>
      <c r="N92" s="32" t="inlineStr">
        <is>
          <t>Active</t>
        </is>
      </c>
      <c r="O92" s="32" t="n"/>
      <c r="P92" s="65" t="n"/>
      <c r="Q92" s="64" t="n"/>
      <c r="R92" s="64" t="n"/>
      <c r="S92" s="64" t="n"/>
      <c r="T92" s="32" t="n"/>
    </row>
    <row r="93" ht="62" customHeight="1">
      <c r="A93" s="10">
        <f>_xlfn.IMAGE("https://m.media-amazon.com/images/I/81gCPnwH3FL.jpg")</f>
        <v/>
      </c>
      <c r="B93" s="32" t="inlineStr">
        <is>
          <t>B08KQJGSW2</t>
        </is>
      </c>
      <c r="C93" s="32" t="inlineStr">
        <is>
          <t>BAMBOO-TWIN-LIGHTBLUE</t>
        </is>
      </c>
      <c r="D93" s="32" t="inlineStr">
        <is>
          <t>DECOLURE 100% Organic Bamboo Viscose Sheets Twin Size 3 pcs - Ultra Soft &amp; Luxuriously Cooling, 16" Deep Pocket, Double Stitching,Perfect for Hot Sleepers - Luxury Twin Bed Sheets Set (Light Blue)</t>
        </is>
      </c>
      <c r="E93" s="32" t="inlineStr">
        <is>
          <t>Twin</t>
        </is>
      </c>
      <c r="F93" s="32" t="inlineStr">
        <is>
          <t>Light Blue</t>
        </is>
      </c>
      <c r="G93" s="33" t="n"/>
      <c r="H93" s="32" t="n"/>
      <c r="I93" s="61" t="n">
        <v>79.98999999999999</v>
      </c>
      <c r="J93" s="62" t="inlineStr">
        <is>
          <t>2026-03-30</t>
        </is>
      </c>
      <c r="K93" s="33" t="n">
        <v>40.45</v>
      </c>
      <c r="L93" s="63" t="n">
        <v>0.5056882110263783</v>
      </c>
      <c r="M93" s="64" t="n">
        <v>0</v>
      </c>
      <c r="N93" s="32" t="inlineStr">
        <is>
          <t>Active</t>
        </is>
      </c>
      <c r="O93" s="32" t="n"/>
      <c r="P93" s="65" t="n"/>
      <c r="Q93" s="64" t="n"/>
      <c r="R93" s="64" t="n"/>
      <c r="S93" s="64" t="n"/>
      <c r="T93" s="32" t="n"/>
    </row>
    <row r="94" ht="62" customHeight="1">
      <c r="A94" s="10">
        <f>_xlfn.IMAGE("https://m.media-amazon.com/images/I/81b+6M6XcyL.jpg")</f>
        <v/>
      </c>
      <c r="B94" s="32" t="inlineStr">
        <is>
          <t>B0BZQ21K22</t>
        </is>
      </c>
      <c r="C94" s="32" t="inlineStr">
        <is>
          <t>BAMBOO-TWIN-MIDGREY</t>
        </is>
      </c>
      <c r="D94" s="32" t="inlineStr">
        <is>
          <t>DECOLURE 100% Organic Bamboo Viscose Sheets Twin Size 3 pcs - Ultra Soft &amp; Luxuriously Cooling, 16" Deep Pocket, Double Stitching, Perfect for Hot Sleepers - Luxury Twin Bed Sheets Set (Midgrey)</t>
        </is>
      </c>
      <c r="E94" s="32" t="inlineStr">
        <is>
          <t>Twin</t>
        </is>
      </c>
      <c r="F94" s="32" t="inlineStr">
        <is>
          <t>Midgrey</t>
        </is>
      </c>
      <c r="G94" s="33" t="n"/>
      <c r="H94" s="32" t="n"/>
      <c r="I94" s="61" t="n">
        <v>79.98999999999999</v>
      </c>
      <c r="J94" s="62" t="inlineStr">
        <is>
          <t>2026-03-30</t>
        </is>
      </c>
      <c r="K94" s="33" t="n">
        <v>38.18</v>
      </c>
      <c r="L94" s="63" t="n">
        <v>0.4773096637079635</v>
      </c>
      <c r="M94" s="64" t="n"/>
      <c r="N94" s="32" t="inlineStr">
        <is>
          <t>Inactive</t>
        </is>
      </c>
      <c r="O94" s="32" t="n"/>
      <c r="P94" s="65" t="n"/>
      <c r="Q94" s="64" t="n"/>
      <c r="R94" s="64" t="n"/>
      <c r="S94" s="64" t="n"/>
      <c r="T94" s="32" t="n"/>
    </row>
    <row r="95" ht="62" customHeight="1">
      <c r="A95" s="10">
        <f>_xlfn.IMAGE("https://m.media-amazon.com/images/I/81+SsPmr6TL.jpg")</f>
        <v/>
      </c>
      <c r="B95" s="32" t="inlineStr">
        <is>
          <t>B08KQKKVSX</t>
        </is>
      </c>
      <c r="C95" s="32" t="inlineStr">
        <is>
          <t>BAMBOO-TWIN-OLIVE</t>
        </is>
      </c>
      <c r="D95" s="32" t="inlineStr">
        <is>
          <t>DECOLURE 100% Organic Bamboo Viscose Sheets Twin Size 3 pcs - Ultra Soft &amp; Luxuriously Cooling, 16" Deep Pocket, Double Stitching, Perfect for Hot Sleepers - Luxury Twin Bed Sheets Set (Olive)</t>
        </is>
      </c>
      <c r="E95" s="32" t="inlineStr">
        <is>
          <t>Twin</t>
        </is>
      </c>
      <c r="F95" s="32" t="inlineStr">
        <is>
          <t>Olive</t>
        </is>
      </c>
      <c r="G95" s="33" t="n"/>
      <c r="H95" s="32" t="n"/>
      <c r="I95" s="61" t="n">
        <v>79.98999999999999</v>
      </c>
      <c r="J95" s="62" t="inlineStr">
        <is>
          <t>2026-03-30</t>
        </is>
      </c>
      <c r="K95" s="33" t="n">
        <v>39.85999999999999</v>
      </c>
      <c r="L95" s="63" t="n">
        <v>0.4983122890361295</v>
      </c>
      <c r="M95" s="64" t="n"/>
      <c r="N95" s="32" t="inlineStr">
        <is>
          <t>Inactive</t>
        </is>
      </c>
      <c r="O95" s="32" t="n"/>
      <c r="P95" s="65" t="n"/>
      <c r="Q95" s="64" t="n"/>
      <c r="R95" s="64" t="n"/>
      <c r="S95" s="64" t="n"/>
      <c r="T95" s="32" t="n"/>
    </row>
    <row r="96" ht="62" customHeight="1">
      <c r="A96" s="10">
        <f>_xlfn.IMAGE("https://m.media-amazon.com/images/I/81D6WwGAJIL.jpg")</f>
        <v/>
      </c>
      <c r="B96" s="32" t="inlineStr">
        <is>
          <t>B08KQJBFFZ</t>
        </is>
      </c>
      <c r="C96" s="32" t="inlineStr">
        <is>
          <t>BAMBOO-TWIN-TAUPE</t>
        </is>
      </c>
      <c r="D96" s="32" t="inlineStr">
        <is>
          <t>DECOLURE 100% Organic Bamboo Viscose Sheets Twin Size 3 pcs - Ultra Soft &amp; Luxuriously Cooling, 16" Deep Pocket, Double Stitching, Perfect for Hot Sleepers - Luxury Twin Bed Sheets Set (Taupe)</t>
        </is>
      </c>
      <c r="E96" s="32" t="inlineStr">
        <is>
          <t>Twin</t>
        </is>
      </c>
      <c r="F96" s="32" t="inlineStr">
        <is>
          <t>Taupe</t>
        </is>
      </c>
      <c r="G96" s="33" t="n"/>
      <c r="H96" s="32" t="n"/>
      <c r="I96" s="61" t="n">
        <v>79.98999999999999</v>
      </c>
      <c r="J96" s="62" t="inlineStr">
        <is>
          <t>2026-03-30</t>
        </is>
      </c>
      <c r="K96" s="33" t="n">
        <v>39.67</v>
      </c>
      <c r="L96" s="63" t="n">
        <v>0.4959369921240155</v>
      </c>
      <c r="M96" s="64" t="n"/>
      <c r="N96" s="32" t="inlineStr">
        <is>
          <t>Inactive</t>
        </is>
      </c>
      <c r="O96" s="32" t="n"/>
      <c r="P96" s="65" t="n"/>
      <c r="Q96" s="64" t="n"/>
      <c r="R96" s="64" t="n"/>
      <c r="S96" s="64" t="n"/>
      <c r="T96" s="32" t="n"/>
    </row>
    <row r="97" ht="62" customHeight="1">
      <c r="A97" s="10">
        <f>_xlfn.IMAGE("https://m.media-amazon.com/images/I/81nhzUehPUL.jpg")</f>
        <v/>
      </c>
      <c r="B97" s="32" t="inlineStr">
        <is>
          <t>B08KQKBM4Q</t>
        </is>
      </c>
      <c r="C97" s="32" t="inlineStr">
        <is>
          <t>BAMBOO-TWIN-WHITE</t>
        </is>
      </c>
      <c r="D97" s="32" t="inlineStr">
        <is>
          <t>DECOLURE 100% Organic Bamboo Viscose Sheets Twin Size 3 pcs - Ultra Soft &amp; Luxuriously Cooling, 16" Deep Pocket, Double Stitching, Perfect for Hot Sleepers - Luxury Twin Bed Sheets Set (White)</t>
        </is>
      </c>
      <c r="E97" s="32" t="inlineStr">
        <is>
          <t>Twin</t>
        </is>
      </c>
      <c r="F97" s="32" t="inlineStr">
        <is>
          <t>White</t>
        </is>
      </c>
      <c r="G97" s="33" t="n"/>
      <c r="H97" s="32" t="n"/>
      <c r="I97" s="61" t="n">
        <v>66.48999999999999</v>
      </c>
      <c r="J97" s="62" t="inlineStr">
        <is>
          <t>2026-03-30</t>
        </is>
      </c>
      <c r="K97" s="33" t="n">
        <v>28.41</v>
      </c>
      <c r="L97" s="63" t="n">
        <v>0.4272822980899383</v>
      </c>
      <c r="M97" s="64" t="n">
        <v>0</v>
      </c>
      <c r="N97" s="32" t="inlineStr">
        <is>
          <t>Active</t>
        </is>
      </c>
      <c r="O97" s="32" t="n"/>
      <c r="P97" s="65" t="n"/>
      <c r="Q97" s="64" t="n"/>
      <c r="R97" s="64" t="n"/>
      <c r="S97" s="64" t="n"/>
      <c r="T97" s="32" t="n"/>
    </row>
    <row r="99" ht="20" customHeight="1">
      <c r="A99" s="54" t="inlineStr">
        <is>
          <t>3 · OUR BFCM 2025 RESULT &amp; EVENT VISIBILITY</t>
        </is>
      </c>
    </row>
    <row r="100">
      <c r="A100" s="67" t="inlineStr">
        <is>
          <t>Window</t>
        </is>
      </c>
      <c r="B100" s="68" t="n"/>
      <c r="C100" s="69" t="n"/>
      <c r="D100" s="67" t="inlineStr">
        <is>
          <t>Ad spend</t>
        </is>
      </c>
      <c r="E100" s="67" t="inlineStr">
        <is>
          <t>Ad sales</t>
        </is>
      </c>
      <c r="F100" s="67" t="inlineStr">
        <is>
          <t>ACoS</t>
        </is>
      </c>
      <c r="G100" s="67" t="inlineStr">
        <is>
          <t>TACoS</t>
        </is>
      </c>
      <c r="H100" s="67" t="inlineStr">
        <is>
          <t>Total sales (derived)</t>
        </is>
      </c>
      <c r="J100" s="67" t="inlineStr">
        <is>
          <t>Ad orders</t>
        </is>
      </c>
      <c r="K100" s="67" t="inlineStr">
        <is>
          <t>CVR</t>
        </is>
      </c>
    </row>
    <row r="101">
      <c r="A101" s="70" t="inlineStr">
        <is>
          <t>Pre-event Oct 21 - Nov 19, 2025 (30d)</t>
        </is>
      </c>
      <c r="B101" s="68" t="n"/>
      <c r="C101" s="69" t="n"/>
      <c r="D101" s="71" t="n">
        <v>6820.550000000001</v>
      </c>
      <c r="E101" s="71" t="n">
        <v>34009.91999999999</v>
      </c>
      <c r="F101" s="72" t="n">
        <v>20.1</v>
      </c>
      <c r="G101" s="72" t="n">
        <v>12.66279758423702</v>
      </c>
      <c r="H101" s="71" t="n">
        <v>53862.9</v>
      </c>
      <c r="J101" s="73" t="n">
        <v>391</v>
      </c>
      <c r="K101" s="74" t="n">
        <v>12.84</v>
      </c>
    </row>
    <row r="102">
      <c r="A102" s="70" t="inlineStr">
        <is>
          <t>BFCM week Nov 20 - Dec 1, 2025 (12d)</t>
        </is>
      </c>
      <c r="B102" s="68" t="n"/>
      <c r="C102" s="69" t="n"/>
      <c r="D102" s="71" t="n">
        <v>7633.49</v>
      </c>
      <c r="E102" s="71" t="n">
        <v>44669.14999999999</v>
      </c>
      <c r="F102" s="72" t="n">
        <v>17.1</v>
      </c>
      <c r="G102" s="72" t="n">
        <v>11.50265547667106</v>
      </c>
      <c r="H102" s="71" t="n">
        <v>66362.85000000001</v>
      </c>
      <c r="J102" s="73" t="n">
        <v>617</v>
      </c>
      <c r="K102" s="74" t="n">
        <v>15.19</v>
      </c>
    </row>
    <row r="103">
      <c r="A103" s="70" t="inlineStr">
        <is>
          <t>December 2 - 31, 2025 (30d)</t>
        </is>
      </c>
      <c r="B103" s="68" t="n"/>
      <c r="C103" s="69" t="n"/>
      <c r="D103" s="71" t="n">
        <v>15000.62</v>
      </c>
      <c r="E103" s="71" t="n">
        <v>81285.10999999999</v>
      </c>
      <c r="F103" s="72" t="n">
        <v>18.5</v>
      </c>
      <c r="G103" s="72" t="n">
        <v>13.93889311736128</v>
      </c>
      <c r="H103" s="71" t="n">
        <v>107617.01</v>
      </c>
      <c r="J103" s="73" t="n">
        <v>996</v>
      </c>
      <c r="K103" s="74" t="n">
        <v>15.12</v>
      </c>
    </row>
    <row r="105">
      <c r="A105" s="67" t="inlineStr">
        <is>
          <t>Actual sales (SellerBoard)</t>
        </is>
      </c>
      <c r="B105" s="68" t="n"/>
      <c r="C105" s="69" t="n"/>
      <c r="D105" s="67" t="inlineStr">
        <is>
          <t>Sales</t>
        </is>
      </c>
      <c r="E105" s="67" t="inlineStr">
        <is>
          <t>Units</t>
        </is>
      </c>
      <c r="F105" s="67" t="inlineStr">
        <is>
          <t>Organic units</t>
        </is>
      </c>
      <c r="G105" s="67" t="inlineStr">
        <is>
          <t>Ad units</t>
        </is>
      </c>
      <c r="H105" s="67" t="inlineStr">
        <is>
          <t>Ad cost</t>
        </is>
      </c>
      <c r="J105" s="67" t="inlineStr">
        <is>
          <t>TACoS (actual)</t>
        </is>
      </c>
      <c r="K105" s="67" t="inlineStr">
        <is>
          <t>Sessions</t>
        </is>
      </c>
      <c r="L105" s="67" t="inlineStr">
        <is>
          <t>Unit session %</t>
        </is>
      </c>
      <c r="M105" s="67" t="inlineStr">
        <is>
          <t>Avg price</t>
        </is>
      </c>
      <c r="N105" s="67" t="inlineStr">
        <is>
          <t>Refunds</t>
        </is>
      </c>
    </row>
    <row r="106">
      <c r="A106" s="70" t="inlineStr">
        <is>
          <t>Pre-event Oct 21 - Nov 19, 2025 (30d)</t>
        </is>
      </c>
      <c r="B106" s="68" t="n"/>
      <c r="C106" s="69" t="n"/>
      <c r="D106" s="71" t="n">
        <v>38404.46</v>
      </c>
      <c r="E106" s="73" t="n">
        <v>636</v>
      </c>
      <c r="F106" s="73" t="n">
        <v>604</v>
      </c>
      <c r="G106" s="73" t="n">
        <v>32</v>
      </c>
      <c r="H106" s="71" t="n">
        <v>5034.51</v>
      </c>
      <c r="J106" s="75" t="n">
        <v>0.131091805483009</v>
      </c>
      <c r="K106" s="73" t="n">
        <v>15737</v>
      </c>
      <c r="L106" s="75" t="n">
        <v>0.04041431022431213</v>
      </c>
      <c r="M106" s="76" t="n">
        <v>60.38437106918239</v>
      </c>
      <c r="N106" s="73" t="n">
        <v>40</v>
      </c>
    </row>
    <row r="107">
      <c r="A107" s="70" t="inlineStr">
        <is>
          <t>BFCM week Nov 20 - Dec 1, 2025 (12d)</t>
        </is>
      </c>
      <c r="B107" s="68" t="n"/>
      <c r="C107" s="69" t="n"/>
      <c r="D107" s="71" t="n">
        <v>47286.51</v>
      </c>
      <c r="E107" s="73" t="n">
        <v>908</v>
      </c>
      <c r="F107" s="73" t="n">
        <v>834</v>
      </c>
      <c r="G107" s="73" t="n">
        <v>74</v>
      </c>
      <c r="H107" s="71" t="n">
        <v>5782.83</v>
      </c>
      <c r="J107" s="75" t="n">
        <v>0.1222934405605319</v>
      </c>
      <c r="K107" s="73" t="n">
        <v>20224</v>
      </c>
      <c r="L107" s="75" t="n">
        <v>0.04489715189873418</v>
      </c>
      <c r="M107" s="76" t="n">
        <v>52.07765418502203</v>
      </c>
      <c r="N107" s="73" t="n">
        <v>26</v>
      </c>
    </row>
    <row r="108">
      <c r="A108" s="70" t="inlineStr">
        <is>
          <t>December 2 - 31, 2025 (30d)</t>
        </is>
      </c>
      <c r="B108" s="68" t="n"/>
      <c r="C108" s="69" t="n"/>
      <c r="D108" s="71" t="n">
        <v>84122.55</v>
      </c>
      <c r="E108" s="73" t="n">
        <v>1439</v>
      </c>
      <c r="F108" s="73" t="n">
        <v>1317</v>
      </c>
      <c r="G108" s="73" t="n">
        <v>122</v>
      </c>
      <c r="H108" s="71" t="n">
        <v>11213.35</v>
      </c>
      <c r="J108" s="75" t="n">
        <v>0.1332977899504948</v>
      </c>
      <c r="K108" s="73" t="n">
        <v>32665</v>
      </c>
      <c r="L108" s="75" t="n">
        <v>0.04405326802387877</v>
      </c>
      <c r="M108" s="76" t="n">
        <v>58.4590340514246</v>
      </c>
      <c r="N108" s="73" t="n">
        <v>85</v>
      </c>
    </row>
    <row r="109">
      <c r="A109" s="59" t="inlineStr">
        <is>
          <t>SellerBoard, Ecotero account, Amazon parent B08LW37SB9 plus any of this product's child ASINs SellerBoard lists on their own, UTC days. Lift above uses these actual sales (3.08x; the ad-spend estimate was 3.08x). Amazon.ca sales here are in USD: SellerBoard converts to the account currency, while the Command Center table above is in CAD (ratio ~0.71). Lift is a ratio, so it is unaffected.</t>
        </is>
      </c>
    </row>
    <row r="110" ht="30" customHeight="1">
      <c r="A110" s="77" t="inlineStr">
        <is>
          <t>Deals we ran or scheduled, Nov 1 - Dec 5, 2025 (DataHub promotions; scheduled deal price not in the feed. Keepa price = lowest Buy Box seen during the deal, an observation for the hero child only, not the scheduled deal price): Lightning Deal 11-08 to 11-09 (ran, 80 variations, 38 units; Keepa lowest Buy Box during it C$104.99 on B08KQHRDDG); Lightning Deal 11-15 to 11-15 (ran, 80 variations, 13 units; Keepa lowest Buy Box during it C$104.99 on B08KQHRDDG); Best Deal 11-20 to 12-02 (ran, 77 variations, 891 units; Keepa lowest Buy Box during it C$79.99 on B08KQHRDDG).</t>
        </is>
      </c>
    </row>
    <row r="111" ht="26" customHeight="1">
      <c r="A111" s="77" t="inlineStr">
        <is>
          <t>Stock in BFCM week 2025 (FBA inventory snapshots, child-ASIN level, revision 2): 1 of 79 variations hit zero FBA stock on at least one observed day; weighted by today's sales mix that is ~2.1% of variation-days lost. Most important: B0BZPYZ1XY 2/3 days. Snapshots missing: US Nov 26-27 and Dec 1 (Cyber Monday); CA Nov 24, 29-30.</t>
        </is>
      </c>
    </row>
    <row r="112">
      <c r="A112" s="59" t="inlineStr">
        <is>
          <t>Figures above are Amazon.ca in CAD. Visibility history is held for US ASINs only.</t>
        </is>
      </c>
    </row>
    <row r="114" ht="20" customHeight="1">
      <c r="A114" s="54" t="inlineStr">
        <is>
          <t>4 · COMPETITOR LANDSCAPE (15 mapped)</t>
        </is>
      </c>
    </row>
    <row r="115">
      <c r="A115" s="59" t="inlineStr">
        <is>
          <t>Sorted by tier, then estimated weekly units. Green = Command Center price/sales; blue = Data Dive listing; purple = Command Center search strategy (ASINsight); yellow = fill from Keepa / page check.</t>
        </is>
      </c>
    </row>
    <row r="116" ht="30" customHeight="1">
      <c r="A116"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Command Center CAD price (Mar 2026) - no live Canadian price source yet.</t>
        </is>
      </c>
    </row>
    <row r="117">
      <c r="A117" s="78" t="inlineStr">
        <is>
          <t>COMPETITOR</t>
        </is>
      </c>
      <c r="I117" s="79" t="inlineStr">
        <is>
          <t>LISTING - Data Dive</t>
        </is>
      </c>
      <c r="J117" s="80" t="inlineStr">
        <is>
          <t>SEARCH STRATEGY - Command Center ASINsight</t>
        </is>
      </c>
      <c r="K117" s="81" t="inlineStr">
        <is>
          <t>PRICE &amp; SALES - Command Center snapshot (date per row)</t>
        </is>
      </c>
      <c r="X117" s="79" t="inlineStr">
        <is>
          <t>LISTING - Data Dive</t>
        </is>
      </c>
      <c r="AA117" s="80" t="inlineStr">
        <is>
          <t>SEARCH STRATEGY - Command Center ASINsight</t>
        </is>
      </c>
      <c r="AR117" s="82" t="inlineStr">
        <is>
          <t>STR NOW - Amazon page check (Oct 13, P1 + P2)</t>
        </is>
      </c>
      <c r="AY117" s="83" t="inlineStr">
        <is>
          <t>BFCM 2025 - Keepa (P1 filled; yellow = not pulled yet)</t>
        </is>
      </c>
    </row>
    <row r="118" ht="48" customHeight="1">
      <c r="A118" s="22" t="inlineStr">
        <is>
          <t>Image</t>
        </is>
      </c>
      <c r="B118" s="22" t="inlineStr">
        <is>
          <t>Brand</t>
        </is>
      </c>
      <c r="C118" s="22" t="inlineStr">
        <is>
          <t>Product title</t>
        </is>
      </c>
      <c r="D118" s="22" t="inlineStr">
        <is>
          <t>Tier</t>
        </is>
      </c>
      <c r="E118" s="22" t="inlineStr">
        <is>
          <t>Parent ASIN</t>
        </is>
      </c>
      <c r="F118" s="22" t="inlineStr">
        <is>
          <t>Tracked child ASIN</t>
        </is>
      </c>
      <c r="G118" s="22" t="inlineStr">
        <is>
          <t>Size (title)</t>
        </is>
      </c>
      <c r="H118" s="22" t="inlineStr">
        <is>
          <t>Colour (title)</t>
        </is>
      </c>
      <c r="I118" s="22" t="inlineStr">
        <is>
          <t>Variations</t>
        </is>
      </c>
      <c r="J118" s="22" t="inlineStr">
        <is>
          <t>Hero child ASINs (share of their visibility)</t>
        </is>
      </c>
      <c r="K118" s="22" t="inlineStr">
        <is>
          <t>Price ($)</t>
        </is>
      </c>
      <c r="L118" s="22" t="inlineStr">
        <is>
          <t>List Price ($)</t>
        </is>
      </c>
      <c r="M118" s="22" t="inlineStr">
        <is>
          <t>List Price % over</t>
        </is>
      </c>
      <c r="N118" s="22" t="inlineStr">
        <is>
          <t>STR band</t>
        </is>
      </c>
      <c r="O118" s="22" t="inlineStr">
        <is>
          <t>Our price, same size ($)</t>
        </is>
      </c>
      <c r="P118" s="22" t="inlineStr">
        <is>
          <t>Their price vs ours</t>
        </is>
      </c>
      <c r="Q118" s="22" t="inlineStr">
        <is>
          <t>Comparison basis</t>
        </is>
      </c>
      <c r="R118" s="22" t="inlineStr">
        <is>
          <t>BSR</t>
        </is>
      </c>
      <c r="S118" s="22" t="inlineStr">
        <is>
          <t>Est weekly units</t>
        </is>
      </c>
      <c r="T118" s="22" t="inlineStr">
        <is>
          <t>Est monthly revenue ($)</t>
        </is>
      </c>
      <c r="U118" s="22" t="inlineStr">
        <is>
          <t>Rating</t>
        </is>
      </c>
      <c r="V118" s="22" t="inlineStr">
        <is>
          <t>Reviews</t>
        </is>
      </c>
      <c r="W118" s="22" t="inlineStr">
        <is>
          <t>Snapshot date</t>
        </is>
      </c>
      <c r="X118" s="22" t="inlineStr">
        <is>
          <t>Listed</t>
        </is>
      </c>
      <c r="Y118" s="22" t="inlineStr">
        <is>
          <t>Fulfil.</t>
        </is>
      </c>
      <c r="Z118" s="22" t="inlineStr">
        <is>
          <t>Seller country</t>
        </is>
      </c>
      <c r="AA118" s="22" t="inlineStr">
        <is>
          <t>ASINsight 7d traffic</t>
        </is>
      </c>
      <c r="AB118" s="22" t="inlineStr">
        <is>
          <t>Keywords ranked</t>
        </is>
      </c>
      <c r="AC118" s="22" t="inlineStr">
        <is>
          <t>Organic share of traffic</t>
        </is>
      </c>
      <c r="AD118" s="22" t="inlineStr">
        <is>
          <t>Ad share of traffic</t>
        </is>
      </c>
      <c r="AE118" s="22" t="inlineStr">
        <is>
          <t>Top keyword</t>
        </is>
      </c>
      <c r="AF118" s="22" t="inlineStr">
        <is>
          <t>SP reach</t>
        </is>
      </c>
      <c r="AG118" s="22" t="inlineStr">
        <is>
          <t>SB reach</t>
        </is>
      </c>
      <c r="AH118" s="22" t="inlineStr">
        <is>
          <t>SB video reach</t>
        </is>
      </c>
      <c r="AI118" s="22" t="inlineStr">
        <is>
          <t>Amazon's Choice reach</t>
        </is>
      </c>
      <c r="AJ118" s="22" t="inlineStr">
        <is>
          <t>Shared keywords</t>
        </is>
      </c>
      <c r="AK118" s="22" t="inlineStr">
        <is>
          <t>We win</t>
        </is>
      </c>
      <c r="AL118" s="22" t="inlineStr">
        <is>
          <t>We lose</t>
        </is>
      </c>
      <c r="AM118" s="22" t="inlineStr">
        <is>
          <t>Their keywords we miss</t>
        </is>
      </c>
      <c r="AN118" s="22" t="inlineStr">
        <is>
          <t>KWs they advertise, we don't</t>
        </is>
      </c>
      <c r="AO118" s="22" t="inlineStr">
        <is>
          <t>KWs they out-advertise us</t>
        </is>
      </c>
      <c r="AP118" s="22" t="inlineStr">
        <is>
          <t>Prime Day 2026 organic vis lift</t>
        </is>
      </c>
      <c r="AQ118" s="22" t="inlineStr">
        <is>
          <t>Organic trend (Aug-Sep vs Q2)</t>
        </is>
      </c>
      <c r="AR118" s="22" t="inlineStr">
        <is>
          <t>STR showing now? (Y/N)</t>
        </is>
      </c>
      <c r="AS118" s="22" t="inlineStr">
        <is>
          <t>STR label</t>
        </is>
      </c>
      <c r="AT118" s="22" t="inlineStr">
        <is>
          <t>Strikethrough price ($)</t>
        </is>
      </c>
      <c r="AU118" s="22" t="inlineStr">
        <is>
          <t>Page price at check ($)</t>
        </is>
      </c>
      <c r="AV118" s="22" t="inlineStr">
        <is>
          <t>Deal / coupon now</t>
        </is>
      </c>
      <c r="AW118" s="22" t="inlineStr">
        <is>
          <t>Orderable now (Y/N)</t>
        </is>
      </c>
      <c r="AX118" s="22" t="inlineStr">
        <is>
          <t>Checked (ET)</t>
        </is>
      </c>
      <c r="AY118" s="22" t="inlineStr">
        <is>
          <t>BFCM 2025 deal type</t>
        </is>
      </c>
      <c r="AZ118" s="22" t="inlineStr">
        <is>
          <t>BFCM 2025 deal dates</t>
        </is>
      </c>
      <c r="BA118" s="22" t="inlineStr">
        <is>
          <t>Pre-event price ($)</t>
        </is>
      </c>
      <c r="BB118" s="22" t="inlineStr">
        <is>
          <t>BFCM 2025 low ($)</t>
        </is>
      </c>
      <c r="BC118" s="22" t="inlineStr">
        <is>
          <t>BFCM 2025 discount</t>
        </is>
      </c>
      <c r="BD118" s="22" t="inlineStr">
        <is>
          <t>BSR pre-event</t>
        </is>
      </c>
      <c r="BE118" s="22" t="inlineStr">
        <is>
          <t>BSR BFCM wk</t>
        </is>
      </c>
      <c r="BF118" s="22" t="inlineStr">
        <is>
          <t>BSR lift (x)</t>
        </is>
      </c>
      <c r="BG118" s="22" t="inlineStr">
        <is>
          <t>OOS in BFCM? (Y/N)</t>
        </is>
      </c>
      <c r="BH118" s="22" t="inlineStr">
        <is>
          <t>Notes</t>
        </is>
      </c>
    </row>
    <row r="119" ht="62" customHeight="1">
      <c r="A119" s="10">
        <f>_xlfn.IMAGE("https://m.media-amazon.com/images/I/81BJgcF3cZL.jpg")</f>
        <v/>
      </c>
      <c r="B119" s="84" t="inlineStr">
        <is>
          <t>Bedsure</t>
        </is>
      </c>
      <c r="C119" s="32" t="inlineStr">
        <is>
          <t>Bedsure Sheet Queen Size - 4 Piece 100% Bamboo Rayon Sheet Set Dark Grey</t>
        </is>
      </c>
      <c r="D119" s="84" t="inlineStr">
        <is>
          <t>Untiered</t>
        </is>
      </c>
      <c r="E119" s="84" t="inlineStr">
        <is>
          <t>B086R38NZ6</t>
        </is>
      </c>
      <c r="F119" s="84" t="inlineStr">
        <is>
          <t>B07YKCZHGK</t>
        </is>
      </c>
      <c r="G119" s="84" t="inlineStr">
        <is>
          <t>Queen</t>
        </is>
      </c>
      <c r="H119" s="84" t="inlineStr">
        <is>
          <t>01 - Dark Grey</t>
        </is>
      </c>
      <c r="I119" s="85" t="n">
        <v>61</v>
      </c>
      <c r="J119" s="32" t="n"/>
      <c r="K119" s="86" t="n">
        <v>94.98999999999999</v>
      </c>
      <c r="L119" s="86" t="n"/>
      <c r="M119" s="87">
        <f>IF(AND(ISNUMBER(L119),ISNUMBER(K119),N(K119)&gt;0),L119/K119-1,"")</f>
        <v/>
      </c>
      <c r="N119" s="88">
        <f>IF(M119="","No List Price",IF(M119&lt;=0,"At/below price",IF(M119&lt;=0.12,"&lt;=12% STR zone",IF(M119&lt;=0.25,"12-25%","&gt;25% over"))))</f>
        <v/>
      </c>
      <c r="O119" s="86" t="n">
        <v>100.805</v>
      </c>
      <c r="P119" s="89">
        <f>IF(AND(ISNUMBER(K119),ISNUMBER(O119),N(O119)&gt;0),K119/O119-1,"")</f>
        <v/>
      </c>
      <c r="Q119" s="32" t="inlineStr">
        <is>
          <t>Same size (Queen), CAD. Ours: Command Center fee feed, Mar 2026 - STALE</t>
        </is>
      </c>
      <c r="R119" s="85" t="n">
        <v>996</v>
      </c>
      <c r="S119" s="85" t="n"/>
      <c r="T119" s="90">
        <f>IF(AND(ISNUMBER(K119),ISNUMBER(S119)),K119*S119*52/12,"")</f>
        <v/>
      </c>
      <c r="U119" s="91" t="n">
        <v>4.3</v>
      </c>
      <c r="V119" s="85" t="n">
        <v>60808</v>
      </c>
      <c r="W119" s="92" t="n">
        <v>46309</v>
      </c>
      <c r="X119" s="92" t="n"/>
      <c r="Y119" s="84" t="n"/>
      <c r="Z119" s="84" t="n"/>
      <c r="AA119" s="85" t="n"/>
      <c r="AB119" s="85" t="n"/>
      <c r="AC119" s="93" t="n"/>
      <c r="AD119" s="93" t="n"/>
      <c r="AE119" s="32" t="n"/>
      <c r="AF119" s="93" t="n"/>
      <c r="AG119" s="93" t="n"/>
      <c r="AH119" s="93" t="n"/>
      <c r="AI119" s="93" t="n"/>
      <c r="AJ119" s="85" t="n"/>
      <c r="AK119" s="85" t="n"/>
      <c r="AL119" s="85" t="n"/>
      <c r="AM119" s="85" t="n"/>
      <c r="AN119" s="85" t="n"/>
      <c r="AO119" s="85" t="n"/>
      <c r="AP119" s="94" t="n"/>
      <c r="AQ119" s="89" t="n"/>
      <c r="AR119" s="95" t="inlineStr">
        <is>
          <t>Y</t>
        </is>
      </c>
      <c r="AS119" s="95" t="inlineStr">
        <is>
          <t>List Price</t>
        </is>
      </c>
      <c r="AT119" s="96" t="n">
        <v>109.99</v>
      </c>
      <c r="AU119" s="96" t="n">
        <v>94.98999999999999</v>
      </c>
      <c r="AV119" s="95" t="inlineStr">
        <is>
          <t>none</t>
        </is>
      </c>
      <c r="AW119" s="95" t="inlineStr">
        <is>
          <t>Y</t>
        </is>
      </c>
      <c r="AX119" s="95" t="inlineStr">
        <is>
          <t>2026-10-14 00:29:51</t>
        </is>
      </c>
      <c r="AY119" s="102" t="n"/>
      <c r="AZ119" s="102" t="n"/>
      <c r="BA119" s="101" t="n"/>
      <c r="BB119" s="101" t="n"/>
      <c r="BC119" s="87">
        <f>IF(AND(ISNUMBER(BA119),ISNUMBER(BB119),N(BA119)&gt;0),1-BB119/BA119,"")</f>
        <v/>
      </c>
      <c r="BD119" s="103" t="n"/>
      <c r="BE119" s="103" t="n"/>
      <c r="BF119" s="100">
        <f>IF(AND(ISNUMBER(BD119),ISNUMBER(BE119),N(BE119)&gt;0),BD119/BE119,"")</f>
        <v/>
      </c>
      <c r="BG119" s="102" t="n"/>
      <c r="BH119" s="97" t="inlineStr">
        <is>
          <t>Amazon.ca organic #1 for 'bamboo sheets queen'; 100% Bamboo; 600+ bought in past month bought past month; variation_count = distinct children exposed in page variation map, not a guaranteed complete catalogue.</t>
        </is>
      </c>
    </row>
    <row r="120" ht="62" customHeight="1">
      <c r="A120" s="10">
        <f>_xlfn.IMAGE("https://m.media-amazon.com/images/I/71AsFyQ2clL.jpg")</f>
        <v/>
      </c>
      <c r="B120" s="84" t="inlineStr">
        <is>
          <t>BAMPURE</t>
        </is>
      </c>
      <c r="C120" s="32" t="inlineStr">
        <is>
          <t>BAMPURE 100% Organic Bamboo Sheets Queen 4PC - Cooling Sheets Set</t>
        </is>
      </c>
      <c r="D120" s="84" t="inlineStr">
        <is>
          <t>Untiered</t>
        </is>
      </c>
      <c r="E120" s="84" t="inlineStr">
        <is>
          <t>B0HHZYV9G4</t>
        </is>
      </c>
      <c r="F120" s="84" t="inlineStr">
        <is>
          <t>B07X8FPWJH</t>
        </is>
      </c>
      <c r="G120" s="84" t="inlineStr">
        <is>
          <t>Queen</t>
        </is>
      </c>
      <c r="H120" s="84" t="inlineStr">
        <is>
          <t>Stone Gray</t>
        </is>
      </c>
      <c r="I120" s="85" t="n">
        <v>25</v>
      </c>
      <c r="J120" s="32" t="n"/>
      <c r="K120" s="86" t="n">
        <v>83.69</v>
      </c>
      <c r="L120" s="86" t="n"/>
      <c r="M120" s="87">
        <f>IF(AND(ISNUMBER(L120),ISNUMBER(K120),N(K120)&gt;0),L120/K120-1,"")</f>
        <v/>
      </c>
      <c r="N120" s="88">
        <f>IF(M120="","No List Price",IF(M120&lt;=0,"At/below price",IF(M120&lt;=0.12,"&lt;=12% STR zone",IF(M120&lt;=0.25,"12-25%","&gt;25% over"))))</f>
        <v/>
      </c>
      <c r="O120" s="86" t="n">
        <v>100.805</v>
      </c>
      <c r="P120" s="89">
        <f>IF(AND(ISNUMBER(K120),ISNUMBER(O120),N(O120)&gt;0),K120/O120-1,"")</f>
        <v/>
      </c>
      <c r="Q120" s="32" t="inlineStr">
        <is>
          <t>Same size (Queen), CAD. Ours: Command Center fee feed, Mar 2026 - STALE</t>
        </is>
      </c>
      <c r="R120" s="85" t="n">
        <v>724</v>
      </c>
      <c r="S120" s="85" t="n"/>
      <c r="T120" s="90">
        <f>IF(AND(ISNUMBER(K120),ISNUMBER(S120)),K120*S120*52/12,"")</f>
        <v/>
      </c>
      <c r="U120" s="91" t="n">
        <v>4.3</v>
      </c>
      <c r="V120" s="85" t="n">
        <v>7346</v>
      </c>
      <c r="W120" s="92" t="n">
        <v>46309</v>
      </c>
      <c r="X120" s="92" t="n"/>
      <c r="Y120" s="84" t="n"/>
      <c r="Z120" s="84" t="n"/>
      <c r="AA120" s="85" t="n"/>
      <c r="AB120" s="85" t="n"/>
      <c r="AC120" s="93" t="n"/>
      <c r="AD120" s="93" t="n"/>
      <c r="AE120" s="32" t="n"/>
      <c r="AF120" s="93" t="n"/>
      <c r="AG120" s="93" t="n"/>
      <c r="AH120" s="93" t="n"/>
      <c r="AI120" s="93" t="n"/>
      <c r="AJ120" s="85" t="n"/>
      <c r="AK120" s="85" t="n"/>
      <c r="AL120" s="85" t="n"/>
      <c r="AM120" s="85" t="n"/>
      <c r="AN120" s="85" t="n"/>
      <c r="AO120" s="85" t="n"/>
      <c r="AP120" s="94" t="n"/>
      <c r="AQ120" s="89" t="n"/>
      <c r="AR120" s="95" t="inlineStr">
        <is>
          <t>Y</t>
        </is>
      </c>
      <c r="AS120" s="95" t="inlineStr">
        <is>
          <t>Was price</t>
        </is>
      </c>
      <c r="AT120" s="96" t="n">
        <v>92.98999999999999</v>
      </c>
      <c r="AU120" s="96" t="n">
        <v>83.69</v>
      </c>
      <c r="AV120" s="95" t="inlineStr">
        <is>
          <t>Limited-time deal</t>
        </is>
      </c>
      <c r="AW120" s="95" t="inlineStr">
        <is>
          <t>Y</t>
        </is>
      </c>
      <c r="AX120" s="95" t="inlineStr">
        <is>
          <t>2026-10-14 00:29:42</t>
        </is>
      </c>
      <c r="AY120" s="102" t="n"/>
      <c r="AZ120" s="102" t="n"/>
      <c r="BA120" s="101" t="n"/>
      <c r="BB120" s="101" t="n"/>
      <c r="BC120" s="87">
        <f>IF(AND(ISNUMBER(BA120),ISNUMBER(BB120),N(BA120)&gt;0),1-BB120/BA120,"")</f>
        <v/>
      </c>
      <c r="BD120" s="103" t="n"/>
      <c r="BE120" s="103" t="n"/>
      <c r="BF120" s="100">
        <f>IF(AND(ISNUMBER(BD120),ISNUMBER(BE120),N(BE120)&gt;0),BD120/BE120,"")</f>
        <v/>
      </c>
      <c r="BG120" s="102" t="n"/>
      <c r="BH120" s="97" t="inlineStr">
        <is>
          <t>Amazon.ca organic #1 for 'bamboo sheets king'; 100% Viscose Derived from Bamboo; Search child B07XF1K1R3; selected Queen child B07X8FPWJH. variation_count = distinct children exposed in page variation map, not a guaranteed complete catalogue</t>
        </is>
      </c>
    </row>
    <row r="121" ht="62" customHeight="1">
      <c r="A121" s="10">
        <f>_xlfn.IMAGE("https://m.media-amazon.com/images/I/612X5uLV3GL.jpg")</f>
        <v/>
      </c>
      <c r="B121" s="84" t="inlineStr">
        <is>
          <t>Sasttie</t>
        </is>
      </c>
      <c r="C121" s="32" t="inlineStr">
        <is>
          <t>Sasttie White Silky-Soft Bamboo Sheets Queen Size 4-Piece, 100% Rayon Made from Bamboo 300TC, Cooling Sheet for Hot Sleepers, 16" Deep Pocket, Secure Corner Straps, Head Tag, Washable &amp; Breathable</t>
        </is>
      </c>
      <c r="D121" s="84" t="inlineStr">
        <is>
          <t>Untiered</t>
        </is>
      </c>
      <c r="E121" s="84" t="inlineStr">
        <is>
          <t>B0H9R791B2</t>
        </is>
      </c>
      <c r="F121" s="84" t="inlineStr">
        <is>
          <t>B0H9QD7RD5</t>
        </is>
      </c>
      <c r="G121" s="84" t="inlineStr">
        <is>
          <t>Queen</t>
        </is>
      </c>
      <c r="H121" s="84" t="inlineStr">
        <is>
          <t>White</t>
        </is>
      </c>
      <c r="I121" s="85" t="n">
        <v>38</v>
      </c>
      <c r="J121" s="32" t="n"/>
      <c r="K121" s="86" t="n">
        <v>49.99</v>
      </c>
      <c r="L121" s="86" t="n"/>
      <c r="M121" s="87">
        <f>IF(AND(ISNUMBER(L121),ISNUMBER(K121),N(K121)&gt;0),L121/K121-1,"")</f>
        <v/>
      </c>
      <c r="N121" s="88">
        <f>IF(M121="","No List Price",IF(M121&lt;=0,"At/below price",IF(M121&lt;=0.12,"&lt;=12% STR zone",IF(M121&lt;=0.25,"12-25%","&gt;25% over"))))</f>
        <v/>
      </c>
      <c r="O121" s="86" t="n">
        <v>100.805</v>
      </c>
      <c r="P121" s="89">
        <f>IF(AND(ISNUMBER(K121),ISNUMBER(O121),N(O121)&gt;0),K121/O121-1,"")</f>
        <v/>
      </c>
      <c r="Q121" s="32" t="inlineStr">
        <is>
          <t>Same size (Queen), CAD. Ours: Command Center fee feed, Mar 2026 - STALE</t>
        </is>
      </c>
      <c r="R121" s="85" t="n">
        <v>7761</v>
      </c>
      <c r="S121" s="85" t="n"/>
      <c r="T121" s="90">
        <f>IF(AND(ISNUMBER(K121),ISNUMBER(S121)),K121*S121*52/12,"")</f>
        <v/>
      </c>
      <c r="U121" s="91" t="n">
        <v>4.5</v>
      </c>
      <c r="V121" s="85" t="n">
        <v>19</v>
      </c>
      <c r="W121" s="92" t="n">
        <v>46309</v>
      </c>
      <c r="X121" s="92" t="n"/>
      <c r="Y121" s="84" t="n"/>
      <c r="Z121" s="84" t="n"/>
      <c r="AA121" s="85" t="n"/>
      <c r="AB121" s="85" t="n"/>
      <c r="AC121" s="93" t="n"/>
      <c r="AD121" s="93" t="n"/>
      <c r="AE121" s="32" t="n"/>
      <c r="AF121" s="93" t="n"/>
      <c r="AG121" s="93" t="n"/>
      <c r="AH121" s="93" t="n"/>
      <c r="AI121" s="93" t="n"/>
      <c r="AJ121" s="85" t="n"/>
      <c r="AK121" s="85" t="n"/>
      <c r="AL121" s="85" t="n"/>
      <c r="AM121" s="85" t="n"/>
      <c r="AN121" s="85" t="n"/>
      <c r="AO121" s="85" t="n"/>
      <c r="AP121" s="94" t="n"/>
      <c r="AQ121" s="89" t="n"/>
      <c r="AR121" s="95" t="inlineStr">
        <is>
          <t>Y</t>
        </is>
      </c>
      <c r="AS121" s="95" t="inlineStr">
        <is>
          <t>List Price</t>
        </is>
      </c>
      <c r="AT121" s="96" t="n">
        <v>64.98999999999999</v>
      </c>
      <c r="AU121" s="96" t="n">
        <v>49.99</v>
      </c>
      <c r="AV121" s="95" t="inlineStr">
        <is>
          <t>none</t>
        </is>
      </c>
      <c r="AW121" s="95" t="inlineStr">
        <is>
          <t>Y</t>
        </is>
      </c>
      <c r="AX121" s="95" t="inlineStr">
        <is>
          <t>2026-10-14 00:30:38</t>
        </is>
      </c>
      <c r="AY121" s="102" t="n"/>
      <c r="AZ121" s="102" t="n"/>
      <c r="BA121" s="101" t="n"/>
      <c r="BB121" s="101" t="n"/>
      <c r="BC121" s="87">
        <f>IF(AND(ISNUMBER(BA121),ISNUMBER(BB121),N(BA121)&gt;0),1-BB121/BA121,"")</f>
        <v/>
      </c>
      <c r="BD121" s="103" t="n"/>
      <c r="BE121" s="103" t="n"/>
      <c r="BF121" s="100">
        <f>IF(AND(ISNUMBER(BD121),ISNUMBER(BE121),N(BE121)&gt;0),BD121/BE121,"")</f>
        <v/>
      </c>
      <c r="BG121" s="102" t="n"/>
      <c r="BH121" s="97" t="inlineStr">
        <is>
          <t>Amazon.ca organic #2 for 'cooling bamboo sheets'; Rayon Derived from Bamboo; variation_count = distinct children exposed in page variation map, not a guaranteed complete catalogue. Bought-past-month badge not displayed.</t>
        </is>
      </c>
    </row>
    <row r="122" ht="62" customHeight="1">
      <c r="A122" s="10">
        <f>_xlfn.IMAGE("https://m.media-amazon.com/images/I/61iXhiLg79L.jpg")</f>
        <v/>
      </c>
      <c r="B122" s="84" t="inlineStr">
        <is>
          <t>Andency</t>
        </is>
      </c>
      <c r="C122" s="32" t="inlineStr">
        <is>
          <t>Andency Bamboo Cooling Olive Sheets Set, 4pcs Queen Sheets for Hot Sleepers</t>
        </is>
      </c>
      <c r="D122" s="84" t="inlineStr">
        <is>
          <t>Untiered</t>
        </is>
      </c>
      <c r="E122" s="84" t="inlineStr">
        <is>
          <t>B0CMV6MR96</t>
        </is>
      </c>
      <c r="F122" s="84" t="inlineStr">
        <is>
          <t>B0CWK92XQD</t>
        </is>
      </c>
      <c r="G122" s="84" t="inlineStr">
        <is>
          <t>Queen</t>
        </is>
      </c>
      <c r="H122" s="84" t="inlineStr">
        <is>
          <t>Olive Green</t>
        </is>
      </c>
      <c r="I122" s="85" t="n">
        <v>48</v>
      </c>
      <c r="J122" s="32" t="n"/>
      <c r="K122" s="86" t="n">
        <v>69.98999999999999</v>
      </c>
      <c r="L122" s="86" t="n"/>
      <c r="M122" s="87">
        <f>IF(AND(ISNUMBER(L122),ISNUMBER(K122),N(K122)&gt;0),L122/K122-1,"")</f>
        <v/>
      </c>
      <c r="N122" s="88">
        <f>IF(M122="","No List Price",IF(M122&lt;=0,"At/below price",IF(M122&lt;=0.12,"&lt;=12% STR zone",IF(M122&lt;=0.25,"12-25%","&gt;25% over"))))</f>
        <v/>
      </c>
      <c r="O122" s="86" t="n">
        <v>100.805</v>
      </c>
      <c r="P122" s="89">
        <f>IF(AND(ISNUMBER(K122),ISNUMBER(O122),N(O122)&gt;0),K122/O122-1,"")</f>
        <v/>
      </c>
      <c r="Q122" s="32" t="inlineStr">
        <is>
          <t>Same size (Queen), CAD. Ours: Command Center fee feed, Mar 2026 - STALE</t>
        </is>
      </c>
      <c r="R122" s="85" t="n">
        <v>10681</v>
      </c>
      <c r="S122" s="85" t="n"/>
      <c r="T122" s="90">
        <f>IF(AND(ISNUMBER(K122),ISNUMBER(S122)),K122*S122*52/12,"")</f>
        <v/>
      </c>
      <c r="U122" s="91" t="n">
        <v>4.4</v>
      </c>
      <c r="V122" s="85" t="n">
        <v>736</v>
      </c>
      <c r="W122" s="92" t="n">
        <v>46309</v>
      </c>
      <c r="X122" s="92" t="n"/>
      <c r="Y122" s="84" t="n"/>
      <c r="Z122" s="84" t="n"/>
      <c r="AA122" s="85" t="n"/>
      <c r="AB122" s="85" t="n"/>
      <c r="AC122" s="93" t="n"/>
      <c r="AD122" s="93" t="n"/>
      <c r="AE122" s="32" t="n"/>
      <c r="AF122" s="93" t="n"/>
      <c r="AG122" s="93" t="n"/>
      <c r="AH122" s="93" t="n"/>
      <c r="AI122" s="93" t="n"/>
      <c r="AJ122" s="85" t="n"/>
      <c r="AK122" s="85" t="n"/>
      <c r="AL122" s="85" t="n"/>
      <c r="AM122" s="85" t="n"/>
      <c r="AN122" s="85" t="n"/>
      <c r="AO122" s="85" t="n"/>
      <c r="AP122" s="94" t="n"/>
      <c r="AQ122" s="89" t="n"/>
      <c r="AR122" s="95" t="inlineStr">
        <is>
          <t>N</t>
        </is>
      </c>
      <c r="AS122" s="95" t="inlineStr">
        <is>
          <t>none</t>
        </is>
      </c>
      <c r="AT122" s="101" t="n"/>
      <c r="AU122" s="96" t="n">
        <v>69.98999999999999</v>
      </c>
      <c r="AV122" s="95" t="inlineStr">
        <is>
          <t>none</t>
        </is>
      </c>
      <c r="AW122" s="95" t="inlineStr">
        <is>
          <t>Y</t>
        </is>
      </c>
      <c r="AX122" s="95" t="inlineStr">
        <is>
          <t>2026-10-14 00:32:13</t>
        </is>
      </c>
      <c r="AY122" s="102" t="n"/>
      <c r="AZ122" s="102" t="n"/>
      <c r="BA122" s="101" t="n"/>
      <c r="BB122" s="101" t="n"/>
      <c r="BC122" s="87">
        <f>IF(AND(ISNUMBER(BA122),ISNUMBER(BB122),N(BA122)&gt;0),1-BB122/BA122,"")</f>
        <v/>
      </c>
      <c r="BD122" s="103" t="n"/>
      <c r="BE122" s="103" t="n"/>
      <c r="BF122" s="100">
        <f>IF(AND(ISNUMBER(BD122),ISNUMBER(BE122),N(BE122)&gt;0),BD122/BE122,"")</f>
        <v/>
      </c>
      <c r="BG122" s="102" t="n"/>
      <c r="BH122" s="97" t="inlineStr">
        <is>
          <t>Amazon.ca organic #5 for 'bamboo sheets king'; Bamboo Viscose – Temperature Regulation for Deeper, Restful Sleep; Search child B0CWKJ5SJ9; selected Queen child B0CWK92XQD. variation_count = distinct children exposed in page variation map, not a guaranteed complete catalogue</t>
        </is>
      </c>
    </row>
    <row r="123" ht="62" customHeight="1">
      <c r="A123" s="10">
        <f>_xlfn.IMAGE("https://m.media-amazon.com/images/I/81Oi9KYdBWL.jpg")</f>
        <v/>
      </c>
      <c r="B123" s="84" t="inlineStr">
        <is>
          <t>ACCURATEX</t>
        </is>
      </c>
      <c r="C123" s="32" t="inlineStr">
        <is>
          <t>ACCURATEX Bamboo Cooling Sheets for Hot Sleepers, Queen Size, Grey</t>
        </is>
      </c>
      <c r="D123" s="84" t="inlineStr">
        <is>
          <t>Untiered</t>
        </is>
      </c>
      <c r="E123" s="84" t="inlineStr">
        <is>
          <t>B0DK51QCDN</t>
        </is>
      </c>
      <c r="F123" s="84" t="inlineStr">
        <is>
          <t>B0BKLHTWGS</t>
        </is>
      </c>
      <c r="G123" s="84" t="inlineStr">
        <is>
          <t>Queen</t>
        </is>
      </c>
      <c r="H123" s="84" t="inlineStr">
        <is>
          <t>Grey</t>
        </is>
      </c>
      <c r="I123" s="85" t="n">
        <v>51</v>
      </c>
      <c r="J123" s="32" t="n"/>
      <c r="K123" s="86" t="n">
        <v>94.98999999999999</v>
      </c>
      <c r="L123" s="86" t="n"/>
      <c r="M123" s="87">
        <f>IF(AND(ISNUMBER(L123),ISNUMBER(K123),N(K123)&gt;0),L123/K123-1,"")</f>
        <v/>
      </c>
      <c r="N123" s="88">
        <f>IF(M123="","No List Price",IF(M123&lt;=0,"At/below price",IF(M123&lt;=0.12,"&lt;=12% STR zone",IF(M123&lt;=0.25,"12-25%","&gt;25% over"))))</f>
        <v/>
      </c>
      <c r="O123" s="86" t="n">
        <v>100.805</v>
      </c>
      <c r="P123" s="89">
        <f>IF(AND(ISNUMBER(K123),ISNUMBER(O123),N(O123)&gt;0),K123/O123-1,"")</f>
        <v/>
      </c>
      <c r="Q123" s="32" t="inlineStr">
        <is>
          <t>Same size (Queen), CAD. Ours: Command Center fee feed, Mar 2026 - STALE</t>
        </is>
      </c>
      <c r="R123" s="85" t="n">
        <v>14889</v>
      </c>
      <c r="S123" s="85" t="n"/>
      <c r="T123" s="90">
        <f>IF(AND(ISNUMBER(K123),ISNUMBER(S123)),K123*S123*52/12,"")</f>
        <v/>
      </c>
      <c r="U123" s="91" t="n">
        <v>4.3</v>
      </c>
      <c r="V123" s="85" t="n">
        <v>1019</v>
      </c>
      <c r="W123" s="92" t="n">
        <v>46309</v>
      </c>
      <c r="X123" s="92" t="n"/>
      <c r="Y123" s="84" t="n"/>
      <c r="Z123" s="84" t="n"/>
      <c r="AA123" s="85" t="n"/>
      <c r="AB123" s="85" t="n"/>
      <c r="AC123" s="93" t="n"/>
      <c r="AD123" s="93" t="n"/>
      <c r="AE123" s="32" t="n"/>
      <c r="AF123" s="93" t="n"/>
      <c r="AG123" s="93" t="n"/>
      <c r="AH123" s="93" t="n"/>
      <c r="AI123" s="93" t="n"/>
      <c r="AJ123" s="85" t="n"/>
      <c r="AK123" s="85" t="n"/>
      <c r="AL123" s="85" t="n"/>
      <c r="AM123" s="85" t="n"/>
      <c r="AN123" s="85" t="n"/>
      <c r="AO123" s="85" t="n"/>
      <c r="AP123" s="94" t="n"/>
      <c r="AQ123" s="89" t="n"/>
      <c r="AR123" s="95" t="inlineStr">
        <is>
          <t>N</t>
        </is>
      </c>
      <c r="AS123" s="95" t="inlineStr">
        <is>
          <t>none</t>
        </is>
      </c>
      <c r="AT123" s="101" t="n"/>
      <c r="AU123" s="96" t="n">
        <v>94.98999999999999</v>
      </c>
      <c r="AV123" s="95" t="inlineStr">
        <is>
          <t>none</t>
        </is>
      </c>
      <c r="AW123" s="95" t="inlineStr">
        <is>
          <t>Y</t>
        </is>
      </c>
      <c r="AX123" s="95" t="inlineStr">
        <is>
          <t>2026-10-14 00:33:55</t>
        </is>
      </c>
      <c r="AY123" s="102" t="n"/>
      <c r="AZ123" s="102" t="n"/>
      <c r="BA123" s="101" t="n"/>
      <c r="BB123" s="101" t="n"/>
      <c r="BC123" s="87">
        <f>IF(AND(ISNUMBER(BA123),ISNUMBER(BB123),N(BA123)&gt;0),1-BB123/BA123,"")</f>
        <v/>
      </c>
      <c r="BD123" s="103" t="n"/>
      <c r="BE123" s="103" t="n"/>
      <c r="BF123" s="100">
        <f>IF(AND(ISNUMBER(BD123),ISNUMBER(BE123),N(BE123)&gt;0),BD123/BE123,"")</f>
        <v/>
      </c>
      <c r="BG123" s="102" t="n"/>
      <c r="BH123" s="97" t="inlineStr">
        <is>
          <t>Amazon.ca organic #7 for 'cooling bamboo sheets'; 100% bamboo; Search child B09PYB9C45; selected Queen child B0BKLHTWGS. Orderable; availability wording:  variation_count = distinct children exposed in page variation map, n</t>
        </is>
      </c>
    </row>
    <row r="124" ht="62" customHeight="1">
      <c r="A124" s="10">
        <f>_xlfn.IMAGE("https://m.media-amazon.com/images/I/61-LBYlR5KL.jpg")</f>
        <v/>
      </c>
      <c r="B124" s="84" t="inlineStr">
        <is>
          <t>KRIMANO</t>
        </is>
      </c>
      <c r="C124" s="32" t="inlineStr">
        <is>
          <t>Bamboo Viscose Sheet Set Queen Size, Cooling Sheets Bed Set 4pcs</t>
        </is>
      </c>
      <c r="D124" s="84" t="inlineStr">
        <is>
          <t>Untiered</t>
        </is>
      </c>
      <c r="E124" s="84" t="inlineStr">
        <is>
          <t>B0FXVJLRTW</t>
        </is>
      </c>
      <c r="F124" s="84" t="inlineStr">
        <is>
          <t>B0FT7LV7PP</t>
        </is>
      </c>
      <c r="G124" s="84" t="inlineStr">
        <is>
          <t>Queen</t>
        </is>
      </c>
      <c r="H124" s="84" t="inlineStr">
        <is>
          <t>1.navy Blue</t>
        </is>
      </c>
      <c r="I124" s="85" t="n">
        <v>47</v>
      </c>
      <c r="J124" s="32" t="n"/>
      <c r="K124" s="86" t="n">
        <v>97.98999999999999</v>
      </c>
      <c r="L124" s="86" t="n"/>
      <c r="M124" s="87">
        <f>IF(AND(ISNUMBER(L124),ISNUMBER(K124),N(K124)&gt;0),L124/K124-1,"")</f>
        <v/>
      </c>
      <c r="N124" s="88">
        <f>IF(M124="","No List Price",IF(M124&lt;=0,"At/below price",IF(M124&lt;=0.12,"&lt;=12% STR zone",IF(M124&lt;=0.25,"12-25%","&gt;25% over"))))</f>
        <v/>
      </c>
      <c r="O124" s="86" t="n">
        <v>100.805</v>
      </c>
      <c r="P124" s="89">
        <f>IF(AND(ISNUMBER(K124),ISNUMBER(O124),N(O124)&gt;0),K124/O124-1,"")</f>
        <v/>
      </c>
      <c r="Q124" s="32" t="inlineStr">
        <is>
          <t>Same size (Queen), CAD. Ours: Command Center fee feed, Mar 2026 - STALE</t>
        </is>
      </c>
      <c r="R124" s="85" t="n">
        <v>32819</v>
      </c>
      <c r="S124" s="85" t="n"/>
      <c r="T124" s="90">
        <f>IF(AND(ISNUMBER(K124),ISNUMBER(S124)),K124*S124*52/12,"")</f>
        <v/>
      </c>
      <c r="U124" s="91" t="n">
        <v>4.4</v>
      </c>
      <c r="V124" s="85" t="n">
        <v>765</v>
      </c>
      <c r="W124" s="92" t="n">
        <v>46309</v>
      </c>
      <c r="X124" s="92" t="n"/>
      <c r="Y124" s="84" t="n"/>
      <c r="Z124" s="84" t="n"/>
      <c r="AA124" s="85" t="n"/>
      <c r="AB124" s="85" t="n"/>
      <c r="AC124" s="93" t="n"/>
      <c r="AD124" s="93" t="n"/>
      <c r="AE124" s="32" t="n"/>
      <c r="AF124" s="93" t="n"/>
      <c r="AG124" s="93" t="n"/>
      <c r="AH124" s="93" t="n"/>
      <c r="AI124" s="93" t="n"/>
      <c r="AJ124" s="85" t="n"/>
      <c r="AK124" s="85" t="n"/>
      <c r="AL124" s="85" t="n"/>
      <c r="AM124" s="85" t="n"/>
      <c r="AN124" s="85" t="n"/>
      <c r="AO124" s="85" t="n"/>
      <c r="AP124" s="94" t="n"/>
      <c r="AQ124" s="89" t="n"/>
      <c r="AR124" s="95" t="inlineStr">
        <is>
          <t>N</t>
        </is>
      </c>
      <c r="AS124" s="95" t="inlineStr">
        <is>
          <t>none</t>
        </is>
      </c>
      <c r="AT124" s="101" t="n"/>
      <c r="AU124" s="96" t="n">
        <v>97.98999999999999</v>
      </c>
      <c r="AV124" s="95" t="inlineStr">
        <is>
          <t>none</t>
        </is>
      </c>
      <c r="AW124" s="95" t="inlineStr">
        <is>
          <t>Y</t>
        </is>
      </c>
      <c r="AX124" s="95" t="inlineStr">
        <is>
          <t>2026-10-14 00:34:38</t>
        </is>
      </c>
      <c r="AY124" s="102" t="n"/>
      <c r="AZ124" s="102" t="n"/>
      <c r="BA124" s="101" t="n"/>
      <c r="BB124" s="101" t="n"/>
      <c r="BC124" s="87">
        <f>IF(AND(ISNUMBER(BA124),ISNUMBER(BB124),N(BA124)&gt;0),1-BB124/BA124,"")</f>
        <v/>
      </c>
      <c r="BD124" s="103" t="n"/>
      <c r="BE124" s="103" t="n"/>
      <c r="BF124" s="100">
        <f>IF(AND(ISNUMBER(BD124),ISNUMBER(BE124),N(BE124)&gt;0),BD124/BE124,"")</f>
        <v/>
      </c>
      <c r="BG124" s="102" t="n"/>
      <c r="BH124" s="97" t="inlineStr">
        <is>
          <t>Amazon.ca organic #10 for 'bamboo sheets king'; Viscose Derived from Bamboo; Search child B0FT7LZ2CD; selected Queen child B0FT7LV7PP. variation_count = distinct children exposed in page variation map, not a guaranteed complete catalogue</t>
        </is>
      </c>
    </row>
    <row r="125" ht="62" customHeight="1">
      <c r="A125" s="10">
        <f>_xlfn.IMAGE("https://m.media-amazon.com/images/I/71UaTjhX+fL.jpg")</f>
        <v/>
      </c>
      <c r="B125" s="84" t="inlineStr">
        <is>
          <t>MCO</t>
        </is>
      </c>
      <c r="C125" s="32" t="inlineStr">
        <is>
          <t>100% Bamboo King Size Sheets Set, Cooling&amp;Breathable-Light Blue</t>
        </is>
      </c>
      <c r="D125" s="84" t="inlineStr">
        <is>
          <t>Untiered</t>
        </is>
      </c>
      <c r="E125" s="84" t="inlineStr">
        <is>
          <t>B0CDCNVNPR</t>
        </is>
      </c>
      <c r="F125" s="84" t="inlineStr">
        <is>
          <t>B0C8CXS58F</t>
        </is>
      </c>
      <c r="G125" s="84" t="inlineStr">
        <is>
          <t>King</t>
        </is>
      </c>
      <c r="H125" s="84" t="inlineStr">
        <is>
          <t>Light Blue</t>
        </is>
      </c>
      <c r="I125" s="85" t="n">
        <v>3</v>
      </c>
      <c r="J125" s="32" t="n"/>
      <c r="K125" s="86" t="n">
        <v>38.99</v>
      </c>
      <c r="L125" s="86" t="n"/>
      <c r="M125" s="87">
        <f>IF(AND(ISNUMBER(L125),ISNUMBER(K125),N(K125)&gt;0),L125/K125-1,"")</f>
        <v/>
      </c>
      <c r="N125" s="88">
        <f>IF(M125="","No List Price",IF(M125&lt;=0,"At/below price",IF(M125&lt;=0.12,"&lt;=12% STR zone",IF(M125&lt;=0.25,"12-25%","&gt;25% over"))))</f>
        <v/>
      </c>
      <c r="O125" s="86" t="n">
        <v>101.5498882681564</v>
      </c>
      <c r="P125" s="89">
        <f>IF(AND(ISNUMBER(K125),ISNUMBER(O125),N(O125)&gt;0),K125/O125-1,"")</f>
        <v/>
      </c>
      <c r="Q125" s="32" t="inlineStr">
        <is>
          <t>Same size (King), CAD. Ours: Command Center fee feed, Mar 2026 - STALE</t>
        </is>
      </c>
      <c r="R125" s="85" t="n">
        <v>67260</v>
      </c>
      <c r="S125" s="85" t="n"/>
      <c r="T125" s="90">
        <f>IF(AND(ISNUMBER(K125),ISNUMBER(S125)),K125*S125*52/12,"")</f>
        <v/>
      </c>
      <c r="U125" s="91" t="n">
        <v>3.9</v>
      </c>
      <c r="V125" s="85" t="n">
        <v>255</v>
      </c>
      <c r="W125" s="92" t="n">
        <v>46309</v>
      </c>
      <c r="X125" s="92" t="n"/>
      <c r="Y125" s="84" t="n"/>
      <c r="Z125" s="84" t="n"/>
      <c r="AA125" s="85" t="n"/>
      <c r="AB125" s="85" t="n"/>
      <c r="AC125" s="93" t="n"/>
      <c r="AD125" s="93" t="n"/>
      <c r="AE125" s="32" t="n"/>
      <c r="AF125" s="93" t="n"/>
      <c r="AG125" s="93" t="n"/>
      <c r="AH125" s="93" t="n"/>
      <c r="AI125" s="93" t="n"/>
      <c r="AJ125" s="85" t="n"/>
      <c r="AK125" s="85" t="n"/>
      <c r="AL125" s="85" t="n"/>
      <c r="AM125" s="85" t="n"/>
      <c r="AN125" s="85" t="n"/>
      <c r="AO125" s="85" t="n"/>
      <c r="AP125" s="94" t="n"/>
      <c r="AQ125" s="89" t="n"/>
      <c r="AR125" s="95" t="inlineStr">
        <is>
          <t>N</t>
        </is>
      </c>
      <c r="AS125" s="95" t="inlineStr">
        <is>
          <t>none</t>
        </is>
      </c>
      <c r="AT125" s="101" t="n"/>
      <c r="AU125" s="96" t="n">
        <v>38.99</v>
      </c>
      <c r="AV125" s="95" t="inlineStr">
        <is>
          <t>none</t>
        </is>
      </c>
      <c r="AW125" s="95" t="inlineStr">
        <is>
          <t>Y</t>
        </is>
      </c>
      <c r="AX125" s="95" t="inlineStr">
        <is>
          <t>2026-10-14 00:33:09</t>
        </is>
      </c>
      <c r="AY125" s="102" t="n"/>
      <c r="AZ125" s="102" t="n"/>
      <c r="BA125" s="101" t="n"/>
      <c r="BB125" s="101" t="n"/>
      <c r="BC125" s="87">
        <f>IF(AND(ISNUMBER(BA125),ISNUMBER(BB125),N(BA125)&gt;0),1-BB125/BA125,"")</f>
        <v/>
      </c>
      <c r="BD125" s="103" t="n"/>
      <c r="BE125" s="103" t="n"/>
      <c r="BF125" s="100">
        <f>IF(AND(ISNUMBER(BD125),ISNUMBER(BE125),N(BE125)&gt;0),BD125/BE125,"")</f>
        <v/>
      </c>
      <c r="BG125" s="102" t="n"/>
      <c r="BH125" s="97" t="inlineStr">
        <is>
          <t>Amazon.ca organic #11 for 'bamboo sheets king'; 100% Bamboo; No Queen option exposed; King used. variation_count = distinct children exposed in page variation map, not a guaranteed complete catalogue. Bought-past-month ba</t>
        </is>
      </c>
    </row>
    <row r="126" ht="62" customHeight="1">
      <c r="A126" s="10">
        <f>_xlfn.IMAGE("https://m.media-amazon.com/images/I/7132udf75EL.jpg")</f>
        <v/>
      </c>
      <c r="B126" s="84" t="inlineStr">
        <is>
          <t>KRIMANO</t>
        </is>
      </c>
      <c r="C126" s="32" t="inlineStr">
        <is>
          <t>Queen Size Sheet Set, Viscose Bamboo Sheets 4-Piece, 100% Viscose Derived from Bamboo, Hotel Luxury Silky &amp; Cooling for Hot Sleepers, Deep Pocket Up to 17", Taupe</t>
        </is>
      </c>
      <c r="D126" s="84" t="inlineStr">
        <is>
          <t>Untiered</t>
        </is>
      </c>
      <c r="E126" s="84" t="inlineStr">
        <is>
          <t>B0H4LQ1XJH</t>
        </is>
      </c>
      <c r="F126" s="84" t="inlineStr">
        <is>
          <t>B0H4LHZTBY</t>
        </is>
      </c>
      <c r="G126" s="84" t="inlineStr">
        <is>
          <t>Queen</t>
        </is>
      </c>
      <c r="H126" s="84" t="inlineStr">
        <is>
          <t>3. Premium Taupe</t>
        </is>
      </c>
      <c r="I126" s="85" t="n">
        <v>12</v>
      </c>
      <c r="J126" s="32" t="n"/>
      <c r="K126" s="86" t="n">
        <v>85.48999999999999</v>
      </c>
      <c r="L126" s="86" t="n"/>
      <c r="M126" s="87">
        <f>IF(AND(ISNUMBER(L126),ISNUMBER(K126),N(K126)&gt;0),L126/K126-1,"")</f>
        <v/>
      </c>
      <c r="N126" s="88">
        <f>IF(M126="","No List Price",IF(M126&lt;=0,"At/below price",IF(M126&lt;=0.12,"&lt;=12% STR zone",IF(M126&lt;=0.25,"12-25%","&gt;25% over"))))</f>
        <v/>
      </c>
      <c r="O126" s="86" t="n">
        <v>100.805</v>
      </c>
      <c r="P126" s="89">
        <f>IF(AND(ISNUMBER(K126),ISNUMBER(O126),N(O126)&gt;0),K126/O126-1,"")</f>
        <v/>
      </c>
      <c r="Q126" s="32" t="inlineStr">
        <is>
          <t>Same size (Queen), CAD. Ours: Command Center fee feed, Mar 2026 - STALE</t>
        </is>
      </c>
      <c r="R126" s="85" t="n">
        <v>39816</v>
      </c>
      <c r="S126" s="85" t="n"/>
      <c r="T126" s="90">
        <f>IF(AND(ISNUMBER(K126),ISNUMBER(S126)),K126*S126*52/12,"")</f>
        <v/>
      </c>
      <c r="U126" s="91" t="n">
        <v>4.5</v>
      </c>
      <c r="V126" s="85" t="n">
        <v>23</v>
      </c>
      <c r="W126" s="92" t="n">
        <v>46309</v>
      </c>
      <c r="X126" s="92" t="n"/>
      <c r="Y126" s="84" t="n"/>
      <c r="Z126" s="84" t="n"/>
      <c r="AA126" s="85" t="n"/>
      <c r="AB126" s="85" t="n"/>
      <c r="AC126" s="93" t="n"/>
      <c r="AD126" s="93" t="n"/>
      <c r="AE126" s="32" t="n"/>
      <c r="AF126" s="93" t="n"/>
      <c r="AG126" s="93" t="n"/>
      <c r="AH126" s="93" t="n"/>
      <c r="AI126" s="93" t="n"/>
      <c r="AJ126" s="85" t="n"/>
      <c r="AK126" s="85" t="n"/>
      <c r="AL126" s="85" t="n"/>
      <c r="AM126" s="85" t="n"/>
      <c r="AN126" s="85" t="n"/>
      <c r="AO126" s="85" t="n"/>
      <c r="AP126" s="94" t="n"/>
      <c r="AQ126" s="89" t="n"/>
      <c r="AR126" s="95" t="inlineStr">
        <is>
          <t>Y</t>
        </is>
      </c>
      <c r="AS126" s="95" t="inlineStr">
        <is>
          <t>Was price</t>
        </is>
      </c>
      <c r="AT126" s="96" t="n">
        <v>89.98999999999999</v>
      </c>
      <c r="AU126" s="96" t="n">
        <v>85.48999999999999</v>
      </c>
      <c r="AV126" s="95" t="inlineStr">
        <is>
          <t>none</t>
        </is>
      </c>
      <c r="AW126" s="95" t="inlineStr">
        <is>
          <t>Y</t>
        </is>
      </c>
      <c r="AX126" s="95" t="inlineStr">
        <is>
          <t>2026-10-14 00:34:57</t>
        </is>
      </c>
      <c r="AY126" s="102" t="n"/>
      <c r="AZ126" s="102" t="n"/>
      <c r="BA126" s="101" t="n"/>
      <c r="BB126" s="101" t="n"/>
      <c r="BC126" s="87">
        <f>IF(AND(ISNUMBER(BA126),ISNUMBER(BB126),N(BA126)&gt;0),1-BB126/BA126,"")</f>
        <v/>
      </c>
      <c r="BD126" s="103" t="n"/>
      <c r="BE126" s="103" t="n"/>
      <c r="BF126" s="100">
        <f>IF(AND(ISNUMBER(BD126),ISNUMBER(BE126),N(BE126)&gt;0),BD126/BE126,"")</f>
        <v/>
      </c>
      <c r="BG126" s="102" t="n"/>
      <c r="BH126" s="97" t="inlineStr">
        <is>
          <t>Amazon.ca organic #12 for 'bamboo sheets queen'; 100% Viscose Derived from Bamboo; variation_count = distinct children exposed in page variation map, not a guaranteed complete catalogue. Bought-past-month badge not displayed.</t>
        </is>
      </c>
    </row>
    <row r="127" ht="62" customHeight="1">
      <c r="A127" s="10">
        <f>_xlfn.IMAGE("https://m.media-amazon.com/images/I/81svKInu7aL.jpg")</f>
        <v/>
      </c>
      <c r="B127" s="84" t="inlineStr">
        <is>
          <t>Bambaw</t>
        </is>
      </c>
      <c r="C127" s="32" t="inlineStr">
        <is>
          <t>Bambaw 100% Viscose Derived from Bamboo Sheets Queen Size Set – 4pcs Cooling Sheet Set, Super Soft Sheets Queen Size, Luxury Bed Sheets, Deep Pocket Fits Up to 16'' Mattresses (Charcoal)</t>
        </is>
      </c>
      <c r="D127" s="84" t="inlineStr">
        <is>
          <t>Untiered</t>
        </is>
      </c>
      <c r="E127" s="84" t="inlineStr">
        <is>
          <t>B07K6SYX8L</t>
        </is>
      </c>
      <c r="F127" s="84" t="inlineStr">
        <is>
          <t>B0DR99Q37Y</t>
        </is>
      </c>
      <c r="G127" s="84" t="inlineStr">
        <is>
          <t>Queen</t>
        </is>
      </c>
      <c r="H127" s="84" t="inlineStr">
        <is>
          <t>Charcoal</t>
        </is>
      </c>
      <c r="I127" s="85" t="n">
        <v>112</v>
      </c>
      <c r="J127" s="32" t="n"/>
      <c r="K127" s="86" t="n">
        <v>139.95</v>
      </c>
      <c r="L127" s="86" t="n"/>
      <c r="M127" s="87">
        <f>IF(AND(ISNUMBER(L127),ISNUMBER(K127),N(K127)&gt;0),L127/K127-1,"")</f>
        <v/>
      </c>
      <c r="N127" s="88">
        <f>IF(M127="","No List Price",IF(M127&lt;=0,"At/below price",IF(M127&lt;=0.12,"&lt;=12% STR zone",IF(M127&lt;=0.25,"12-25%","&gt;25% over"))))</f>
        <v/>
      </c>
      <c r="O127" s="86" t="n">
        <v>100.805</v>
      </c>
      <c r="P127" s="89">
        <f>IF(AND(ISNUMBER(K127),ISNUMBER(O127),N(O127)&gt;0),K127/O127-1,"")</f>
        <v/>
      </c>
      <c r="Q127" s="32" t="inlineStr">
        <is>
          <t>Same size (Queen), CAD. Ours: Command Center fee feed, Mar 2026 - STALE</t>
        </is>
      </c>
      <c r="R127" s="85" t="n">
        <v>5024</v>
      </c>
      <c r="S127" s="85" t="n"/>
      <c r="T127" s="90">
        <f>IF(AND(ISNUMBER(K127),ISNUMBER(S127)),K127*S127*52/12,"")</f>
        <v/>
      </c>
      <c r="U127" s="91" t="n">
        <v>4.3</v>
      </c>
      <c r="V127" s="85" t="n">
        <v>3030</v>
      </c>
      <c r="W127" s="92" t="n">
        <v>46309</v>
      </c>
      <c r="X127" s="92" t="n"/>
      <c r="Y127" s="84" t="n"/>
      <c r="Z127" s="84" t="n"/>
      <c r="AA127" s="85" t="n"/>
      <c r="AB127" s="85" t="n"/>
      <c r="AC127" s="93" t="n"/>
      <c r="AD127" s="93" t="n"/>
      <c r="AE127" s="32" t="n"/>
      <c r="AF127" s="93" t="n"/>
      <c r="AG127" s="93" t="n"/>
      <c r="AH127" s="93" t="n"/>
      <c r="AI127" s="93" t="n"/>
      <c r="AJ127" s="85" t="n"/>
      <c r="AK127" s="85" t="n"/>
      <c r="AL127" s="85" t="n"/>
      <c r="AM127" s="85" t="n"/>
      <c r="AN127" s="85" t="n"/>
      <c r="AO127" s="85" t="n"/>
      <c r="AP127" s="94" t="n"/>
      <c r="AQ127" s="89" t="n"/>
      <c r="AR127" s="95" t="inlineStr">
        <is>
          <t>N</t>
        </is>
      </c>
      <c r="AS127" s="95" t="inlineStr">
        <is>
          <t>none</t>
        </is>
      </c>
      <c r="AT127" s="101" t="n"/>
      <c r="AU127" s="96" t="n">
        <v>139.95</v>
      </c>
      <c r="AV127" s="95" t="inlineStr">
        <is>
          <t>none</t>
        </is>
      </c>
      <c r="AW127" s="95" t="inlineStr">
        <is>
          <t>Y</t>
        </is>
      </c>
      <c r="AX127" s="95" t="inlineStr">
        <is>
          <t>2026-10-14 00:34:55</t>
        </is>
      </c>
      <c r="AY127" s="97" t="inlineStr">
        <is>
          <t>None</t>
        </is>
      </c>
      <c r="AZ127" s="102" t="n"/>
      <c r="BA127" s="98" t="n">
        <v>89.98999999999999</v>
      </c>
      <c r="BB127" s="98" t="n">
        <v>89.98999999999999</v>
      </c>
      <c r="BC127" s="87">
        <f>IF(AND(ISNUMBER(BA127),ISNUMBER(BB127),N(BA127)&gt;0),1-BB127/BA127,"")</f>
        <v/>
      </c>
      <c r="BD127" s="99" t="n">
        <v>12712</v>
      </c>
      <c r="BE127" s="99" t="n">
        <v>10881</v>
      </c>
      <c r="BF127" s="100">
        <f>IF(AND(ISNUMBER(BD127),ISNUMBER(BE127),N(BE127)&gt;0),BD127/BE127,"")</f>
        <v/>
      </c>
      <c r="BG127" s="97" t="inlineStr">
        <is>
          <t>N</t>
        </is>
      </c>
      <c r="BH127" s="97" t="inlineStr">
        <is>
          <t>Amazon.ca organic #12 for 'bamboo sheets king'; 100% Viscose Derived from Bamboo; Search child B0DR98RPTK; selected Queen - 4 PCS child B0DR99Q37Y. variation_count = distinct children exposed in page variation map, not a guaranteed complete c</t>
        </is>
      </c>
    </row>
    <row r="128" ht="62" customHeight="1">
      <c r="A128" s="10">
        <f>_xlfn.IMAGE("https://m.media-amazon.com/images/I/819Dj6rLeGL.jpg")</f>
        <v/>
      </c>
      <c r="B128" s="84" t="inlineStr">
        <is>
          <t>GOKOTTA</t>
        </is>
      </c>
      <c r="C128" s="32" t="inlineStr">
        <is>
          <t>Gökotta Queen Bed Sheets 4 Piece, 100% FSC® Certified Bamboo, Cooling</t>
        </is>
      </c>
      <c r="D128" s="84" t="inlineStr">
        <is>
          <t>Untiered</t>
        </is>
      </c>
      <c r="E128" s="84" t="inlineStr">
        <is>
          <t>B09WY1GFH8</t>
        </is>
      </c>
      <c r="F128" s="84" t="inlineStr">
        <is>
          <t>B08F3HFQ6X</t>
        </is>
      </c>
      <c r="G128" s="84" t="inlineStr">
        <is>
          <t>Queen</t>
        </is>
      </c>
      <c r="H128" s="84" t="inlineStr">
        <is>
          <t>01 Cream White</t>
        </is>
      </c>
      <c r="I128" s="85" t="n">
        <v>101</v>
      </c>
      <c r="J128" s="32" t="n"/>
      <c r="K128" s="86" t="n">
        <v>139.99</v>
      </c>
      <c r="L128" s="86" t="n"/>
      <c r="M128" s="87">
        <f>IF(AND(ISNUMBER(L128),ISNUMBER(K128),N(K128)&gt;0),L128/K128-1,"")</f>
        <v/>
      </c>
      <c r="N128" s="88">
        <f>IF(M128="","No List Price",IF(M128&lt;=0,"At/below price",IF(M128&lt;=0.12,"&lt;=12% STR zone",IF(M128&lt;=0.25,"12-25%","&gt;25% over"))))</f>
        <v/>
      </c>
      <c r="O128" s="86" t="n">
        <v>100.805</v>
      </c>
      <c r="P128" s="89">
        <f>IF(AND(ISNUMBER(K128),ISNUMBER(O128),N(O128)&gt;0),K128/O128-1,"")</f>
        <v/>
      </c>
      <c r="Q128" s="32" t="inlineStr">
        <is>
          <t>Same size (Queen), CAD. Ours: Command Center fee feed, Mar 2026 - STALE</t>
        </is>
      </c>
      <c r="R128" s="85" t="n">
        <v>4180</v>
      </c>
      <c r="S128" s="85" t="n"/>
      <c r="T128" s="90">
        <f>IF(AND(ISNUMBER(K128),ISNUMBER(S128)),K128*S128*52/12,"")</f>
        <v/>
      </c>
      <c r="U128" s="91" t="n">
        <v>4.4</v>
      </c>
      <c r="V128" s="85" t="n">
        <v>2698</v>
      </c>
      <c r="W128" s="92" t="n">
        <v>46309</v>
      </c>
      <c r="X128" s="92" t="n"/>
      <c r="Y128" s="84" t="n"/>
      <c r="Z128" s="84" t="n"/>
      <c r="AA128" s="85" t="n"/>
      <c r="AB128" s="85" t="n"/>
      <c r="AC128" s="93" t="n"/>
      <c r="AD128" s="93" t="n"/>
      <c r="AE128" s="32" t="n"/>
      <c r="AF128" s="93" t="n"/>
      <c r="AG128" s="93" t="n"/>
      <c r="AH128" s="93" t="n"/>
      <c r="AI128" s="93" t="n"/>
      <c r="AJ128" s="85" t="n"/>
      <c r="AK128" s="85" t="n"/>
      <c r="AL128" s="85" t="n"/>
      <c r="AM128" s="85" t="n"/>
      <c r="AN128" s="85" t="n"/>
      <c r="AO128" s="85" t="n"/>
      <c r="AP128" s="94" t="n"/>
      <c r="AQ128" s="89" t="n"/>
      <c r="AR128" s="95" t="inlineStr">
        <is>
          <t>Y</t>
        </is>
      </c>
      <c r="AS128" s="95" t="inlineStr">
        <is>
          <t>List Price</t>
        </is>
      </c>
      <c r="AT128" s="96" t="n">
        <v>154.99</v>
      </c>
      <c r="AU128" s="96" t="n">
        <v>139.99</v>
      </c>
      <c r="AV128" s="95" t="inlineStr">
        <is>
          <t>coupon $10</t>
        </is>
      </c>
      <c r="AW128" s="95" t="inlineStr">
        <is>
          <t>Y</t>
        </is>
      </c>
      <c r="AX128" s="95" t="inlineStr">
        <is>
          <t>2026-10-14 00:35:00</t>
        </is>
      </c>
      <c r="AY128" s="102" t="n"/>
      <c r="AZ128" s="102" t="n"/>
      <c r="BA128" s="101" t="n"/>
      <c r="BB128" s="101" t="n"/>
      <c r="BC128" s="87">
        <f>IF(AND(ISNUMBER(BA128),ISNUMBER(BB128),N(BA128)&gt;0),1-BB128/BA128,"")</f>
        <v/>
      </c>
      <c r="BD128" s="103" t="n"/>
      <c r="BE128" s="103" t="n"/>
      <c r="BF128" s="100">
        <f>IF(AND(ISNUMBER(BD128),ISNUMBER(BE128),N(BE128)&gt;0),BD128/BE128,"")</f>
        <v/>
      </c>
      <c r="BG128" s="102" t="n"/>
      <c r="BH128" s="97" t="inlineStr">
        <is>
          <t>Amazon.ca organic #12 for 'cooling bamboo sheets'; 100% Rayon Made from Bamboo; Search child B0B6VQC7LD; selected Queen - 4 PCS child B08F3HFQ6X. variation_count = distinct children exposed in page variation map, not a guaranteed complete c</t>
        </is>
      </c>
    </row>
    <row r="129" ht="62" customHeight="1">
      <c r="A129" s="10">
        <f>_xlfn.IMAGE("https://m.media-amazon.com/images/I/71wGI7mFbBL.jpg")</f>
        <v/>
      </c>
      <c r="B129" s="84" t="inlineStr">
        <is>
          <t>Viviland</t>
        </is>
      </c>
      <c r="C129" s="32" t="inlineStr">
        <is>
          <t>Viviland Cooling Queen Sheets, 100% Viscose Derived Bamboo, Sage Green</t>
        </is>
      </c>
      <c r="D129" s="84" t="inlineStr">
        <is>
          <t>Untiered</t>
        </is>
      </c>
      <c r="E129" s="84" t="inlineStr">
        <is>
          <t>B0F24WLDTG</t>
        </is>
      </c>
      <c r="F129" s="84" t="inlineStr">
        <is>
          <t>B0H8S57BK7</t>
        </is>
      </c>
      <c r="G129" s="84" t="inlineStr">
        <is>
          <t>Queen</t>
        </is>
      </c>
      <c r="H129" s="84" t="inlineStr">
        <is>
          <t>Sage Green</t>
        </is>
      </c>
      <c r="I129" s="85" t="n">
        <v>52</v>
      </c>
      <c r="J129" s="32" t="n"/>
      <c r="K129" s="86" t="n">
        <v>68.39</v>
      </c>
      <c r="L129" s="86" t="n"/>
      <c r="M129" s="87">
        <f>IF(AND(ISNUMBER(L129),ISNUMBER(K129),N(K129)&gt;0),L129/K129-1,"")</f>
        <v/>
      </c>
      <c r="N129" s="88">
        <f>IF(M129="","No List Price",IF(M129&lt;=0,"At/below price",IF(M129&lt;=0.12,"&lt;=12% STR zone",IF(M129&lt;=0.25,"12-25%","&gt;25% over"))))</f>
        <v/>
      </c>
      <c r="O129" s="86" t="n">
        <v>100.805</v>
      </c>
      <c r="P129" s="89">
        <f>IF(AND(ISNUMBER(K129),ISNUMBER(O129),N(O129)&gt;0),K129/O129-1,"")</f>
        <v/>
      </c>
      <c r="Q129" s="32" t="inlineStr">
        <is>
          <t>Same size (Queen), CAD. Ours: Command Center fee feed, Mar 2026 - STALE</t>
        </is>
      </c>
      <c r="R129" s="85" t="n">
        <v>12341</v>
      </c>
      <c r="S129" s="85" t="n"/>
      <c r="T129" s="90">
        <f>IF(AND(ISNUMBER(K129),ISNUMBER(S129)),K129*S129*52/12,"")</f>
        <v/>
      </c>
      <c r="U129" s="91" t="n">
        <v>4.4</v>
      </c>
      <c r="V129" s="85" t="n">
        <v>146</v>
      </c>
      <c r="W129" s="92" t="n">
        <v>46309</v>
      </c>
      <c r="X129" s="92" t="n"/>
      <c r="Y129" s="84" t="n"/>
      <c r="Z129" s="84" t="n"/>
      <c r="AA129" s="85" t="n"/>
      <c r="AB129" s="85" t="n"/>
      <c r="AC129" s="93" t="n"/>
      <c r="AD129" s="93" t="n"/>
      <c r="AE129" s="32" t="n"/>
      <c r="AF129" s="93" t="n"/>
      <c r="AG129" s="93" t="n"/>
      <c r="AH129" s="93" t="n"/>
      <c r="AI129" s="93" t="n"/>
      <c r="AJ129" s="85" t="n"/>
      <c r="AK129" s="85" t="n"/>
      <c r="AL129" s="85" t="n"/>
      <c r="AM129" s="85" t="n"/>
      <c r="AN129" s="85" t="n"/>
      <c r="AO129" s="85" t="n"/>
      <c r="AP129" s="94" t="n"/>
      <c r="AQ129" s="89" t="n"/>
      <c r="AR129" s="95" t="inlineStr">
        <is>
          <t>Y</t>
        </is>
      </c>
      <c r="AS129" s="95" t="inlineStr">
        <is>
          <t>Was price</t>
        </is>
      </c>
      <c r="AT129" s="96" t="n">
        <v>71.98999999999999</v>
      </c>
      <c r="AU129" s="96" t="n">
        <v>68.39</v>
      </c>
      <c r="AV129" s="95" t="inlineStr">
        <is>
          <t>none</t>
        </is>
      </c>
      <c r="AW129" s="95" t="inlineStr">
        <is>
          <t>Y</t>
        </is>
      </c>
      <c r="AX129" s="95" t="inlineStr">
        <is>
          <t>2026-10-14 00:33:38</t>
        </is>
      </c>
      <c r="AY129" s="102" t="n"/>
      <c r="AZ129" s="102" t="n"/>
      <c r="BA129" s="101" t="n"/>
      <c r="BB129" s="101" t="n"/>
      <c r="BC129" s="87">
        <f>IF(AND(ISNUMBER(BA129),ISNUMBER(BB129),N(BA129)&gt;0),1-BB129/BA129,"")</f>
        <v/>
      </c>
      <c r="BD129" s="103" t="n"/>
      <c r="BE129" s="103" t="n"/>
      <c r="BF129" s="100">
        <f>IF(AND(ISNUMBER(BD129),ISNUMBER(BE129),N(BE129)&gt;0),BD129/BE129,"")</f>
        <v/>
      </c>
      <c r="BG129" s="102" t="n"/>
      <c r="BH129" s="97" t="inlineStr">
        <is>
          <t>Amazon.ca organic #13 for 'bamboo sheets king'; 100% Viscose; Search child B0F1KLQJZ7; selected Queen (U.S. Standard) child B0H8S57BK7. variation_count = distinct children exposed in page variation map, not a guaranteed co</t>
        </is>
      </c>
    </row>
    <row r="130" ht="62" customHeight="1">
      <c r="A130" s="10">
        <f>_xlfn.IMAGE("https://m.media-amazon.com/images/I/717ErtYBKJL.jpg")</f>
        <v/>
      </c>
      <c r="B130" s="84" t="inlineStr">
        <is>
          <t>BAMPURE</t>
        </is>
      </c>
      <c r="C130" s="32" t="inlineStr">
        <is>
          <t>BAMPURE 100% Organic Bamboo Sheets Queen 4PC - Cooling Sheets Set</t>
        </is>
      </c>
      <c r="D130" s="84" t="inlineStr">
        <is>
          <t>Untiered</t>
        </is>
      </c>
      <c r="E130" s="84" t="n"/>
      <c r="F130" s="84" t="inlineStr">
        <is>
          <t>B0DPLJ4BN4</t>
        </is>
      </c>
      <c r="G130" s="84" t="inlineStr">
        <is>
          <t>Queen</t>
        </is>
      </c>
      <c r="H130" s="84" t="inlineStr">
        <is>
          <t>Navy</t>
        </is>
      </c>
      <c r="I130" s="85" t="n"/>
      <c r="J130" s="32" t="n"/>
      <c r="K130" s="86" t="n">
        <v>74.98999999999999</v>
      </c>
      <c r="L130" s="86" t="n"/>
      <c r="M130" s="87">
        <f>IF(AND(ISNUMBER(L130),ISNUMBER(K130),N(K130)&gt;0),L130/K130-1,"")</f>
        <v/>
      </c>
      <c r="N130" s="88">
        <f>IF(M130="","No List Price",IF(M130&lt;=0,"At/below price",IF(M130&lt;=0.12,"&lt;=12% STR zone",IF(M130&lt;=0.25,"12-25%","&gt;25% over"))))</f>
        <v/>
      </c>
      <c r="O130" s="86" t="n">
        <v>100.805</v>
      </c>
      <c r="P130" s="89">
        <f>IF(AND(ISNUMBER(K130),ISNUMBER(O130),N(O130)&gt;0),K130/O130-1,"")</f>
        <v/>
      </c>
      <c r="Q130" s="32" t="inlineStr">
        <is>
          <t>Same size (Queen), CAD. Ours: Command Center fee feed, Mar 2026 - STALE</t>
        </is>
      </c>
      <c r="R130" s="85" t="n">
        <v>110902</v>
      </c>
      <c r="S130" s="85" t="n"/>
      <c r="T130" s="90">
        <f>IF(AND(ISNUMBER(K130),ISNUMBER(S130)),K130*S130*52/12,"")</f>
        <v/>
      </c>
      <c r="U130" s="91" t="n">
        <v>3.3</v>
      </c>
      <c r="V130" s="85" t="n">
        <v>18</v>
      </c>
      <c r="W130" s="92" t="n">
        <v>46309</v>
      </c>
      <c r="X130" s="92" t="n"/>
      <c r="Y130" s="84" t="n"/>
      <c r="Z130" s="84" t="n"/>
      <c r="AA130" s="85" t="n"/>
      <c r="AB130" s="85" t="n"/>
      <c r="AC130" s="93" t="n"/>
      <c r="AD130" s="93" t="n"/>
      <c r="AE130" s="32" t="n"/>
      <c r="AF130" s="93" t="n"/>
      <c r="AG130" s="93" t="n"/>
      <c r="AH130" s="93" t="n"/>
      <c r="AI130" s="93" t="n"/>
      <c r="AJ130" s="85" t="n"/>
      <c r="AK130" s="85" t="n"/>
      <c r="AL130" s="85" t="n"/>
      <c r="AM130" s="85" t="n"/>
      <c r="AN130" s="85" t="n"/>
      <c r="AO130" s="85" t="n"/>
      <c r="AP130" s="94" t="n"/>
      <c r="AQ130" s="89" t="n"/>
      <c r="AR130" s="95" t="inlineStr">
        <is>
          <t>Y</t>
        </is>
      </c>
      <c r="AS130" s="95" t="inlineStr">
        <is>
          <t>List Price</t>
        </is>
      </c>
      <c r="AT130" s="96" t="n">
        <v>89.98999999999999</v>
      </c>
      <c r="AU130" s="96" t="n">
        <v>74.98999999999999</v>
      </c>
      <c r="AV130" s="95" t="inlineStr">
        <is>
          <t>none</t>
        </is>
      </c>
      <c r="AW130" s="95" t="inlineStr">
        <is>
          <t>Y</t>
        </is>
      </c>
      <c r="AX130" s="95" t="inlineStr">
        <is>
          <t>2026-10-14 00:35:15</t>
        </is>
      </c>
      <c r="AY130" s="102" t="n"/>
      <c r="AZ130" s="102" t="n"/>
      <c r="BA130" s="101" t="n"/>
      <c r="BB130" s="101" t="n"/>
      <c r="BC130" s="87">
        <f>IF(AND(ISNUMBER(BA130),ISNUMBER(BB130),N(BA130)&gt;0),1-BB130/BA130,"")</f>
        <v/>
      </c>
      <c r="BD130" s="103" t="n"/>
      <c r="BE130" s="103" t="n"/>
      <c r="BF130" s="100">
        <f>IF(AND(ISNUMBER(BD130),ISNUMBER(BE130),N(BE130)&gt;0),BD130/BE130,"")</f>
        <v/>
      </c>
      <c r="BG130" s="102" t="n"/>
      <c r="BH130" s="97" t="inlineStr">
        <is>
          <t>Amazon.ca organic #14 for 'bamboo sheets queen'; 100% Viscose Derived from Bamboo; Page parent field repeats the selected child; no distinct parent ASIN exposed. Treated as standalone observed listing. Parent ASIN not exposed. No child variati</t>
        </is>
      </c>
    </row>
    <row r="131" ht="62" customHeight="1">
      <c r="A131" s="10">
        <f>_xlfn.IMAGE("https://m.media-amazon.com/images/I/81cBDD-c36L.jpg")</f>
        <v/>
      </c>
      <c r="B131" s="84" t="inlineStr">
        <is>
          <t>YASMENG</t>
        </is>
      </c>
      <c r="C131" s="32" t="inlineStr">
        <is>
          <t>100% Bamboo Rayon Cooling Sheets Queen Set Black Silky Soft Bedding</t>
        </is>
      </c>
      <c r="D131" s="84" t="inlineStr">
        <is>
          <t>Untiered</t>
        </is>
      </c>
      <c r="E131" s="84" t="n"/>
      <c r="F131" s="84" t="inlineStr">
        <is>
          <t>B0FXWJD1B1</t>
        </is>
      </c>
      <c r="G131" s="84" t="inlineStr">
        <is>
          <t>Queen</t>
        </is>
      </c>
      <c r="H131" s="84" t="inlineStr">
        <is>
          <t>Black</t>
        </is>
      </c>
      <c r="I131" s="85" t="n"/>
      <c r="J131" s="32" t="n"/>
      <c r="K131" s="86" t="n">
        <v>44.99</v>
      </c>
      <c r="L131" s="86" t="n"/>
      <c r="M131" s="87">
        <f>IF(AND(ISNUMBER(L131),ISNUMBER(K131),N(K131)&gt;0),L131/K131-1,"")</f>
        <v/>
      </c>
      <c r="N131" s="88">
        <f>IF(M131="","No List Price",IF(M131&lt;=0,"At/below price",IF(M131&lt;=0.12,"&lt;=12% STR zone",IF(M131&lt;=0.25,"12-25%","&gt;25% over"))))</f>
        <v/>
      </c>
      <c r="O131" s="86" t="n">
        <v>100.805</v>
      </c>
      <c r="P131" s="89">
        <f>IF(AND(ISNUMBER(K131),ISNUMBER(O131),N(O131)&gt;0),K131/O131-1,"")</f>
        <v/>
      </c>
      <c r="Q131" s="32" t="inlineStr">
        <is>
          <t>Same size (Queen), CAD. Ours: Command Center fee feed, Mar 2026 - STALE</t>
        </is>
      </c>
      <c r="R131" s="85" t="n">
        <v>153053</v>
      </c>
      <c r="S131" s="85" t="n"/>
      <c r="T131" s="90">
        <f>IF(AND(ISNUMBER(K131),ISNUMBER(S131)),K131*S131*52/12,"")</f>
        <v/>
      </c>
      <c r="U131" s="91" t="n">
        <v>1</v>
      </c>
      <c r="V131" s="85" t="n">
        <v>1</v>
      </c>
      <c r="W131" s="92" t="n">
        <v>46309</v>
      </c>
      <c r="X131" s="92" t="n"/>
      <c r="Y131" s="84" t="n"/>
      <c r="Z131" s="84" t="n"/>
      <c r="AA131" s="85" t="n"/>
      <c r="AB131" s="85" t="n"/>
      <c r="AC131" s="93" t="n"/>
      <c r="AD131" s="93" t="n"/>
      <c r="AE131" s="32" t="n"/>
      <c r="AF131" s="93" t="n"/>
      <c r="AG131" s="93" t="n"/>
      <c r="AH131" s="93" t="n"/>
      <c r="AI131" s="93" t="n"/>
      <c r="AJ131" s="85" t="n"/>
      <c r="AK131" s="85" t="n"/>
      <c r="AL131" s="85" t="n"/>
      <c r="AM131" s="85" t="n"/>
      <c r="AN131" s="85" t="n"/>
      <c r="AO131" s="85" t="n"/>
      <c r="AP131" s="94" t="n"/>
      <c r="AQ131" s="89" t="n"/>
      <c r="AR131" s="95" t="inlineStr">
        <is>
          <t>Y</t>
        </is>
      </c>
      <c r="AS131" s="95" t="inlineStr">
        <is>
          <t>List Price</t>
        </is>
      </c>
      <c r="AT131" s="96" t="n">
        <v>94.98999999999999</v>
      </c>
      <c r="AU131" s="96" t="n">
        <v>44.99</v>
      </c>
      <c r="AV131" s="95" t="inlineStr">
        <is>
          <t>none</t>
        </is>
      </c>
      <c r="AW131" s="95" t="inlineStr">
        <is>
          <t>Y</t>
        </is>
      </c>
      <c r="AX131" s="95" t="inlineStr">
        <is>
          <t>2026-10-14 00:35:39</t>
        </is>
      </c>
      <c r="AY131" s="102" t="n"/>
      <c r="AZ131" s="102" t="n"/>
      <c r="BA131" s="101" t="n"/>
      <c r="BB131" s="101" t="n"/>
      <c r="BC131" s="87">
        <f>IF(AND(ISNUMBER(BA131),ISNUMBER(BB131),N(BA131)&gt;0),1-BB131/BA131,"")</f>
        <v/>
      </c>
      <c r="BD131" s="103" t="n"/>
      <c r="BE131" s="103" t="n"/>
      <c r="BF131" s="100">
        <f>IF(AND(ISNUMBER(BD131),ISNUMBER(BE131),N(BE131)&gt;0),BD131/BE131,"")</f>
        <v/>
      </c>
      <c r="BG131" s="102" t="n"/>
      <c r="BH131" s="97" t="inlineStr">
        <is>
          <t>Amazon.ca organic #17 for 'bamboo sheets queen'; 100% Rayon Derived from Bamboo; Page parent field repeats the selected child; no distinct parent ASIN exposed. Treated as standalone observed listing. Parent ASIN not exposed. No child variati</t>
        </is>
      </c>
    </row>
    <row r="132" ht="62" customHeight="1">
      <c r="A132" s="10">
        <f>_xlfn.IMAGE("https://m.media-amazon.com/images/I/717dwVGXtTL.jpg")</f>
        <v/>
      </c>
      <c r="B132" s="84" t="inlineStr">
        <is>
          <t>Sweave</t>
        </is>
      </c>
      <c r="C132" s="32" t="inlineStr">
        <is>
          <t>100% Organically Rayon Derived from Bamboo Sheets Queen, 4Pcs Set, Ivory</t>
        </is>
      </c>
      <c r="D132" s="84" t="inlineStr">
        <is>
          <t>Untiered</t>
        </is>
      </c>
      <c r="E132" s="84" t="inlineStr">
        <is>
          <t>B091Z7KM7B</t>
        </is>
      </c>
      <c r="F132" s="84" t="inlineStr">
        <is>
          <t>B0CNRQXKYR</t>
        </is>
      </c>
      <c r="G132" s="84" t="inlineStr">
        <is>
          <t>Queen</t>
        </is>
      </c>
      <c r="H132" s="84" t="inlineStr">
        <is>
          <t>Ivory (100% Organic Viscose Made from Bamboo)</t>
        </is>
      </c>
      <c r="I132" s="85" t="n">
        <v>15</v>
      </c>
      <c r="J132" s="32" t="n"/>
      <c r="K132" s="86" t="n">
        <v>71.98999999999999</v>
      </c>
      <c r="L132" s="86" t="n"/>
      <c r="M132" s="87">
        <f>IF(AND(ISNUMBER(L132),ISNUMBER(K132),N(K132)&gt;0),L132/K132-1,"")</f>
        <v/>
      </c>
      <c r="N132" s="88">
        <f>IF(M132="","No List Price",IF(M132&lt;=0,"At/below price",IF(M132&lt;=0.12,"&lt;=12% STR zone",IF(M132&lt;=0.25,"12-25%","&gt;25% over"))))</f>
        <v/>
      </c>
      <c r="O132" s="86" t="n">
        <v>100.805</v>
      </c>
      <c r="P132" s="89">
        <f>IF(AND(ISNUMBER(K132),ISNUMBER(O132),N(O132)&gt;0),K132/O132-1,"")</f>
        <v/>
      </c>
      <c r="Q132" s="32" t="inlineStr">
        <is>
          <t>Same size (Queen), CAD. Ours: Command Center fee feed, Mar 2026 - STALE</t>
        </is>
      </c>
      <c r="R132" s="85" t="n">
        <v>46605</v>
      </c>
      <c r="S132" s="85" t="n"/>
      <c r="T132" s="90">
        <f>IF(AND(ISNUMBER(K132),ISNUMBER(S132)),K132*S132*52/12,"")</f>
        <v/>
      </c>
      <c r="U132" s="91" t="n">
        <v>4</v>
      </c>
      <c r="V132" s="85" t="n">
        <v>25</v>
      </c>
      <c r="W132" s="92" t="n">
        <v>46309</v>
      </c>
      <c r="X132" s="92" t="n"/>
      <c r="Y132" s="84" t="n"/>
      <c r="Z132" s="84" t="n"/>
      <c r="AA132" s="85" t="n"/>
      <c r="AB132" s="85" t="n"/>
      <c r="AC132" s="93" t="n"/>
      <c r="AD132" s="93" t="n"/>
      <c r="AE132" s="32" t="n"/>
      <c r="AF132" s="93" t="n"/>
      <c r="AG132" s="93" t="n"/>
      <c r="AH132" s="93" t="n"/>
      <c r="AI132" s="93" t="n"/>
      <c r="AJ132" s="85" t="n"/>
      <c r="AK132" s="85" t="n"/>
      <c r="AL132" s="85" t="n"/>
      <c r="AM132" s="85" t="n"/>
      <c r="AN132" s="85" t="n"/>
      <c r="AO132" s="85" t="n"/>
      <c r="AP132" s="94" t="n"/>
      <c r="AQ132" s="89" t="n"/>
      <c r="AR132" s="95" t="inlineStr">
        <is>
          <t>N</t>
        </is>
      </c>
      <c r="AS132" s="95" t="inlineStr">
        <is>
          <t>none</t>
        </is>
      </c>
      <c r="AT132" s="101" t="n"/>
      <c r="AU132" s="96" t="n">
        <v>71.98999999999999</v>
      </c>
      <c r="AV132" s="95" t="inlineStr">
        <is>
          <t>none</t>
        </is>
      </c>
      <c r="AW132" s="95" t="inlineStr">
        <is>
          <t>Y</t>
        </is>
      </c>
      <c r="AX132" s="95" t="inlineStr">
        <is>
          <t>2026-10-14 00:35:36</t>
        </is>
      </c>
      <c r="AY132" s="102" t="n"/>
      <c r="AZ132" s="102" t="n"/>
      <c r="BA132" s="101" t="n"/>
      <c r="BB132" s="101" t="n"/>
      <c r="BC132" s="87">
        <f>IF(AND(ISNUMBER(BA132),ISNUMBER(BB132),N(BA132)&gt;0),1-BB132/BA132,"")</f>
        <v/>
      </c>
      <c r="BD132" s="103" t="n"/>
      <c r="BE132" s="103" t="n"/>
      <c r="BF132" s="100">
        <f>IF(AND(ISNUMBER(BD132),ISNUMBER(BE132),N(BE132)&gt;0),BD132/BE132,"")</f>
        <v/>
      </c>
      <c r="BG132" s="102" t="n"/>
      <c r="BH132" s="97" t="inlineStr">
        <is>
          <t>Amazon.ca organic #17 for 'bamboo sheets king'; 100% Organic Viscose Derived from Bamboo; Search child B0CNRPZJBK; selected Queen child B0CNRQXKYR. variation_count = distinct children exposed in page variation map, not a guaranteed complete catalogue</t>
        </is>
      </c>
    </row>
    <row r="133" ht="62" customHeight="1">
      <c r="A133" s="10">
        <f>_xlfn.IMAGE("https://m.media-amazon.com/images/I/71XnPNu62FL.jpg")</f>
        <v/>
      </c>
      <c r="B133" s="84" t="inlineStr">
        <is>
          <t>CAROMIO</t>
        </is>
      </c>
      <c r="C133" s="32" t="inlineStr">
        <is>
          <t>CAROMIO Sheets Set Queen Size Rayon Derived from Bamboo, Cooling Bed Sheets</t>
        </is>
      </c>
      <c r="D133" s="84" t="inlineStr">
        <is>
          <t>Untiered</t>
        </is>
      </c>
      <c r="E133" s="84" t="inlineStr">
        <is>
          <t>B095L9VFG4</t>
        </is>
      </c>
      <c r="F133" s="84" t="inlineStr">
        <is>
          <t>B08XK2ZFTL</t>
        </is>
      </c>
      <c r="G133" s="84" t="inlineStr">
        <is>
          <t>Queen</t>
        </is>
      </c>
      <c r="H133" s="84" t="inlineStr">
        <is>
          <t>White</t>
        </is>
      </c>
      <c r="I133" s="85" t="n">
        <v>29</v>
      </c>
      <c r="J133" s="32" t="n"/>
      <c r="K133" s="86" t="n">
        <v>69.98999999999999</v>
      </c>
      <c r="L133" s="86" t="n"/>
      <c r="M133" s="87">
        <f>IF(AND(ISNUMBER(L133),ISNUMBER(K133),N(K133)&gt;0),L133/K133-1,"")</f>
        <v/>
      </c>
      <c r="N133" s="88">
        <f>IF(M133="","No List Price",IF(M133&lt;=0,"At/below price",IF(M133&lt;=0.12,"&lt;=12% STR zone",IF(M133&lt;=0.25,"12-25%","&gt;25% over"))))</f>
        <v/>
      </c>
      <c r="O133" s="86" t="n">
        <v>100.805</v>
      </c>
      <c r="P133" s="89">
        <f>IF(AND(ISNUMBER(K133),ISNUMBER(O133),N(O133)&gt;0),K133/O133-1,"")</f>
        <v/>
      </c>
      <c r="Q133" s="32" t="inlineStr">
        <is>
          <t>Same size (Queen), CAD. Ours: Command Center fee feed, Mar 2026 - STALE</t>
        </is>
      </c>
      <c r="R133" s="85" t="n">
        <v>70805</v>
      </c>
      <c r="S133" s="85" t="n"/>
      <c r="T133" s="90">
        <f>IF(AND(ISNUMBER(K133),ISNUMBER(S133)),K133*S133*52/12,"")</f>
        <v/>
      </c>
      <c r="U133" s="91" t="n">
        <v>4.2</v>
      </c>
      <c r="V133" s="85" t="n">
        <v>1050</v>
      </c>
      <c r="W133" s="92" t="n">
        <v>46309</v>
      </c>
      <c r="X133" s="92" t="n"/>
      <c r="Y133" s="84" t="n"/>
      <c r="Z133" s="84" t="n"/>
      <c r="AA133" s="85" t="n"/>
      <c r="AB133" s="85" t="n"/>
      <c r="AC133" s="93" t="n"/>
      <c r="AD133" s="93" t="n"/>
      <c r="AE133" s="32" t="n"/>
      <c r="AF133" s="93" t="n"/>
      <c r="AG133" s="93" t="n"/>
      <c r="AH133" s="93" t="n"/>
      <c r="AI133" s="93" t="n"/>
      <c r="AJ133" s="85" t="n"/>
      <c r="AK133" s="85" t="n"/>
      <c r="AL133" s="85" t="n"/>
      <c r="AM133" s="85" t="n"/>
      <c r="AN133" s="85" t="n"/>
      <c r="AO133" s="85" t="n"/>
      <c r="AP133" s="94" t="n"/>
      <c r="AQ133" s="89" t="n"/>
      <c r="AR133" s="95" t="inlineStr">
        <is>
          <t>N</t>
        </is>
      </c>
      <c r="AS133" s="95" t="inlineStr">
        <is>
          <t>none</t>
        </is>
      </c>
      <c r="AT133" s="101" t="n"/>
      <c r="AU133" s="96" t="n">
        <v>69.98999999999999</v>
      </c>
      <c r="AV133" s="95" t="inlineStr">
        <is>
          <t>none</t>
        </is>
      </c>
      <c r="AW133" s="95" t="inlineStr">
        <is>
          <t>Y</t>
        </is>
      </c>
      <c r="AX133" s="95" t="inlineStr">
        <is>
          <t>2026-10-14 00:34:37</t>
        </is>
      </c>
      <c r="AY133" s="102" t="n"/>
      <c r="AZ133" s="102" t="n"/>
      <c r="BA133" s="101" t="n"/>
      <c r="BB133" s="101" t="n"/>
      <c r="BC133" s="87">
        <f>IF(AND(ISNUMBER(BA133),ISNUMBER(BB133),N(BA133)&gt;0),1-BB133/BA133,"")</f>
        <v/>
      </c>
      <c r="BD133" s="103" t="n"/>
      <c r="BE133" s="103" t="n"/>
      <c r="BF133" s="100">
        <f>IF(AND(ISNUMBER(BD133),ISNUMBER(BE133),N(BE133)&gt;0),BD133/BE133,"")</f>
        <v/>
      </c>
      <c r="BG133" s="102" t="n"/>
      <c r="BH133" s="97" t="inlineStr">
        <is>
          <t>Amazon.ca organic #18 for 'bamboo sheets king'; 100% Viscose from Bamboo; Search child B08XK9TQDZ; selected Queen child B08XK2ZFTL. variation_count = distinct children exposed in page variation map, not a guaranteed complete catalogue</t>
        </is>
      </c>
    </row>
    <row r="135" ht="20" customHeight="1">
      <c r="A135" s="54" t="inlineStr">
        <is>
          <t>5 · WHAT THIS MEANS FOR BFCM</t>
        </is>
      </c>
    </row>
    <row r="136" ht="30" customHeight="1">
      <c r="A136" s="104" t="inlineStr">
        <is>
          <t>•  Price: 13 of 15 rivals sit below our price today (same size where the title states one). Cheapest strong rivals: MCO $38.99, YASMENG $44.99, Sasttie $49.99, Viviland $68.39. CA prices are CAD; our comparison price is the Command Center's Mar 2026 CAD price (no live Canadian price yet).</t>
        </is>
      </c>
    </row>
    <row r="137" ht="30" customHeight="1">
      <c r="A137" s="104" t="inlineStr">
        <is>
          <t>•  Top organic on Amazon.ca (Oct 13): #1 Bedsure $94.99 (bamboo sheets queen); #1 BAMPURE $83.69 (bamboo sheets king); #2 Sasttie $49.99 (cooling bamboo sheets); #5 Andency $69.99 (bamboo sheets king); #7 ACCURATEX $94.99 (cooling bamboo sheets).</t>
        </is>
      </c>
    </row>
    <row r="138" ht="30" customHeight="1">
      <c r="A138" s="104" t="inlineStr">
        <is>
          <t>•  Strikethrough on the page today (Oct 13 check): 8 of 15 checked rivals show one: Bedsure List Price $109.99 vs $94.99 (+16%), BAMPURE Was price $92.99 vs $83.69 (+11%) with deal, Sasttie List Price $64.99 vs $49.99 (+30%), KRIMANO Was price $89.99 vs $85.49 (+5%), GOKOTTA List Price $154.99 vs $139.99 (+11%), Viviland Was price $71.99 vs $68.39 (+5%).</t>
        </is>
      </c>
    </row>
    <row r="139" ht="18" customHeight="1">
      <c r="A139" s="104" t="inlineStr">
        <is>
          <t>•  Our BFCM 2025: 3.08x daily sales in BFCM week vs the 30 days before; TACoS 11.5% vs 12.7% before; December 2.19x.</t>
        </is>
      </c>
    </row>
  </sheetData>
  <autoFilter ref="B118:BH133"/>
  <mergeCells count="67">
    <mergeCell ref="A15:BH15"/>
    <mergeCell ref="K117:W117"/>
    <mergeCell ref="A108:C108"/>
    <mergeCell ref="L5:Q5"/>
    <mergeCell ref="A138:BH138"/>
    <mergeCell ref="A1:BH1"/>
    <mergeCell ref="A110:BH110"/>
    <mergeCell ref="Q11:T11"/>
    <mergeCell ref="A101:C101"/>
    <mergeCell ref="L8:Q8"/>
    <mergeCell ref="A105:C105"/>
    <mergeCell ref="L4:Q4"/>
    <mergeCell ref="D7:I7"/>
    <mergeCell ref="A13:D13"/>
    <mergeCell ref="I13:L13"/>
    <mergeCell ref="AA117:AQ117"/>
    <mergeCell ref="A16:BH16"/>
    <mergeCell ref="A99:BH99"/>
    <mergeCell ref="D4:I4"/>
    <mergeCell ref="L10:Q10"/>
    <mergeCell ref="E12:H12"/>
    <mergeCell ref="Q13:T13"/>
    <mergeCell ref="A137:BH137"/>
    <mergeCell ref="A117:H117"/>
    <mergeCell ref="D9:I9"/>
    <mergeCell ref="X117:Z117"/>
    <mergeCell ref="U12:X12"/>
    <mergeCell ref="L9:Q9"/>
    <mergeCell ref="Q12:T12"/>
    <mergeCell ref="A100:C100"/>
    <mergeCell ref="A11:D11"/>
    <mergeCell ref="A106:C106"/>
    <mergeCell ref="I11:L11"/>
    <mergeCell ref="A3:BH3"/>
    <mergeCell ref="L6:Q6"/>
    <mergeCell ref="D8:I8"/>
    <mergeCell ref="A4:B9"/>
    <mergeCell ref="A136:BH136"/>
    <mergeCell ref="T6:Y6"/>
    <mergeCell ref="A139:BH139"/>
    <mergeCell ref="AR117:AX117"/>
    <mergeCell ref="A102:C102"/>
    <mergeCell ref="D5:I5"/>
    <mergeCell ref="A116:BH116"/>
    <mergeCell ref="M11:P11"/>
    <mergeCell ref="U11:X11"/>
    <mergeCell ref="A135:BH135"/>
    <mergeCell ref="E13:H13"/>
    <mergeCell ref="A109:BH109"/>
    <mergeCell ref="D10:I10"/>
    <mergeCell ref="L7:Q7"/>
    <mergeCell ref="T5:Y5"/>
    <mergeCell ref="A107:C107"/>
    <mergeCell ref="AY117:BH117"/>
    <mergeCell ref="A103:C103"/>
    <mergeCell ref="A12:D12"/>
    <mergeCell ref="M13:P13"/>
    <mergeCell ref="A112:BH112"/>
    <mergeCell ref="A115:BH115"/>
    <mergeCell ref="I12:L12"/>
    <mergeCell ref="U13:X13"/>
    <mergeCell ref="M12:P12"/>
    <mergeCell ref="A111:BH111"/>
    <mergeCell ref="T4:Y4"/>
    <mergeCell ref="D6:I6"/>
    <mergeCell ref="E11:H11"/>
    <mergeCell ref="A114:BH114"/>
  </mergeCells>
  <conditionalFormatting sqref="N119:N133">
    <cfRule type="expression" priority="1" dxfId="1">
      <formula>N119="&lt;=12% STR zone"</formula>
    </cfRule>
  </conditionalFormatting>
  <conditionalFormatting sqref="W119:W133">
    <cfRule type="expression" priority="2" dxfId="0">
      <formula>AND(ISNUMBER(W119),W119&lt;DATE(2026,10,6))</formula>
    </cfRule>
  </conditionalFormatting>
  <conditionalFormatting sqref="Q119:Q133">
    <cfRule type="expression" priority="3" dxfId="0">
      <formula>ISNUMBER(SEARCH("STALE",Q119))</formula>
    </cfRule>
  </conditionalFormatting>
  <conditionalFormatting sqref="P119:P133">
    <cfRule type="expression" priority="4" dxfId="0">
      <formula>AND(ISNUMBER(P119),P119&lt;0)</formula>
    </cfRule>
  </conditionalFormatting>
  <dataValidations count="3">
    <dataValidation sqref="AR119:AR133 BG119:BG133" showDropDown="0" showInputMessage="0" showErrorMessage="0" allowBlank="1" type="list">
      <formula1>"Y,N"</formula1>
    </dataValidation>
    <dataValidation sqref="AS119:AS133" showDropDown="0" showInputMessage="0" showErrorMessage="0" allowBlank="1" type="list">
      <formula1>"List Price,Typical price,Was price,None"</formula1>
    </dataValidation>
    <dataValidation sqref="AY119:AY13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BH1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Amazon.com (US)  ·  Bamboo  ·  BFCM role: Hero: rank and profit  ·  Scope: Core</t>
        </is>
      </c>
    </row>
    <row r="2">
      <c r="A2" s="53" t="inlineStr">
        <is>
          <t>← Dashboard</t>
        </is>
      </c>
    </row>
    <row r="3" ht="20" customHeight="1">
      <c r="A3" s="54" t="inlineStr">
        <is>
          <t>1 · OUR PRODUCT</t>
        </is>
      </c>
    </row>
    <row r="4" ht="34" customHeight="1">
      <c r="A4" s="10">
        <f>_xlfn.IMAGE("https://m.media-amazon.com/images/I/81fJLSDJpFL._AC_SL1500_.jpg")</f>
        <v/>
      </c>
      <c r="C4" s="11" t="inlineStr">
        <is>
          <t>Title</t>
        </is>
      </c>
      <c r="D4" s="12" t="inlineStr">
        <is>
          <t>DECOLURE 100% Viscose from Bamboo Sheets King Size | 6 Pc Cooling Bed Set</t>
        </is>
      </c>
      <c r="K4" s="11" t="inlineStr">
        <is>
          <t>Sizes</t>
        </is>
      </c>
      <c r="L4" s="55" t="inlineStr">
        <is>
          <t>California King, Cal King, Full, King, Queen, Twin</t>
        </is>
      </c>
      <c r="S4" s="11" t="inlineStr">
        <is>
          <t>Break-even ACoS</t>
        </is>
      </c>
      <c r="T4" s="55" t="inlineStr">
        <is>
          <t>41%</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 Sage</t>
        </is>
      </c>
      <c r="S5" s="11" t="inlineStr">
        <is>
          <t>Units last 28 days</t>
        </is>
      </c>
      <c r="T5" s="55" t="inlineStr">
        <is>
          <t>1,905</t>
        </is>
      </c>
    </row>
    <row r="6" ht="22" customHeight="1">
      <c r="C6" s="11" t="inlineStr">
        <is>
          <t>Marketplace</t>
        </is>
      </c>
      <c r="D6" s="55" t="inlineStr">
        <is>
          <t>Amazon.com (US)</t>
        </is>
      </c>
      <c r="K6" s="11" t="inlineStr">
        <is>
          <t>Price now, best child</t>
        </is>
      </c>
      <c r="L6" s="55" t="inlineStr">
        <is>
          <t>$99.99 (Helium 10 Xray, 2026-10-13)</t>
        </is>
      </c>
      <c r="S6" s="11" t="inlineStr">
        <is>
          <t>Command Center product ASIN</t>
        </is>
      </c>
      <c r="T6" s="55" t="inlineStr">
        <is>
          <t>B0CQ31D5FM (one of our child ASINs, not the Amazon parent)</t>
        </is>
      </c>
    </row>
    <row r="7" ht="22" customHeight="1">
      <c r="C7" s="11" t="inlineStr">
        <is>
          <t>Parent ASIN (Amazon)</t>
        </is>
      </c>
      <c r="D7" s="55" t="inlineStr">
        <is>
          <t>B0H6335KNV</t>
        </is>
      </c>
      <c r="K7" s="11" t="inlineStr">
        <is>
          <t>Rating / reviews now</t>
        </is>
      </c>
      <c r="L7" s="55" t="inlineStr">
        <is>
          <t>4.4 / 3,153 (Helium 10 Xray, 2026-10-13)</t>
        </is>
      </c>
    </row>
    <row r="8" ht="22" customHeight="1">
      <c r="C8" s="11" t="inlineStr">
        <is>
          <t>Best-selling child ASIN</t>
        </is>
      </c>
      <c r="D8" s="55" t="inlineStr">
        <is>
          <t>B0CQ2XQF9N</t>
        </is>
      </c>
      <c r="K8" s="11" t="inlineStr">
        <is>
          <t>Live prices held</t>
        </is>
      </c>
      <c r="L8" s="55" t="inlineStr">
        <is>
          <t>79 of 86 variations</t>
        </is>
      </c>
    </row>
    <row r="9" ht="22" customHeight="1">
      <c r="C9" s="11" t="inlineStr">
        <is>
          <t>Stage</t>
        </is>
      </c>
      <c r="D9" s="55" t="inlineStr">
        <is>
          <t>Re-Launch</t>
        </is>
      </c>
      <c r="K9" s="11" t="inlineStr">
        <is>
          <t>Blended price (Command Center)</t>
        </is>
      </c>
      <c r="L9" s="55" t="inlineStr">
        <is>
          <t>$89.53 - fee feed as of 2026-03-30, STALE</t>
        </is>
      </c>
    </row>
    <row r="10">
      <c r="C10" s="11" t="inlineStr">
        <is>
          <t>Total variations (SKUs)</t>
        </is>
      </c>
      <c r="D10" s="55" t="n">
        <v>86</v>
      </c>
      <c r="K10" s="11" t="inlineStr">
        <is>
          <t>Contribution / unit</t>
        </is>
      </c>
      <c r="L10" s="55" t="inlineStr">
        <is>
          <t>$36.93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2.49x</t>
        </is>
      </c>
      <c r="E12" s="57" t="inlineStr">
        <is>
          <t>6.4%</t>
        </is>
      </c>
      <c r="I12" s="57" t="inlineStr">
        <is>
          <t>1.36x</t>
        </is>
      </c>
      <c r="M12" s="57" t="inlineStr">
        <is>
          <t>46</t>
        </is>
      </c>
      <c r="Q12" s="57" t="inlineStr">
        <is>
          <t>29</t>
        </is>
      </c>
      <c r="U12" s="57" t="inlineStr">
        <is>
          <t>3</t>
        </is>
      </c>
    </row>
    <row r="13">
      <c r="A13" s="58" t="inlineStr">
        <is>
          <t>daily sales, BFCM wk vs 30 days before (SellerBoard actual)</t>
        </is>
      </c>
      <c r="E13" s="58" t="inlineStr">
        <is>
          <t>vs 7.4%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Viscose from Bamboo Sheets King Size | 6 Pc Cooling Bed Set</t>
        </is>
      </c>
      <c r="E18" s="32" t="inlineStr">
        <is>
          <t>King</t>
        </is>
      </c>
      <c r="F18" s="32" t="inlineStr">
        <is>
          <t>White</t>
        </is>
      </c>
      <c r="G18" s="60" t="n">
        <v>99.98999999999999</v>
      </c>
      <c r="H18" s="32" t="inlineStr">
        <is>
          <t>Helium 10 Xray, 2026-10-13</t>
        </is>
      </c>
      <c r="I18" s="61" t="n">
        <v>89.98999999999999</v>
      </c>
      <c r="J18" s="62" t="inlineStr">
        <is>
          <t>2026-03-30</t>
        </is>
      </c>
      <c r="K18" s="33" t="n">
        <v>35.12</v>
      </c>
      <c r="L18" s="63" t="n">
        <v>0.3902655850650072</v>
      </c>
      <c r="M18" s="64" t="n">
        <v>215</v>
      </c>
      <c r="N18" s="32" t="inlineStr">
        <is>
          <t>Active</t>
        </is>
      </c>
      <c r="O18" s="32" t="inlineStr">
        <is>
          <t>Yes (37%)</t>
        </is>
      </c>
      <c r="P18" s="65" t="n">
        <v>4.4</v>
      </c>
      <c r="Q18" s="64" t="n">
        <v>3153</v>
      </c>
      <c r="R18" s="64" t="n">
        <v>18045</v>
      </c>
      <c r="S18" s="64" t="n">
        <v>137</v>
      </c>
      <c r="T18" s="32" t="n"/>
    </row>
    <row r="19" ht="62" customHeight="1">
      <c r="A19" s="10">
        <f>_xlfn.IMAGE("https://m.media-amazon.com/images/I/81JHZOIZl1L._AC_SY355_.jpg")</f>
        <v/>
      </c>
      <c r="B19" s="32" t="inlineStr">
        <is>
          <t>B0CQ3178D7</t>
        </is>
      </c>
      <c r="C19" s="32" t="inlineStr">
        <is>
          <t>BAMBOO-KING-TAUPE-6PCS</t>
        </is>
      </c>
      <c r="D19" s="32" t="inlineStr">
        <is>
          <t>DECOLURE 100% Viscose from Bamboo Sheets King Size | 6 Pc Cooling Bed Set</t>
        </is>
      </c>
      <c r="E19" s="32" t="inlineStr">
        <is>
          <t>King</t>
        </is>
      </c>
      <c r="F19" s="32" t="inlineStr">
        <is>
          <t>Taupe</t>
        </is>
      </c>
      <c r="G19" s="60" t="n">
        <v>99.98999999999999</v>
      </c>
      <c r="H19" s="32" t="inlineStr">
        <is>
          <t>Helium 10 Xray, 2026-10-13</t>
        </is>
      </c>
      <c r="I19" s="61" t="n">
        <v>89.98999999999999</v>
      </c>
      <c r="J19" s="62" t="inlineStr">
        <is>
          <t>2026-03-30</t>
        </is>
      </c>
      <c r="K19" s="33" t="n">
        <v>33.54</v>
      </c>
      <c r="L19" s="63" t="n">
        <v>0.3727080786754084</v>
      </c>
      <c r="M19" s="64" t="n">
        <v>191</v>
      </c>
      <c r="N19" s="32" t="n"/>
      <c r="O19" s="32" t="inlineStr">
        <is>
          <t>Yes (8%)</t>
        </is>
      </c>
      <c r="P19" s="65" t="n">
        <v>4.4</v>
      </c>
      <c r="Q19" s="64" t="n">
        <v>3153</v>
      </c>
      <c r="R19" s="64" t="n">
        <v>18049</v>
      </c>
      <c r="S19" s="64" t="n">
        <v>115</v>
      </c>
      <c r="T19" s="32" t="n"/>
    </row>
    <row r="20" ht="62" customHeight="1">
      <c r="A20" s="10">
        <f>_xlfn.IMAGE("https://m.media-amazon.com/images/I/81fJLSDJpFL.jpg")</f>
        <v/>
      </c>
      <c r="B20" s="32" t="inlineStr">
        <is>
          <t>B0CQ2ZWGNQ</t>
        </is>
      </c>
      <c r="C20" s="32" t="inlineStr">
        <is>
          <t>BAMBOO-QUEEN-WHITE-6PCS</t>
        </is>
      </c>
      <c r="D20" s="32" t="inlineStr">
        <is>
          <t>DECOLURE 100% Viscose from Bamboo Sheets Queen Size | 6 Pc Cooling Bed Set</t>
        </is>
      </c>
      <c r="E20" s="32" t="inlineStr">
        <is>
          <t>Queen</t>
        </is>
      </c>
      <c r="F20" s="32" t="inlineStr">
        <is>
          <t>White</t>
        </is>
      </c>
      <c r="G20" s="60" t="n">
        <v>94.98999999999999</v>
      </c>
      <c r="H20" s="32" t="inlineStr">
        <is>
          <t>Helium 10 Xray, 2026-10-13</t>
        </is>
      </c>
      <c r="I20" s="61" t="n">
        <v>84.98999999999999</v>
      </c>
      <c r="J20" s="62" t="inlineStr">
        <is>
          <t>2026-03-30</t>
        </is>
      </c>
      <c r="K20" s="33" t="n">
        <v>36.37</v>
      </c>
      <c r="L20" s="63" t="n">
        <v>0.4279326979644664</v>
      </c>
      <c r="M20" s="64" t="n">
        <v>143</v>
      </c>
      <c r="N20" s="32" t="inlineStr">
        <is>
          <t>Active</t>
        </is>
      </c>
      <c r="O20" s="32" t="inlineStr">
        <is>
          <t>Yes (8%)</t>
        </is>
      </c>
      <c r="P20" s="65" t="n">
        <v>4.4</v>
      </c>
      <c r="Q20" s="64" t="n">
        <v>3153</v>
      </c>
      <c r="R20" s="64" t="n">
        <v>18045</v>
      </c>
      <c r="S20" s="64" t="n">
        <v>94</v>
      </c>
      <c r="T20" s="32" t="n"/>
    </row>
    <row r="21" ht="62" customHeight="1">
      <c r="A21" s="10">
        <f>_xlfn.IMAGE("https://m.media-amazon.com/images/I/81JHZOIZl1L.jpg")</f>
        <v/>
      </c>
      <c r="B21" s="32" t="inlineStr">
        <is>
          <t>B0CQ33198K</t>
        </is>
      </c>
      <c r="C21" s="32" t="inlineStr">
        <is>
          <t>BAMBOO-QUEEN-TAUPE-6PCS</t>
        </is>
      </c>
      <c r="D21" s="32" t="inlineStr">
        <is>
          <t>DECOLURE 100% Viscose from Bamboo Sheets Queen Size | 6 Pc Cooling Bed Set</t>
        </is>
      </c>
      <c r="E21" s="32" t="inlineStr">
        <is>
          <t>Queen</t>
        </is>
      </c>
      <c r="F21" s="32" t="inlineStr">
        <is>
          <t>Taupe</t>
        </is>
      </c>
      <c r="G21" s="60" t="n">
        <v>94.98999999999999</v>
      </c>
      <c r="H21" s="32" t="inlineStr">
        <is>
          <t>Helium 10 Xray, 2026-10-13</t>
        </is>
      </c>
      <c r="I21" s="61" t="n">
        <v>107.99</v>
      </c>
      <c r="J21" s="62" t="inlineStr">
        <is>
          <t>2026-03-30</t>
        </is>
      </c>
      <c r="K21" s="33" t="n">
        <v>55.08</v>
      </c>
      <c r="L21" s="63" t="n">
        <v>0.5100472265950551</v>
      </c>
      <c r="M21" s="64" t="n">
        <v>82</v>
      </c>
      <c r="N21" s="32" t="inlineStr">
        <is>
          <t>Active</t>
        </is>
      </c>
      <c r="O21" s="32" t="n"/>
      <c r="P21" s="65" t="n">
        <v>4.4</v>
      </c>
      <c r="Q21" s="64" t="n">
        <v>3153</v>
      </c>
      <c r="R21" s="64" t="n">
        <v>18049</v>
      </c>
      <c r="S21" s="64" t="n">
        <v>70</v>
      </c>
      <c r="T21" s="32" t="n"/>
    </row>
    <row r="22" ht="62" customHeight="1">
      <c r="A22" s="10">
        <f>_xlfn.IMAGE("https://m.media-amazon.com/images/I/81I312usunL.jpg")</f>
        <v/>
      </c>
      <c r="B22" s="32" t="inlineStr">
        <is>
          <t>B0CQ33H4QW</t>
        </is>
      </c>
      <c r="C22" s="32" t="inlineStr">
        <is>
          <t>BAMBOO-KING-LIGHTGREY-6PCS</t>
        </is>
      </c>
      <c r="D22" s="32" t="inlineStr">
        <is>
          <t>DECOLURE 100% Viscose from Bamboo Sheets King Size | 6 Pc Cooling Bed Set</t>
        </is>
      </c>
      <c r="E22" s="32" t="inlineStr">
        <is>
          <t>King</t>
        </is>
      </c>
      <c r="F22" s="32" t="inlineStr">
        <is>
          <t>Light Grey</t>
        </is>
      </c>
      <c r="G22" s="60" t="n">
        <v>99.98999999999999</v>
      </c>
      <c r="H22" s="32" t="inlineStr">
        <is>
          <t>Helium 10 Xray, 2026-10-13</t>
        </is>
      </c>
      <c r="I22" s="61" t="n">
        <v>89.98999999999999</v>
      </c>
      <c r="J22" s="62" t="inlineStr">
        <is>
          <t>2026-03-30</t>
        </is>
      </c>
      <c r="K22" s="33" t="n">
        <v>33.62</v>
      </c>
      <c r="L22" s="63" t="n">
        <v>0.3735970663407045</v>
      </c>
      <c r="M22" s="64" t="n">
        <v>76</v>
      </c>
      <c r="N22" s="32" t="inlineStr">
        <is>
          <t>Active</t>
        </is>
      </c>
      <c r="O22" s="32" t="n"/>
      <c r="P22" s="65" t="n">
        <v>4.4</v>
      </c>
      <c r="Q22" s="64" t="n">
        <v>3153</v>
      </c>
      <c r="R22" s="64" t="n">
        <v>18045</v>
      </c>
      <c r="S22" s="64" t="n">
        <v>51</v>
      </c>
      <c r="T22" s="32" t="n"/>
    </row>
    <row r="23" ht="62" customHeight="1">
      <c r="A23" s="10">
        <f>_xlfn.IMAGE("https://m.media-amazon.com/images/I/81PXZ9VB3EL.jpg")</f>
        <v/>
      </c>
      <c r="B23" s="32" t="inlineStr">
        <is>
          <t>B0CQ32Z6VP</t>
        </is>
      </c>
      <c r="C23" s="32" t="inlineStr">
        <is>
          <t>BAMBOO-QUEEN-CREME-6PCS</t>
        </is>
      </c>
      <c r="D23" s="32" t="inlineStr">
        <is>
          <t>DECOLURE 100% Viscose from Bamboo Sheets Queen Size | 6 Pc Cooling Bed Set</t>
        </is>
      </c>
      <c r="E23" s="32" t="inlineStr">
        <is>
          <t>Queen</t>
        </is>
      </c>
      <c r="F23" s="32" t="inlineStr">
        <is>
          <t>Creme</t>
        </is>
      </c>
      <c r="G23" s="60" t="n">
        <v>94.98999999999999</v>
      </c>
      <c r="H23" s="32" t="inlineStr">
        <is>
          <t>Helium 10 Xray, 2026-10-13</t>
        </is>
      </c>
      <c r="I23" s="61" t="n">
        <v>109.99</v>
      </c>
      <c r="J23" s="62" t="inlineStr">
        <is>
          <t>2026-03-30</t>
        </is>
      </c>
      <c r="K23" s="33" t="n">
        <v>56.92999999999999</v>
      </c>
      <c r="L23" s="63" t="n">
        <v>0.5175925084098554</v>
      </c>
      <c r="M23" s="64" t="n">
        <v>76</v>
      </c>
      <c r="N23" s="32" t="inlineStr">
        <is>
          <t>Active</t>
        </is>
      </c>
      <c r="O23" s="32" t="inlineStr">
        <is>
          <t>Yes (28%)</t>
        </is>
      </c>
      <c r="P23" s="65" t="n">
        <v>4.4</v>
      </c>
      <c r="Q23" s="64" t="n">
        <v>3153</v>
      </c>
      <c r="R23" s="64" t="n">
        <v>18045</v>
      </c>
      <c r="S23" s="64" t="n">
        <v>67</v>
      </c>
      <c r="T23" s="32" t="n"/>
    </row>
    <row r="24" ht="62" customHeight="1">
      <c r="A24" s="10">
        <f>_xlfn.IMAGE("https://m.media-amazon.com/images/I/81qE6QSwrML.jpg")</f>
        <v/>
      </c>
      <c r="B24" s="32" t="inlineStr">
        <is>
          <t>B0CQ316YRY</t>
        </is>
      </c>
      <c r="C24" s="32" t="inlineStr">
        <is>
          <t>BAMBOO-KING-NAVYBLUE-6PCS</t>
        </is>
      </c>
      <c r="D24" s="32" t="inlineStr">
        <is>
          <t>DECOLURE 100% Viscose from Bamboo Sheets King Size | 6 Pc Cooling Bed Set</t>
        </is>
      </c>
      <c r="E24" s="32" t="inlineStr">
        <is>
          <t>King</t>
        </is>
      </c>
      <c r="F24" s="32" t="inlineStr">
        <is>
          <t>Navy Blue</t>
        </is>
      </c>
      <c r="G24" s="60" t="n">
        <v>99.98999999999999</v>
      </c>
      <c r="H24" s="32" t="inlineStr">
        <is>
          <t>Helium 10 Xray, 2026-10-13</t>
        </is>
      </c>
      <c r="I24" s="61" t="n">
        <v>84.98999999999999</v>
      </c>
      <c r="J24" s="62" t="inlineStr">
        <is>
          <t>2026-03-06</t>
        </is>
      </c>
      <c r="K24" s="33" t="n">
        <v>29.75</v>
      </c>
      <c r="L24" s="63" t="n">
        <v>0.3500411813154489</v>
      </c>
      <c r="M24" s="64" t="n">
        <v>65</v>
      </c>
      <c r="N24" s="32" t="inlineStr">
        <is>
          <t>Active</t>
        </is>
      </c>
      <c r="O24" s="32" t="n"/>
      <c r="P24" s="65" t="n">
        <v>4.4</v>
      </c>
      <c r="Q24" s="64" t="n">
        <v>3153</v>
      </c>
      <c r="R24" s="64" t="n">
        <v>18049</v>
      </c>
      <c r="S24" s="64" t="n">
        <v>54</v>
      </c>
      <c r="T24" s="32" t="n"/>
    </row>
    <row r="25" ht="62" customHeight="1">
      <c r="A25" s="10">
        <f>_xlfn.IMAGE("https://m.media-amazon.com/images/I/813aFqxnKrL.jpg")</f>
        <v/>
      </c>
      <c r="B25" s="32" t="inlineStr">
        <is>
          <t>B0CQ32B24Y</t>
        </is>
      </c>
      <c r="C25" s="32" t="inlineStr">
        <is>
          <t>BAMBOO-QUEEN-OLIVE-6PCS</t>
        </is>
      </c>
      <c r="D25" s="32" t="inlineStr">
        <is>
          <t>DECOLURE 100% Viscose from Bamboo Sheets Queen Size | 6 Pc Cooling Bed Set</t>
        </is>
      </c>
      <c r="E25" s="32" t="inlineStr">
        <is>
          <t>Queen</t>
        </is>
      </c>
      <c r="F25" s="32" t="inlineStr">
        <is>
          <t>Olive</t>
        </is>
      </c>
      <c r="G25" s="60" t="n">
        <v>94.98999999999999</v>
      </c>
      <c r="H25" s="32" t="inlineStr">
        <is>
          <t>Helium 10 Xray, 2026-10-13</t>
        </is>
      </c>
      <c r="I25" s="61" t="n">
        <v>84.98999999999999</v>
      </c>
      <c r="J25" s="62" t="inlineStr">
        <is>
          <t>2026-03-30</t>
        </is>
      </c>
      <c r="K25" s="33" t="n">
        <v>35.26</v>
      </c>
      <c r="L25" s="63" t="n">
        <v>0.4148723379221085</v>
      </c>
      <c r="M25" s="64" t="n">
        <v>65</v>
      </c>
      <c r="N25" s="32" t="inlineStr">
        <is>
          <t>Active</t>
        </is>
      </c>
      <c r="O25" s="32" t="n"/>
      <c r="P25" s="65" t="n">
        <v>4.4</v>
      </c>
      <c r="Q25" s="64" t="n">
        <v>3153</v>
      </c>
      <c r="R25" s="64" t="n">
        <v>18049</v>
      </c>
      <c r="S25" s="64" t="n">
        <v>50</v>
      </c>
      <c r="T25" s="32" t="n"/>
    </row>
    <row r="26" ht="62" customHeight="1">
      <c r="A26" s="10">
        <f>_xlfn.IMAGE("https://m.media-amazon.com/images/I/81MRRHk3q4L.jpg")</f>
        <v/>
      </c>
      <c r="B26" s="32" t="inlineStr">
        <is>
          <t>B0CQ31X65Y</t>
        </is>
      </c>
      <c r="C26" s="32" t="inlineStr">
        <is>
          <t>BAMBOO-KING-LIGHTBLUE-6PCS</t>
        </is>
      </c>
      <c r="D26" s="32" t="inlineStr">
        <is>
          <t>DECOLURE 100% Viscose from Bamboo Sheets King Size | 6 Pc Cooling Bed Set</t>
        </is>
      </c>
      <c r="E26" s="32" t="inlineStr">
        <is>
          <t>King</t>
        </is>
      </c>
      <c r="F26" s="32" t="inlineStr">
        <is>
          <t>Light Blue</t>
        </is>
      </c>
      <c r="G26" s="60" t="n">
        <v>99.98999999999999</v>
      </c>
      <c r="H26" s="32" t="inlineStr">
        <is>
          <t>Helium 10 Xray, 2026-10-13</t>
        </is>
      </c>
      <c r="I26" s="61" t="n">
        <v>89.98999999999999</v>
      </c>
      <c r="J26" s="62" t="inlineStr">
        <is>
          <t>2026-03-30</t>
        </is>
      </c>
      <c r="K26" s="33" t="n">
        <v>34.98</v>
      </c>
      <c r="L26" s="63" t="n">
        <v>0.388709856650739</v>
      </c>
      <c r="M26" s="64" t="n">
        <v>62</v>
      </c>
      <c r="N26" s="32" t="inlineStr">
        <is>
          <t>Active</t>
        </is>
      </c>
      <c r="O26" s="32" t="n"/>
      <c r="P26" s="65" t="n">
        <v>4.4</v>
      </c>
      <c r="Q26" s="64" t="n">
        <v>3153</v>
      </c>
      <c r="R26" s="64" t="n">
        <v>18049</v>
      </c>
      <c r="S26" s="64" t="n">
        <v>67</v>
      </c>
      <c r="T26" s="32" t="n"/>
    </row>
    <row r="27" ht="62" customHeight="1">
      <c r="A27" s="10">
        <f>_xlfn.IMAGE("https://m.media-amazon.com/images/I/81qE6QSwrML.jpg")</f>
        <v/>
      </c>
      <c r="B27" s="32" t="inlineStr">
        <is>
          <t>B0CQ32N392</t>
        </is>
      </c>
      <c r="C27" s="32" t="inlineStr">
        <is>
          <t>BAMBOO-QUEEN-NAVYBLUE-6PCS</t>
        </is>
      </c>
      <c r="D27" s="32" t="inlineStr">
        <is>
          <t>DECOLURE 100% Viscose from Bamboo Sheets Queen Size | 6 Pc Cooling Bed Set</t>
        </is>
      </c>
      <c r="E27" s="32" t="inlineStr">
        <is>
          <t>Queen</t>
        </is>
      </c>
      <c r="F27" s="32" t="inlineStr">
        <is>
          <t>Navy Blue</t>
        </is>
      </c>
      <c r="G27" s="60" t="n">
        <v>94.98999999999999</v>
      </c>
      <c r="H27" s="32" t="inlineStr">
        <is>
          <t>Helium 10 Xray, 2026-10-13</t>
        </is>
      </c>
      <c r="I27" s="61" t="n">
        <v>84.98999999999999</v>
      </c>
      <c r="J27" s="62" t="inlineStr">
        <is>
          <t>2026-03-30</t>
        </is>
      </c>
      <c r="K27" s="33" t="n">
        <v>36.01999999999999</v>
      </c>
      <c r="L27" s="63" t="n">
        <v>0.4238145664195787</v>
      </c>
      <c r="M27" s="64" t="n">
        <v>59</v>
      </c>
      <c r="N27" s="32" t="inlineStr">
        <is>
          <t>Active</t>
        </is>
      </c>
      <c r="O27" s="32" t="n"/>
      <c r="P27" s="65" t="n">
        <v>4.4</v>
      </c>
      <c r="Q27" s="64" t="n">
        <v>3153</v>
      </c>
      <c r="R27" s="64" t="n">
        <v>18049</v>
      </c>
      <c r="S27" s="64" t="n">
        <v>54</v>
      </c>
      <c r="T27" s="32" t="n"/>
    </row>
    <row r="28" ht="62" customHeight="1">
      <c r="A28" s="10">
        <f>_xlfn.IMAGE("https://m.media-amazon.com/images/I/81kehc99ZjL.jpg")</f>
        <v/>
      </c>
      <c r="B28" s="32" t="inlineStr">
        <is>
          <t>B0CQ328N9Z</t>
        </is>
      </c>
      <c r="C28" s="32" t="inlineStr">
        <is>
          <t>BAMBOO-KING-PURPLE-6PCS</t>
        </is>
      </c>
      <c r="D28" s="32" t="inlineStr">
        <is>
          <t>DECOLURE 100% Viscose from Bamboo Sheets King Size | 6 Pc Cooling Bed Set</t>
        </is>
      </c>
      <c r="E28" s="32" t="inlineStr">
        <is>
          <t>King</t>
        </is>
      </c>
      <c r="F28" s="32" t="inlineStr">
        <is>
          <t>Purple</t>
        </is>
      </c>
      <c r="G28" s="60" t="n">
        <v>99.98999999999999</v>
      </c>
      <c r="H28" s="32" t="inlineStr">
        <is>
          <t>Helium 10 Xray, 2026-10-13</t>
        </is>
      </c>
      <c r="I28" s="61" t="n">
        <v>110.99</v>
      </c>
      <c r="J28" s="62" t="inlineStr">
        <is>
          <t>2026-03-30</t>
        </is>
      </c>
      <c r="K28" s="33" t="n">
        <v>52.7</v>
      </c>
      <c r="L28" s="63" t="n">
        <v>0.4748175511307325</v>
      </c>
      <c r="M28" s="64" t="n">
        <v>54</v>
      </c>
      <c r="N28" s="32" t="inlineStr">
        <is>
          <t>Active</t>
        </is>
      </c>
      <c r="O28" s="32" t="n"/>
      <c r="P28" s="65" t="n">
        <v>4.4</v>
      </c>
      <c r="Q28" s="64" t="n">
        <v>3153</v>
      </c>
      <c r="R28" s="64" t="n">
        <v>18049</v>
      </c>
      <c r="S28" s="64" t="n">
        <v>26</v>
      </c>
      <c r="T28" s="32" t="n"/>
    </row>
    <row r="29" ht="62" customHeight="1">
      <c r="A29" s="10">
        <f>_xlfn.IMAGE("https://m.media-amazon.com/images/I/817PHsMlA6L._AC_SY355_.jpg")</f>
        <v/>
      </c>
      <c r="B29" s="32" t="inlineStr">
        <is>
          <t>B0CQ331L15</t>
        </is>
      </c>
      <c r="C29" s="32" t="inlineStr">
        <is>
          <t>BAMBOO-KING-BLACK-6PCS</t>
        </is>
      </c>
      <c r="D29" s="32" t="inlineStr">
        <is>
          <t>DECOLURE 100% Viscose from Bamboo Sheets King Size | 6 Pc Cooling Bed Set</t>
        </is>
      </c>
      <c r="E29" s="32" t="inlineStr">
        <is>
          <t>King</t>
        </is>
      </c>
      <c r="F29" s="32" t="inlineStr">
        <is>
          <t>Black</t>
        </is>
      </c>
      <c r="G29" s="60" t="n">
        <v>99.98999999999999</v>
      </c>
      <c r="H29" s="32" t="inlineStr">
        <is>
          <t>Helium 10 Xray, 2026-10-13</t>
        </is>
      </c>
      <c r="I29" s="61" t="n">
        <v>89.98999999999999</v>
      </c>
      <c r="J29" s="62" t="inlineStr">
        <is>
          <t>2026-03-30</t>
        </is>
      </c>
      <c r="K29" s="33" t="n">
        <v>34.29</v>
      </c>
      <c r="L29" s="63" t="n">
        <v>0.3810423380375598</v>
      </c>
      <c r="M29" s="64" t="n">
        <v>47</v>
      </c>
      <c r="N29" s="32" t="n"/>
      <c r="O29" s="32" t="n"/>
      <c r="P29" s="65" t="n">
        <v>4.4</v>
      </c>
      <c r="Q29" s="64" t="n">
        <v>3153</v>
      </c>
      <c r="R29" s="64" t="n">
        <v>18045</v>
      </c>
      <c r="S29" s="64" t="n">
        <v>41</v>
      </c>
      <c r="T29" s="32" t="n"/>
    </row>
    <row r="30" ht="62" customHeight="1">
      <c r="A30" s="10">
        <f>_xlfn.IMAGE("https://m.media-amazon.com/images/I/81KfdRGP46L.jpg")</f>
        <v/>
      </c>
      <c r="B30" s="32" t="inlineStr">
        <is>
          <t>B0CQ32NPF5</t>
        </is>
      </c>
      <c r="C30" s="32" t="inlineStr">
        <is>
          <t>BAMBOO-KING-BURGUNDY-6PCS</t>
        </is>
      </c>
      <c r="D30" s="32" t="inlineStr">
        <is>
          <t>DECOLURE 100% Viscose from Bamboo Sheets King Size | 6 Pc Cooling Bed Set</t>
        </is>
      </c>
      <c r="E30" s="32" t="inlineStr">
        <is>
          <t>King</t>
        </is>
      </c>
      <c r="F30" s="32" t="inlineStr">
        <is>
          <t>Burgundy</t>
        </is>
      </c>
      <c r="G30" s="60" t="n">
        <v>99.98999999999999</v>
      </c>
      <c r="H30" s="32" t="inlineStr">
        <is>
          <t>Helium 10 Xray, 2026-10-13</t>
        </is>
      </c>
      <c r="I30" s="33" t="n"/>
      <c r="J30" s="32" t="n"/>
      <c r="K30" s="33" t="n"/>
      <c r="L30" s="63" t="n"/>
      <c r="M30" s="64" t="n">
        <v>47</v>
      </c>
      <c r="N30" s="32" t="inlineStr">
        <is>
          <t>Active</t>
        </is>
      </c>
      <c r="O30" s="32" t="n"/>
      <c r="P30" s="65" t="n">
        <v>4.4</v>
      </c>
      <c r="Q30" s="64" t="n">
        <v>3153</v>
      </c>
      <c r="R30" s="64" t="n">
        <v>18049</v>
      </c>
      <c r="S30" s="64" t="n">
        <v>22</v>
      </c>
      <c r="T30" s="32" t="n"/>
    </row>
    <row r="31" ht="62" customHeight="1">
      <c r="A31" s="10">
        <f>_xlfn.IMAGE("https://m.media-amazon.com/images/I/81C7Qfwu1WL.jpg")</f>
        <v/>
      </c>
      <c r="B31" s="32" t="inlineStr">
        <is>
          <t>B0CQ32S4ML</t>
        </is>
      </c>
      <c r="C31" s="32" t="inlineStr">
        <is>
          <t>BAMBOO-KING-GREY-6PCS</t>
        </is>
      </c>
      <c r="D31" s="32" t="inlineStr">
        <is>
          <t>DECOLURE 100% Viscose from Bamboo Sheets King Size | 6 Pc Cooling Bed Set</t>
        </is>
      </c>
      <c r="E31" s="32" t="inlineStr">
        <is>
          <t>King</t>
        </is>
      </c>
      <c r="F31" s="32" t="inlineStr">
        <is>
          <t>Grey</t>
        </is>
      </c>
      <c r="G31" s="60" t="n">
        <v>111.99</v>
      </c>
      <c r="H31" s="32" t="inlineStr">
        <is>
          <t>Helium 10 Xray, 2026-10-13</t>
        </is>
      </c>
      <c r="I31" s="61" t="n">
        <v>89.98999999999999</v>
      </c>
      <c r="J31" s="62" t="inlineStr">
        <is>
          <t>2026-03-30</t>
        </is>
      </c>
      <c r="K31" s="33" t="n">
        <v>33.08</v>
      </c>
      <c r="L31" s="63" t="n">
        <v>0.3675963995999555</v>
      </c>
      <c r="M31" s="64" t="n">
        <v>47</v>
      </c>
      <c r="N31" s="32" t="inlineStr">
        <is>
          <t>Active</t>
        </is>
      </c>
      <c r="O31" s="32" t="n"/>
      <c r="P31" s="65" t="n">
        <v>4.4</v>
      </c>
      <c r="Q31" s="64" t="n">
        <v>3153</v>
      </c>
      <c r="R31" s="64" t="n">
        <v>18045</v>
      </c>
      <c r="S31" s="64" t="n">
        <v>22</v>
      </c>
      <c r="T31" s="32" t="n"/>
    </row>
    <row r="32" ht="62" customHeight="1">
      <c r="A32" s="10">
        <f>_xlfn.IMAGE("https://m.media-amazon.com/images/I/81MRRHk3q4L.jpg")</f>
        <v/>
      </c>
      <c r="B32" s="32" t="inlineStr">
        <is>
          <t>B0CQ32F3HY</t>
        </is>
      </c>
      <c r="C32" s="32" t="inlineStr">
        <is>
          <t>BAMBOO-QUEEN-LIGHTBLUE-6PCS</t>
        </is>
      </c>
      <c r="D32" s="32" t="inlineStr">
        <is>
          <t>DECOLURE 100% Viscose from Bamboo Sheets Queen Size | 6 Pc Cooling Bed Set</t>
        </is>
      </c>
      <c r="E32" s="32" t="inlineStr">
        <is>
          <t>Queen</t>
        </is>
      </c>
      <c r="F32" s="32" t="inlineStr">
        <is>
          <t>Light Blue</t>
        </is>
      </c>
      <c r="G32" s="60" t="n">
        <v>100.99</v>
      </c>
      <c r="H32" s="32" t="inlineStr">
        <is>
          <t>Helium 10 Xray, 2026-10-13</t>
        </is>
      </c>
      <c r="I32" s="61" t="n">
        <v>84.98999999999999</v>
      </c>
      <c r="J32" s="62" t="inlineStr">
        <is>
          <t>2026-03-30</t>
        </is>
      </c>
      <c r="K32" s="33" t="n">
        <v>36.48</v>
      </c>
      <c r="L32" s="63" t="n">
        <v>0.429226967878574</v>
      </c>
      <c r="M32" s="64" t="n">
        <v>47</v>
      </c>
      <c r="N32" s="32" t="inlineStr">
        <is>
          <t>Active</t>
        </is>
      </c>
      <c r="O32" s="32" t="n"/>
      <c r="P32" s="65" t="n">
        <v>4.4</v>
      </c>
      <c r="Q32" s="64" t="n">
        <v>3153</v>
      </c>
      <c r="R32" s="64" t="n">
        <v>18049</v>
      </c>
      <c r="S32" s="64" t="n">
        <v>58</v>
      </c>
      <c r="T32" s="32" t="n"/>
    </row>
    <row r="33" ht="62" customHeight="1">
      <c r="A33" s="10">
        <f>_xlfn.IMAGE("https://m.media-amazon.com/images/I/81Ky84k0RkL.jpg")</f>
        <v/>
      </c>
      <c r="B33" s="32" t="inlineStr">
        <is>
          <t>B0CQ2ZZ9QN</t>
        </is>
      </c>
      <c r="C33" s="32" t="inlineStr">
        <is>
          <t>BAMBOO-KING-SAGE GREEN-6PCS</t>
        </is>
      </c>
      <c r="D33" s="32" t="inlineStr">
        <is>
          <t>DECOLURE 100% Viscose from Bamboo Sheets King Size | 6 Pc Cooling Bed Set</t>
        </is>
      </c>
      <c r="E33" s="32" t="inlineStr">
        <is>
          <t>King</t>
        </is>
      </c>
      <c r="F33" s="32" t="inlineStr">
        <is>
          <t>Sage Green</t>
        </is>
      </c>
      <c r="G33" s="60" t="n">
        <v>99.98999999999999</v>
      </c>
      <c r="H33" s="32" t="inlineStr">
        <is>
          <t>Helium 10 Xray, 2026-10-13</t>
        </is>
      </c>
      <c r="I33" s="61" t="n">
        <v>89.98999999999999</v>
      </c>
      <c r="J33" s="62" t="inlineStr">
        <is>
          <t>2026-03-30</t>
        </is>
      </c>
      <c r="K33" s="33" t="n">
        <v>33.68</v>
      </c>
      <c r="L33" s="63" t="n">
        <v>0.3742638070896767</v>
      </c>
      <c r="M33" s="64" t="n">
        <v>41</v>
      </c>
      <c r="N33" s="32" t="inlineStr">
        <is>
          <t>Active</t>
        </is>
      </c>
      <c r="O33" s="32" t="n"/>
      <c r="P33" s="65" t="n">
        <v>4.4</v>
      </c>
      <c r="Q33" s="64" t="n">
        <v>3153</v>
      </c>
      <c r="R33" s="64" t="n">
        <v>18045</v>
      </c>
      <c r="S33" s="64" t="n">
        <v>22</v>
      </c>
      <c r="T33" s="32" t="n"/>
    </row>
    <row r="34" ht="62" customHeight="1">
      <c r="A34" s="10">
        <f>_xlfn.IMAGE("https://m.media-amazon.com/images/I/81Ky84k0RkL.jpg")</f>
        <v/>
      </c>
      <c r="B34" s="32" t="inlineStr">
        <is>
          <t>B0CQ3CDRTN</t>
        </is>
      </c>
      <c r="C34" s="32" t="inlineStr">
        <is>
          <t>BAMBOO-QUEEN-SAGE GREEN-6PCS</t>
        </is>
      </c>
      <c r="D34" s="32" t="inlineStr">
        <is>
          <t>DECOLURE 100% Viscose from Bamboo Sheets Queen Size | 6 Pc Cooling Bed Set</t>
        </is>
      </c>
      <c r="E34" s="32" t="inlineStr">
        <is>
          <t>Queen</t>
        </is>
      </c>
      <c r="F34" s="32" t="inlineStr">
        <is>
          <t>Sage Green</t>
        </is>
      </c>
      <c r="G34" s="60" t="n">
        <v>100.99</v>
      </c>
      <c r="H34" s="32" t="inlineStr">
        <is>
          <t>Helium 10 Xray, 2026-10-13</t>
        </is>
      </c>
      <c r="I34" s="61" t="n">
        <v>84.98999999999999</v>
      </c>
      <c r="J34" s="62" t="inlineStr">
        <is>
          <t>2026-03-30</t>
        </is>
      </c>
      <c r="K34" s="33" t="n">
        <v>35.92</v>
      </c>
      <c r="L34" s="63" t="n">
        <v>0.4226379574067538</v>
      </c>
      <c r="M34" s="64" t="n">
        <v>41</v>
      </c>
      <c r="N34" s="32" t="inlineStr">
        <is>
          <t>Active</t>
        </is>
      </c>
      <c r="O34" s="32" t="n"/>
      <c r="P34" s="65" t="n">
        <v>4.4</v>
      </c>
      <c r="Q34" s="64" t="n">
        <v>3153</v>
      </c>
      <c r="R34" s="64" t="n">
        <v>18045</v>
      </c>
      <c r="S34" s="64" t="n">
        <v>23</v>
      </c>
      <c r="T34" s="32" t="n"/>
    </row>
    <row r="35" ht="62" customHeight="1">
      <c r="A35" s="10">
        <f>_xlfn.IMAGE("https://m.media-amazon.com/images/I/81I312usunL.jpg")</f>
        <v/>
      </c>
      <c r="B35" s="32" t="inlineStr">
        <is>
          <t>B0CQ33K3TL</t>
        </is>
      </c>
      <c r="C35" s="32" t="inlineStr">
        <is>
          <t>BAMBOO-QUEEN-LIGHTGREY-6PCS</t>
        </is>
      </c>
      <c r="D35" s="32" t="inlineStr">
        <is>
          <t>DECOLURE 100% Viscose from Bamboo Sheets Queen Size | 6 Pc Cooling Bed Set</t>
        </is>
      </c>
      <c r="E35" s="32" t="inlineStr">
        <is>
          <t>Queen</t>
        </is>
      </c>
      <c r="F35" s="32" t="inlineStr">
        <is>
          <t>Light Grey</t>
        </is>
      </c>
      <c r="G35" s="60" t="n">
        <v>102.99</v>
      </c>
      <c r="H35" s="32" t="inlineStr">
        <is>
          <t>Helium 10 Xray, 2026-10-13</t>
        </is>
      </c>
      <c r="I35" s="61" t="n">
        <v>84.98999999999999</v>
      </c>
      <c r="J35" s="62" t="inlineStr">
        <is>
          <t>2026-03-30</t>
        </is>
      </c>
      <c r="K35" s="33" t="n">
        <v>35.77999999999999</v>
      </c>
      <c r="L35" s="63" t="n">
        <v>0.4209907047887987</v>
      </c>
      <c r="M35" s="64" t="n">
        <v>39</v>
      </c>
      <c r="N35" s="32" t="inlineStr">
        <is>
          <t>Active</t>
        </is>
      </c>
      <c r="O35" s="32" t="n"/>
      <c r="P35" s="65" t="n">
        <v>4.4</v>
      </c>
      <c r="Q35" s="64" t="n">
        <v>3153</v>
      </c>
      <c r="R35" s="64" t="n">
        <v>18049</v>
      </c>
      <c r="S35" s="64" t="n">
        <v>46</v>
      </c>
      <c r="T35" s="32" t="n"/>
    </row>
    <row r="36" ht="62" customHeight="1">
      <c r="A36" s="10">
        <f>_xlfn.IMAGE("https://m.media-amazon.com/images/I/81+83kJjC0L.jpg")</f>
        <v/>
      </c>
      <c r="B36" s="32" t="inlineStr">
        <is>
          <t>B0CQ33C286</t>
        </is>
      </c>
      <c r="C36" s="32" t="inlineStr">
        <is>
          <t>BAMBOO-QUEEN-CHARCOAL-6PCS</t>
        </is>
      </c>
      <c r="D36" s="32" t="inlineStr">
        <is>
          <t>DECOLURE 100% Viscose from Bamboo Sheets Queen Size | 6 Pc Cooling Bed Set</t>
        </is>
      </c>
      <c r="E36" s="32" t="inlineStr">
        <is>
          <t>Queen</t>
        </is>
      </c>
      <c r="F36" s="32" t="inlineStr">
        <is>
          <t>Charcoal</t>
        </is>
      </c>
      <c r="G36" s="60" t="n">
        <v>94.98999999999999</v>
      </c>
      <c r="H36" s="32" t="inlineStr">
        <is>
          <t>Helium 10 Xray, 2026-10-13</t>
        </is>
      </c>
      <c r="I36" s="61" t="n">
        <v>84.98999999999999</v>
      </c>
      <c r="J36" s="62" t="inlineStr">
        <is>
          <t>2026-03-30</t>
        </is>
      </c>
      <c r="K36" s="33" t="n">
        <v>36.53999999999999</v>
      </c>
      <c r="L36" s="63" t="n">
        <v>0.4299329332862689</v>
      </c>
      <c r="M36" s="64" t="n">
        <v>34</v>
      </c>
      <c r="N36" s="32" t="inlineStr">
        <is>
          <t>Active</t>
        </is>
      </c>
      <c r="O36" s="32" t="n"/>
      <c r="P36" s="65" t="n">
        <v>4.4</v>
      </c>
      <c r="Q36" s="64" t="n">
        <v>3153</v>
      </c>
      <c r="R36" s="64" t="n">
        <v>18049</v>
      </c>
      <c r="S36" s="64" t="n">
        <v>57</v>
      </c>
      <c r="T36" s="32" t="n"/>
    </row>
    <row r="37" ht="62" customHeight="1">
      <c r="A37" s="10">
        <f>_xlfn.IMAGE("https://m.media-amazon.com/images/I/81fJLSDJpFL.jpg")</f>
        <v/>
      </c>
      <c r="B37" s="32" t="inlineStr">
        <is>
          <t>B0CQ31Q559</t>
        </is>
      </c>
      <c r="C37" s="32" t="inlineStr">
        <is>
          <t>BAMBOO-FULL-WHITE-6PCS</t>
        </is>
      </c>
      <c r="D37" s="32" t="inlineStr">
        <is>
          <t>DECOLURE 100% Viscose from Bamboo Sheets Full Size | 6 Pc Cooling Bed Set</t>
        </is>
      </c>
      <c r="E37" s="32" t="inlineStr">
        <is>
          <t>Full</t>
        </is>
      </c>
      <c r="F37" s="32" t="inlineStr">
        <is>
          <t>White</t>
        </is>
      </c>
      <c r="G37" s="60" t="n">
        <v>79.98999999999999</v>
      </c>
      <c r="H37" s="32" t="inlineStr">
        <is>
          <t>Helium 10 Xray, 2026-10-13</t>
        </is>
      </c>
      <c r="I37" s="61" t="n">
        <v>74.98999999999999</v>
      </c>
      <c r="J37" s="62" t="inlineStr">
        <is>
          <t>2026-03-30</t>
        </is>
      </c>
      <c r="K37" s="33" t="n">
        <v>30.02999999999999</v>
      </c>
      <c r="L37" s="63" t="n">
        <v>0.4004533937858381</v>
      </c>
      <c r="M37" s="64" t="n">
        <v>29</v>
      </c>
      <c r="N37" s="32" t="inlineStr">
        <is>
          <t>Active</t>
        </is>
      </c>
      <c r="O37" s="32" t="n"/>
      <c r="P37" s="65" t="n">
        <v>4.4</v>
      </c>
      <c r="Q37" s="64" t="n">
        <v>3153</v>
      </c>
      <c r="R37" s="64" t="n">
        <v>18045</v>
      </c>
      <c r="S37" s="64" t="n">
        <v>40</v>
      </c>
      <c r="T37" s="32" t="n"/>
    </row>
    <row r="38" ht="62" customHeight="1">
      <c r="A38" s="10">
        <f>_xlfn.IMAGE("https://m.media-amazon.com/images/I/81qwLZXe5IL.jpg")</f>
        <v/>
      </c>
      <c r="B38" s="32" t="inlineStr">
        <is>
          <t>B0CQ3437ZF</t>
        </is>
      </c>
      <c r="C38" s="32" t="inlineStr">
        <is>
          <t>BAMBOO-KING-LIGHT PINK-6PCS</t>
        </is>
      </c>
      <c r="D38" s="32" t="inlineStr">
        <is>
          <t>DECOLURE 100% Viscose from Bamboo Sheets King Size | 6 Pc Cooling Bed Set</t>
        </is>
      </c>
      <c r="E38" s="32" t="inlineStr">
        <is>
          <t>King</t>
        </is>
      </c>
      <c r="F38" s="32" t="inlineStr">
        <is>
          <t>Light Pink</t>
        </is>
      </c>
      <c r="G38" s="60" t="n">
        <v>99.98999999999999</v>
      </c>
      <c r="H38" s="32" t="inlineStr">
        <is>
          <t>Helium 10 Xray, 2026-10-13</t>
        </is>
      </c>
      <c r="I38" s="61" t="n">
        <v>89.98999999999999</v>
      </c>
      <c r="J38" s="62" t="inlineStr">
        <is>
          <t>2026-03-30</t>
        </is>
      </c>
      <c r="K38" s="33" t="n">
        <v>35.32</v>
      </c>
      <c r="L38" s="63" t="n">
        <v>0.3924880542282476</v>
      </c>
      <c r="M38" s="64" t="n">
        <v>29</v>
      </c>
      <c r="N38" s="32" t="inlineStr">
        <is>
          <t>Active</t>
        </is>
      </c>
      <c r="O38" s="32" t="n"/>
      <c r="P38" s="65" t="n">
        <v>4.4</v>
      </c>
      <c r="Q38" s="64" t="n">
        <v>3153</v>
      </c>
      <c r="R38" s="64" t="n">
        <v>18049</v>
      </c>
      <c r="S38" s="64" t="n">
        <v>7</v>
      </c>
      <c r="T38" s="32" t="n"/>
    </row>
    <row r="39" ht="62" customHeight="1">
      <c r="A39" s="10">
        <f>_xlfn.IMAGE("https://m.media-amazon.com/images/I/81+83kJjC0L.jpg")</f>
        <v/>
      </c>
      <c r="B39" s="32" t="inlineStr">
        <is>
          <t>B0CQ2ZZW88</t>
        </is>
      </c>
      <c r="C39" s="32" t="inlineStr">
        <is>
          <t>BAMBOO-KING-CHARCOAL-6PCS</t>
        </is>
      </c>
      <c r="D39" s="32" t="inlineStr">
        <is>
          <t>DECOLURE 100% Viscose from Bamboo Sheets King Size | 6 Pc Cooling Bed Set</t>
        </is>
      </c>
      <c r="E39" s="32" t="inlineStr">
        <is>
          <t>King</t>
        </is>
      </c>
      <c r="F39" s="32" t="inlineStr">
        <is>
          <t>Charcoal</t>
        </is>
      </c>
      <c r="G39" s="60" t="n">
        <v>99.98999999999999</v>
      </c>
      <c r="H39" s="32" t="inlineStr">
        <is>
          <t>Helium 10 Xray, 2026-10-13</t>
        </is>
      </c>
      <c r="I39" s="61" t="n">
        <v>89.98999999999999</v>
      </c>
      <c r="J39" s="62" t="inlineStr">
        <is>
          <t>2026-03-30</t>
        </is>
      </c>
      <c r="K39" s="33" t="n">
        <v>34.23999999999999</v>
      </c>
      <c r="L39" s="63" t="n">
        <v>0.3804867207467496</v>
      </c>
      <c r="M39" s="64" t="n">
        <v>28</v>
      </c>
      <c r="N39" s="32" t="inlineStr">
        <is>
          <t>Active</t>
        </is>
      </c>
      <c r="O39" s="32" t="n"/>
      <c r="P39" s="65" t="n">
        <v>4.4</v>
      </c>
      <c r="Q39" s="64" t="n">
        <v>3153</v>
      </c>
      <c r="R39" s="64" t="n">
        <v>18045</v>
      </c>
      <c r="S39" s="64" t="n">
        <v>33</v>
      </c>
      <c r="T39" s="32" t="n"/>
    </row>
    <row r="40" ht="62" customHeight="1">
      <c r="A40" s="10">
        <f>_xlfn.IMAGE("https://m.media-amazon.com/images/I/81PXZ9VB3EL.jpg")</f>
        <v/>
      </c>
      <c r="B40" s="32" t="inlineStr">
        <is>
          <t>B0CQ2ZVD96</t>
        </is>
      </c>
      <c r="C40" s="32" t="inlineStr">
        <is>
          <t>BAMBOO-FULL-CREME-6PCS</t>
        </is>
      </c>
      <c r="D40" s="32" t="inlineStr">
        <is>
          <t>DECOLURE 100% Viscose from Bamboo Sheets Full Size | 6 Pc Cooling Bed Set</t>
        </is>
      </c>
      <c r="E40" s="32" t="inlineStr">
        <is>
          <t>Full</t>
        </is>
      </c>
      <c r="F40" s="32" t="inlineStr">
        <is>
          <t>Creme</t>
        </is>
      </c>
      <c r="G40" s="60" t="n">
        <v>79.98999999999999</v>
      </c>
      <c r="H40" s="32" t="inlineStr">
        <is>
          <t>Helium 10 Xray, 2026-10-13</t>
        </is>
      </c>
      <c r="I40" s="61" t="n">
        <v>74.98999999999999</v>
      </c>
      <c r="J40" s="62" t="inlineStr">
        <is>
          <t>2026-03-30</t>
        </is>
      </c>
      <c r="K40" s="33" t="n">
        <v>30.44999999999999</v>
      </c>
      <c r="L40" s="63" t="n">
        <v>0.4060541405520735</v>
      </c>
      <c r="M40" s="64" t="n">
        <v>27</v>
      </c>
      <c r="N40" s="32" t="inlineStr">
        <is>
          <t>Active</t>
        </is>
      </c>
      <c r="O40" s="32" t="n"/>
      <c r="P40" s="65" t="n">
        <v>4.4</v>
      </c>
      <c r="Q40" s="64" t="n">
        <v>3153</v>
      </c>
      <c r="R40" s="64" t="n">
        <v>18049</v>
      </c>
      <c r="S40" s="64" t="n">
        <v>11</v>
      </c>
      <c r="T40" s="32" t="n"/>
    </row>
    <row r="41" ht="62" customHeight="1">
      <c r="A41" s="10">
        <f>_xlfn.IMAGE("https://m.media-amazon.com/images/I/81UukoIufqL.jpg")</f>
        <v/>
      </c>
      <c r="B41" s="32" t="inlineStr">
        <is>
          <t>B0CQ33KG5X</t>
        </is>
      </c>
      <c r="C41" s="32" t="inlineStr">
        <is>
          <t>BAMBOO-KING-CREME-6PCS</t>
        </is>
      </c>
      <c r="D41" s="32" t="inlineStr">
        <is>
          <t>DECOLURE 100% Viscose from Bamboo Sheets King Size | 6 Pc Cooling Bed Set</t>
        </is>
      </c>
      <c r="E41" s="32" t="inlineStr">
        <is>
          <t>King</t>
        </is>
      </c>
      <c r="F41" s="32" t="inlineStr">
        <is>
          <t>Creme</t>
        </is>
      </c>
      <c r="G41" s="60" t="n">
        <v>89.98999999999999</v>
      </c>
      <c r="H41" s="32" t="inlineStr">
        <is>
          <t>SellerBoard listing price, 2026-10-14</t>
        </is>
      </c>
      <c r="I41" s="61" t="n">
        <v>89.98999999999999</v>
      </c>
      <c r="J41" s="62" t="inlineStr">
        <is>
          <t>2026-03-28</t>
        </is>
      </c>
      <c r="K41" s="33" t="n">
        <v>34.68</v>
      </c>
      <c r="L41" s="63" t="n">
        <v>0.3853761529058785</v>
      </c>
      <c r="M41" s="64" t="n">
        <v>27</v>
      </c>
      <c r="N41" s="32" t="inlineStr">
        <is>
          <t>Inactive</t>
        </is>
      </c>
      <c r="O41" s="32" t="n"/>
      <c r="P41" s="65" t="n"/>
      <c r="Q41" s="64" t="n"/>
      <c r="R41" s="64" t="n"/>
      <c r="S41" s="64" t="n"/>
      <c r="T41" s="32" t="n"/>
    </row>
    <row r="42" ht="62" customHeight="1">
      <c r="A42" s="10">
        <f>_xlfn.IMAGE("https://m.media-amazon.com/images/I/81fJLSDJpFL.jpg")</f>
        <v/>
      </c>
      <c r="B42" s="32" t="inlineStr">
        <is>
          <t>B0CQ2ZYZJT</t>
        </is>
      </c>
      <c r="C42" s="32" t="inlineStr">
        <is>
          <t>BAMBOO-CALIFKING-WHITE-6PCS</t>
        </is>
      </c>
      <c r="D42" s="32" t="inlineStr">
        <is>
          <t>DECOLURE 100% Viscose from Bamboo Sheets | 6 Pc Cooling Bed Set</t>
        </is>
      </c>
      <c r="E42" s="32" t="inlineStr">
        <is>
          <t>California King</t>
        </is>
      </c>
      <c r="F42" s="32" t="inlineStr">
        <is>
          <t>White</t>
        </is>
      </c>
      <c r="G42" s="60" t="n">
        <v>99.98999999999999</v>
      </c>
      <c r="H42" s="32" t="inlineStr">
        <is>
          <t>Helium 10 Xray, 2026-10-13</t>
        </is>
      </c>
      <c r="I42" s="61" t="n">
        <v>89.98999999999999</v>
      </c>
      <c r="J42" s="62" t="inlineStr">
        <is>
          <t>2026-03-12</t>
        </is>
      </c>
      <c r="K42" s="33" t="n">
        <v>35.14</v>
      </c>
      <c r="L42" s="63" t="n">
        <v>0.3904878319813313</v>
      </c>
      <c r="M42" s="64" t="n">
        <v>25</v>
      </c>
      <c r="N42" s="32" t="inlineStr">
        <is>
          <t>Active</t>
        </is>
      </c>
      <c r="O42" s="32" t="n"/>
      <c r="P42" s="65" t="n">
        <v>4.4</v>
      </c>
      <c r="Q42" s="64" t="n">
        <v>3153</v>
      </c>
      <c r="R42" s="64" t="n">
        <v>18045</v>
      </c>
      <c r="S42" s="64" t="n">
        <v>10</v>
      </c>
      <c r="T42" s="32" t="n"/>
    </row>
    <row r="43" ht="62" customHeight="1">
      <c r="A43" s="10">
        <f>_xlfn.IMAGE("https://m.media-amazon.com/images/I/81KfdRGP46L.jpg")</f>
        <v/>
      </c>
      <c r="B43" s="32" t="inlineStr">
        <is>
          <t>B0CQ2ZWSN7</t>
        </is>
      </c>
      <c r="C43" s="32" t="inlineStr">
        <is>
          <t>BAMBOO-QUEEN-BURGUNDY-6PCS</t>
        </is>
      </c>
      <c r="D43" s="32" t="inlineStr">
        <is>
          <t>DECOLURE 100% Viscose from Bamboo Sheets Queen Size | 6 Pc Cooling Bed Set</t>
        </is>
      </c>
      <c r="E43" s="32" t="inlineStr">
        <is>
          <t>Queen</t>
        </is>
      </c>
      <c r="F43" s="32" t="inlineStr">
        <is>
          <t>Burgundy</t>
        </is>
      </c>
      <c r="G43" s="60" t="n">
        <v>94.98999999999999</v>
      </c>
      <c r="H43" s="32" t="inlineStr">
        <is>
          <t>Helium 10 Xray, 2026-10-13</t>
        </is>
      </c>
      <c r="I43" s="61" t="n">
        <v>84.98999999999999</v>
      </c>
      <c r="J43" s="62" t="inlineStr">
        <is>
          <t>2026-03-30</t>
        </is>
      </c>
      <c r="K43" s="33" t="n">
        <v>36.17999999999999</v>
      </c>
      <c r="L43" s="63" t="n">
        <v>0.4256971408400988</v>
      </c>
      <c r="M43" s="64" t="n">
        <v>25</v>
      </c>
      <c r="N43" s="32" t="inlineStr">
        <is>
          <t>Active</t>
        </is>
      </c>
      <c r="O43" s="32" t="n"/>
      <c r="P43" s="65" t="n">
        <v>4.4</v>
      </c>
      <c r="Q43" s="64" t="n">
        <v>3153</v>
      </c>
      <c r="R43" s="64" t="n">
        <v>18045</v>
      </c>
      <c r="S43" s="64" t="n">
        <v>43</v>
      </c>
      <c r="T43" s="32" t="n"/>
    </row>
    <row r="44" ht="62" customHeight="1">
      <c r="A44" s="10">
        <f>_xlfn.IMAGE("https://m.media-amazon.com/images/I/81C7Qfwu1WL.jpg")</f>
        <v/>
      </c>
      <c r="B44" s="32" t="inlineStr">
        <is>
          <t>B0CQ31XHCV</t>
        </is>
      </c>
      <c r="C44" s="32" t="inlineStr">
        <is>
          <t>BAMBOO-QUEEN-GREY-6PCS</t>
        </is>
      </c>
      <c r="D44" s="32" t="inlineStr">
        <is>
          <t>DECOLURE 100% Viscose from Bamboo Sheets Queen Size | 6 Pc Cooling Bed Set</t>
        </is>
      </c>
      <c r="E44" s="32" t="inlineStr">
        <is>
          <t>Queen</t>
        </is>
      </c>
      <c r="F44" s="32" t="inlineStr">
        <is>
          <t>Grey</t>
        </is>
      </c>
      <c r="G44" s="60" t="n">
        <v>108.99</v>
      </c>
      <c r="H44" s="32" t="inlineStr">
        <is>
          <t>Helium 10 Xray, 2026-10-13</t>
        </is>
      </c>
      <c r="I44" s="61" t="n">
        <v>84.98999999999999</v>
      </c>
      <c r="J44" s="62" t="inlineStr">
        <is>
          <t>2026-03-30</t>
        </is>
      </c>
      <c r="K44" s="33" t="n">
        <v>36.40999999999999</v>
      </c>
      <c r="L44" s="63" t="n">
        <v>0.4284033415695963</v>
      </c>
      <c r="M44" s="64" t="n">
        <v>24</v>
      </c>
      <c r="N44" s="32" t="inlineStr">
        <is>
          <t>Active</t>
        </is>
      </c>
      <c r="O44" s="32" t="n"/>
      <c r="P44" s="65" t="n">
        <v>4.4</v>
      </c>
      <c r="Q44" s="64" t="n">
        <v>3153</v>
      </c>
      <c r="R44" s="64" t="n">
        <v>18045</v>
      </c>
      <c r="S44" s="64" t="n">
        <v>13</v>
      </c>
      <c r="T44" s="32" t="n"/>
    </row>
    <row r="45" ht="62" customHeight="1">
      <c r="A45" s="10">
        <f>_xlfn.IMAGE("https://m.media-amazon.com/images/I/81vnFb6DYQL.jpg")</f>
        <v/>
      </c>
      <c r="B45" s="32" t="inlineStr">
        <is>
          <t>B0CQ2YVZ18</t>
        </is>
      </c>
      <c r="C45" s="32" t="inlineStr">
        <is>
          <t>BAMBOO-KING-LIGHTOLIVE-6PCS</t>
        </is>
      </c>
      <c r="D45" s="32" t="inlineStr">
        <is>
          <t>DECOLURE 100% Viscose from Bamboo Sheets King Size | 6 Pc Cooling Bed Set</t>
        </is>
      </c>
      <c r="E45" s="32" t="inlineStr">
        <is>
          <t>King</t>
        </is>
      </c>
      <c r="F45" s="32" t="inlineStr">
        <is>
          <t>Light Olive</t>
        </is>
      </c>
      <c r="G45" s="60" t="n">
        <v>99.98999999999999</v>
      </c>
      <c r="H45" s="32" t="inlineStr">
        <is>
          <t>Helium 10 Xray, 2026-10-13</t>
        </is>
      </c>
      <c r="I45" s="61" t="n">
        <v>89.98999999999999</v>
      </c>
      <c r="J45" s="62" t="inlineStr">
        <is>
          <t>2026-03-30</t>
        </is>
      </c>
      <c r="K45" s="33" t="n">
        <v>34.09999999999999</v>
      </c>
      <c r="L45" s="63" t="n">
        <v>0.3789309923324813</v>
      </c>
      <c r="M45" s="64" t="n">
        <v>22</v>
      </c>
      <c r="N45" s="32" t="inlineStr">
        <is>
          <t>Active</t>
        </is>
      </c>
      <c r="O45" s="32" t="n"/>
      <c r="P45" s="65" t="n">
        <v>4.4</v>
      </c>
      <c r="Q45" s="64" t="n">
        <v>3153</v>
      </c>
      <c r="R45" s="64" t="n">
        <v>18045</v>
      </c>
      <c r="S45" s="64" t="n">
        <v>8</v>
      </c>
      <c r="T45" s="32" t="n"/>
    </row>
    <row r="46" ht="62" customHeight="1">
      <c r="A46" s="10">
        <f>_xlfn.IMAGE("https://m.media-amazon.com/images/I/81bS-hq76OL.jpg")</f>
        <v/>
      </c>
      <c r="B46" s="32" t="inlineStr">
        <is>
          <t>B0CQ319J1Z</t>
        </is>
      </c>
      <c r="C46" s="32" t="inlineStr">
        <is>
          <t>BAMBOO-KING-MIDGREY-6PCS</t>
        </is>
      </c>
      <c r="D46" s="32" t="inlineStr">
        <is>
          <t>DECOLURE 100% Viscose from Bamboo Sheets King Size | 6 Pc Cooling Bed Set</t>
        </is>
      </c>
      <c r="E46" s="32" t="inlineStr">
        <is>
          <t>King</t>
        </is>
      </c>
      <c r="F46" s="32" t="inlineStr">
        <is>
          <t>Midgrey</t>
        </is>
      </c>
      <c r="G46" s="60" t="n">
        <v>114.99</v>
      </c>
      <c r="H46" s="32" t="inlineStr">
        <is>
          <t>Helium 10 Xray, 2026-10-13</t>
        </is>
      </c>
      <c r="I46" s="61" t="n">
        <v>89.98999999999999</v>
      </c>
      <c r="J46" s="62" t="inlineStr">
        <is>
          <t>2026-03-30</t>
        </is>
      </c>
      <c r="K46" s="33" t="n">
        <v>33.98999999999999</v>
      </c>
      <c r="L46" s="63" t="n">
        <v>0.3777086342926992</v>
      </c>
      <c r="M46" s="64" t="n">
        <v>20</v>
      </c>
      <c r="N46" s="32" t="inlineStr">
        <is>
          <t>Active</t>
        </is>
      </c>
      <c r="O46" s="32" t="n"/>
      <c r="P46" s="65" t="n">
        <v>4.4</v>
      </c>
      <c r="Q46" s="64" t="n">
        <v>3153</v>
      </c>
      <c r="R46" s="64" t="n">
        <v>18045</v>
      </c>
      <c r="S46" s="64" t="n">
        <v>20</v>
      </c>
      <c r="T46" s="32" t="n"/>
    </row>
    <row r="47" ht="62" customHeight="1">
      <c r="A47" s="10">
        <f>_xlfn.IMAGE("https://m.media-amazon.com/images/I/81bS-hq76OL.jpg")</f>
        <v/>
      </c>
      <c r="B47" s="32" t="inlineStr">
        <is>
          <t>B0CQ31FR3Y</t>
        </is>
      </c>
      <c r="C47" s="32" t="inlineStr">
        <is>
          <t>BAMBOO-QUEEN-MIDGREY-6PCS</t>
        </is>
      </c>
      <c r="D47" s="32" t="inlineStr">
        <is>
          <t>DECOLURE 100% Viscose from Bamboo Sheets Queen Size | 6 Pc Cooling Bed Set</t>
        </is>
      </c>
      <c r="E47" s="32" t="inlineStr">
        <is>
          <t>Queen</t>
        </is>
      </c>
      <c r="F47" s="32" t="inlineStr">
        <is>
          <t>Midgrey</t>
        </is>
      </c>
      <c r="G47" s="60" t="n">
        <v>94.98999999999999</v>
      </c>
      <c r="H47" s="32" t="inlineStr">
        <is>
          <t>Helium 10 Xray, 2026-10-13</t>
        </is>
      </c>
      <c r="I47" s="61" t="n">
        <v>84.98999999999999</v>
      </c>
      <c r="J47" s="62" t="inlineStr">
        <is>
          <t>2026-03-30</t>
        </is>
      </c>
      <c r="K47" s="33" t="n">
        <v>35.20999999999999</v>
      </c>
      <c r="L47" s="63" t="n">
        <v>0.4142840334156959</v>
      </c>
      <c r="M47" s="64" t="n">
        <v>20</v>
      </c>
      <c r="N47" s="32" t="inlineStr">
        <is>
          <t>Active</t>
        </is>
      </c>
      <c r="O47" s="32" t="n"/>
      <c r="P47" s="65" t="n">
        <v>4.4</v>
      </c>
      <c r="Q47" s="64" t="n">
        <v>3153</v>
      </c>
      <c r="R47" s="64" t="n">
        <v>18049</v>
      </c>
      <c r="S47" s="64" t="n">
        <v>44</v>
      </c>
      <c r="T47" s="32" t="n"/>
    </row>
    <row r="48" ht="62" customHeight="1">
      <c r="A48" s="10">
        <f>_xlfn.IMAGE("https://m.media-amazon.com/images/I/81PXZ9VB3EL.jpg")</f>
        <v/>
      </c>
      <c r="B48" s="32" t="inlineStr">
        <is>
          <t>B0CQ31X78V</t>
        </is>
      </c>
      <c r="C48" s="32" t="inlineStr">
        <is>
          <t>BAMBOO-CALIFKING-CREME-6PCS</t>
        </is>
      </c>
      <c r="D48" s="32" t="inlineStr">
        <is>
          <t>DECOLURE 100% Viscose from Bamboo Sheets | 6 Pc Cooling Bed Set</t>
        </is>
      </c>
      <c r="E48" s="32" t="inlineStr">
        <is>
          <t>California King</t>
        </is>
      </c>
      <c r="F48" s="32" t="inlineStr">
        <is>
          <t>Creme</t>
        </is>
      </c>
      <c r="G48" s="60" t="n">
        <v>99.98999999999999</v>
      </c>
      <c r="H48" s="32" t="inlineStr">
        <is>
          <t>Helium 10 Xray, 2026-10-13</t>
        </is>
      </c>
      <c r="I48" s="61" t="n">
        <v>110.99</v>
      </c>
      <c r="J48" s="62" t="inlineStr">
        <is>
          <t>2026-03-28</t>
        </is>
      </c>
      <c r="K48" s="33" t="n">
        <v>51.69</v>
      </c>
      <c r="L48" s="63" t="n">
        <v>0.4657176322191189</v>
      </c>
      <c r="M48" s="64" t="n">
        <v>16</v>
      </c>
      <c r="N48" s="32" t="inlineStr">
        <is>
          <t>Active</t>
        </is>
      </c>
      <c r="O48" s="32" t="n"/>
      <c r="P48" s="65" t="n">
        <v>4.4</v>
      </c>
      <c r="Q48" s="64" t="n">
        <v>3153</v>
      </c>
      <c r="R48" s="64" t="n">
        <v>18049</v>
      </c>
      <c r="S48" s="64" t="n">
        <v>6</v>
      </c>
      <c r="T48" s="32" t="n"/>
    </row>
    <row r="49" ht="62" customHeight="1">
      <c r="A49" s="10">
        <f>_xlfn.IMAGE("https://m.media-amazon.com/images/I/81JHZOIZl1L.jpg")</f>
        <v/>
      </c>
      <c r="B49" s="32" t="inlineStr">
        <is>
          <t>B0CQ328DZM</t>
        </is>
      </c>
      <c r="C49" s="32" t="inlineStr">
        <is>
          <t>BAMBOO-CALIFKING-TAUPE-6PCS</t>
        </is>
      </c>
      <c r="D49" s="32" t="inlineStr">
        <is>
          <t>DECOLURE 100% Viscose from Bamboo Sheets | 6 Pc Cooling Bed Set</t>
        </is>
      </c>
      <c r="E49" s="32" t="inlineStr">
        <is>
          <t>California King</t>
        </is>
      </c>
      <c r="F49" s="32" t="inlineStr">
        <is>
          <t>Taupe</t>
        </is>
      </c>
      <c r="G49" s="60" t="n">
        <v>99.98999999999999</v>
      </c>
      <c r="H49" s="32" t="inlineStr">
        <is>
          <t>Helium 10 Xray, 2026-10-13</t>
        </is>
      </c>
      <c r="I49" s="61" t="n">
        <v>89.98999999999999</v>
      </c>
      <c r="J49" s="62" t="inlineStr">
        <is>
          <t>2026-03-12</t>
        </is>
      </c>
      <c r="K49" s="33" t="n">
        <v>34.23</v>
      </c>
      <c r="L49" s="63" t="n">
        <v>0.3803755972885876</v>
      </c>
      <c r="M49" s="64" t="n">
        <v>16</v>
      </c>
      <c r="N49" s="32" t="inlineStr">
        <is>
          <t>Active</t>
        </is>
      </c>
      <c r="O49" s="32" t="n"/>
      <c r="P49" s="65" t="n">
        <v>4.4</v>
      </c>
      <c r="Q49" s="64" t="n">
        <v>3153</v>
      </c>
      <c r="R49" s="64" t="n">
        <v>18045</v>
      </c>
      <c r="S49" s="64" t="n">
        <v>5</v>
      </c>
      <c r="T49" s="32" t="n"/>
    </row>
    <row r="50" ht="62" customHeight="1">
      <c r="A50" s="10">
        <f>_xlfn.IMAGE("https://m.media-amazon.com/images/I/81bS-hq76OL.jpg")</f>
        <v/>
      </c>
      <c r="B50" s="32" t="inlineStr">
        <is>
          <t>B0CQ318RHN</t>
        </is>
      </c>
      <c r="C50" s="32" t="inlineStr">
        <is>
          <t>BAMBOO-FULL-MIDGREY-6PCS</t>
        </is>
      </c>
      <c r="D50" s="32" t="inlineStr">
        <is>
          <t>DECOLURE 100% Viscose from Bamboo Sheets Full Size | 6 Pc Cooling Bed Set</t>
        </is>
      </c>
      <c r="E50" s="32" t="inlineStr">
        <is>
          <t>Full</t>
        </is>
      </c>
      <c r="F50" s="32" t="inlineStr">
        <is>
          <t>Midgrey</t>
        </is>
      </c>
      <c r="G50" s="60" t="n">
        <v>79.98999999999999</v>
      </c>
      <c r="H50" s="32" t="inlineStr">
        <is>
          <t>Helium 10 Xray, 2026-10-13</t>
        </is>
      </c>
      <c r="I50" s="61" t="n">
        <v>74.98999999999999</v>
      </c>
      <c r="J50" s="62" t="inlineStr">
        <is>
          <t>2026-03-30</t>
        </is>
      </c>
      <c r="K50" s="33" t="n">
        <v>29.95</v>
      </c>
      <c r="L50" s="63" t="n">
        <v>0.3993865848779837</v>
      </c>
      <c r="M50" s="64" t="n">
        <v>14</v>
      </c>
      <c r="N50" s="32" t="inlineStr">
        <is>
          <t>Active</t>
        </is>
      </c>
      <c r="O50" s="32" t="n"/>
      <c r="P50" s="65" t="n">
        <v>4.4</v>
      </c>
      <c r="Q50" s="64" t="n">
        <v>3153</v>
      </c>
      <c r="R50" s="64" t="n">
        <v>18049</v>
      </c>
      <c r="S50" s="64" t="n">
        <v>14</v>
      </c>
      <c r="T50" s="32" t="n"/>
    </row>
    <row r="51" ht="62" customHeight="1">
      <c r="A51" s="10">
        <f>_xlfn.IMAGE("https://m.media-amazon.com/images/I/81KfdRGP46L.jpg")</f>
        <v/>
      </c>
      <c r="B51" s="32" t="inlineStr">
        <is>
          <t>B0CQ3199ZV</t>
        </is>
      </c>
      <c r="C51" s="32" t="inlineStr">
        <is>
          <t>BAMBOO-FULL-BURGUNDY-6PCS</t>
        </is>
      </c>
      <c r="D51" s="32" t="inlineStr">
        <is>
          <t>DECOLURE 100% Viscose from Bamboo Sheets Full Size | 6 Pc Cooling Bed Set</t>
        </is>
      </c>
      <c r="E51" s="32" t="inlineStr">
        <is>
          <t>Full</t>
        </is>
      </c>
      <c r="F51" s="32" t="inlineStr">
        <is>
          <t>Burgundy</t>
        </is>
      </c>
      <c r="G51" s="60" t="n">
        <v>74.98999999999999</v>
      </c>
      <c r="H51" s="32" t="inlineStr">
        <is>
          <t>Helium 10 Xray, 2026-10-13</t>
        </is>
      </c>
      <c r="I51" s="61" t="n">
        <v>74.98999999999999</v>
      </c>
      <c r="J51" s="62" t="inlineStr">
        <is>
          <t>2026-03-30</t>
        </is>
      </c>
      <c r="K51" s="33" t="n">
        <v>30.07</v>
      </c>
      <c r="L51" s="63" t="n">
        <v>0.4009867982397653</v>
      </c>
      <c r="M51" s="64" t="n">
        <v>13</v>
      </c>
      <c r="N51" s="32" t="inlineStr">
        <is>
          <t>Inactive</t>
        </is>
      </c>
      <c r="O51" s="32" t="n"/>
      <c r="P51" s="65" t="n">
        <v>4.4</v>
      </c>
      <c r="Q51" s="64" t="n">
        <v>3153</v>
      </c>
      <c r="R51" s="64" t="n">
        <v>18045</v>
      </c>
      <c r="S51" s="64" t="n">
        <v>13</v>
      </c>
      <c r="T51" s="32" t="n"/>
    </row>
    <row r="52" ht="62" customHeight="1">
      <c r="A52" s="10">
        <f>_xlfn.IMAGE("https://m.media-amazon.com/images/I/81qE6QSwrML.jpg")</f>
        <v/>
      </c>
      <c r="B52" s="32" t="inlineStr">
        <is>
          <t>B0CQ311QX3</t>
        </is>
      </c>
      <c r="C52" s="32" t="inlineStr">
        <is>
          <t>BAMBOO-CALIFKING-NAVYBLUE-6PCS</t>
        </is>
      </c>
      <c r="D52" s="32" t="inlineStr">
        <is>
          <t>DECOLURE 100% Viscose from Bamboo Sheets | 6 Pc Cooling Bed Set</t>
        </is>
      </c>
      <c r="E52" s="32" t="inlineStr">
        <is>
          <t>California King</t>
        </is>
      </c>
      <c r="F52" s="32" t="inlineStr">
        <is>
          <t>Navy Blue</t>
        </is>
      </c>
      <c r="G52" s="60" t="n">
        <v>99.98999999999999</v>
      </c>
      <c r="H52" s="32" t="inlineStr">
        <is>
          <t>Helium 10 Xray, 2026-10-13</t>
        </is>
      </c>
      <c r="I52" s="61" t="n">
        <v>89.98999999999999</v>
      </c>
      <c r="J52" s="62" t="inlineStr">
        <is>
          <t>2026-03-30</t>
        </is>
      </c>
      <c r="K52" s="33" t="n">
        <v>32.63</v>
      </c>
      <c r="L52" s="63" t="n">
        <v>0.3625958439826647</v>
      </c>
      <c r="M52" s="64" t="n">
        <v>11</v>
      </c>
      <c r="N52" s="32" t="inlineStr">
        <is>
          <t>Active</t>
        </is>
      </c>
      <c r="O52" s="32" t="n"/>
      <c r="P52" s="65" t="n">
        <v>4.4</v>
      </c>
      <c r="Q52" s="64" t="n">
        <v>3153</v>
      </c>
      <c r="R52" s="64" t="n">
        <v>18045</v>
      </c>
      <c r="S52" s="64" t="n">
        <v>4</v>
      </c>
      <c r="T52" s="32" t="n"/>
    </row>
    <row r="53" ht="62" customHeight="1">
      <c r="A53" s="10">
        <f>_xlfn.IMAGE("https://m.media-amazon.com/images/I/81vnFb6DYQL.jpg")</f>
        <v/>
      </c>
      <c r="B53" s="32" t="inlineStr">
        <is>
          <t>B0CQ312HKC</t>
        </is>
      </c>
      <c r="C53" s="32" t="inlineStr">
        <is>
          <t>BAMBOO-QUEEN-LIGHTOLIVE-6PCS</t>
        </is>
      </c>
      <c r="D53" s="32" t="inlineStr">
        <is>
          <t>DECOLURE 100% Viscose from Bamboo Sheets Queen Size | 6 Pc Cooling Bed Set</t>
        </is>
      </c>
      <c r="E53" s="32" t="inlineStr">
        <is>
          <t>Queen</t>
        </is>
      </c>
      <c r="F53" s="32" t="inlineStr">
        <is>
          <t>Light Olive</t>
        </is>
      </c>
      <c r="G53" s="60" t="n">
        <v>94.98999999999999</v>
      </c>
      <c r="H53" s="32" t="inlineStr">
        <is>
          <t>Helium 10 Xray, 2026-10-13</t>
        </is>
      </c>
      <c r="I53" s="61" t="n">
        <v>84.98999999999999</v>
      </c>
      <c r="J53" s="62" t="inlineStr">
        <is>
          <t>2026-03-30</t>
        </is>
      </c>
      <c r="K53" s="33" t="n">
        <v>36.2</v>
      </c>
      <c r="L53" s="63" t="n">
        <v>0.4259324626426639</v>
      </c>
      <c r="M53" s="64" t="n">
        <v>10</v>
      </c>
      <c r="N53" s="32" t="inlineStr">
        <is>
          <t>Active</t>
        </is>
      </c>
      <c r="O53" s="32" t="n"/>
      <c r="P53" s="65" t="n">
        <v>4.4</v>
      </c>
      <c r="Q53" s="64" t="n">
        <v>3153</v>
      </c>
      <c r="R53" s="64" t="n">
        <v>18045</v>
      </c>
      <c r="S53" s="64" t="n">
        <v>11</v>
      </c>
      <c r="T53" s="32" t="n"/>
    </row>
    <row r="54" ht="62" customHeight="1">
      <c r="A54" s="10">
        <f>_xlfn.IMAGE("https://m.media-amazon.com/images/I/81SvYgazSwL.jpg")</f>
        <v/>
      </c>
      <c r="B54" s="32" t="inlineStr">
        <is>
          <t>B0CQ31N5Q5</t>
        </is>
      </c>
      <c r="C54" s="32" t="inlineStr">
        <is>
          <t>BAMBOO-TWIN-NAVYBLUE-6PCS</t>
        </is>
      </c>
      <c r="D54" s="32" t="inlineStr">
        <is>
          <t>DECOLURE 100% Viscose from Bamboo Sheets Twin Size | 4 Pc Cooling Bed Set</t>
        </is>
      </c>
      <c r="E54" s="32" t="inlineStr">
        <is>
          <t>Twin</t>
        </is>
      </c>
      <c r="F54" s="32" t="inlineStr">
        <is>
          <t>Navy Blue</t>
        </is>
      </c>
      <c r="G54" s="60" t="n">
        <v>69.98999999999999</v>
      </c>
      <c r="H54" s="32" t="inlineStr">
        <is>
          <t>Helium 10 Xray, 2026-10-13</t>
        </is>
      </c>
      <c r="I54" s="61" t="n">
        <v>64.98999999999999</v>
      </c>
      <c r="J54" s="62" t="inlineStr">
        <is>
          <t>2026-03-30</t>
        </is>
      </c>
      <c r="K54" s="33" t="n">
        <v>27.68999999999999</v>
      </c>
      <c r="L54" s="63" t="n">
        <v>0.4260655485459301</v>
      </c>
      <c r="M54" s="64" t="n">
        <v>10</v>
      </c>
      <c r="N54" s="32" t="inlineStr">
        <is>
          <t>Active</t>
        </is>
      </c>
      <c r="O54" s="32" t="n"/>
      <c r="P54" s="65" t="n">
        <v>4.4</v>
      </c>
      <c r="Q54" s="64" t="n">
        <v>3153</v>
      </c>
      <c r="R54" s="64" t="n">
        <v>18045</v>
      </c>
      <c r="S54" s="64" t="n">
        <v>18</v>
      </c>
      <c r="T54" s="32" t="n"/>
    </row>
    <row r="55" ht="62" customHeight="1">
      <c r="A55" s="10">
        <f>_xlfn.IMAGE("https://m.media-amazon.com/images/I/817PHsMlA6L.jpg")</f>
        <v/>
      </c>
      <c r="B55" s="32" t="inlineStr">
        <is>
          <t>B0CQ332KLH</t>
        </is>
      </c>
      <c r="C55" s="32" t="inlineStr">
        <is>
          <t>BAMBOO-FULL-BLACK-6PCS</t>
        </is>
      </c>
      <c r="D55" s="32" t="inlineStr">
        <is>
          <t>DECOLURE 100% Viscose from Bamboo Sheets Full Size | 6 Pc Cooling Bed Set</t>
        </is>
      </c>
      <c r="E55" s="32" t="inlineStr">
        <is>
          <t>Full</t>
        </is>
      </c>
      <c r="F55" s="32" t="inlineStr">
        <is>
          <t>Black</t>
        </is>
      </c>
      <c r="G55" s="60" t="n">
        <v>79.98999999999999</v>
      </c>
      <c r="H55" s="32" t="inlineStr">
        <is>
          <t>Helium 10 Xray, 2026-10-13</t>
        </is>
      </c>
      <c r="I55" s="61" t="n">
        <v>69.98999999999999</v>
      </c>
      <c r="J55" s="62" t="inlineStr">
        <is>
          <t>2026-03-30</t>
        </is>
      </c>
      <c r="K55" s="33" t="n">
        <v>25.34999999999999</v>
      </c>
      <c r="L55" s="63" t="n">
        <v>0.3621945992284611</v>
      </c>
      <c r="M55" s="64" t="n">
        <v>9</v>
      </c>
      <c r="N55" s="32" t="inlineStr">
        <is>
          <t>Active</t>
        </is>
      </c>
      <c r="O55" s="32" t="n"/>
      <c r="P55" s="65" t="n">
        <v>4.4</v>
      </c>
      <c r="Q55" s="64" t="n">
        <v>3153</v>
      </c>
      <c r="R55" s="64" t="n">
        <v>18045</v>
      </c>
      <c r="S55" s="64" t="n">
        <v>12</v>
      </c>
      <c r="T55" s="32" t="n"/>
    </row>
    <row r="56" ht="62" customHeight="1">
      <c r="A56" s="10">
        <f>_xlfn.IMAGE("https://m.media-amazon.com/images/I/813aFqxnKrL.jpg")</f>
        <v/>
      </c>
      <c r="B56" s="32" t="inlineStr">
        <is>
          <t>B0CQ33ZGQ4</t>
        </is>
      </c>
      <c r="C56" s="32" t="inlineStr">
        <is>
          <t>BAMBOO-FULL-OLIVE-6PCS</t>
        </is>
      </c>
      <c r="D56" s="32" t="inlineStr">
        <is>
          <t>DECOLURE 100% Viscose from Bamboo Sheets Full Size | 6 Pc Cooling Bed Set</t>
        </is>
      </c>
      <c r="E56" s="32" t="inlineStr">
        <is>
          <t>Full</t>
        </is>
      </c>
      <c r="F56" s="32" t="inlineStr">
        <is>
          <t>Olive</t>
        </is>
      </c>
      <c r="G56" s="60" t="n">
        <v>79.98999999999999</v>
      </c>
      <c r="H56" s="32" t="inlineStr">
        <is>
          <t>Helium 10 Xray, 2026-10-13</t>
        </is>
      </c>
      <c r="I56" s="61" t="n">
        <v>90.98999999999999</v>
      </c>
      <c r="J56" s="62" t="inlineStr">
        <is>
          <t>2026-03-30</t>
        </is>
      </c>
      <c r="K56" s="33" t="n">
        <v>44.08</v>
      </c>
      <c r="L56" s="63" t="n">
        <v>0.4844488405319266</v>
      </c>
      <c r="M56" s="64" t="n">
        <v>8</v>
      </c>
      <c r="N56" s="32" t="inlineStr">
        <is>
          <t>Active</t>
        </is>
      </c>
      <c r="O56" s="32" t="n"/>
      <c r="P56" s="65" t="n">
        <v>4.4</v>
      </c>
      <c r="Q56" s="64" t="n">
        <v>3153</v>
      </c>
      <c r="R56" s="64" t="n">
        <v>18049</v>
      </c>
      <c r="S56" s="64" t="n">
        <v>14</v>
      </c>
      <c r="T56" s="32" t="n"/>
    </row>
    <row r="57" ht="62" customHeight="1">
      <c r="A57" s="10">
        <f>_xlfn.IMAGE("https://m.media-amazon.com/images/I/81X7gOcKsEL.jpg")</f>
        <v/>
      </c>
      <c r="B57" s="32" t="inlineStr">
        <is>
          <t>B0CQ2ZVMJJ</t>
        </is>
      </c>
      <c r="C57" s="32" t="inlineStr">
        <is>
          <t>BAMBOO-TWIN-OLIVE-6PCS</t>
        </is>
      </c>
      <c r="D57" s="32" t="inlineStr">
        <is>
          <t>DECOLURE 100% Viscose from Bamboo Sheets Twin Size | 4 Pc Cooling Bed Set</t>
        </is>
      </c>
      <c r="E57" s="32" t="inlineStr">
        <is>
          <t>Twin</t>
        </is>
      </c>
      <c r="F57" s="32" t="inlineStr">
        <is>
          <t>Olive</t>
        </is>
      </c>
      <c r="G57" s="60" t="n">
        <v>69.98999999999999</v>
      </c>
      <c r="H57" s="32" t="inlineStr">
        <is>
          <t>Helium 10 Xray, 2026-10-13</t>
        </is>
      </c>
      <c r="I57" s="61" t="n">
        <v>79.98999999999999</v>
      </c>
      <c r="J57" s="62" t="inlineStr">
        <is>
          <t>2026-03-30</t>
        </is>
      </c>
      <c r="K57" s="33" t="n">
        <v>40.48</v>
      </c>
      <c r="L57" s="63" t="n">
        <v>0.5060632579072384</v>
      </c>
      <c r="M57" s="64" t="n">
        <v>8</v>
      </c>
      <c r="N57" s="32" t="inlineStr">
        <is>
          <t>Active</t>
        </is>
      </c>
      <c r="O57" s="32" t="n"/>
      <c r="P57" s="65" t="n">
        <v>4.4</v>
      </c>
      <c r="Q57" s="64" t="n">
        <v>3153</v>
      </c>
      <c r="R57" s="64" t="n">
        <v>18045</v>
      </c>
      <c r="S57" s="64" t="n">
        <v>19</v>
      </c>
      <c r="T57" s="32" t="n"/>
    </row>
    <row r="58" ht="62" customHeight="1">
      <c r="A58" s="10">
        <f>_xlfn.IMAGE("https://m.media-amazon.com/images/I/81MRRHk3q4L.jpg")</f>
        <v/>
      </c>
      <c r="B58" s="32" t="inlineStr">
        <is>
          <t>B0CQ31L3V7</t>
        </is>
      </c>
      <c r="C58" s="32" t="inlineStr">
        <is>
          <t>BAMBOO-CALIFKING-LIGHTBLUE-6PCS</t>
        </is>
      </c>
      <c r="D58" s="32" t="inlineStr">
        <is>
          <t>DECOLURE 100% Viscose from Bamboo Sheets | 6 Pc Cooling Bed Set</t>
        </is>
      </c>
      <c r="E58" s="32" t="inlineStr">
        <is>
          <t>California King</t>
        </is>
      </c>
      <c r="F58" s="32" t="inlineStr">
        <is>
          <t>Light Blue</t>
        </is>
      </c>
      <c r="G58" s="60" t="n">
        <v>99.98999999999999</v>
      </c>
      <c r="H58" s="32" t="inlineStr">
        <is>
          <t>Helium 10 Xray, 2026-10-13</t>
        </is>
      </c>
      <c r="I58" s="61" t="n">
        <v>89.98999999999999</v>
      </c>
      <c r="J58" s="62" t="inlineStr">
        <is>
          <t>2026-03-26</t>
        </is>
      </c>
      <c r="K58" s="33" t="n">
        <v>35.11999999999999</v>
      </c>
      <c r="L58" s="63" t="n">
        <v>0.3902655850650071</v>
      </c>
      <c r="M58" s="64" t="n">
        <v>7</v>
      </c>
      <c r="N58" s="32" t="inlineStr">
        <is>
          <t>Active</t>
        </is>
      </c>
      <c r="O58" s="32" t="n"/>
      <c r="P58" s="65" t="n">
        <v>4.4</v>
      </c>
      <c r="Q58" s="64" t="n">
        <v>3153</v>
      </c>
      <c r="R58" s="64" t="n">
        <v>18045</v>
      </c>
      <c r="S58" s="64" t="n">
        <v>5</v>
      </c>
      <c r="T58" s="32" t="n"/>
    </row>
    <row r="59" ht="62" customHeight="1">
      <c r="A59" s="10">
        <f>_xlfn.IMAGE("https://m.media-amazon.com/images/I/81KfdRGP46L.jpg")</f>
        <v/>
      </c>
      <c r="B59" s="32" t="inlineStr">
        <is>
          <t>B0CQ33QVZK</t>
        </is>
      </c>
      <c r="C59" s="32" t="inlineStr">
        <is>
          <t>BAMBOO-CALIFKING-BURGUNDY-6PCS</t>
        </is>
      </c>
      <c r="D59" s="32" t="inlineStr">
        <is>
          <t>DECOLURE 100% Viscose from Bamboo Sheets | 6 Pc Cooling Bed Set</t>
        </is>
      </c>
      <c r="E59" s="32" t="inlineStr">
        <is>
          <t>California King</t>
        </is>
      </c>
      <c r="F59" s="32" t="inlineStr">
        <is>
          <t>Burgundy</t>
        </is>
      </c>
      <c r="G59" s="60" t="n">
        <v>99.98999999999999</v>
      </c>
      <c r="H59" s="32" t="inlineStr">
        <is>
          <t>Helium 10 Xray, 2026-10-13</t>
        </is>
      </c>
      <c r="I59" s="33" t="n"/>
      <c r="J59" s="32" t="n"/>
      <c r="K59" s="33" t="n"/>
      <c r="L59" s="63" t="n"/>
      <c r="M59" s="64" t="n">
        <v>6</v>
      </c>
      <c r="N59" s="32" t="inlineStr">
        <is>
          <t>Active</t>
        </is>
      </c>
      <c r="O59" s="32" t="n"/>
      <c r="P59" s="65" t="n">
        <v>4.4</v>
      </c>
      <c r="Q59" s="64" t="n">
        <v>3153</v>
      </c>
      <c r="R59" s="64" t="n">
        <v>18045</v>
      </c>
      <c r="S59" s="64" t="n">
        <v>4</v>
      </c>
      <c r="T59" s="32" t="n"/>
    </row>
    <row r="60" ht="62" customHeight="1">
      <c r="A60" s="10">
        <f>_xlfn.IMAGE("https://m.media-amazon.com/images/I/81qwLZXe5IL.jpg")</f>
        <v/>
      </c>
      <c r="B60" s="32" t="inlineStr">
        <is>
          <t>B0CQ32S4MW</t>
        </is>
      </c>
      <c r="C60" s="32" t="inlineStr">
        <is>
          <t>BAMBOO-FULL-LIGHT PINK-6PCS</t>
        </is>
      </c>
      <c r="D60" s="32" t="inlineStr">
        <is>
          <t>DECOLURE 100% Viscose from Bamboo Sheets Full Size | 6 Pc Cooling Bed Set</t>
        </is>
      </c>
      <c r="E60" s="32" t="inlineStr">
        <is>
          <t>Full</t>
        </is>
      </c>
      <c r="F60" s="32" t="inlineStr">
        <is>
          <t>Light Pink</t>
        </is>
      </c>
      <c r="G60" s="60" t="n">
        <v>79.98999999999999</v>
      </c>
      <c r="H60" s="32" t="inlineStr">
        <is>
          <t>Helium 10 Xray, 2026-10-13</t>
        </is>
      </c>
      <c r="I60" s="61" t="n">
        <v>74.98999999999999</v>
      </c>
      <c r="J60" s="62" t="inlineStr">
        <is>
          <t>2026-03-30</t>
        </is>
      </c>
      <c r="K60" s="33" t="n">
        <v>29.19999999999999</v>
      </c>
      <c r="L60" s="63" t="n">
        <v>0.3893852513668488</v>
      </c>
      <c r="M60" s="64" t="n">
        <v>6</v>
      </c>
      <c r="N60" s="32" t="inlineStr">
        <is>
          <t>Active</t>
        </is>
      </c>
      <c r="O60" s="32" t="n"/>
      <c r="P60" s="65" t="n">
        <v>4.4</v>
      </c>
      <c r="Q60" s="64" t="n">
        <v>3153</v>
      </c>
      <c r="R60" s="64" t="n">
        <v>18049</v>
      </c>
      <c r="S60" s="64" t="n">
        <v>9</v>
      </c>
      <c r="T60" s="32" t="n"/>
    </row>
    <row r="61" ht="62" customHeight="1">
      <c r="A61" s="10">
        <f>_xlfn.IMAGE("https://m.media-amazon.com/images/I/81HVmR8NRpL.jpg")</f>
        <v/>
      </c>
      <c r="B61" s="32" t="inlineStr">
        <is>
          <t>B0CQ34D2QS</t>
        </is>
      </c>
      <c r="C61" s="32" t="inlineStr">
        <is>
          <t>BAMBOO-TWIN-WHITE-6PCS</t>
        </is>
      </c>
      <c r="D61" s="32" t="inlineStr">
        <is>
          <t>DECOLURE 100% Viscose from Bamboo Sheets Twin Size | 4 Pc Cooling Bed Set</t>
        </is>
      </c>
      <c r="E61" s="32" t="inlineStr">
        <is>
          <t>Twin</t>
        </is>
      </c>
      <c r="F61" s="32" t="inlineStr">
        <is>
          <t>White</t>
        </is>
      </c>
      <c r="G61" s="60" t="n">
        <v>69.98999999999999</v>
      </c>
      <c r="H61" s="32" t="inlineStr">
        <is>
          <t>Helium 10 Xray, 2026-10-13</t>
        </is>
      </c>
      <c r="I61" s="61" t="n">
        <v>64.98999999999999</v>
      </c>
      <c r="J61" s="62" t="inlineStr">
        <is>
          <t>2026-03-30</t>
        </is>
      </c>
      <c r="K61" s="33" t="n">
        <v>27.36999999999999</v>
      </c>
      <c r="L61" s="63" t="n">
        <v>0.421141714109863</v>
      </c>
      <c r="M61" s="64" t="n">
        <v>6</v>
      </c>
      <c r="N61" s="32" t="inlineStr">
        <is>
          <t>Active</t>
        </is>
      </c>
      <c r="O61" s="32" t="n"/>
      <c r="P61" s="65" t="n">
        <v>4.4</v>
      </c>
      <c r="Q61" s="64" t="n">
        <v>3153</v>
      </c>
      <c r="R61" s="64" t="n">
        <v>18045</v>
      </c>
      <c r="S61" s="64" t="n">
        <v>12</v>
      </c>
      <c r="T61" s="32" t="n"/>
    </row>
    <row r="62" ht="62" customHeight="1">
      <c r="A62" s="10">
        <f>_xlfn.IMAGE("https://m.media-amazon.com/images/I/817PHsMlA6L.jpg")</f>
        <v/>
      </c>
      <c r="B62" s="32" t="inlineStr">
        <is>
          <t>B0CQ31D5FM</t>
        </is>
      </c>
      <c r="C62" s="32" t="inlineStr">
        <is>
          <t>BAMBOO-CALIFKING-BLACK-6PCS</t>
        </is>
      </c>
      <c r="D62" s="32" t="inlineStr">
        <is>
          <t>DECOLURE 100% Viscose from Bamboo Sheets | 6 Pc Cooling Bed Set</t>
        </is>
      </c>
      <c r="E62" s="32" t="inlineStr">
        <is>
          <t>California King</t>
        </is>
      </c>
      <c r="F62" s="32" t="inlineStr">
        <is>
          <t>Black</t>
        </is>
      </c>
      <c r="G62" s="60" t="n">
        <v>99.98999999999999</v>
      </c>
      <c r="H62" s="32" t="inlineStr">
        <is>
          <t>Helium 10 Xray, 2026-10-13</t>
        </is>
      </c>
      <c r="I62" s="33" t="n"/>
      <c r="J62" s="32" t="n"/>
      <c r="K62" s="33" t="n"/>
      <c r="L62" s="63" t="n"/>
      <c r="M62" s="64" t="n">
        <v>5</v>
      </c>
      <c r="N62" s="32" t="inlineStr">
        <is>
          <t>Active</t>
        </is>
      </c>
      <c r="O62" s="32" t="n"/>
      <c r="P62" s="65" t="n">
        <v>4.4</v>
      </c>
      <c r="Q62" s="64" t="n">
        <v>3153</v>
      </c>
      <c r="R62" s="64" t="n">
        <v>18049</v>
      </c>
      <c r="S62" s="64" t="n">
        <v>6</v>
      </c>
      <c r="T62" s="32" t="n"/>
    </row>
    <row r="63" ht="62" customHeight="1">
      <c r="A63" s="10">
        <f>_xlfn.IMAGE("https://m.media-amazon.com/images/I/81kehc99ZjL.jpg")</f>
        <v/>
      </c>
      <c r="B63" s="32" t="inlineStr">
        <is>
          <t>B0CQ31X3X5</t>
        </is>
      </c>
      <c r="C63" s="32" t="inlineStr">
        <is>
          <t>BAMBOO-FULL-PURPLE-6PCS</t>
        </is>
      </c>
      <c r="D63" s="32" t="inlineStr">
        <is>
          <t>DECOLURE 100% Viscose from Bamboo Sheets Full Size | 6 Pc Cooling Bed Set</t>
        </is>
      </c>
      <c r="E63" s="32" t="inlineStr">
        <is>
          <t>Full</t>
        </is>
      </c>
      <c r="F63" s="32" t="inlineStr">
        <is>
          <t>Purple</t>
        </is>
      </c>
      <c r="G63" s="60" t="n">
        <v>79.98999999999999</v>
      </c>
      <c r="H63" s="32" t="inlineStr">
        <is>
          <t>Helium 10 Xray, 2026-10-13</t>
        </is>
      </c>
      <c r="I63" s="61" t="n">
        <v>90.98999999999999</v>
      </c>
      <c r="J63" s="62" t="inlineStr">
        <is>
          <t>2026-03-30</t>
        </is>
      </c>
      <c r="K63" s="33" t="n">
        <v>43.61999999999999</v>
      </c>
      <c r="L63" s="63" t="n">
        <v>0.4793933399274645</v>
      </c>
      <c r="M63" s="64" t="n">
        <v>5</v>
      </c>
      <c r="N63" s="32" t="inlineStr">
        <is>
          <t>Active</t>
        </is>
      </c>
      <c r="O63" s="32" t="n"/>
      <c r="P63" s="65" t="n">
        <v>4.4</v>
      </c>
      <c r="Q63" s="64" t="n">
        <v>3153</v>
      </c>
      <c r="R63" s="64" t="n">
        <v>18049</v>
      </c>
      <c r="S63" s="64" t="n">
        <v>14</v>
      </c>
      <c r="T63" s="32" t="n"/>
    </row>
    <row r="64" ht="62" customHeight="1">
      <c r="A64" s="10">
        <f>_xlfn.IMAGE("https://m.media-amazon.com/images/I/81EHFhQyvAL.jpg")</f>
        <v/>
      </c>
      <c r="B64" s="32" t="inlineStr">
        <is>
          <t>B0CQ2YZ364</t>
        </is>
      </c>
      <c r="C64" s="32" t="inlineStr">
        <is>
          <t>BAMBOO-TWIN-SAGE GREEN-6PCS</t>
        </is>
      </c>
      <c r="D64" s="32" t="inlineStr">
        <is>
          <t>DECOLURE 100% Viscose from Bamboo Sheets Twin Size | 4 Pc Cooling Bed Set</t>
        </is>
      </c>
      <c r="E64" s="32" t="inlineStr">
        <is>
          <t>Twin</t>
        </is>
      </c>
      <c r="F64" s="32" t="inlineStr">
        <is>
          <t>Sage Green</t>
        </is>
      </c>
      <c r="G64" s="60" t="n">
        <v>69.98999999999999</v>
      </c>
      <c r="H64" s="32" t="inlineStr">
        <is>
          <t>Helium 10 Xray, 2026-10-13</t>
        </is>
      </c>
      <c r="I64" s="61" t="n">
        <v>84.98999999999999</v>
      </c>
      <c r="J64" s="62" t="inlineStr">
        <is>
          <t>2026-03-30</t>
        </is>
      </c>
      <c r="K64" s="33" t="n">
        <v>44.56999999999999</v>
      </c>
      <c r="L64" s="63" t="n">
        <v>0.5244146370161195</v>
      </c>
      <c r="M64" s="64" t="n">
        <v>5</v>
      </c>
      <c r="N64" s="32" t="inlineStr">
        <is>
          <t>Active</t>
        </is>
      </c>
      <c r="O64" s="32" t="n"/>
      <c r="P64" s="65" t="n">
        <v>4.4</v>
      </c>
      <c r="Q64" s="64" t="n">
        <v>3153</v>
      </c>
      <c r="R64" s="64" t="n">
        <v>18049</v>
      </c>
      <c r="S64" s="64" t="n">
        <v>20</v>
      </c>
      <c r="T64" s="32" t="n"/>
    </row>
    <row r="65" ht="62" customHeight="1">
      <c r="A65" s="10">
        <f>_xlfn.IMAGE("https://m.media-amazon.com/images/I/81C7Qfwu1WL.jpg")</f>
        <v/>
      </c>
      <c r="B65" s="32" t="inlineStr">
        <is>
          <t>B0CQ33T9BL</t>
        </is>
      </c>
      <c r="C65" s="32" t="inlineStr">
        <is>
          <t>BAMBOO-CALIFKING-GREY-6PCS</t>
        </is>
      </c>
      <c r="D65" s="32" t="inlineStr">
        <is>
          <t>DECOLURE 100% Viscose from Bamboo Sheets | 6 Pc Cooling Bed Set</t>
        </is>
      </c>
      <c r="E65" s="32" t="inlineStr">
        <is>
          <t>California King</t>
        </is>
      </c>
      <c r="F65" s="32" t="inlineStr">
        <is>
          <t>Grey</t>
        </is>
      </c>
      <c r="G65" s="60" t="n">
        <v>99.98999999999999</v>
      </c>
      <c r="H65" s="32" t="inlineStr">
        <is>
          <t>Helium 10 Xray, 2026-10-13</t>
        </is>
      </c>
      <c r="I65" s="33" t="n"/>
      <c r="J65" s="32" t="n"/>
      <c r="K65" s="33" t="n"/>
      <c r="L65" s="63" t="n"/>
      <c r="M65" s="64" t="n">
        <v>4</v>
      </c>
      <c r="N65" s="32" t="inlineStr">
        <is>
          <t>Active</t>
        </is>
      </c>
      <c r="O65" s="32" t="n"/>
      <c r="P65" s="65" t="n">
        <v>4.4</v>
      </c>
      <c r="Q65" s="64" t="n">
        <v>3153</v>
      </c>
      <c r="R65" s="64" t="n">
        <v>18045</v>
      </c>
      <c r="S65" s="64" t="n">
        <v>5</v>
      </c>
      <c r="T65" s="32" t="n"/>
    </row>
    <row r="66" ht="62" customHeight="1">
      <c r="A66" s="10">
        <f>_xlfn.IMAGE("https://m.media-amazon.com/images/I/81C7Qfwu1WL.jpg")</f>
        <v/>
      </c>
      <c r="B66" s="32" t="inlineStr">
        <is>
          <t>B0CQ328B82</t>
        </is>
      </c>
      <c r="C66" s="32" t="inlineStr">
        <is>
          <t>BAMBOO-FULL-GREY-6PCS</t>
        </is>
      </c>
      <c r="D66" s="32" t="inlineStr">
        <is>
          <t>DECOLURE 100% Viscose from Bamboo Sheets Full Size | 6 Pc Cooling Bed Set</t>
        </is>
      </c>
      <c r="E66" s="32" t="inlineStr">
        <is>
          <t>Full</t>
        </is>
      </c>
      <c r="F66" s="32" t="inlineStr">
        <is>
          <t>Grey</t>
        </is>
      </c>
      <c r="G66" s="60" t="n">
        <v>79.98999999999999</v>
      </c>
      <c r="H66" s="32" t="inlineStr">
        <is>
          <t>Helium 10 Xray, 2026-10-13</t>
        </is>
      </c>
      <c r="I66" s="61" t="n">
        <v>74.98999999999999</v>
      </c>
      <c r="J66" s="62" t="inlineStr">
        <is>
          <t>2026-03-30</t>
        </is>
      </c>
      <c r="K66" s="33" t="n">
        <v>30.00999999999999</v>
      </c>
      <c r="L66" s="63" t="n">
        <v>0.4001866915588745</v>
      </c>
      <c r="M66" s="64" t="n">
        <v>4</v>
      </c>
      <c r="N66" s="32" t="inlineStr">
        <is>
          <t>Active</t>
        </is>
      </c>
      <c r="O66" s="32" t="n"/>
      <c r="P66" s="65" t="n">
        <v>4.4</v>
      </c>
      <c r="Q66" s="64" t="n">
        <v>3153</v>
      </c>
      <c r="R66" s="64" t="n">
        <v>18045</v>
      </c>
      <c r="S66" s="64" t="n">
        <v>14</v>
      </c>
      <c r="T66" s="32" t="n"/>
    </row>
    <row r="67" ht="62" customHeight="1">
      <c r="A67" s="10">
        <f>_xlfn.IMAGE("https://m.media-amazon.com/images/I/81vnFb6DYQL.jpg")</f>
        <v/>
      </c>
      <c r="B67" s="32" t="inlineStr">
        <is>
          <t>B0CQ2YBSK2</t>
        </is>
      </c>
      <c r="C67" s="32" t="inlineStr">
        <is>
          <t>BAMBOO-FULL-LIGHTOLIVE-6PCS</t>
        </is>
      </c>
      <c r="D67" s="32" t="inlineStr">
        <is>
          <t>DECOLURE 100% Viscose from Bamboo Sheets Full Size | 6 Pc Cooling Bed Set</t>
        </is>
      </c>
      <c r="E67" s="32" t="inlineStr">
        <is>
          <t>Full</t>
        </is>
      </c>
      <c r="F67" s="32" t="inlineStr">
        <is>
          <t>Light Olive</t>
        </is>
      </c>
      <c r="G67" s="60" t="n">
        <v>79.98999999999999</v>
      </c>
      <c r="H67" s="32" t="inlineStr">
        <is>
          <t>Helium 10 Xray, 2026-10-13</t>
        </is>
      </c>
      <c r="I67" s="61" t="n">
        <v>74.98999999999999</v>
      </c>
      <c r="J67" s="62" t="inlineStr">
        <is>
          <t>2026-03-30</t>
        </is>
      </c>
      <c r="K67" s="33" t="n">
        <v>29.87999999999999</v>
      </c>
      <c r="L67" s="63" t="n">
        <v>0.3984531270836111</v>
      </c>
      <c r="M67" s="64" t="n">
        <v>4</v>
      </c>
      <c r="N67" s="32" t="inlineStr">
        <is>
          <t>Active</t>
        </is>
      </c>
      <c r="O67" s="32" t="n"/>
      <c r="P67" s="65" t="n">
        <v>4.4</v>
      </c>
      <c r="Q67" s="64" t="n">
        <v>3153</v>
      </c>
      <c r="R67" s="64" t="n">
        <v>18045</v>
      </c>
      <c r="S67" s="64" t="n">
        <v>13</v>
      </c>
      <c r="T67" s="32" t="n"/>
    </row>
    <row r="68" ht="62" customHeight="1">
      <c r="A68" s="10">
        <f>_xlfn.IMAGE("https://m.media-amazon.com/images/I/813aFqxnKrL.jpg")</f>
        <v/>
      </c>
      <c r="B68" s="32" t="inlineStr">
        <is>
          <t>B0CQ2YDPDS</t>
        </is>
      </c>
      <c r="C68" s="32" t="inlineStr">
        <is>
          <t>BAMBOO-KING-OLIVE-6PCS</t>
        </is>
      </c>
      <c r="D68" s="32" t="inlineStr">
        <is>
          <t>DECOLURE 100% Viscose from Bamboo Sheets King Size | 6 Pc Cooling Bed Set</t>
        </is>
      </c>
      <c r="E68" s="32" t="inlineStr">
        <is>
          <t>King</t>
        </is>
      </c>
      <c r="F68" s="32" t="inlineStr">
        <is>
          <t>Olive</t>
        </is>
      </c>
      <c r="G68" s="60" t="n">
        <v>89.98999999999999</v>
      </c>
      <c r="H68" s="32" t="inlineStr">
        <is>
          <t>Helium 10 Xray, 2026-10-13</t>
        </is>
      </c>
      <c r="I68" s="61" t="n">
        <v>89.98999999999999</v>
      </c>
      <c r="J68" s="62" t="inlineStr">
        <is>
          <t>2026-03-30</t>
        </is>
      </c>
      <c r="K68" s="33" t="n">
        <v>34.76</v>
      </c>
      <c r="L68" s="63" t="n">
        <v>0.3862651405711746</v>
      </c>
      <c r="M68" s="64" t="n">
        <v>4</v>
      </c>
      <c r="N68" s="32" t="inlineStr">
        <is>
          <t>Active</t>
        </is>
      </c>
      <c r="O68" s="32" t="n"/>
      <c r="P68" s="65" t="n">
        <v>4.4</v>
      </c>
      <c r="Q68" s="64" t="n">
        <v>3153</v>
      </c>
      <c r="R68" s="64" t="n">
        <v>18049</v>
      </c>
      <c r="S68" s="64" t="n">
        <v>6</v>
      </c>
      <c r="T68" s="32" t="n"/>
    </row>
    <row r="69" ht="62" customHeight="1">
      <c r="A69" s="10">
        <f>_xlfn.IMAGE("https://m.media-amazon.com/images/I/81E1xMzOfhL.jpg")</f>
        <v/>
      </c>
      <c r="B69" s="32" t="inlineStr">
        <is>
          <t>B0CQ33P28L</t>
        </is>
      </c>
      <c r="C69" s="32" t="inlineStr">
        <is>
          <t>BAMBOO-TWIN-GREY-6PCS</t>
        </is>
      </c>
      <c r="D69" s="32" t="inlineStr">
        <is>
          <t>DECOLURE 100% Viscose from Bamboo Sheets Twin Size | 4 Pc Cooling Bed Set</t>
        </is>
      </c>
      <c r="E69" s="32" t="inlineStr">
        <is>
          <t>Twin</t>
        </is>
      </c>
      <c r="F69" s="32" t="inlineStr">
        <is>
          <t>Grey</t>
        </is>
      </c>
      <c r="G69" s="60" t="n">
        <v>69.98999999999999</v>
      </c>
      <c r="H69" s="32" t="inlineStr">
        <is>
          <t>Helium 10 Xray, 2026-10-13</t>
        </is>
      </c>
      <c r="I69" s="33" t="n"/>
      <c r="J69" s="32" t="n"/>
      <c r="K69" s="33" t="n"/>
      <c r="L69" s="63" t="n"/>
      <c r="M69" s="64" t="n">
        <v>4</v>
      </c>
      <c r="N69" s="32" t="inlineStr">
        <is>
          <t>Active</t>
        </is>
      </c>
      <c r="O69" s="32" t="n"/>
      <c r="P69" s="65" t="n">
        <v>4.4</v>
      </c>
      <c r="Q69" s="64" t="n">
        <v>3153</v>
      </c>
      <c r="R69" s="64" t="n">
        <v>18045</v>
      </c>
      <c r="S69" s="64" t="n">
        <v>19</v>
      </c>
      <c r="T69" s="32" t="n"/>
    </row>
    <row r="70" ht="62" customHeight="1">
      <c r="A70" s="10">
        <f>_xlfn.IMAGE("https://m.media-amazon.com/images/I/813aFqxnKrL.jpg")</f>
        <v/>
      </c>
      <c r="B70" s="32" t="inlineStr">
        <is>
          <t>B0CQ32JY2T</t>
        </is>
      </c>
      <c r="C70" s="32" t="inlineStr">
        <is>
          <t>BAMBOO-CALIFKING-OLIVE-6PCS</t>
        </is>
      </c>
      <c r="D70" s="32" t="inlineStr">
        <is>
          <t>DECOLURE 100% Viscose from Bamboo Sheets | 6 Pc Cooling Bed Set</t>
        </is>
      </c>
      <c r="E70" s="32" t="inlineStr">
        <is>
          <t>California King</t>
        </is>
      </c>
      <c r="F70" s="32" t="inlineStr">
        <is>
          <t>Olive</t>
        </is>
      </c>
      <c r="G70" s="60" t="n">
        <v>99.98999999999999</v>
      </c>
      <c r="H70" s="32" t="inlineStr">
        <is>
          <t>Helium 10 Xray, 2026-10-13</t>
        </is>
      </c>
      <c r="I70" s="61" t="n">
        <v>89.98999999999999</v>
      </c>
      <c r="J70" s="62" t="inlineStr">
        <is>
          <t>2026-03-30</t>
        </is>
      </c>
      <c r="K70" s="33" t="n">
        <v>34.08999999999999</v>
      </c>
      <c r="L70" s="63" t="n">
        <v>0.3788198688743193</v>
      </c>
      <c r="M70" s="64" t="n">
        <v>3</v>
      </c>
      <c r="N70" s="32" t="inlineStr">
        <is>
          <t>Active</t>
        </is>
      </c>
      <c r="O70" s="32" t="n"/>
      <c r="P70" s="65" t="n">
        <v>4.4</v>
      </c>
      <c r="Q70" s="64" t="n">
        <v>3153</v>
      </c>
      <c r="R70" s="64" t="n">
        <v>18049</v>
      </c>
      <c r="S70" s="64" t="n">
        <v>1</v>
      </c>
      <c r="T70" s="32" t="n"/>
    </row>
    <row r="71" ht="62" customHeight="1">
      <c r="A71" s="10">
        <f>_xlfn.IMAGE("https://m.media-amazon.com/images/I/81ES2nvuC3L.jpg")</f>
        <v/>
      </c>
      <c r="B71" s="32" t="inlineStr">
        <is>
          <t>B0CQ2YMNV7</t>
        </is>
      </c>
      <c r="C71" s="32" t="inlineStr">
        <is>
          <t>BAMBOO-TWIN-PURPLE-6PCS</t>
        </is>
      </c>
      <c r="D71" s="32" t="inlineStr">
        <is>
          <t>DECOLURE 100% Viscose from Bamboo Sheets Twin Size | 4 Pc Cooling Bed Set</t>
        </is>
      </c>
      <c r="E71" s="32" t="inlineStr">
        <is>
          <t>Twin</t>
        </is>
      </c>
      <c r="F71" s="32" t="inlineStr">
        <is>
          <t>Purple</t>
        </is>
      </c>
      <c r="G71" s="60" t="n">
        <v>69.98999999999999</v>
      </c>
      <c r="H71" s="32" t="inlineStr">
        <is>
          <t>Helium 10 Xray, 2026-10-13</t>
        </is>
      </c>
      <c r="I71" s="61" t="n">
        <v>64.98999999999999</v>
      </c>
      <c r="J71" s="62" t="inlineStr">
        <is>
          <t>2026-03-30</t>
        </is>
      </c>
      <c r="K71" s="33" t="n">
        <v>28.18</v>
      </c>
      <c r="L71" s="63" t="n">
        <v>0.4336051700261578</v>
      </c>
      <c r="M71" s="64" t="n">
        <v>3</v>
      </c>
      <c r="N71" s="32" t="inlineStr">
        <is>
          <t>Active</t>
        </is>
      </c>
      <c r="O71" s="32" t="n"/>
      <c r="P71" s="65" t="n">
        <v>4.4</v>
      </c>
      <c r="Q71" s="64" t="n">
        <v>3153</v>
      </c>
      <c r="R71" s="64" t="n">
        <v>18045</v>
      </c>
      <c r="S71" s="64" t="n">
        <v>18</v>
      </c>
      <c r="T71" s="32" t="n"/>
    </row>
    <row r="72" ht="62" customHeight="1">
      <c r="A72" s="10">
        <f>_xlfn.IMAGE("https://m.media-amazon.com/images/I/810-YAbkXoL.jpg")</f>
        <v/>
      </c>
      <c r="B72" s="32" t="inlineStr">
        <is>
          <t>B0CQ31V52K</t>
        </is>
      </c>
      <c r="C72" s="32" t="inlineStr">
        <is>
          <t>BAMBOO-CALIFKING-LIGHTOLIVE-6PCS</t>
        </is>
      </c>
      <c r="D72" s="32" t="inlineStr">
        <is>
          <t>DECOLURE 100% Viscose from Bamboo Sheets | 6 Pc Cooling Bed Set</t>
        </is>
      </c>
      <c r="E72" s="32" t="inlineStr">
        <is>
          <t>California King</t>
        </is>
      </c>
      <c r="F72" s="32" t="inlineStr">
        <is>
          <t>Light Olive</t>
        </is>
      </c>
      <c r="G72" s="60" t="n">
        <v>84.98999999999999</v>
      </c>
      <c r="H72" s="32" t="inlineStr">
        <is>
          <t>SellerBoard listing price, 2026-10-14</t>
        </is>
      </c>
      <c r="I72" s="61" t="n">
        <v>89.98999999999999</v>
      </c>
      <c r="J72" s="62" t="inlineStr">
        <is>
          <t>2026-03-30</t>
        </is>
      </c>
      <c r="K72" s="33" t="n">
        <v>34.93999999999999</v>
      </c>
      <c r="L72" s="63" t="n">
        <v>0.3882653628180908</v>
      </c>
      <c r="M72" s="64" t="n">
        <v>2</v>
      </c>
      <c r="N72" s="32" t="inlineStr">
        <is>
          <t>Inactive</t>
        </is>
      </c>
      <c r="O72" s="32" t="n"/>
      <c r="P72" s="65" t="n"/>
      <c r="Q72" s="64" t="n"/>
      <c r="R72" s="64" t="n"/>
      <c r="S72" s="64" t="n"/>
      <c r="T72" s="32" t="n"/>
    </row>
    <row r="73" ht="62" customHeight="1">
      <c r="A73" s="10">
        <f>_xlfn.IMAGE("https://m.media-amazon.com/images/I/81LUuxH3WqL.jpg")</f>
        <v/>
      </c>
      <c r="B73" s="32" t="inlineStr">
        <is>
          <t>B0CQ3319BK</t>
        </is>
      </c>
      <c r="C73" s="32" t="inlineStr">
        <is>
          <t>BAMBOO-TWIN-BLACK-6PCS</t>
        </is>
      </c>
      <c r="D73" s="32" t="inlineStr">
        <is>
          <t>DECOLURE 100% Viscose from Bamboo Sheets Twin Size | 4 Pc Cooling Bed Set</t>
        </is>
      </c>
      <c r="E73" s="32" t="inlineStr">
        <is>
          <t>Twin</t>
        </is>
      </c>
      <c r="F73" s="32" t="inlineStr">
        <is>
          <t>Black</t>
        </is>
      </c>
      <c r="G73" s="60" t="n">
        <v>69.98999999999999</v>
      </c>
      <c r="H73" s="32" t="inlineStr">
        <is>
          <t>Helium 10 Xray, 2026-10-13</t>
        </is>
      </c>
      <c r="I73" s="61" t="n">
        <v>64.98999999999999</v>
      </c>
      <c r="J73" s="62" t="inlineStr">
        <is>
          <t>2026-03-30</t>
        </is>
      </c>
      <c r="K73" s="33" t="n">
        <v>27.94999999999999</v>
      </c>
      <c r="L73" s="63" t="n">
        <v>0.4300661640252346</v>
      </c>
      <c r="M73" s="64" t="n">
        <v>2</v>
      </c>
      <c r="N73" s="32" t="inlineStr">
        <is>
          <t>Active</t>
        </is>
      </c>
      <c r="O73" s="32" t="n"/>
      <c r="P73" s="65" t="n">
        <v>4.4</v>
      </c>
      <c r="Q73" s="64" t="n">
        <v>3153</v>
      </c>
      <c r="R73" s="64" t="n">
        <v>18049</v>
      </c>
      <c r="S73" s="64" t="n">
        <v>10</v>
      </c>
      <c r="T73" s="32" t="n"/>
    </row>
    <row r="74" ht="62" customHeight="1">
      <c r="A74" s="10">
        <f>_xlfn.IMAGE("https://m.media-amazon.com/images/I/81FUAGLZKiL.jpg")</f>
        <v/>
      </c>
      <c r="B74" s="32" t="inlineStr">
        <is>
          <t>B0CQ33ZGQL</t>
        </is>
      </c>
      <c r="C74" s="32" t="inlineStr">
        <is>
          <t>BAMBOO-TWIN-LIGHTGREY-6PCS</t>
        </is>
      </c>
      <c r="D74" s="32" t="inlineStr">
        <is>
          <t>DECOLURE 100% Viscose from Bamboo Sheets Twin Size | 4 Pc Cooling Bed Set</t>
        </is>
      </c>
      <c r="E74" s="32" t="inlineStr">
        <is>
          <t>Twin</t>
        </is>
      </c>
      <c r="F74" s="32" t="inlineStr">
        <is>
          <t>Light Grey</t>
        </is>
      </c>
      <c r="G74" s="60" t="n">
        <v>69.98999999999999</v>
      </c>
      <c r="H74" s="32" t="inlineStr">
        <is>
          <t>Helium 10 Xray, 2026-10-13</t>
        </is>
      </c>
      <c r="I74" s="61" t="n">
        <v>64.98999999999999</v>
      </c>
      <c r="J74" s="62" t="inlineStr">
        <is>
          <t>2026-03-30</t>
        </is>
      </c>
      <c r="K74" s="33" t="n">
        <v>27.36</v>
      </c>
      <c r="L74" s="63" t="n">
        <v>0.4209878442837359</v>
      </c>
      <c r="M74" s="64" t="n">
        <v>2</v>
      </c>
      <c r="N74" s="32" t="inlineStr">
        <is>
          <t>Active</t>
        </is>
      </c>
      <c r="O74" s="32" t="n"/>
      <c r="P74" s="65" t="n">
        <v>4.4</v>
      </c>
      <c r="Q74" s="64" t="n">
        <v>3153</v>
      </c>
      <c r="R74" s="64" t="n">
        <v>18045</v>
      </c>
      <c r="S74" s="64" t="n">
        <v>13</v>
      </c>
      <c r="T74" s="32" t="n"/>
    </row>
    <row r="75" ht="62" customHeight="1">
      <c r="A75" s="10">
        <f>_xlfn.IMAGE("https://m.media-amazon.com/images/I/810-YAbkXoL.jpg")</f>
        <v/>
      </c>
      <c r="B75" s="32" t="inlineStr">
        <is>
          <t>B0CQ2YWCB3</t>
        </is>
      </c>
      <c r="C75" s="32" t="inlineStr">
        <is>
          <t>BAMBOO-TWIN-LIGHTOLIVE-6PCS</t>
        </is>
      </c>
      <c r="D75" s="32" t="inlineStr">
        <is>
          <t>DECOLURE 100% Viscose from Bamboo Sheets Twin Size | 4 Pc Cooling Bed Set</t>
        </is>
      </c>
      <c r="E75" s="32" t="inlineStr">
        <is>
          <t>Twin</t>
        </is>
      </c>
      <c r="F75" s="32" t="inlineStr">
        <is>
          <t>Light Olive</t>
        </is>
      </c>
      <c r="G75" s="60" t="n">
        <v>69.98999999999999</v>
      </c>
      <c r="H75" s="32" t="inlineStr">
        <is>
          <t>Helium 10 Xray, 2026-10-13</t>
        </is>
      </c>
      <c r="I75" s="61" t="n">
        <v>64.98999999999999</v>
      </c>
      <c r="J75" s="62" t="inlineStr">
        <is>
          <t>2026-03-30</t>
        </is>
      </c>
      <c r="K75" s="33" t="n">
        <v>25.78</v>
      </c>
      <c r="L75" s="63" t="n">
        <v>0.3966764117556547</v>
      </c>
      <c r="M75" s="64" t="n">
        <v>2</v>
      </c>
      <c r="N75" s="32" t="inlineStr">
        <is>
          <t>Active</t>
        </is>
      </c>
      <c r="O75" s="32" t="n"/>
      <c r="P75" s="65" t="n">
        <v>4.4</v>
      </c>
      <c r="Q75" s="64" t="n">
        <v>3153</v>
      </c>
      <c r="R75" s="64" t="n">
        <v>18045</v>
      </c>
      <c r="S75" s="64" t="n">
        <v>20</v>
      </c>
      <c r="T75" s="32" t="n"/>
    </row>
    <row r="76" ht="62" customHeight="1">
      <c r="A76" s="10">
        <f>_xlfn.IMAGE("https://m.media-amazon.com/images/I/81eT+1RWQML.jpg")</f>
        <v/>
      </c>
      <c r="B76" s="32" t="inlineStr">
        <is>
          <t>B0CQ31XF3H</t>
        </is>
      </c>
      <c r="C76" s="32" t="inlineStr">
        <is>
          <t>BAMBOO-TWIN-MIDGREY-6PCS</t>
        </is>
      </c>
      <c r="D76" s="32" t="inlineStr">
        <is>
          <t>DECOLURE 100% Viscose from Bamboo Sheets Twin Size | 4 Pc Cooling Bed Set</t>
        </is>
      </c>
      <c r="E76" s="32" t="inlineStr">
        <is>
          <t>Twin</t>
        </is>
      </c>
      <c r="F76" s="32" t="inlineStr">
        <is>
          <t>Midgrey</t>
        </is>
      </c>
      <c r="G76" s="60" t="n">
        <v>69.98999999999999</v>
      </c>
      <c r="H76" s="32" t="inlineStr">
        <is>
          <t>Helium 10 Xray, 2026-10-13</t>
        </is>
      </c>
      <c r="I76" s="61" t="n">
        <v>59.99</v>
      </c>
      <c r="J76" s="62" t="inlineStr">
        <is>
          <t>2026-03-30</t>
        </is>
      </c>
      <c r="K76" s="33" t="n">
        <v>23.62</v>
      </c>
      <c r="L76" s="63" t="n">
        <v>0.3937322887147858</v>
      </c>
      <c r="M76" s="64" t="n">
        <v>2</v>
      </c>
      <c r="N76" s="32" t="inlineStr">
        <is>
          <t>Active</t>
        </is>
      </c>
      <c r="O76" s="32" t="n"/>
      <c r="P76" s="65" t="n">
        <v>4.4</v>
      </c>
      <c r="Q76" s="64" t="n">
        <v>3153</v>
      </c>
      <c r="R76" s="64" t="n">
        <v>18045</v>
      </c>
      <c r="S76" s="64" t="n">
        <v>23</v>
      </c>
      <c r="T76" s="32" t="n"/>
    </row>
    <row r="77" ht="62" customHeight="1">
      <c r="A77" s="10">
        <f>_xlfn.IMAGE("https://m.media-amazon.com/images/I/81RH5ZSH8mL.jpg")</f>
        <v/>
      </c>
      <c r="B77" s="32" t="inlineStr">
        <is>
          <t>B0CQ32QQ47</t>
        </is>
      </c>
      <c r="C77" s="32" t="inlineStr">
        <is>
          <t>BAMBOO-TWIN-TAUPE-6PCS</t>
        </is>
      </c>
      <c r="D77" s="32" t="inlineStr">
        <is>
          <t>DECOLURE 100% Viscose from Bamboo Sheets Twin Size | 4 Pc Cooling Bed Set</t>
        </is>
      </c>
      <c r="E77" s="32" t="inlineStr">
        <is>
          <t>Twin</t>
        </is>
      </c>
      <c r="F77" s="32" t="inlineStr">
        <is>
          <t>Taupe</t>
        </is>
      </c>
      <c r="G77" s="60" t="n">
        <v>69.98999999999999</v>
      </c>
      <c r="H77" s="32" t="inlineStr">
        <is>
          <t>Helium 10 Xray, 2026-10-13</t>
        </is>
      </c>
      <c r="I77" s="61" t="n">
        <v>64.98999999999999</v>
      </c>
      <c r="J77" s="62" t="inlineStr">
        <is>
          <t>2026-03-30</t>
        </is>
      </c>
      <c r="K77" s="33" t="n">
        <v>27.32</v>
      </c>
      <c r="L77" s="63" t="n">
        <v>0.4203723649792275</v>
      </c>
      <c r="M77" s="64" t="n">
        <v>2</v>
      </c>
      <c r="N77" s="32" t="inlineStr">
        <is>
          <t>Active</t>
        </is>
      </c>
      <c r="O77" s="32" t="n"/>
      <c r="P77" s="65" t="n">
        <v>4.4</v>
      </c>
      <c r="Q77" s="64" t="n">
        <v>3153</v>
      </c>
      <c r="R77" s="64" t="n">
        <v>18045</v>
      </c>
      <c r="S77" s="64" t="n">
        <v>21</v>
      </c>
      <c r="T77" s="32" t="n"/>
    </row>
    <row r="78" ht="62" customHeight="1">
      <c r="A78" s="10">
        <f>_xlfn.IMAGE("https://m.media-amazon.com/images/I/81qwLZXe5IL.jpg")</f>
        <v/>
      </c>
      <c r="B78" s="32" t="inlineStr">
        <is>
          <t>B0CQ2ZS83S</t>
        </is>
      </c>
      <c r="C78" s="32" t="inlineStr">
        <is>
          <t>BAMBOO-CALIFKING-LIGHT PINK-6PCS</t>
        </is>
      </c>
      <c r="D78" s="32" t="inlineStr">
        <is>
          <t>DECOLURE 100% Viscose from Bamboo Sheets | 6 Pc Cooling Bed Set</t>
        </is>
      </c>
      <c r="E78" s="32" t="inlineStr">
        <is>
          <t>California King</t>
        </is>
      </c>
      <c r="F78" s="32" t="inlineStr">
        <is>
          <t>Light Pink</t>
        </is>
      </c>
      <c r="G78" s="60" t="n">
        <v>99.98999999999999</v>
      </c>
      <c r="H78" s="32" t="inlineStr">
        <is>
          <t>Helium 10 Xray, 2026-10-13</t>
        </is>
      </c>
      <c r="I78" s="61" t="n">
        <v>89.98999999999999</v>
      </c>
      <c r="J78" s="62" t="inlineStr">
        <is>
          <t>2026-03-30</t>
        </is>
      </c>
      <c r="K78" s="33" t="n">
        <v>34.85999999999999</v>
      </c>
      <c r="L78" s="63" t="n">
        <v>0.3873763751527947</v>
      </c>
      <c r="M78" s="64" t="n">
        <v>1</v>
      </c>
      <c r="N78" s="32" t="inlineStr">
        <is>
          <t>Active</t>
        </is>
      </c>
      <c r="O78" s="32" t="n"/>
      <c r="P78" s="65" t="n">
        <v>4.4</v>
      </c>
      <c r="Q78" s="64" t="n">
        <v>3153</v>
      </c>
      <c r="R78" s="64" t="n">
        <v>18049</v>
      </c>
      <c r="S78" s="64" t="n">
        <v>4</v>
      </c>
      <c r="T78" s="32" t="n"/>
    </row>
    <row r="79" ht="62" customHeight="1">
      <c r="A79" s="10">
        <f>_xlfn.IMAGE("https://m.media-amazon.com/images/I/81eT+1RWQML.jpg")</f>
        <v/>
      </c>
      <c r="B79" s="32" t="inlineStr">
        <is>
          <t>B0CQ316WG1</t>
        </is>
      </c>
      <c r="C79" s="32" t="inlineStr">
        <is>
          <t>BAMBOO-CALIFKING-MIDGREY-6PCS</t>
        </is>
      </c>
      <c r="D79" s="32" t="inlineStr">
        <is>
          <t>DECOLURE 100% Viscose from Bamboo Sheets | 6 Pc Cooling Bed Set</t>
        </is>
      </c>
      <c r="E79" s="32" t="inlineStr">
        <is>
          <t>California King</t>
        </is>
      </c>
      <c r="F79" s="32" t="inlineStr">
        <is>
          <t>Midgrey</t>
        </is>
      </c>
      <c r="G79" s="60" t="n">
        <v>99.98999999999999</v>
      </c>
      <c r="H79" s="32" t="inlineStr">
        <is>
          <t>Helium 10 Xray, 2026-10-13</t>
        </is>
      </c>
      <c r="I79" s="61" t="n">
        <v>89.98999999999999</v>
      </c>
      <c r="J79" s="62" t="inlineStr">
        <is>
          <t>2026-03-30</t>
        </is>
      </c>
      <c r="K79" s="33" t="n">
        <v>33.86999999999999</v>
      </c>
      <c r="L79" s="63" t="n">
        <v>0.3763751527947549</v>
      </c>
      <c r="M79" s="64" t="n">
        <v>1</v>
      </c>
      <c r="N79" s="32" t="inlineStr">
        <is>
          <t>Inactive</t>
        </is>
      </c>
      <c r="O79" s="32" t="n"/>
      <c r="P79" s="65" t="n">
        <v>4.4</v>
      </c>
      <c r="Q79" s="64" t="n">
        <v>3153</v>
      </c>
      <c r="R79" s="64" t="n">
        <v>18045</v>
      </c>
      <c r="S79" s="64" t="n">
        <v>4</v>
      </c>
      <c r="T79" s="32" t="n"/>
    </row>
    <row r="80" ht="62" customHeight="1">
      <c r="A80" s="10">
        <f>_xlfn.IMAGE("https://m.media-amazon.com/images/I/81+83kJjC0L.jpg")</f>
        <v/>
      </c>
      <c r="B80" s="32" t="inlineStr">
        <is>
          <t>B0CQ31ZKNJ</t>
        </is>
      </c>
      <c r="C80" s="32" t="inlineStr">
        <is>
          <t>BAMBOO-FULL-CHARCOAL-6PCS</t>
        </is>
      </c>
      <c r="D80" s="32" t="inlineStr">
        <is>
          <t>DECOLURE 100% Viscose from Bamboo Sheets Full Size | 6 Pc Cooling Bed Set</t>
        </is>
      </c>
      <c r="E80" s="32" t="inlineStr">
        <is>
          <t>Full</t>
        </is>
      </c>
      <c r="F80" s="32" t="inlineStr">
        <is>
          <t>Charcoal</t>
        </is>
      </c>
      <c r="G80" s="60" t="n">
        <v>79.98999999999999</v>
      </c>
      <c r="H80" s="32" t="inlineStr">
        <is>
          <t>SellerBoard listing price, 2026-10-14</t>
        </is>
      </c>
      <c r="I80" s="61" t="n">
        <v>90.98999999999999</v>
      </c>
      <c r="J80" s="62" t="inlineStr">
        <is>
          <t>2026-03-30</t>
        </is>
      </c>
      <c r="K80" s="33" t="n">
        <v>43.73999999999999</v>
      </c>
      <c r="L80" s="63" t="n">
        <v>0.4807121661721068</v>
      </c>
      <c r="M80" s="64" t="n">
        <v>1</v>
      </c>
      <c r="N80" s="32" t="inlineStr">
        <is>
          <t>Inactive</t>
        </is>
      </c>
      <c r="O80" s="32" t="n"/>
      <c r="P80" s="65" t="n"/>
      <c r="Q80" s="64" t="n"/>
      <c r="R80" s="64" t="n"/>
      <c r="S80" s="64" t="n"/>
      <c r="T80" s="32" t="n"/>
    </row>
    <row r="81" ht="62" customHeight="1">
      <c r="A81" s="10">
        <f>_xlfn.IMAGE("https://m.media-amazon.com/images/I/81qE6QSwrML.jpg")</f>
        <v/>
      </c>
      <c r="B81" s="32" t="inlineStr">
        <is>
          <t>B0CQ2ZSDMN</t>
        </is>
      </c>
      <c r="C81" s="32" t="inlineStr">
        <is>
          <t>BAMBOO-FULL-NAVYBLUE-6PCS</t>
        </is>
      </c>
      <c r="D81" s="32" t="inlineStr">
        <is>
          <t>DECOLURE 100% Viscose Derived from Bamboo Sheets Full Size, Luxury 6 Pc Set</t>
        </is>
      </c>
      <c r="E81" s="32" t="inlineStr">
        <is>
          <t>Full</t>
        </is>
      </c>
      <c r="F81" s="32" t="inlineStr">
        <is>
          <t>Navy Blue</t>
        </is>
      </c>
      <c r="G81" s="60" t="n">
        <v>74.98999999999999</v>
      </c>
      <c r="H81" s="32" t="inlineStr">
        <is>
          <t>SellerBoard listing price, 2026-10-14</t>
        </is>
      </c>
      <c r="I81" s="61" t="n">
        <v>90.98999999999999</v>
      </c>
      <c r="J81" s="62" t="inlineStr">
        <is>
          <t>2026-03-30</t>
        </is>
      </c>
      <c r="K81" s="33" t="n">
        <v>44.05</v>
      </c>
      <c r="L81" s="63" t="n">
        <v>0.484119133970766</v>
      </c>
      <c r="M81" s="64" t="n">
        <v>1</v>
      </c>
      <c r="N81" s="32" t="inlineStr">
        <is>
          <t>Active</t>
        </is>
      </c>
      <c r="O81" s="32" t="n"/>
      <c r="P81" s="65" t="n"/>
      <c r="Q81" s="64" t="n"/>
      <c r="R81" s="64" t="n"/>
      <c r="S81" s="64" t="n"/>
      <c r="T81" s="32" t="n"/>
    </row>
    <row r="82" ht="62" customHeight="1">
      <c r="A82" s="10">
        <f>_xlfn.IMAGE("https://m.media-amazon.com/images/I/81JHZOIZl1L.jpg")</f>
        <v/>
      </c>
      <c r="B82" s="32" t="inlineStr">
        <is>
          <t>B0CQ311KCT</t>
        </is>
      </c>
      <c r="C82" s="32" t="inlineStr">
        <is>
          <t>BAMBOO-FULL-TAUPE-6PCS</t>
        </is>
      </c>
      <c r="D82" s="32" t="inlineStr">
        <is>
          <t>DECOLURE 100% Viscose Derived from Bamboo Sheets Full Size, Luxury 6 Pc Set</t>
        </is>
      </c>
      <c r="E82" s="32" t="inlineStr">
        <is>
          <t>Full</t>
        </is>
      </c>
      <c r="F82" s="32" t="inlineStr">
        <is>
          <t>Taupe</t>
        </is>
      </c>
      <c r="G82" s="60" t="n">
        <v>74.98999999999999</v>
      </c>
      <c r="H82" s="32" t="inlineStr">
        <is>
          <t>SellerBoard listing price, 2026-10-14</t>
        </is>
      </c>
      <c r="I82" s="61" t="n">
        <v>96.98999999999999</v>
      </c>
      <c r="J82" s="62" t="inlineStr">
        <is>
          <t>2026-03-22</t>
        </is>
      </c>
      <c r="K82" s="33" t="n">
        <v>48.01</v>
      </c>
      <c r="L82" s="63" t="n">
        <v>0.4949994844829363</v>
      </c>
      <c r="M82" s="64" t="n">
        <v>1</v>
      </c>
      <c r="N82" s="32" t="inlineStr">
        <is>
          <t>Active</t>
        </is>
      </c>
      <c r="O82" s="32" t="n"/>
      <c r="P82" s="65" t="n"/>
      <c r="Q82" s="64" t="n"/>
      <c r="R82" s="64" t="n"/>
      <c r="S82" s="64" t="n"/>
      <c r="T82" s="32" t="n"/>
    </row>
    <row r="83" ht="62" customHeight="1">
      <c r="A83" s="10">
        <f>_xlfn.IMAGE("https://m.media-amazon.com/images/I/81EHFhQyvAL.jpg")</f>
        <v/>
      </c>
      <c r="B83" s="32" t="inlineStr">
        <is>
          <t>B0H9Y34CP3</t>
        </is>
      </c>
      <c r="C83" s="32" t="inlineStr">
        <is>
          <t>BAMBOO-CALIFKING-SAGE GREEN-6PC</t>
        </is>
      </c>
      <c r="D83" s="32" t="inlineStr">
        <is>
          <t>DECOLURE 100% Viscose from Bamboo Sheets | 6 Pc Cooling Bed Set</t>
        </is>
      </c>
      <c r="E83" s="32" t="inlineStr">
        <is>
          <t>Cal King</t>
        </is>
      </c>
      <c r="F83" s="32" t="inlineStr">
        <is>
          <t>Sage</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_xlfn.IMAGE("https://m.media-amazon.com/images/I/81+83kJjC0L.jpg")</f>
        <v/>
      </c>
      <c r="B84" s="32" t="inlineStr">
        <is>
          <t>B0CQ32JTTK</t>
        </is>
      </c>
      <c r="C84" s="32" t="inlineStr">
        <is>
          <t>BAMBOO-CALIFKING-CHARCOAL-6PCS</t>
        </is>
      </c>
      <c r="D84" s="32" t="inlineStr">
        <is>
          <t>DECOLURE 100% Viscose from Bamboo Sheets | 6 Pc Cooling Bed Set</t>
        </is>
      </c>
      <c r="E84" s="32" t="inlineStr">
        <is>
          <t>California King</t>
        </is>
      </c>
      <c r="F84" s="32" t="inlineStr">
        <is>
          <t>Charcoal</t>
        </is>
      </c>
      <c r="G84" s="60" t="n">
        <v>84.98999999999999</v>
      </c>
      <c r="H84" s="32" t="inlineStr">
        <is>
          <t>SellerBoard listing price, 2026-10-14</t>
        </is>
      </c>
      <c r="I84" s="61" t="n">
        <v>84.98999999999999</v>
      </c>
      <c r="J84" s="62" t="inlineStr">
        <is>
          <t>2026-02-26</t>
        </is>
      </c>
      <c r="K84" s="33" t="n">
        <v>29.29</v>
      </c>
      <c r="L84" s="63" t="n">
        <v>0.3446287798564537</v>
      </c>
      <c r="M84" s="64" t="n">
        <v>0</v>
      </c>
      <c r="N84" s="32" t="inlineStr">
        <is>
          <t>Inactive</t>
        </is>
      </c>
      <c r="O84" s="32" t="n"/>
      <c r="P84" s="65" t="n"/>
      <c r="Q84" s="64" t="n"/>
      <c r="R84" s="64" t="n"/>
      <c r="S84" s="64" t="n"/>
      <c r="T84" s="32" t="n"/>
    </row>
    <row r="85" ht="62" customHeight="1">
      <c r="A85" s="10">
        <f>_xlfn.IMAGE("https://m.media-amazon.com/images/I/81I312usunL.jpg")</f>
        <v/>
      </c>
      <c r="B85" s="32" t="inlineStr">
        <is>
          <t>B0CQ31X7S5</t>
        </is>
      </c>
      <c r="C85" s="32" t="inlineStr">
        <is>
          <t>BAMBOO-CALIFKING-LIGHTGREY-6PCS</t>
        </is>
      </c>
      <c r="D85" s="32" t="inlineStr">
        <is>
          <t>DECOLURE 100% Viscose from Bamboo Sheets | 6 Pc Cooling Bed Set</t>
        </is>
      </c>
      <c r="E85" s="32" t="inlineStr">
        <is>
          <t>California King</t>
        </is>
      </c>
      <c r="F85" s="32" t="inlineStr">
        <is>
          <t>Light Grey</t>
        </is>
      </c>
      <c r="G85" s="60" t="n">
        <v>99.98999999999999</v>
      </c>
      <c r="H85" s="32" t="inlineStr">
        <is>
          <t>Helium 10 Xray, 2026-10-13</t>
        </is>
      </c>
      <c r="I85" s="61" t="n">
        <v>84.98999999999999</v>
      </c>
      <c r="J85" s="62" t="inlineStr">
        <is>
          <t>2026-02-28</t>
        </is>
      </c>
      <c r="K85" s="33" t="n">
        <v>25.41</v>
      </c>
      <c r="L85" s="63" t="n">
        <v>0.2989763501588422</v>
      </c>
      <c r="M85" s="64" t="n">
        <v>0</v>
      </c>
      <c r="N85" s="32" t="inlineStr">
        <is>
          <t>Active</t>
        </is>
      </c>
      <c r="O85" s="32" t="n"/>
      <c r="P85" s="65" t="n">
        <v>4.4</v>
      </c>
      <c r="Q85" s="64" t="n">
        <v>3153</v>
      </c>
      <c r="R85" s="64" t="n">
        <v>18045</v>
      </c>
      <c r="S85" s="64" t="n">
        <v>4</v>
      </c>
      <c r="T85" s="32" t="n"/>
    </row>
    <row r="86" ht="62" customHeight="1">
      <c r="A86" s="10">
        <f>_xlfn.IMAGE("https://m.media-amazon.com/images/I/81ES2nvuC3L.jpg")</f>
        <v/>
      </c>
      <c r="B86" s="32" t="inlineStr">
        <is>
          <t>B0CQ32CNNX</t>
        </is>
      </c>
      <c r="C86" s="32" t="inlineStr">
        <is>
          <t>BAMBOO-CALIFKING-PURPLE-6PCS</t>
        </is>
      </c>
      <c r="D86" s="32" t="inlineStr">
        <is>
          <t>DECOLURE 100% Viscose from Bamboo Sheets | 6 Pc Cooling Bed Set | Ultra Soft Luxury Sheets | Cooling for Hot Sleepers | California King Bed Set | 17" Deep Pocket w Corner Straps | Purple</t>
        </is>
      </c>
      <c r="E86" s="32" t="inlineStr">
        <is>
          <t>California King</t>
        </is>
      </c>
      <c r="F86" s="32" t="inlineStr">
        <is>
          <t>Purple</t>
        </is>
      </c>
      <c r="G86" s="60" t="n">
        <v>84.98999999999999</v>
      </c>
      <c r="H86" s="32" t="inlineStr">
        <is>
          <t>SellerBoard listing price, 2026-10-14</t>
        </is>
      </c>
      <c r="I86" s="61" t="n">
        <v>89.98999999999999</v>
      </c>
      <c r="J86" s="62" t="inlineStr">
        <is>
          <t>2026-03-30</t>
        </is>
      </c>
      <c r="K86" s="33" t="n">
        <v>33.72999999999999</v>
      </c>
      <c r="L86" s="63" t="n">
        <v>0.3748194243804866</v>
      </c>
      <c r="M86" s="64" t="n"/>
      <c r="N86" s="32" t="inlineStr">
        <is>
          <t>Inactive</t>
        </is>
      </c>
      <c r="O86" s="32" t="n"/>
      <c r="P86" s="65" t="n"/>
      <c r="Q86" s="64" t="n"/>
      <c r="R86" s="64" t="n"/>
      <c r="S86" s="64" t="n"/>
      <c r="T86" s="32" t="n"/>
    </row>
    <row r="87" ht="62" customHeight="1">
      <c r="A87" s="10">
        <f>_xlfn.IMAGE("https://m.media-amazon.com/images/I/81qX1TwGR6L.jpg")</f>
        <v/>
      </c>
      <c r="B87" s="32" t="inlineStr">
        <is>
          <t>B0CQ31LJ3J</t>
        </is>
      </c>
      <c r="C87" s="32" t="inlineStr">
        <is>
          <t>BAMBOO-CALIFKING-SAGE GREEN-6PCS</t>
        </is>
      </c>
      <c r="D87" s="32" t="inlineStr">
        <is>
          <t>DECOLURE 100% Viscose Derived from Bamboo Sheets California King Size - Luxury 6 Pc Naturally Cooling Sheets, Ultra Soft Bed Set - Deep 17" Pockets, Double Stitching, Oeko Tex Standard (Sage Green-01)</t>
        </is>
      </c>
      <c r="E87" s="32" t="inlineStr">
        <is>
          <t>California King</t>
        </is>
      </c>
      <c r="F87" s="32" t="inlineStr">
        <is>
          <t>Sage Green</t>
        </is>
      </c>
      <c r="G87" s="60" t="n">
        <v>89.98999999999999</v>
      </c>
      <c r="H87" s="32" t="inlineStr">
        <is>
          <t>SellerBoard listing price, 2026-10-14</t>
        </is>
      </c>
      <c r="I87" s="61" t="n">
        <v>89.98999999999999</v>
      </c>
      <c r="J87" s="62" t="inlineStr">
        <is>
          <t>2026-03-30</t>
        </is>
      </c>
      <c r="K87" s="33" t="n">
        <v>33.61999999999999</v>
      </c>
      <c r="L87" s="63" t="n">
        <v>0.3735970663407044</v>
      </c>
      <c r="M87" s="64" t="n">
        <v>0</v>
      </c>
      <c r="N87" s="32" t="inlineStr">
        <is>
          <t>Active</t>
        </is>
      </c>
      <c r="O87" s="32" t="n"/>
      <c r="P87" s="65" t="n"/>
      <c r="Q87" s="64" t="n"/>
      <c r="R87" s="64" t="n"/>
      <c r="S87" s="64" t="n"/>
      <c r="T87" s="32" t="n"/>
    </row>
    <row r="88" ht="62" customHeight="1">
      <c r="A88" s="10">
        <f>_xlfn.IMAGE("https://m.media-amazon.com/images/I/81MRRHk3q4L.jpg")</f>
        <v/>
      </c>
      <c r="B88" s="32" t="inlineStr">
        <is>
          <t>B0HCZLGTWV</t>
        </is>
      </c>
      <c r="C88" s="32" t="inlineStr">
        <is>
          <t>BAMBOO-FULL-LIGHTBLUE-6PC</t>
        </is>
      </c>
      <c r="D88" s="32" t="inlineStr">
        <is>
          <t>DECOLURE 100% Viscose from Bamboo Sheets Full Size | 6 Pc Cooling Bed Set</t>
        </is>
      </c>
      <c r="E88" s="32" t="inlineStr">
        <is>
          <t>Full</t>
        </is>
      </c>
      <c r="F88" s="32" t="inlineStr">
        <is>
          <t>Light Blue</t>
        </is>
      </c>
      <c r="G88" s="33" t="n"/>
      <c r="H88" s="32" t="n"/>
      <c r="I88" s="33" t="n"/>
      <c r="J88" s="32" t="n"/>
      <c r="K88" s="33" t="n"/>
      <c r="L88" s="63" t="n"/>
      <c r="M88" s="64" t="n"/>
      <c r="N88" s="32" t="inlineStr">
        <is>
          <t>Inactive</t>
        </is>
      </c>
      <c r="O88" s="32" t="n"/>
      <c r="P88" s="65" t="n"/>
      <c r="Q88" s="64" t="n"/>
      <c r="R88" s="64" t="n"/>
      <c r="S88" s="64" t="n"/>
      <c r="T88" s="32" t="n"/>
    </row>
    <row r="89" ht="62" customHeight="1">
      <c r="A89" s="10">
        <f>_xlfn.IMAGE("https://m.media-amazon.com/images/I/81aP4bechFL.jpg")</f>
        <v/>
      </c>
      <c r="B89" s="32" t="inlineStr">
        <is>
          <t>B0CQ32JNVG</t>
        </is>
      </c>
      <c r="C89" s="32" t="inlineStr">
        <is>
          <t>BAMBOO-FULL-LIGHTBLUE-6PCS</t>
        </is>
      </c>
      <c r="D89" s="32" t="inlineStr">
        <is>
          <t>DECOLURE 100% Viscose Derived from Bamboo Sheets Full Size - Luxury 6 Pc Naturally Cooling Sheets, Ultra Soft Bed Set - Deep 17" Pockets, Durable Double Stitching, Oeko Tex Standard (Light Blue-01)</t>
        </is>
      </c>
      <c r="E89" s="32" t="inlineStr">
        <is>
          <t>Full</t>
        </is>
      </c>
      <c r="F89" s="32" t="inlineStr">
        <is>
          <t>Light Blue</t>
        </is>
      </c>
      <c r="G89" s="60" t="n">
        <v>79.98999999999999</v>
      </c>
      <c r="H89" s="32" t="inlineStr">
        <is>
          <t>SellerBoard listing price, 2026-10-14</t>
        </is>
      </c>
      <c r="I89" s="61" t="n">
        <v>74.98999999999999</v>
      </c>
      <c r="J89" s="62" t="inlineStr">
        <is>
          <t>2026-03-30</t>
        </is>
      </c>
      <c r="K89" s="33" t="n">
        <v>30.37999999999999</v>
      </c>
      <c r="L89" s="63" t="n">
        <v>0.405120682757701</v>
      </c>
      <c r="M89" s="64" t="n">
        <v>0</v>
      </c>
      <c r="N89" s="32" t="inlineStr">
        <is>
          <t>Active</t>
        </is>
      </c>
      <c r="O89" s="32" t="n"/>
      <c r="P89" s="65" t="n"/>
      <c r="Q89" s="64" t="n"/>
      <c r="R89" s="64" t="n"/>
      <c r="S89" s="64" t="n"/>
      <c r="T89" s="32" t="n"/>
    </row>
    <row r="90" ht="62" customHeight="1">
      <c r="A90" s="10">
        <f>_xlfn.IMAGE("https://m.media-amazon.com/images/I/81FUAGLZKiL.jpg")</f>
        <v/>
      </c>
      <c r="B90" s="32" t="inlineStr">
        <is>
          <t>B0HD13QPG2</t>
        </is>
      </c>
      <c r="C90" s="32" t="inlineStr">
        <is>
          <t>BAMBOO-FULL-LIGHTGREY-6PC</t>
        </is>
      </c>
      <c r="D90" s="32" t="inlineStr">
        <is>
          <t>DECOLURE 100% Viscose from Bamboo Sheets Full Size | 6 Pc Cooling Bed Set</t>
        </is>
      </c>
      <c r="E90" s="32" t="inlineStr">
        <is>
          <t>Full</t>
        </is>
      </c>
      <c r="F90" s="32" t="inlineStr">
        <is>
          <t>Light Grey</t>
        </is>
      </c>
      <c r="G90" s="60" t="n">
        <v>63.16</v>
      </c>
      <c r="H90" s="32" t="inlineStr">
        <is>
          <t>SellerBoard listing price, 2026-10-14</t>
        </is>
      </c>
      <c r="I90" s="33" t="n"/>
      <c r="J90" s="32" t="n"/>
      <c r="K90" s="33" t="n"/>
      <c r="L90" s="63" t="n"/>
      <c r="M90" s="64" t="n"/>
      <c r="N90" s="32" t="inlineStr">
        <is>
          <t>Inactive</t>
        </is>
      </c>
      <c r="O90" s="32" t="n"/>
      <c r="P90" s="65" t="n"/>
      <c r="Q90" s="64" t="n"/>
      <c r="R90" s="64" t="n"/>
      <c r="S90" s="64" t="n"/>
      <c r="T90" s="32" t="n"/>
    </row>
    <row r="91" ht="62" customHeight="1">
      <c r="A91" s="10">
        <f>_xlfn.IMAGE("https://m.media-amazon.com/images/I/810i1yrrNKL.jpg")</f>
        <v/>
      </c>
      <c r="B91" s="32" t="inlineStr">
        <is>
          <t>B0CQ32VM8N</t>
        </is>
      </c>
      <c r="C91" s="32" t="inlineStr">
        <is>
          <t>BAMBOO-FULL-LIGHTGREY-6PCS</t>
        </is>
      </c>
      <c r="D91" s="32" t="inlineStr">
        <is>
          <t>DECOLURE 100% Viscose Derived from Bamboo Sheets Full Size - Luxury 6 Pc Naturally Cooling Sheets, Ultra Soft Bed Set - Deep 17" Pockets, Durable Double Stitching, Oeko Tex Standard (Light Grey-01)</t>
        </is>
      </c>
      <c r="E91" s="32" t="inlineStr">
        <is>
          <t>Full</t>
        </is>
      </c>
      <c r="F91" s="32" t="inlineStr">
        <is>
          <t>Light Grey</t>
        </is>
      </c>
      <c r="G91" s="60" t="n">
        <v>74.98999999999999</v>
      </c>
      <c r="H91" s="32" t="inlineStr">
        <is>
          <t>SellerBoard listing price, 2026-10-14</t>
        </is>
      </c>
      <c r="I91" s="61" t="n">
        <v>90.98999999999999</v>
      </c>
      <c r="J91" s="62" t="inlineStr">
        <is>
          <t>2026-03-30</t>
        </is>
      </c>
      <c r="K91" s="33" t="n">
        <v>43.91999999999999</v>
      </c>
      <c r="L91" s="63" t="n">
        <v>0.4826904055390701</v>
      </c>
      <c r="M91" s="64" t="n">
        <v>0</v>
      </c>
      <c r="N91" s="32" t="inlineStr">
        <is>
          <t>Active</t>
        </is>
      </c>
      <c r="O91" s="32" t="n"/>
      <c r="P91" s="65" t="n"/>
      <c r="Q91" s="64" t="n"/>
      <c r="R91" s="64" t="n"/>
      <c r="S91" s="64" t="n"/>
      <c r="T91" s="32" t="n"/>
    </row>
    <row r="92" ht="62" customHeight="1">
      <c r="A92" s="10">
        <f>_xlfn.IMAGE("https://m.media-amazon.com/images/I/81SvYgazSwL.jpg")</f>
        <v/>
      </c>
      <c r="B92" s="32" t="inlineStr">
        <is>
          <t>B0HHHRMKNM</t>
        </is>
      </c>
      <c r="C92" s="32" t="inlineStr">
        <is>
          <t>BAMBOO-FULL-6PCS-NAVYBLUE</t>
        </is>
      </c>
      <c r="D92" s="32" t="inlineStr">
        <is>
          <t>DECOLURE 100% Viscose from Bamboo Sheets Full Size | 6 Pc Cooling Bed Set</t>
        </is>
      </c>
      <c r="E92" s="32" t="inlineStr">
        <is>
          <t>Full</t>
        </is>
      </c>
      <c r="F92" s="32" t="inlineStr">
        <is>
          <t>Navy Blue</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_xlfn.IMAGE("https://m.media-amazon.com/images/I/81EHFhQyvAL.jpg")</f>
        <v/>
      </c>
      <c r="B93" s="32" t="inlineStr">
        <is>
          <t>B0H9Y9L12P</t>
        </is>
      </c>
      <c r="C93" s="32" t="inlineStr">
        <is>
          <t>BAMBOO-FULL-SAGE GREEN-6PC</t>
        </is>
      </c>
      <c r="D93" s="32" t="inlineStr">
        <is>
          <t>DECOLURE 100% Viscose from Bamboo Sheets Full Size | 6 Pc Cooling Bed Set</t>
        </is>
      </c>
      <c r="E93" s="32" t="inlineStr">
        <is>
          <t>Full</t>
        </is>
      </c>
      <c r="F93" s="32" t="inlineStr">
        <is>
          <t>Sage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_xlfn.IMAGE("https://m.media-amazon.com/images/I/81RH5ZSH8mL.jpg")</f>
        <v/>
      </c>
      <c r="B94" s="32" t="inlineStr">
        <is>
          <t>B0HHJ716ZJ</t>
        </is>
      </c>
      <c r="C94" s="32" t="inlineStr">
        <is>
          <t>BAMBOO-FULL-6PCS-TAUPE</t>
        </is>
      </c>
      <c r="D94" s="32" t="inlineStr">
        <is>
          <t>DECOLURE 100% Viscose from Bamboo Sheets Full Size | 6 Pc Cooling Bed Set</t>
        </is>
      </c>
      <c r="E94" s="32" t="inlineStr">
        <is>
          <t>Full</t>
        </is>
      </c>
      <c r="F94" s="32" t="inlineStr">
        <is>
          <t>Taupe</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_xlfn.IMAGE("https://m.media-amazon.com/images/I/81LUuxH3WqL.jpg")</f>
        <v/>
      </c>
      <c r="B95" s="32" t="inlineStr">
        <is>
          <t>B0CQ31CZTJ</t>
        </is>
      </c>
      <c r="C95" s="32" t="inlineStr">
        <is>
          <t>BAMBOO-QUEEN-BLACK-6PCS</t>
        </is>
      </c>
      <c r="D95" s="32" t="inlineStr">
        <is>
          <t>DECOLURE 100% Viscose from Bamboo Sheets Queen Size | 6 Pc Cooling Bed Set</t>
        </is>
      </c>
      <c r="E95" s="32" t="inlineStr">
        <is>
          <t>Queen</t>
        </is>
      </c>
      <c r="F95" s="32" t="inlineStr">
        <is>
          <t>Black</t>
        </is>
      </c>
      <c r="G95" s="60" t="n">
        <v>84.98999999999999</v>
      </c>
      <c r="H95" s="32" t="inlineStr">
        <is>
          <t>Helium 10 Xray, 2026-10-13</t>
        </is>
      </c>
      <c r="I95" s="61" t="n">
        <v>84.98999999999999</v>
      </c>
      <c r="J95" s="62" t="inlineStr">
        <is>
          <t>2026-03-14</t>
        </is>
      </c>
      <c r="K95" s="33" t="n">
        <v>35.28999999999999</v>
      </c>
      <c r="L95" s="63" t="n">
        <v>0.4152253206259559</v>
      </c>
      <c r="M95" s="64" t="n"/>
      <c r="N95" s="32" t="inlineStr">
        <is>
          <t>Inactive</t>
        </is>
      </c>
      <c r="O95" s="32" t="n"/>
      <c r="P95" s="65" t="n">
        <v>4.4</v>
      </c>
      <c r="Q95" s="64" t="n">
        <v>3153</v>
      </c>
      <c r="R95" s="64" t="n">
        <v>18045</v>
      </c>
      <c r="S95" s="64" t="n">
        <v>0</v>
      </c>
      <c r="T95" s="32" t="n"/>
    </row>
    <row r="96" ht="62" customHeight="1">
      <c r="A96" s="10">
        <f>_xlfn.IMAGE("https://m.media-amazon.com/images/I/81qwLZXe5IL.jpg")</f>
        <v/>
      </c>
      <c r="B96" s="32" t="inlineStr">
        <is>
          <t>B0CQ31PZ8Q</t>
        </is>
      </c>
      <c r="C96" s="32" t="inlineStr">
        <is>
          <t>BAMBOO-QUEEN-LIGHT PINK-6PCS</t>
        </is>
      </c>
      <c r="D96" s="32" t="inlineStr">
        <is>
          <t>DECOLURE 100% Viscose from Bamboo Sheets Queen Size | 6 Pc Cooling Bed Set</t>
        </is>
      </c>
      <c r="E96" s="32" t="inlineStr">
        <is>
          <t>Queen</t>
        </is>
      </c>
      <c r="F96" s="32" t="inlineStr">
        <is>
          <t>Light Pink</t>
        </is>
      </c>
      <c r="G96" s="60" t="n">
        <v>84.98999999999999</v>
      </c>
      <c r="H96" s="32" t="inlineStr">
        <is>
          <t>Helium 10 Xray, 2026-10-13</t>
        </is>
      </c>
      <c r="I96" s="61" t="n">
        <v>84.98999999999999</v>
      </c>
      <c r="J96" s="62" t="inlineStr">
        <is>
          <t>2026-03-28</t>
        </is>
      </c>
      <c r="K96" s="33" t="n">
        <v>36.61999999999999</v>
      </c>
      <c r="L96" s="63" t="n">
        <v>0.430874220496529</v>
      </c>
      <c r="M96" s="64" t="n"/>
      <c r="N96" s="32" t="inlineStr">
        <is>
          <t>Inactive</t>
        </is>
      </c>
      <c r="O96" s="32" t="n"/>
      <c r="P96" s="65" t="n">
        <v>4.4</v>
      </c>
      <c r="Q96" s="64" t="n">
        <v>3153</v>
      </c>
      <c r="R96" s="64" t="n">
        <v>18049</v>
      </c>
      <c r="S96" s="64" t="n">
        <v>0</v>
      </c>
      <c r="T96" s="32" t="n"/>
    </row>
    <row r="97" ht="62" customHeight="1">
      <c r="A97" s="10">
        <f>_xlfn.IMAGE("https://m.media-amazon.com/images/I/81ES2nvuC3L.jpg")</f>
        <v/>
      </c>
      <c r="B97" s="32" t="inlineStr">
        <is>
          <t>B0H6QJSDX8</t>
        </is>
      </c>
      <c r="C97" s="32" t="inlineStr">
        <is>
          <t>BAMBOO-QUEEN-PURPLE-6PC</t>
        </is>
      </c>
      <c r="D97" s="32" t="inlineStr">
        <is>
          <t>DECOLURE 100% Viscose from Bamboo Sheets Queen Size | 6 Pc Cooling Bed Set</t>
        </is>
      </c>
      <c r="E97" s="32" t="inlineStr">
        <is>
          <t>Queen</t>
        </is>
      </c>
      <c r="F97" s="32" t="inlineStr">
        <is>
          <t>Purple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_xlfn.IMAGE("https://m.media-amazon.com/images/I/81KfdRGP46L.jpg")</f>
        <v/>
      </c>
      <c r="B98" s="32" t="inlineStr">
        <is>
          <t>B0CQ32LWVD</t>
        </is>
      </c>
      <c r="C98" s="32" t="inlineStr">
        <is>
          <t>BAMBOO-TWIN-BURGUNDY-6PCS</t>
        </is>
      </c>
      <c r="D98" s="32" t="inlineStr">
        <is>
          <t>DECOLURE 100% Viscose from Bamboo Sheets Twin Size | 4 Pc Cooling Bed Set | Ultra Soft Luxury Sheets | Cooling Sheets for Hot Sleepers | Twin Size Bed Set | 17" Deep Pocket w Corner Straps | Burgundy</t>
        </is>
      </c>
      <c r="E98" s="32" t="inlineStr">
        <is>
          <t>Twin</t>
        </is>
      </c>
      <c r="F98" s="32" t="inlineStr">
        <is>
          <t>Burgundy</t>
        </is>
      </c>
      <c r="G98" s="60" t="n">
        <v>59.99</v>
      </c>
      <c r="H98" s="32" t="inlineStr">
        <is>
          <t>SellerBoard listing price, 2026-10-14</t>
        </is>
      </c>
      <c r="I98" s="61" t="n">
        <v>64.98999999999999</v>
      </c>
      <c r="J98" s="62" t="inlineStr">
        <is>
          <t>2026-03-30</t>
        </is>
      </c>
      <c r="K98" s="33" t="n">
        <v>28.02999999999999</v>
      </c>
      <c r="L98" s="63" t="n">
        <v>0.4312971226342514</v>
      </c>
      <c r="M98" s="64" t="n">
        <v>0</v>
      </c>
      <c r="N98" s="32" t="inlineStr">
        <is>
          <t>Inactive</t>
        </is>
      </c>
      <c r="O98" s="32" t="n"/>
      <c r="P98" s="65" t="n"/>
      <c r="Q98" s="64" t="n"/>
      <c r="R98" s="64" t="n"/>
      <c r="S98" s="64" t="n"/>
      <c r="T98" s="32" t="n"/>
    </row>
    <row r="99" ht="62" customHeight="1">
      <c r="A99" s="10">
        <f>_xlfn.IMAGE("https://m.media-amazon.com/images/I/81+83kJjC0L.jpg")</f>
        <v/>
      </c>
      <c r="B99" s="32" t="inlineStr">
        <is>
          <t>B0CQ2ZVDC1</t>
        </is>
      </c>
      <c r="C99" s="32" t="inlineStr">
        <is>
          <t>BAMBOO-TWIN-CHARCOAL-6PCS</t>
        </is>
      </c>
      <c r="D99" s="32" t="inlineStr">
        <is>
          <t>DECOLURE 100% Viscose from Bamboo Sheets Twin Size | 4 Pc Cooling Bed Set</t>
        </is>
      </c>
      <c r="E99" s="32" t="inlineStr">
        <is>
          <t>Twin</t>
        </is>
      </c>
      <c r="F99" s="32" t="inlineStr">
        <is>
          <t>Charcoal</t>
        </is>
      </c>
      <c r="G99" s="60" t="n">
        <v>64.98999999999999</v>
      </c>
      <c r="H99" s="32" t="inlineStr">
        <is>
          <t>Helium 10 Xray, 2026-10-13</t>
        </is>
      </c>
      <c r="I99" s="61" t="n">
        <v>80.98999999999999</v>
      </c>
      <c r="J99" s="62" t="inlineStr">
        <is>
          <t>2026-03-30</t>
        </is>
      </c>
      <c r="K99" s="33" t="n">
        <v>41.47999999999999</v>
      </c>
      <c r="L99" s="63" t="n">
        <v>0.5121619953080626</v>
      </c>
      <c r="M99" s="64" t="n"/>
      <c r="N99" s="32" t="inlineStr">
        <is>
          <t>Inactive</t>
        </is>
      </c>
      <c r="O99" s="32" t="n"/>
      <c r="P99" s="65" t="n">
        <v>4.4</v>
      </c>
      <c r="Q99" s="64" t="n">
        <v>3153</v>
      </c>
      <c r="R99" s="64" t="n">
        <v>18045</v>
      </c>
      <c r="S99" s="64" t="n">
        <v>0</v>
      </c>
      <c r="T99" s="32" t="n"/>
    </row>
    <row r="100" ht="62" customHeight="1">
      <c r="A100" s="10">
        <f>_xlfn.IMAGE("https://m.media-amazon.com/images/I/81UukoIufqL.jpg")</f>
        <v/>
      </c>
      <c r="B100" s="32" t="inlineStr">
        <is>
          <t>B0CQ2ZZZ42</t>
        </is>
      </c>
      <c r="C100" s="32" t="inlineStr">
        <is>
          <t>BAMBOO-TWIN-CREME-6PCS</t>
        </is>
      </c>
      <c r="D100" s="32" t="inlineStr">
        <is>
          <t>DECOLURE 100% Viscose from Bamboo Sheets Twin Size | 4 Pc Cooling Bed Set</t>
        </is>
      </c>
      <c r="E100" s="32" t="inlineStr">
        <is>
          <t>Twin</t>
        </is>
      </c>
      <c r="F100" s="32" t="inlineStr">
        <is>
          <t>Creme</t>
        </is>
      </c>
      <c r="G100" s="60" t="n">
        <v>64.98999999999999</v>
      </c>
      <c r="H100" s="32" t="inlineStr">
        <is>
          <t>Helium 10 Xray, 2026-10-13</t>
        </is>
      </c>
      <c r="I100" s="61" t="n">
        <v>80.98999999999999</v>
      </c>
      <c r="J100" s="62" t="inlineStr">
        <is>
          <t>2026-03-30</t>
        </is>
      </c>
      <c r="K100" s="33" t="n">
        <v>40.19999999999999</v>
      </c>
      <c r="L100" s="63" t="n">
        <v>0.4963575750092603</v>
      </c>
      <c r="M100" s="64" t="n">
        <v>0</v>
      </c>
      <c r="N100" s="32" t="inlineStr">
        <is>
          <t>Active</t>
        </is>
      </c>
      <c r="O100" s="32" t="n"/>
      <c r="P100" s="65" t="n">
        <v>4.4</v>
      </c>
      <c r="Q100" s="64" t="n">
        <v>3153</v>
      </c>
      <c r="R100" s="64" t="n">
        <v>18049</v>
      </c>
      <c r="S100" s="64" t="n">
        <v>7</v>
      </c>
      <c r="T100" s="32" t="n"/>
    </row>
    <row r="101" ht="62" customHeight="1">
      <c r="A101" s="10">
        <f>_xlfn.IMAGE("https://m.media-amazon.com/images/I/81MRRHk3q4L.jpg")</f>
        <v/>
      </c>
      <c r="B101" s="32" t="inlineStr">
        <is>
          <t>B0HHJ3QSVF</t>
        </is>
      </c>
      <c r="C101" s="32" t="inlineStr">
        <is>
          <t>BAMBOO-TWIN-6PCS-LIGHTBLUE</t>
        </is>
      </c>
      <c r="D101" s="32" t="inlineStr">
        <is>
          <t>DECOLURE 100% Viscose from Bamboo Sheets Twin Size | 4 Pc Cooling Bed Set</t>
        </is>
      </c>
      <c r="E101" s="32" t="inlineStr">
        <is>
          <t>Twin</t>
        </is>
      </c>
      <c r="F101" s="32" t="inlineStr">
        <is>
          <t>Light Blue</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10">
        <f>_xlfn.IMAGE("https://m.media-amazon.com/images/I/81Ej8SH6bmL.jpg")</f>
        <v/>
      </c>
      <c r="B102" s="32" t="inlineStr">
        <is>
          <t>B0CQ31CJPJ</t>
        </is>
      </c>
      <c r="C102" s="32" t="inlineStr">
        <is>
          <t>BAMBOO-TWIN-LIGHTBLUE-6PCS</t>
        </is>
      </c>
      <c r="D102" s="32" t="inlineStr">
        <is>
          <t>DECOLURE 100% Viscose Derived from Bamboo Sheets Twin Size, Luxury 4 Pc Set</t>
        </is>
      </c>
      <c r="E102" s="32" t="inlineStr">
        <is>
          <t>Twin</t>
        </is>
      </c>
      <c r="F102" s="32" t="inlineStr">
        <is>
          <t>Light Blue</t>
        </is>
      </c>
      <c r="G102" s="60" t="n">
        <v>59.99</v>
      </c>
      <c r="H102" s="32" t="inlineStr">
        <is>
          <t>SellerBoard listing price, 2026-10-14</t>
        </is>
      </c>
      <c r="I102" s="61" t="n">
        <v>64.98999999999999</v>
      </c>
      <c r="J102" s="62" t="inlineStr">
        <is>
          <t>2026-03-30</t>
        </is>
      </c>
      <c r="K102" s="33" t="n">
        <v>27.48</v>
      </c>
      <c r="L102" s="63" t="n">
        <v>0.4228342821972611</v>
      </c>
      <c r="M102" s="64" t="n">
        <v>0</v>
      </c>
      <c r="N102" s="32" t="inlineStr">
        <is>
          <t>Active</t>
        </is>
      </c>
      <c r="O102" s="32" t="n"/>
      <c r="P102" s="65" t="n"/>
      <c r="Q102" s="64" t="n"/>
      <c r="R102" s="64" t="n"/>
      <c r="S102" s="64" t="n"/>
      <c r="T102" s="32" t="n"/>
    </row>
    <row r="103" ht="62" customHeight="1">
      <c r="A103" s="10">
        <f>_xlfn.IMAGE("https://m.media-amazon.com/images/I/81qwLZXe5IL.jpg")</f>
        <v/>
      </c>
      <c r="B103" s="32" t="inlineStr">
        <is>
          <t>B0CQ33BH1K</t>
        </is>
      </c>
      <c r="C103" s="32" t="inlineStr">
        <is>
          <t>BAMBOO-TWIN-LIGHT PINK-6PCS</t>
        </is>
      </c>
      <c r="D103" s="32" t="inlineStr">
        <is>
          <t>DECOLURE 100% Viscose from Bamboo Sheets Twin Size | 4 Pc Cooling Bed Set</t>
        </is>
      </c>
      <c r="E103" s="32" t="inlineStr">
        <is>
          <t>Twin</t>
        </is>
      </c>
      <c r="F103" s="32" t="inlineStr">
        <is>
          <t>Light Pink</t>
        </is>
      </c>
      <c r="G103" s="60" t="n">
        <v>87.98999999999999</v>
      </c>
      <c r="H103" s="32" t="inlineStr">
        <is>
          <t>SellerBoard listing price, 2026-10-14</t>
        </is>
      </c>
      <c r="I103" s="61" t="n">
        <v>85.98999999999999</v>
      </c>
      <c r="J103" s="62" t="inlineStr">
        <is>
          <t>2026-03-30</t>
        </is>
      </c>
      <c r="K103" s="33" t="n">
        <v>46.08999999999998</v>
      </c>
      <c r="L103" s="63" t="n">
        <v>0.5359925572741014</v>
      </c>
      <c r="M103" s="64" t="n"/>
      <c r="N103" s="32" t="inlineStr">
        <is>
          <t>Inactive</t>
        </is>
      </c>
      <c r="O103" s="32" t="n"/>
      <c r="P103" s="65" t="n"/>
      <c r="Q103" s="64" t="n"/>
      <c r="R103" s="64" t="n"/>
      <c r="S103" s="64" t="n"/>
      <c r="T103" s="32" t="n"/>
    </row>
    <row r="105" ht="20" customHeight="1">
      <c r="A105" s="54" t="inlineStr">
        <is>
          <t>3 · OUR BFCM 2025 RESULT &amp; EVENT VISIBILITY</t>
        </is>
      </c>
    </row>
    <row r="106">
      <c r="A106" s="67" t="inlineStr">
        <is>
          <t>Window</t>
        </is>
      </c>
      <c r="B106" s="68" t="n"/>
      <c r="C106" s="69" t="n"/>
      <c r="D106" s="67" t="inlineStr">
        <is>
          <t>Ad spend</t>
        </is>
      </c>
      <c r="E106" s="67" t="inlineStr">
        <is>
          <t>Ad sales</t>
        </is>
      </c>
      <c r="F106" s="67" t="inlineStr">
        <is>
          <t>ACoS</t>
        </is>
      </c>
      <c r="G106" s="67" t="inlineStr">
        <is>
          <t>TACoS</t>
        </is>
      </c>
      <c r="H106" s="67" t="inlineStr">
        <is>
          <t>Total sales (derived)</t>
        </is>
      </c>
      <c r="J106" s="67" t="inlineStr">
        <is>
          <t>Ad orders</t>
        </is>
      </c>
      <c r="K106" s="67" t="inlineStr">
        <is>
          <t>CVR</t>
        </is>
      </c>
    </row>
    <row r="107">
      <c r="A107" s="70" t="inlineStr">
        <is>
          <t>Pre-event Oct 21 - Nov 19, 2025 (30d)</t>
        </is>
      </c>
      <c r="B107" s="68" t="n"/>
      <c r="C107" s="69" t="n"/>
      <c r="D107" s="71" t="n">
        <v>19609.33</v>
      </c>
      <c r="E107" s="71" t="n">
        <v>78163.43000000001</v>
      </c>
      <c r="F107" s="72" t="n">
        <v>25.1</v>
      </c>
      <c r="G107" s="72" t="n">
        <v>7.437756914344342</v>
      </c>
      <c r="H107" s="71" t="n">
        <v>263645.75</v>
      </c>
      <c r="J107" s="73" t="n">
        <v>999</v>
      </c>
      <c r="K107" s="74" t="n">
        <v>16.59</v>
      </c>
    </row>
    <row r="108">
      <c r="A108" s="70" t="inlineStr">
        <is>
          <t>BFCM week Nov 20 - Dec 1, 2025 (12d)</t>
        </is>
      </c>
      <c r="B108" s="68" t="n"/>
      <c r="C108" s="69" t="n"/>
      <c r="D108" s="71" t="n">
        <v>16802.87</v>
      </c>
      <c r="E108" s="71" t="n">
        <v>85287.08</v>
      </c>
      <c r="F108" s="72" t="n">
        <v>19.7</v>
      </c>
      <c r="G108" s="72" t="n">
        <v>6.403236527090554</v>
      </c>
      <c r="H108" s="71" t="n">
        <v>262412.14</v>
      </c>
      <c r="J108" s="73" t="n">
        <v>1125</v>
      </c>
      <c r="K108" s="74" t="n">
        <v>20.05</v>
      </c>
    </row>
    <row r="109">
      <c r="A109" s="70" t="inlineStr">
        <is>
          <t>December 2 - 31, 2025 (30d)</t>
        </is>
      </c>
      <c r="B109" s="68" t="n"/>
      <c r="C109" s="69" t="n"/>
      <c r="D109" s="71" t="n">
        <v>28935.26</v>
      </c>
      <c r="E109" s="71" t="n">
        <v>141155.88</v>
      </c>
      <c r="F109" s="72" t="n">
        <v>20.5</v>
      </c>
      <c r="G109" s="72" t="n">
        <v>8.099647923911077</v>
      </c>
      <c r="H109" s="71" t="n">
        <v>357240.96</v>
      </c>
      <c r="J109" s="73" t="n">
        <v>1626</v>
      </c>
      <c r="K109" s="74" t="n">
        <v>17.58</v>
      </c>
    </row>
    <row r="111">
      <c r="A111" s="67" t="inlineStr">
        <is>
          <t>Actual sales (SellerBoard)</t>
        </is>
      </c>
      <c r="B111" s="68" t="n"/>
      <c r="C111" s="69" t="n"/>
      <c r="D111" s="67" t="inlineStr">
        <is>
          <t>Sales</t>
        </is>
      </c>
      <c r="E111" s="67" t="inlineStr">
        <is>
          <t>Units</t>
        </is>
      </c>
      <c r="F111" s="67" t="inlineStr">
        <is>
          <t>Organic units</t>
        </is>
      </c>
      <c r="G111" s="67" t="inlineStr">
        <is>
          <t>Ad units</t>
        </is>
      </c>
      <c r="H111" s="67" t="inlineStr">
        <is>
          <t>Ad cost</t>
        </is>
      </c>
      <c r="J111" s="67" t="inlineStr">
        <is>
          <t>TACoS (actual)</t>
        </is>
      </c>
      <c r="K111" s="67" t="inlineStr">
        <is>
          <t>Sessions</t>
        </is>
      </c>
      <c r="L111" s="67" t="inlineStr">
        <is>
          <t>Unit session %</t>
        </is>
      </c>
      <c r="M111" s="67" t="inlineStr">
        <is>
          <t>Avg price</t>
        </is>
      </c>
      <c r="N111" s="67" t="inlineStr">
        <is>
          <t>Refunds</t>
        </is>
      </c>
    </row>
    <row r="112">
      <c r="A112" s="70" t="inlineStr">
        <is>
          <t>Pre-event Oct 21 - Nov 19, 2025 (30d)</t>
        </is>
      </c>
      <c r="B112" s="68" t="n"/>
      <c r="C112" s="69" t="n"/>
      <c r="D112" s="71" t="n">
        <v>263645.75</v>
      </c>
      <c r="E112" s="73" t="n">
        <v>3442</v>
      </c>
      <c r="F112" s="73" t="n">
        <v>3297</v>
      </c>
      <c r="G112" s="73" t="n">
        <v>145</v>
      </c>
      <c r="H112" s="71" t="n">
        <v>19610.62</v>
      </c>
      <c r="J112" s="75" t="n">
        <v>0.07438246207268655</v>
      </c>
      <c r="K112" s="73" t="n">
        <v>49108</v>
      </c>
      <c r="L112" s="75" t="n">
        <v>0.0700904129673373</v>
      </c>
      <c r="M112" s="76" t="n">
        <v>76.59667344567112</v>
      </c>
      <c r="N112" s="73" t="n">
        <v>244</v>
      </c>
    </row>
    <row r="113">
      <c r="A113" s="70" t="inlineStr">
        <is>
          <t>BFCM week Nov 20 - Dec 1, 2025 (12d)</t>
        </is>
      </c>
      <c r="B113" s="68" t="n"/>
      <c r="C113" s="69" t="n"/>
      <c r="D113" s="71" t="n">
        <v>262412.14</v>
      </c>
      <c r="E113" s="73" t="n">
        <v>3572</v>
      </c>
      <c r="F113" s="73" t="n">
        <v>3402</v>
      </c>
      <c r="G113" s="73" t="n">
        <v>170</v>
      </c>
      <c r="H113" s="71" t="n">
        <v>16812.88</v>
      </c>
      <c r="J113" s="75" t="n">
        <v>0.0640705113719205</v>
      </c>
      <c r="K113" s="73" t="n">
        <v>51029</v>
      </c>
      <c r="L113" s="75" t="n">
        <v>0.06999941209900253</v>
      </c>
      <c r="M113" s="76" t="n">
        <v>73.46364501679732</v>
      </c>
      <c r="N113" s="73" t="n">
        <v>107</v>
      </c>
    </row>
    <row r="114">
      <c r="A114" s="70" t="inlineStr">
        <is>
          <t>December 2 - 31, 2025 (30d)</t>
        </is>
      </c>
      <c r="B114" s="68" t="n"/>
      <c r="C114" s="69" t="n"/>
      <c r="D114" s="71" t="n">
        <v>357240.96</v>
      </c>
      <c r="E114" s="73" t="n">
        <v>4230</v>
      </c>
      <c r="F114" s="73" t="n">
        <v>3971</v>
      </c>
      <c r="G114" s="73" t="n">
        <v>259</v>
      </c>
      <c r="H114" s="71" t="n">
        <v>28943.06</v>
      </c>
      <c r="J114" s="75" t="n">
        <v>0.0810183132415723</v>
      </c>
      <c r="K114" s="73" t="n">
        <v>58825</v>
      </c>
      <c r="L114" s="75" t="n">
        <v>0.07190820229494263</v>
      </c>
      <c r="M114" s="76" t="n">
        <v>84.45412765957447</v>
      </c>
      <c r="N114" s="73" t="n">
        <v>337</v>
      </c>
    </row>
    <row r="115">
      <c r="A115" s="59" t="inlineStr">
        <is>
          <t>SellerBoard, Ecotero account, Amazon parent B0H6335KNV plus any of this product's child ASINs SellerBoard lists on their own, UTC days. Lift above uses these actual sales (2.49x; the ad-spend estimate was 2.49x).</t>
        </is>
      </c>
    </row>
    <row r="116" ht="30" customHeight="1">
      <c r="A116" s="77" t="inlineStr">
        <is>
          <t>Deals we ran or scheduled, Nov 1 - Dec 5, 2025 (DataHub promotions; scheduled deal price not in the feed. Keepa price = lowest Buy Box seen during the deal, an observation for the hero child only, not the scheduled deal price): Lightning Deal 11-03 to 11-04 (cancelled, 77 variations); Lightning Deal 11-13 to 11-14 (cancelled, 77 variations); Best Deal 11-20 to 12-02 (ran, 78 variations, 2,927 units; Keepa lowest Buy Box during it $75.99 on B0CQ2XQF9N).</t>
        </is>
      </c>
    </row>
    <row r="117" ht="26" customHeight="1">
      <c r="A117" s="77" t="inlineStr">
        <is>
          <t>Stock in BFCM week 2025 (FBA inventory snapshots, child-ASIN level, revision 2): 4 of 79 variations hit zero FBA stock on at least one observed day; weighted by today's sales mix that is ~0.9% of variation-days lost. Most important: B0CQ32NPF5 2/9 days; B0CQ31N5Q5 5/9 days; B0CQ33P28L 2/9 days; B0CQ31X7S5 2/5 days. Snapshots missing: US Nov 26-27 and Dec 1 (Cyber Monday); CA Nov 24, 29-30.</t>
        </is>
      </c>
    </row>
    <row r="118">
      <c r="A118" s="59" t="inlineStr">
        <is>
          <t>Command Center visibility for our best child B0CQ2XQF9N: organic score None before BFCM 2025 → None in BFCM week; Prime Day 2026 80.3 → 115.8; Aug-Sep 2026 120.0.</t>
        </is>
      </c>
    </row>
    <row r="120" ht="20" customHeight="1">
      <c r="A120" s="54" t="inlineStr">
        <is>
          <t>4 · COMPETITOR LANDSCAPE (46 mapped)</t>
        </is>
      </c>
    </row>
    <row r="121">
      <c r="A121" s="59" t="inlineStr">
        <is>
          <t>Sorted by tier, then estimated weekly units. Green = Command Center price/sales; blue = Data Dive listing; purple = Command Center search strategy (ASINsight); yellow = fill from Keepa / page check.</t>
        </is>
      </c>
    </row>
    <row r="122">
      <c r="A122" s="78" t="inlineStr">
        <is>
          <t>COMPETITOR</t>
        </is>
      </c>
      <c r="I122" s="79" t="inlineStr">
        <is>
          <t>LISTING - Data Dive</t>
        </is>
      </c>
      <c r="J122" s="80" t="inlineStr">
        <is>
          <t>SEARCH STRATEGY - Command Center ASINsight</t>
        </is>
      </c>
      <c r="K122" s="81" t="inlineStr">
        <is>
          <t>PRICE &amp; SALES - Command Center snapshot (date per row)</t>
        </is>
      </c>
      <c r="X122" s="79" t="inlineStr">
        <is>
          <t>LISTING - Data Dive</t>
        </is>
      </c>
      <c r="AA122" s="80" t="inlineStr">
        <is>
          <t>SEARCH STRATEGY - Command Center ASINsight</t>
        </is>
      </c>
      <c r="AR122" s="82" t="inlineStr">
        <is>
          <t>STR NOW - Amazon page check (Oct 13, P1 + P2)</t>
        </is>
      </c>
      <c r="AY122" s="83" t="inlineStr">
        <is>
          <t>BFCM 2025 - Keepa (P1 filled; yellow = not pulled yet)</t>
        </is>
      </c>
    </row>
    <row r="123" ht="48" customHeight="1">
      <c r="A123" s="22" t="inlineStr">
        <is>
          <t>Image</t>
        </is>
      </c>
      <c r="B123" s="22" t="inlineStr">
        <is>
          <t>Brand</t>
        </is>
      </c>
      <c r="C123" s="22" t="inlineStr">
        <is>
          <t>Product title</t>
        </is>
      </c>
      <c r="D123" s="22" t="inlineStr">
        <is>
          <t>Tier</t>
        </is>
      </c>
      <c r="E123" s="22" t="inlineStr">
        <is>
          <t>Parent ASIN</t>
        </is>
      </c>
      <c r="F123" s="22" t="inlineStr">
        <is>
          <t>Tracked child ASIN</t>
        </is>
      </c>
      <c r="G123" s="22" t="inlineStr">
        <is>
          <t>Size (title)</t>
        </is>
      </c>
      <c r="H123" s="22" t="inlineStr">
        <is>
          <t>Colour (title)</t>
        </is>
      </c>
      <c r="I123" s="22" t="inlineStr">
        <is>
          <t>Variations</t>
        </is>
      </c>
      <c r="J123" s="22" t="inlineStr">
        <is>
          <t>Hero child ASINs (share of their visibility)</t>
        </is>
      </c>
      <c r="K123" s="22" t="inlineStr">
        <is>
          <t>Price ($)</t>
        </is>
      </c>
      <c r="L123" s="22" t="inlineStr">
        <is>
          <t>List Price ($)</t>
        </is>
      </c>
      <c r="M123" s="22" t="inlineStr">
        <is>
          <t>List Price % over</t>
        </is>
      </c>
      <c r="N123" s="22" t="inlineStr">
        <is>
          <t>STR band</t>
        </is>
      </c>
      <c r="O123" s="22" t="inlineStr">
        <is>
          <t>Our price, same size ($)</t>
        </is>
      </c>
      <c r="P123" s="22" t="inlineStr">
        <is>
          <t>Their price vs ours</t>
        </is>
      </c>
      <c r="Q123" s="22" t="inlineStr">
        <is>
          <t>Comparison basis</t>
        </is>
      </c>
      <c r="R123" s="22" t="inlineStr">
        <is>
          <t>BSR</t>
        </is>
      </c>
      <c r="S123" s="22" t="inlineStr">
        <is>
          <t>Est weekly units</t>
        </is>
      </c>
      <c r="T123" s="22" t="inlineStr">
        <is>
          <t>Est monthly revenue ($)</t>
        </is>
      </c>
      <c r="U123" s="22" t="inlineStr">
        <is>
          <t>Rating</t>
        </is>
      </c>
      <c r="V123" s="22" t="inlineStr">
        <is>
          <t>Reviews</t>
        </is>
      </c>
      <c r="W123" s="22" t="inlineStr">
        <is>
          <t>Snapshot date</t>
        </is>
      </c>
      <c r="X123" s="22" t="inlineStr">
        <is>
          <t>Listed</t>
        </is>
      </c>
      <c r="Y123" s="22" t="inlineStr">
        <is>
          <t>Fulfil.</t>
        </is>
      </c>
      <c r="Z123" s="22" t="inlineStr">
        <is>
          <t>Seller country</t>
        </is>
      </c>
      <c r="AA123" s="22" t="inlineStr">
        <is>
          <t>ASINsight 7d traffic</t>
        </is>
      </c>
      <c r="AB123" s="22" t="inlineStr">
        <is>
          <t>Keywords ranked</t>
        </is>
      </c>
      <c r="AC123" s="22" t="inlineStr">
        <is>
          <t>Organic share of traffic</t>
        </is>
      </c>
      <c r="AD123" s="22" t="inlineStr">
        <is>
          <t>Ad share of traffic</t>
        </is>
      </c>
      <c r="AE123" s="22" t="inlineStr">
        <is>
          <t>Top keyword</t>
        </is>
      </c>
      <c r="AF123" s="22" t="inlineStr">
        <is>
          <t>SP reach</t>
        </is>
      </c>
      <c r="AG123" s="22" t="inlineStr">
        <is>
          <t>SB reach</t>
        </is>
      </c>
      <c r="AH123" s="22" t="inlineStr">
        <is>
          <t>SB video reach</t>
        </is>
      </c>
      <c r="AI123" s="22" t="inlineStr">
        <is>
          <t>Amazon's Choice reach</t>
        </is>
      </c>
      <c r="AJ123" s="22" t="inlineStr">
        <is>
          <t>Shared keywords</t>
        </is>
      </c>
      <c r="AK123" s="22" t="inlineStr">
        <is>
          <t>We win</t>
        </is>
      </c>
      <c r="AL123" s="22" t="inlineStr">
        <is>
          <t>We lose</t>
        </is>
      </c>
      <c r="AM123" s="22" t="inlineStr">
        <is>
          <t>Their keywords we miss</t>
        </is>
      </c>
      <c r="AN123" s="22" t="inlineStr">
        <is>
          <t>KWs they advertise, we don't</t>
        </is>
      </c>
      <c r="AO123" s="22" t="inlineStr">
        <is>
          <t>KWs they out-advertise us</t>
        </is>
      </c>
      <c r="AP123" s="22" t="inlineStr">
        <is>
          <t>Prime Day 2026 organic vis lift</t>
        </is>
      </c>
      <c r="AQ123" s="22" t="inlineStr">
        <is>
          <t>Organic trend (Aug-Sep vs Q2)</t>
        </is>
      </c>
      <c r="AR123" s="22" t="inlineStr">
        <is>
          <t>STR showing now? (Y/N)</t>
        </is>
      </c>
      <c r="AS123" s="22" t="inlineStr">
        <is>
          <t>STR label</t>
        </is>
      </c>
      <c r="AT123" s="22" t="inlineStr">
        <is>
          <t>Strikethrough price ($)</t>
        </is>
      </c>
      <c r="AU123" s="22" t="inlineStr">
        <is>
          <t>Page price at check ($)</t>
        </is>
      </c>
      <c r="AV123" s="22" t="inlineStr">
        <is>
          <t>Deal / coupon now</t>
        </is>
      </c>
      <c r="AW123" s="22" t="inlineStr">
        <is>
          <t>Orderable now (Y/N)</t>
        </is>
      </c>
      <c r="AX123" s="22" t="inlineStr">
        <is>
          <t>Checked (ET)</t>
        </is>
      </c>
      <c r="AY123" s="22" t="inlineStr">
        <is>
          <t>BFCM 2025 deal type</t>
        </is>
      </c>
      <c r="AZ123" s="22" t="inlineStr">
        <is>
          <t>BFCM 2025 deal dates</t>
        </is>
      </c>
      <c r="BA123" s="22" t="inlineStr">
        <is>
          <t>Pre-event price ($)</t>
        </is>
      </c>
      <c r="BB123" s="22" t="inlineStr">
        <is>
          <t>BFCM 2025 low ($)</t>
        </is>
      </c>
      <c r="BC123" s="22" t="inlineStr">
        <is>
          <t>BFCM 2025 discount</t>
        </is>
      </c>
      <c r="BD123" s="22" t="inlineStr">
        <is>
          <t>BSR pre-event</t>
        </is>
      </c>
      <c r="BE123" s="22" t="inlineStr">
        <is>
          <t>BSR BFCM wk</t>
        </is>
      </c>
      <c r="BF123" s="22" t="inlineStr">
        <is>
          <t>BSR lift (x)</t>
        </is>
      </c>
      <c r="BG123" s="22" t="inlineStr">
        <is>
          <t>OOS in BFCM? (Y/N)</t>
        </is>
      </c>
      <c r="BH123" s="22" t="inlineStr">
        <is>
          <t>Notes</t>
        </is>
      </c>
    </row>
    <row r="124" ht="62" customHeight="1">
      <c r="A124" s="10">
        <f>_xlfn.IMAGE("https://images-na.ssl-images-amazon.com/images/I/81L2xb5ly6L.jpg")</f>
        <v/>
      </c>
      <c r="B124" s="84" t="inlineStr">
        <is>
          <t>Bedsure</t>
        </is>
      </c>
      <c r="C124" s="32" t="inlineStr">
        <is>
          <t>Bedsure PureWoven 100% Rayon Derived from Bamboo, Queen Sheets, 4 Pieces</t>
        </is>
      </c>
      <c r="D124" s="84" t="inlineStr">
        <is>
          <t>Aspirational</t>
        </is>
      </c>
      <c r="E124" s="84" t="inlineStr">
        <is>
          <t>B0BZ8T5BJ6</t>
        </is>
      </c>
      <c r="F124" s="84" t="inlineStr">
        <is>
          <t>B07YK8VTJV</t>
        </is>
      </c>
      <c r="G124" s="84" t="inlineStr">
        <is>
          <t>Queen</t>
        </is>
      </c>
      <c r="H124" s="84" t="n"/>
      <c r="I124" s="85" t="n">
        <v>131</v>
      </c>
      <c r="J124" s="32" t="inlineStr">
        <is>
          <t>B07YKCZHGK (29%), B07YK8VTJV (19%), B07YKCQBBL (14%), B07YKCB6GL (9%), B08CXWHQT2 (6%)</t>
        </is>
      </c>
      <c r="K124" s="86" t="n">
        <v>62.99</v>
      </c>
      <c r="L124" s="86" t="n">
        <v>69.98999999999999</v>
      </c>
      <c r="M124" s="87">
        <f>IF(AND(ISNUMBER(L124),ISNUMBER(K124),N(K124)&gt;0),L124/K124-1,"")</f>
        <v/>
      </c>
      <c r="N124" s="88">
        <f>IF(M124="","No List Price",IF(M124&lt;=0,"At/below price",IF(M124&lt;=0.12,"&lt;=12% STR zone",IF(M124&lt;=0.25,"12-25%","&gt;25% over"))))</f>
        <v/>
      </c>
      <c r="O124" s="86" t="n">
        <v>94.98999999999999</v>
      </c>
      <c r="P124" s="89">
        <f>IF(AND(ISNUMBER(K124),ISNUMBER(O124),N(O124)&gt;0),K124/O124-1,"")</f>
        <v/>
      </c>
      <c r="Q124" s="32" t="inlineStr">
        <is>
          <t>Same size (Queen). Ours live: Helium 10 Xray, 2026-10-13; 15 children</t>
        </is>
      </c>
      <c r="R124" s="85" t="n">
        <v>256</v>
      </c>
      <c r="S124" s="85" t="n">
        <v>809</v>
      </c>
      <c r="T124" s="90">
        <f>IF(AND(ISNUMBER(K124),ISNUMBER(S124)),K124*S124*52/12,"")</f>
        <v/>
      </c>
      <c r="U124" s="91" t="n">
        <v>4.4</v>
      </c>
      <c r="V124" s="85" t="n">
        <v>65061</v>
      </c>
      <c r="W124" s="92" t="n">
        <v>46307</v>
      </c>
      <c r="X124" s="92" t="n">
        <v>43348</v>
      </c>
      <c r="Y124" s="84" t="inlineStr">
        <is>
          <t>FBA</t>
        </is>
      </c>
      <c r="Z124" s="84" t="inlineStr">
        <is>
          <t>US</t>
        </is>
      </c>
      <c r="AA124" s="85" t="n">
        <v>2166046</v>
      </c>
      <c r="AB124" s="85" t="n">
        <v>6935</v>
      </c>
      <c r="AC124" s="93" t="n">
        <v>0.5902383405984899</v>
      </c>
      <c r="AD124" s="93" t="n">
        <v>0.4097618027040986</v>
      </c>
      <c r="AE124" s="32" t="inlineStr">
        <is>
          <t>bamboo sheets</t>
        </is>
      </c>
      <c r="AF124" s="93" t="n">
        <v>0.9388327856379781</v>
      </c>
      <c r="AG124" s="93" t="n">
        <v>0.9371818511702891</v>
      </c>
      <c r="AH124" s="93" t="n">
        <v>0.6488394059959945</v>
      </c>
      <c r="AI124" s="93" t="n">
        <v>0.3206907886536112</v>
      </c>
      <c r="AJ124" s="85" t="n">
        <v>1824</v>
      </c>
      <c r="AK124" s="85" t="n">
        <v>174</v>
      </c>
      <c r="AL124" s="85" t="n">
        <v>1559</v>
      </c>
      <c r="AM124" s="85" t="n">
        <v>5111</v>
      </c>
      <c r="AN124" s="85" t="n">
        <v>2778</v>
      </c>
      <c r="AO124" s="85" t="n">
        <v>204</v>
      </c>
      <c r="AP124" s="94" t="n">
        <v>1.066623404715553</v>
      </c>
      <c r="AQ124" s="89" t="n">
        <v>-0.05727665706051865</v>
      </c>
      <c r="AR124" s="95" t="inlineStr">
        <is>
          <t>Y</t>
        </is>
      </c>
      <c r="AS124" s="95" t="inlineStr">
        <is>
          <t>List Price</t>
        </is>
      </c>
      <c r="AT124" s="96" t="n">
        <v>69.98999999999999</v>
      </c>
      <c r="AU124" s="96" t="n">
        <v>62.99</v>
      </c>
      <c r="AV124" s="95" t="inlineStr">
        <is>
          <t>none</t>
        </is>
      </c>
      <c r="AW124" s="95" t="inlineStr">
        <is>
          <t>Y</t>
        </is>
      </c>
      <c r="AX124" s="95" t="inlineStr">
        <is>
          <t>2026-10-13 12:10:35</t>
        </is>
      </c>
      <c r="AY124" s="97" t="inlineStr">
        <is>
          <t>Prime Exclusive Discount</t>
        </is>
      </c>
      <c r="AZ124" s="97" t="inlineStr">
        <is>
          <t>11-23 to 12-01</t>
        </is>
      </c>
      <c r="BA124" s="98" t="n">
        <v>66.48999999999999</v>
      </c>
      <c r="BB124" s="98" t="n">
        <v>55.99</v>
      </c>
      <c r="BC124" s="87">
        <f>IF(AND(ISNUMBER(BA124),ISNUMBER(BB124),N(BA124)&gt;0),1-BB124/BA124,"")</f>
        <v/>
      </c>
      <c r="BD124" s="99" t="n">
        <v>156</v>
      </c>
      <c r="BE124" s="99" t="n">
        <v>228</v>
      </c>
      <c r="BF124" s="100">
        <f>IF(AND(ISNUMBER(BD124),ISNUMBER(BE124),N(BE124)&gt;0),BD124/BE124,"")</f>
        <v/>
      </c>
      <c r="BG124" s="97" t="inlineStr">
        <is>
          <t>N</t>
        </is>
      </c>
      <c r="BH124" s="97" t="inlineStr">
        <is>
          <t>Buy Box RAISED in BFCM week (median $69.99 vs $66.49 before); List Price $78.99</t>
        </is>
      </c>
    </row>
    <row r="125" ht="62" customHeight="1">
      <c r="A125" s="10">
        <f>_xlfn.IMAGE("https://images-na.ssl-images-amazon.com/images/I/91dfner9BkL.jpg")</f>
        <v/>
      </c>
      <c r="B125" s="84" t="inlineStr">
        <is>
          <t>Pure Bamboo</t>
        </is>
      </c>
      <c r="C125" s="32" t="inlineStr">
        <is>
          <t>Pure Bamboo King Sheets, Genuine 100% Organic Viscose Derived from Bamboo Bed Sheet Set, Luxuriously Soft &amp; Cooling, Double Stitching, 2 Year Quality Promise (King, Ivory)</t>
        </is>
      </c>
      <c r="D125" s="84" t="inlineStr">
        <is>
          <t>Aspirational</t>
        </is>
      </c>
      <c r="E125" s="84" t="inlineStr">
        <is>
          <t>B0CZQ52MTQ</t>
        </is>
      </c>
      <c r="F125" s="84" t="inlineStr">
        <is>
          <t>B07DZTQ4JC</t>
        </is>
      </c>
      <c r="G125" s="84" t="inlineStr">
        <is>
          <t>King</t>
        </is>
      </c>
      <c r="H125" s="84" t="inlineStr">
        <is>
          <t>Ivory</t>
        </is>
      </c>
      <c r="I125" s="85" t="n">
        <v>181</v>
      </c>
      <c r="J125" s="32" t="inlineStr">
        <is>
          <t>B07MZ4GKZH (30%), B079RXWGSD (12%), B07DZTQ4JC (11%), B074CHDX7V (10%), B07DZMB498 (5%)</t>
        </is>
      </c>
      <c r="K125" s="86" t="n">
        <v>109.99</v>
      </c>
      <c r="L125" s="86" t="n"/>
      <c r="M125" s="87">
        <f>IF(AND(ISNUMBER(L125),ISNUMBER(K125),N(K125)&gt;0),L125/K125-1,"")</f>
        <v/>
      </c>
      <c r="N125" s="88">
        <f>IF(M125="","No List Price",IF(M125&lt;=0,"At/below price",IF(M125&lt;=0.12,"&lt;=12% STR zone",IF(M125&lt;=0.25,"12-25%","&gt;25% over"))))</f>
        <v/>
      </c>
      <c r="O125" s="86" t="n">
        <v>99.98999999999999</v>
      </c>
      <c r="P125" s="89">
        <f>IF(AND(ISNUMBER(K125),ISNUMBER(O125),N(O125)&gt;0),K125/O125-1,"")</f>
        <v/>
      </c>
      <c r="Q125" s="32" t="inlineStr">
        <is>
          <t>Same size (King). Ours live: Helium 10 Xray, 2026-10-13; 16 children</t>
        </is>
      </c>
      <c r="R125" s="85" t="n">
        <v>304</v>
      </c>
      <c r="S125" s="85" t="n">
        <v>809</v>
      </c>
      <c r="T125" s="90">
        <f>IF(AND(ISNUMBER(K125),ISNUMBER(S125)),K125*S125*52/12,"")</f>
        <v/>
      </c>
      <c r="U125" s="91" t="n">
        <v>4.5</v>
      </c>
      <c r="V125" s="85" t="n">
        <v>21927</v>
      </c>
      <c r="W125" s="92" t="n">
        <v>46307</v>
      </c>
      <c r="X125" s="92" t="n">
        <v>43281</v>
      </c>
      <c r="Y125" s="84" t="inlineStr">
        <is>
          <t>FBA</t>
        </is>
      </c>
      <c r="Z125" s="84" t="inlineStr">
        <is>
          <t>US</t>
        </is>
      </c>
      <c r="AA125" s="85" t="n">
        <v>2565055</v>
      </c>
      <c r="AB125" s="85" t="n">
        <v>8283</v>
      </c>
      <c r="AC125" s="93" t="n">
        <v>0.4648594811807159</v>
      </c>
      <c r="AD125" s="93" t="n">
        <v>0.5351407059497737</v>
      </c>
      <c r="AE125" s="32" t="inlineStr">
        <is>
          <t>bamboo sheets</t>
        </is>
      </c>
      <c r="AF125" s="93" t="n">
        <v>0.8806310196077667</v>
      </c>
      <c r="AG125" s="93" t="n">
        <v>0.8210506207469236</v>
      </c>
      <c r="AH125" s="93" t="n">
        <v>0.8831019217911507</v>
      </c>
      <c r="AI125" s="93" t="n">
        <v>0.2663467255088098</v>
      </c>
      <c r="AJ125" s="85" t="n">
        <v>1746</v>
      </c>
      <c r="AK125" s="85" t="n">
        <v>155</v>
      </c>
      <c r="AL125" s="85" t="n">
        <v>1506</v>
      </c>
      <c r="AM125" s="85" t="n">
        <v>6537</v>
      </c>
      <c r="AN125" s="85" t="n">
        <v>3237</v>
      </c>
      <c r="AO125" s="85" t="n">
        <v>208</v>
      </c>
      <c r="AP125" s="94" t="n">
        <v>1.180104147961932</v>
      </c>
      <c r="AQ125" s="89" t="n">
        <v>1.570823710546574</v>
      </c>
      <c r="AR125" s="95" t="inlineStr">
        <is>
          <t>N</t>
        </is>
      </c>
      <c r="AS125" s="95" t="inlineStr">
        <is>
          <t>none</t>
        </is>
      </c>
      <c r="AT125" s="101" t="n"/>
      <c r="AU125" s="96" t="n">
        <v>109.99</v>
      </c>
      <c r="AV125" s="95" t="inlineStr">
        <is>
          <t>none</t>
        </is>
      </c>
      <c r="AW125" s="95" t="inlineStr">
        <is>
          <t>Y</t>
        </is>
      </c>
      <c r="AX125" s="95" t="inlineStr">
        <is>
          <t>2026-10-13 12:11:16</t>
        </is>
      </c>
      <c r="AY125" s="97" t="inlineStr">
        <is>
          <t>None</t>
        </is>
      </c>
      <c r="AZ125" s="102" t="n"/>
      <c r="BA125" s="98" t="n">
        <v>109.99</v>
      </c>
      <c r="BB125" s="98" t="n">
        <v>109.99</v>
      </c>
      <c r="BC125" s="87">
        <f>IF(AND(ISNUMBER(BA125),ISNUMBER(BB125),N(BA125)&gt;0),1-BB125/BA125,"")</f>
        <v/>
      </c>
      <c r="BD125" s="99" t="n">
        <v>287</v>
      </c>
      <c r="BE125" s="99" t="n">
        <v>598</v>
      </c>
      <c r="BF125" s="100">
        <f>IF(AND(ISNUMBER(BD125),ISNUMBER(BE125),N(BE125)&gt;0),BD125/BE125,"")</f>
        <v/>
      </c>
      <c r="BG125" s="97" t="inlineStr">
        <is>
          <t>N</t>
        </is>
      </c>
      <c r="BH125" s="97" t="inlineStr">
        <is>
          <t>List Price $139.99/$149.99</t>
        </is>
      </c>
    </row>
    <row r="126" ht="62" customHeight="1">
      <c r="A126" s="10">
        <f>_xlfn.IMAGE("https://images-na.ssl-images-amazon.com/images/I/71oEhkRYQ+L.jpg")</f>
        <v/>
      </c>
      <c r="B126" s="84" t="inlineStr">
        <is>
          <t>Hotel Sheets Direct</t>
        </is>
      </c>
      <c r="C126" s="32" t="inlineStr">
        <is>
          <t>Hotel Sheets Direct 4 Piece Bed Sheet Set Queen Size, 100% Viscose Derived from Bamboo Sheets Set with 2 Pillowcases, Cooling &amp; Breathable Luxury Bedding, Moisture-Wicking &amp; Silky Soft Texture, White</t>
        </is>
      </c>
      <c r="D126" s="84" t="inlineStr">
        <is>
          <t>Aspirational</t>
        </is>
      </c>
      <c r="E126" s="84" t="inlineStr">
        <is>
          <t>B0G5N99X9R</t>
        </is>
      </c>
      <c r="F126" s="84" t="inlineStr">
        <is>
          <t>B01N9L2O9P</t>
        </is>
      </c>
      <c r="G126" s="84" t="inlineStr">
        <is>
          <t>Queen</t>
        </is>
      </c>
      <c r="H126" s="84" t="inlineStr">
        <is>
          <t>White</t>
        </is>
      </c>
      <c r="I126" s="85" t="n">
        <v>61</v>
      </c>
      <c r="J126" s="32" t="inlineStr">
        <is>
          <t>B01N9L2O9P (30%), B01N0UB2GO (20%), B072WD91XH (10%), B072WV76WK (6%), B07RJBYJ9L (5%)</t>
        </is>
      </c>
      <c r="K126" s="86" t="n">
        <v>79.98999999999999</v>
      </c>
      <c r="L126" s="86" t="n"/>
      <c r="M126" s="87">
        <f>IF(AND(ISNUMBER(L126),ISNUMBER(K126),N(K126)&gt;0),L126/K126-1,"")</f>
        <v/>
      </c>
      <c r="N126" s="88">
        <f>IF(M126="","No List Price",IF(M126&lt;=0,"At/below price",IF(M126&lt;=0.12,"&lt;=12% STR zone",IF(M126&lt;=0.25,"12-25%","&gt;25% over"))))</f>
        <v/>
      </c>
      <c r="O126" s="86" t="n">
        <v>94.98999999999999</v>
      </c>
      <c r="P126" s="89">
        <f>IF(AND(ISNUMBER(K126),ISNUMBER(O126),N(O126)&gt;0),K126/O126-1,"")</f>
        <v/>
      </c>
      <c r="Q126" s="32" t="inlineStr">
        <is>
          <t>Same size (Queen). Ours live: Helium 10 Xray, 2026-10-13; 15 children</t>
        </is>
      </c>
      <c r="R126" s="85" t="n">
        <v>2984</v>
      </c>
      <c r="S126" s="85" t="n">
        <v>347</v>
      </c>
      <c r="T126" s="90">
        <f>IF(AND(ISNUMBER(K126),ISNUMBER(S126)),K126*S126*52/12,"")</f>
        <v/>
      </c>
      <c r="U126" s="91" t="n">
        <v>4.4</v>
      </c>
      <c r="V126" s="85" t="n">
        <v>37179</v>
      </c>
      <c r="W126" s="92" t="n">
        <v>46307</v>
      </c>
      <c r="X126" s="92" t="n">
        <v>42729</v>
      </c>
      <c r="Y126" s="84" t="inlineStr">
        <is>
          <t>FBA</t>
        </is>
      </c>
      <c r="Z126" s="84" t="inlineStr">
        <is>
          <t>US</t>
        </is>
      </c>
      <c r="AA126" s="85" t="n">
        <v>451969</v>
      </c>
      <c r="AB126" s="85" t="n">
        <v>4094</v>
      </c>
      <c r="AC126" s="93" t="n">
        <v>0.6071584272372669</v>
      </c>
      <c r="AD126" s="93" t="n">
        <v>0.3928415727627336</v>
      </c>
      <c r="AE126" s="32" t="inlineStr">
        <is>
          <t>hotel</t>
        </is>
      </c>
      <c r="AF126" s="93" t="n">
        <v>0.9036371963563873</v>
      </c>
      <c r="AG126" s="93" t="n">
        <v>0.4767871247806819</v>
      </c>
      <c r="AH126" s="93" t="n">
        <v>0.1264024745059949</v>
      </c>
      <c r="AI126" s="93" t="n">
        <v>0.3227168234989568</v>
      </c>
      <c r="AJ126" s="85" t="n">
        <v>1566</v>
      </c>
      <c r="AK126" s="85" t="n">
        <v>614</v>
      </c>
      <c r="AL126" s="85" t="n">
        <v>775</v>
      </c>
      <c r="AM126" s="85" t="n">
        <v>2528</v>
      </c>
      <c r="AN126" s="85" t="n">
        <v>616</v>
      </c>
      <c r="AO126" s="85" t="n">
        <v>111</v>
      </c>
      <c r="AP126" s="94" t="n">
        <v>1.799620493358634</v>
      </c>
      <c r="AQ126" s="89" t="n">
        <v>0.004829621679635077</v>
      </c>
      <c r="AR126" s="95" t="inlineStr">
        <is>
          <t>N</t>
        </is>
      </c>
      <c r="AS126" s="95" t="inlineStr">
        <is>
          <t>none</t>
        </is>
      </c>
      <c r="AT126" s="101" t="n"/>
      <c r="AU126" s="96" t="n">
        <v>79.98999999999999</v>
      </c>
      <c r="AV126" s="95" t="inlineStr">
        <is>
          <t>none</t>
        </is>
      </c>
      <c r="AW126" s="95" t="inlineStr">
        <is>
          <t>Y</t>
        </is>
      </c>
      <c r="AX126" s="95" t="inlineStr">
        <is>
          <t>2026-10-13 12:10:54</t>
        </is>
      </c>
      <c r="AY126" s="97" t="inlineStr">
        <is>
          <t>Price cut only</t>
        </is>
      </c>
      <c r="AZ126" s="97" t="inlineStr">
        <is>
          <t>11-20 to 12-01</t>
        </is>
      </c>
      <c r="BA126" s="98" t="n">
        <v>72.98999999999999</v>
      </c>
      <c r="BB126" s="98" t="n">
        <v>57.99</v>
      </c>
      <c r="BC126" s="87">
        <f>IF(AND(ISNUMBER(BA126),ISNUMBER(BB126),N(BA126)&gt;0),1-BB126/BA126,"")</f>
        <v/>
      </c>
      <c r="BD126" s="99" t="n">
        <v>3871</v>
      </c>
      <c r="BE126" s="99" t="n">
        <v>1703</v>
      </c>
      <c r="BF126" s="100">
        <f>IF(AND(ISNUMBER(BD126),ISNUMBER(BE126),N(BE126)&gt;0),BD126/BE126,"")</f>
        <v/>
      </c>
      <c r="BG126" s="97" t="inlineStr">
        <is>
          <t>N</t>
        </is>
      </c>
      <c r="BH126" s="97" t="inlineStr">
        <is>
          <t>Lightning Deal 11-07 to 11-11; Coupon 20% (11-12 to 12-02); List Price $72.99</t>
        </is>
      </c>
    </row>
    <row r="127" ht="62" customHeight="1">
      <c r="A127" s="39" t="inlineStr">
        <is>
          <t>IMAGE MISSING</t>
        </is>
      </c>
      <c r="B127" s="84" t="inlineStr">
        <is>
          <t>BAMPURE</t>
        </is>
      </c>
      <c r="C127" s="32" t="inlineStr">
        <is>
          <t>Bamboo Sheets</t>
        </is>
      </c>
      <c r="D127" s="84" t="inlineStr">
        <is>
          <t>Aspirational</t>
        </is>
      </c>
      <c r="E127" s="84" t="inlineStr">
        <is>
          <t>B0FH2WGKJV</t>
        </is>
      </c>
      <c r="F127" s="84" t="inlineStr">
        <is>
          <t>B07XC2KVM7</t>
        </is>
      </c>
      <c r="G127" s="84" t="n"/>
      <c r="H127" s="84" t="n"/>
      <c r="I127" s="85" t="n"/>
      <c r="J127" s="32" t="inlineStr"/>
      <c r="K127" s="86" t="n">
        <v>37.99</v>
      </c>
      <c r="L127" s="86" t="n"/>
      <c r="M127" s="87">
        <f>IF(AND(ISNUMBER(L127),ISNUMBER(K127),N(K127)&gt;0),L127/K127-1,"")</f>
        <v/>
      </c>
      <c r="N127" s="88">
        <f>IF(M127="","No List Price",IF(M127&lt;=0,"At/below price",IF(M127&lt;=0.12,"&lt;=12% STR zone",IF(M127&lt;=0.25,"12-25%","&gt;25% over"))))</f>
        <v/>
      </c>
      <c r="O127" s="86" t="n">
        <v>94.98999999999999</v>
      </c>
      <c r="P127" s="89">
        <f>IF(AND(ISNUMBER(K127),ISNUMBER(O127),N(O127)&gt;0),K127/O127-1,"")</f>
        <v/>
      </c>
      <c r="Q127" s="32" t="inlineStr">
        <is>
          <t>Size not stated - vs our Queen. Ours live: Helium 10 Xray, 2026-10-13; 15 children</t>
        </is>
      </c>
      <c r="R127" s="85" t="n">
        <v>2541068</v>
      </c>
      <c r="S127" s="85" t="n">
        <v>5</v>
      </c>
      <c r="T127" s="90">
        <f>IF(AND(ISNUMBER(K127),ISNUMBER(S127)),K127*S127*52/12,"")</f>
        <v/>
      </c>
      <c r="U127" s="91" t="n">
        <v>4.4</v>
      </c>
      <c r="V127" s="85" t="n">
        <v>30</v>
      </c>
      <c r="W127" s="92" t="n">
        <v>46307</v>
      </c>
      <c r="X127" s="92" t="n"/>
      <c r="Y127" s="84" t="n"/>
      <c r="Z127" s="84" t="n"/>
      <c r="AA127" s="85" t="n"/>
      <c r="AB127" s="85" t="n"/>
      <c r="AC127" s="93" t="n"/>
      <c r="AD127" s="93" t="n"/>
      <c r="AE127" s="32" t="n"/>
      <c r="AF127" s="93" t="n"/>
      <c r="AG127" s="93" t="n"/>
      <c r="AH127" s="93" t="n"/>
      <c r="AI127" s="93" t="n"/>
      <c r="AJ127" s="85" t="n"/>
      <c r="AK127" s="85" t="n"/>
      <c r="AL127" s="85" t="n"/>
      <c r="AM127" s="85" t="n"/>
      <c r="AN127" s="85" t="n"/>
      <c r="AO127" s="85" t="n"/>
      <c r="AP127" s="94" t="n"/>
      <c r="AQ127" s="89" t="n"/>
      <c r="AR127" s="95" t="inlineStr">
        <is>
          <t>N</t>
        </is>
      </c>
      <c r="AS127" s="95" t="inlineStr">
        <is>
          <t>none</t>
        </is>
      </c>
      <c r="AT127" s="101" t="n"/>
      <c r="AU127" s="101" t="n"/>
      <c r="AV127" s="95" t="inlineStr">
        <is>
          <t>none</t>
        </is>
      </c>
      <c r="AW127" s="95" t="inlineStr">
        <is>
          <t>N</t>
        </is>
      </c>
      <c r="AX127" s="95" t="inlineStr">
        <is>
          <t>2026-10-13 12:10:15</t>
        </is>
      </c>
      <c r="AY127" s="97" t="inlineStr">
        <is>
          <t>None</t>
        </is>
      </c>
      <c r="AZ127" s="102" t="n"/>
      <c r="BA127" s="98" t="n">
        <v>69.98999999999999</v>
      </c>
      <c r="BB127" s="98" t="n">
        <v>69.98999999999999</v>
      </c>
      <c r="BC127" s="87">
        <f>IF(AND(ISNUMBER(BA127),ISNUMBER(BB127),N(BA127)&gt;0),1-BB127/BA127,"")</f>
        <v/>
      </c>
      <c r="BD127" s="99" t="n">
        <v>31768</v>
      </c>
      <c r="BE127" s="99" t="n">
        <v>27950</v>
      </c>
      <c r="BF127" s="100">
        <f>IF(AND(ISNUMBER(BD127),ISNUMBER(BE127),N(BE127)&gt;0),BD127/BE127,"")</f>
        <v/>
      </c>
      <c r="BG127" s="97" t="inlineStr">
        <is>
          <t>N</t>
        </is>
      </c>
      <c r="BH127" s="97" t="inlineStr">
        <is>
          <t>List Price $69.99</t>
        </is>
      </c>
    </row>
    <row r="128" ht="62" customHeight="1">
      <c r="A128" s="10">
        <f>_xlfn.IMAGE("https://images-na.ssl-images-amazon.com/images/I/71AudKmD2JL.jpg")</f>
        <v/>
      </c>
      <c r="B128" s="84" t="inlineStr">
        <is>
          <t>Love's cabin</t>
        </is>
      </c>
      <c r="C128" s="32" t="inlineStr">
        <is>
          <t>Love's cabin 4 Piece Queen Sheet Set, 100% Rayon Derived from Bamboo, Cooling &amp; Breathable, Soft Silky Deep Pocket up to 16", Hotel Luxury Bedding for Hot Sleepers, Beige</t>
        </is>
      </c>
      <c r="D128" s="84" t="inlineStr">
        <is>
          <t>Beatable</t>
        </is>
      </c>
      <c r="E128" s="84" t="inlineStr">
        <is>
          <t>B0DN1GGFL7</t>
        </is>
      </c>
      <c r="F128" s="84" t="inlineStr">
        <is>
          <t>B0DN1DVKH5</t>
        </is>
      </c>
      <c r="G128" s="84" t="inlineStr">
        <is>
          <t>Queen</t>
        </is>
      </c>
      <c r="H128" s="84" t="inlineStr">
        <is>
          <t>Beige</t>
        </is>
      </c>
      <c r="I128" s="85" t="n">
        <v>176</v>
      </c>
      <c r="J128" s="32" t="inlineStr">
        <is>
          <t>B0DN1DVKH5 (43%), B0DN1H6C88 (10%), B0DN1D4YKB (9%), B0DN1H5PQ6 (8%), B0DN1DRRDN (7%)</t>
        </is>
      </c>
      <c r="K128" s="86" t="n">
        <v>37.99</v>
      </c>
      <c r="L128" s="86" t="n">
        <v>44.99</v>
      </c>
      <c r="M128" s="87">
        <f>IF(AND(ISNUMBER(L128),ISNUMBER(K128),N(K128)&gt;0),L128/K128-1,"")</f>
        <v/>
      </c>
      <c r="N128" s="88">
        <f>IF(M128="","No List Price",IF(M128&lt;=0,"At/below price",IF(M128&lt;=0.12,"&lt;=12% STR zone",IF(M128&lt;=0.25,"12-25%","&gt;25% over"))))</f>
        <v/>
      </c>
      <c r="O128" s="86" t="n">
        <v>94.98999999999999</v>
      </c>
      <c r="P128" s="89">
        <f>IF(AND(ISNUMBER(K128),ISNUMBER(O128),N(O128)&gt;0),K128/O128-1,"")</f>
        <v/>
      </c>
      <c r="Q128" s="32" t="inlineStr">
        <is>
          <t>Same size (Queen). Ours live: Helium 10 Xray, 2026-10-13; 15 children</t>
        </is>
      </c>
      <c r="R128" s="85" t="n">
        <v>501</v>
      </c>
      <c r="S128" s="85" t="n">
        <v>924</v>
      </c>
      <c r="T128" s="90">
        <f>IF(AND(ISNUMBER(K128),ISNUMBER(S128)),K128*S128*52/12,"")</f>
        <v/>
      </c>
      <c r="U128" s="91" t="n">
        <v>4.4</v>
      </c>
      <c r="V128" s="85" t="n">
        <v>1900</v>
      </c>
      <c r="W128" s="92" t="n">
        <v>46307</v>
      </c>
      <c r="X128" s="92" t="n">
        <v>45694</v>
      </c>
      <c r="Y128" s="84" t="inlineStr">
        <is>
          <t>FBA</t>
        </is>
      </c>
      <c r="Z128" s="84" t="inlineStr">
        <is>
          <t>CN</t>
        </is>
      </c>
      <c r="AA128" s="85" t="n">
        <v>906346</v>
      </c>
      <c r="AB128" s="85" t="n">
        <v>4326</v>
      </c>
      <c r="AC128" s="93" t="n">
        <v>0.9184238707954808</v>
      </c>
      <c r="AD128" s="93" t="n">
        <v>0.08157613626584115</v>
      </c>
      <c r="AE128" s="32" t="inlineStr">
        <is>
          <t>bamboo sheets</t>
        </is>
      </c>
      <c r="AF128" s="93" t="n">
        <v>0.888575665364</v>
      </c>
      <c r="AG128" s="93" t="n">
        <v>0.05086247415446198</v>
      </c>
      <c r="AH128" s="93" t="n"/>
      <c r="AI128" s="93" t="n">
        <v>0.4089034430559632</v>
      </c>
      <c r="AJ128" s="85" t="n">
        <v>1556</v>
      </c>
      <c r="AK128" s="85" t="n">
        <v>267</v>
      </c>
      <c r="AL128" s="85" t="n">
        <v>1198</v>
      </c>
      <c r="AM128" s="85" t="n">
        <v>2770</v>
      </c>
      <c r="AN128" s="85" t="n">
        <v>844</v>
      </c>
      <c r="AO128" s="85" t="n">
        <v>52</v>
      </c>
      <c r="AP128" s="94" t="n">
        <v>0.8953669259384511</v>
      </c>
      <c r="AQ128" s="89" t="n">
        <v>0.5388519228600428</v>
      </c>
      <c r="AR128" s="95" t="inlineStr">
        <is>
          <t>Y</t>
        </is>
      </c>
      <c r="AS128" s="95" t="inlineStr">
        <is>
          <t>List Price</t>
        </is>
      </c>
      <c r="AT128" s="96" t="n">
        <v>44.99</v>
      </c>
      <c r="AU128" s="96" t="n">
        <v>37.99</v>
      </c>
      <c r="AV128" s="95" t="inlineStr">
        <is>
          <t>none</t>
        </is>
      </c>
      <c r="AW128" s="95" t="inlineStr">
        <is>
          <t>Y</t>
        </is>
      </c>
      <c r="AX128" s="95" t="inlineStr">
        <is>
          <t>2026-10-13 12:11:04</t>
        </is>
      </c>
      <c r="AY128" s="97" t="inlineStr">
        <is>
          <t>Prime Exclusive Discount</t>
        </is>
      </c>
      <c r="AZ128" s="97" t="inlineStr">
        <is>
          <t>11-03 to 12-05</t>
        </is>
      </c>
      <c r="BA128" s="98" t="n">
        <v>36.99</v>
      </c>
      <c r="BB128" s="98" t="n">
        <v>29.99</v>
      </c>
      <c r="BC128" s="87">
        <f>IF(AND(ISNUMBER(BA128),ISNUMBER(BB128),N(BA128)&gt;0),1-BB128/BA128,"")</f>
        <v/>
      </c>
      <c r="BD128" s="99" t="n">
        <v>32899</v>
      </c>
      <c r="BE128" s="99" t="n">
        <v>33089</v>
      </c>
      <c r="BF128" s="100">
        <f>IF(AND(ISNUMBER(BD128),ISNUMBER(BE128),N(BE128)&gt;0),BD128/BE128,"")</f>
        <v/>
      </c>
      <c r="BG128" s="97" t="inlineStr">
        <is>
          <t>N</t>
        </is>
      </c>
      <c r="BH128" s="97" t="inlineStr">
        <is>
          <t>Prime Exclusive already running before BFCM week; List Price $49.99</t>
        </is>
      </c>
    </row>
    <row r="129" ht="62" customHeight="1">
      <c r="A129" s="10">
        <f>_xlfn.IMAGE("https://images-na.ssl-images-amazon.com/images/I/61-LBYlR5KL.jpg")</f>
        <v/>
      </c>
      <c r="B129" s="84" t="inlineStr">
        <is>
          <t>KRIMANO</t>
        </is>
      </c>
      <c r="C129" s="32" t="inlineStr">
        <is>
          <t>KRIMANO Bamboo Viscose Sheet Set King Size, Cooling Sheets Bed Set</t>
        </is>
      </c>
      <c r="D129" s="84" t="inlineStr">
        <is>
          <t>Beatable</t>
        </is>
      </c>
      <c r="E129" s="84" t="inlineStr">
        <is>
          <t>B0FT7L9RSX</t>
        </is>
      </c>
      <c r="F129" s="84" t="inlineStr">
        <is>
          <t>B0FT7LZ2CD</t>
        </is>
      </c>
      <c r="G129" s="84" t="inlineStr">
        <is>
          <t>King</t>
        </is>
      </c>
      <c r="H129" s="84" t="n"/>
      <c r="I129" s="85" t="n">
        <v>43</v>
      </c>
      <c r="J129" s="32" t="inlineStr">
        <is>
          <t>B0FT7LV7PP (47%), B0FT7LZ2CD (42%)</t>
        </is>
      </c>
      <c r="K129" s="86" t="n">
        <v>84.98999999999999</v>
      </c>
      <c r="L129" s="86" t="n"/>
      <c r="M129" s="87">
        <f>IF(AND(ISNUMBER(L129),ISNUMBER(K129),N(K129)&gt;0),L129/K129-1,"")</f>
        <v/>
      </c>
      <c r="N129" s="88">
        <f>IF(M129="","No List Price",IF(M129&lt;=0,"At/below price",IF(M129&lt;=0.12,"&lt;=12% STR zone",IF(M129&lt;=0.25,"12-25%","&gt;25% over"))))</f>
        <v/>
      </c>
      <c r="O129" s="86" t="n">
        <v>99.98999999999999</v>
      </c>
      <c r="P129" s="89">
        <f>IF(AND(ISNUMBER(K129),ISNUMBER(O129),N(O129)&gt;0),K129/O129-1,"")</f>
        <v/>
      </c>
      <c r="Q129" s="32" t="inlineStr">
        <is>
          <t>Same size (King). Ours live: Helium 10 Xray, 2026-10-13; 16 children</t>
        </is>
      </c>
      <c r="R129" s="85" t="n">
        <v>5664</v>
      </c>
      <c r="S129" s="85" t="n">
        <v>185</v>
      </c>
      <c r="T129" s="90">
        <f>IF(AND(ISNUMBER(K129),ISNUMBER(S129)),K129*S129*52/12,"")</f>
        <v/>
      </c>
      <c r="U129" s="91" t="n">
        <v>4.5</v>
      </c>
      <c r="V129" s="85" t="n">
        <v>263</v>
      </c>
      <c r="W129" s="92" t="n">
        <v>46307</v>
      </c>
      <c r="X129" s="92" t="n">
        <v>45944</v>
      </c>
      <c r="Y129" s="84" t="inlineStr">
        <is>
          <t>FBA</t>
        </is>
      </c>
      <c r="Z129" s="84" t="inlineStr">
        <is>
          <t>HK</t>
        </is>
      </c>
      <c r="AA129" s="85" t="n">
        <v>334819</v>
      </c>
      <c r="AB129" s="85" t="n">
        <v>2638</v>
      </c>
      <c r="AC129" s="93" t="n">
        <v>0.6137371774003271</v>
      </c>
      <c r="AD129" s="93" t="n">
        <v>0.3862628512718813</v>
      </c>
      <c r="AE129" s="32" t="inlineStr">
        <is>
          <t>bamboo sheets</t>
        </is>
      </c>
      <c r="AF129" s="93" t="n">
        <v>0.9348573408319122</v>
      </c>
      <c r="AG129" s="93" t="n">
        <v>0.3304382367786775</v>
      </c>
      <c r="AH129" s="93" t="n"/>
      <c r="AI129" s="93" t="n">
        <v>0.007908750698138397</v>
      </c>
      <c r="AJ129" s="85" t="n">
        <v>1426</v>
      </c>
      <c r="AK129" s="85" t="n">
        <v>430</v>
      </c>
      <c r="AL129" s="85" t="n">
        <v>737</v>
      </c>
      <c r="AM129" s="85" t="n">
        <v>1212</v>
      </c>
      <c r="AN129" s="85" t="n">
        <v>238</v>
      </c>
      <c r="AO129" s="85" t="n">
        <v>136</v>
      </c>
      <c r="AP129" s="94" t="n">
        <v>1.312468450277638</v>
      </c>
      <c r="AQ129" s="89" t="n">
        <v>0.2565502183406114</v>
      </c>
      <c r="AR129" s="95" t="inlineStr">
        <is>
          <t>N</t>
        </is>
      </c>
      <c r="AS129" s="95" t="inlineStr">
        <is>
          <t>none</t>
        </is>
      </c>
      <c r="AT129" s="101" t="n"/>
      <c r="AU129" s="96" t="n">
        <v>84.98999999999999</v>
      </c>
      <c r="AV129" s="95" t="inlineStr">
        <is>
          <t>none</t>
        </is>
      </c>
      <c r="AW129" s="95" t="inlineStr">
        <is>
          <t>Y</t>
        </is>
      </c>
      <c r="AX129" s="95" t="inlineStr">
        <is>
          <t>2026-10-13 12:11:00</t>
        </is>
      </c>
      <c r="AY129" s="97" t="inlineStr">
        <is>
          <t>None</t>
        </is>
      </c>
      <c r="AZ129" s="102" t="n"/>
      <c r="BA129" s="98" t="n">
        <v>72.98999999999999</v>
      </c>
      <c r="BB129" s="98" t="n">
        <v>72.98999999999999</v>
      </c>
      <c r="BC129" s="87">
        <f>IF(AND(ISNUMBER(BA129),ISNUMBER(BB129),N(BA129)&gt;0),1-BB129/BA129,"")</f>
        <v/>
      </c>
      <c r="BD129" s="99" t="n">
        <v>1190634</v>
      </c>
      <c r="BE129" s="99" t="n">
        <v>628461</v>
      </c>
      <c r="BF129" s="100">
        <f>IF(AND(ISNUMBER(BD129),ISNUMBER(BE129),N(BE129)&gt;0),BD129/BE129,"")</f>
        <v/>
      </c>
      <c r="BG129" s="97" t="inlineStr">
        <is>
          <t>N</t>
        </is>
      </c>
      <c r="BH129" s="97" t="inlineStr">
        <is>
          <t>List Price $94.89</t>
        </is>
      </c>
    </row>
    <row r="130" ht="62" customHeight="1">
      <c r="A130" s="39" t="inlineStr">
        <is>
          <t>IMAGE MISSING</t>
        </is>
      </c>
      <c r="B130" s="84" t="inlineStr">
        <is>
          <t>TRUE BAMBOO</t>
        </is>
      </c>
      <c r="C130" s="32" t="inlineStr">
        <is>
          <t>TRUE BAMBOO Sheets Set King Size - Silky Soft &amp; Cooling - Dark Gray</t>
        </is>
      </c>
      <c r="D130" s="84" t="inlineStr">
        <is>
          <t>Beatable</t>
        </is>
      </c>
      <c r="E130" s="84" t="inlineStr">
        <is>
          <t>B0HHQ97HBL</t>
        </is>
      </c>
      <c r="F130" s="84" t="inlineStr">
        <is>
          <t>B0HD7R5L1D</t>
        </is>
      </c>
      <c r="G130" s="84" t="inlineStr">
        <is>
          <t>King</t>
        </is>
      </c>
      <c r="H130" s="84" t="inlineStr">
        <is>
          <t>Gray</t>
        </is>
      </c>
      <c r="I130" s="85" t="n">
        <v>30</v>
      </c>
      <c r="J130" s="32" t="inlineStr">
        <is>
          <t>B0HD7R5L1D (45%), B0H5WYMXJK (28%), B0H7BYKYCD (9%)</t>
        </is>
      </c>
      <c r="K130" s="86" t="n">
        <v>114.99</v>
      </c>
      <c r="L130" s="86" t="n">
        <v>129.99</v>
      </c>
      <c r="M130" s="87">
        <f>IF(AND(ISNUMBER(L130),ISNUMBER(K130),N(K130)&gt;0),L130/K130-1,"")</f>
        <v/>
      </c>
      <c r="N130" s="88">
        <f>IF(M130="","No List Price",IF(M130&lt;=0,"At/below price",IF(M130&lt;=0.12,"&lt;=12% STR zone",IF(M130&lt;=0.25,"12-25%","&gt;25% over"))))</f>
        <v/>
      </c>
      <c r="O130" s="86" t="n">
        <v>99.98999999999999</v>
      </c>
      <c r="P130" s="89">
        <f>IF(AND(ISNUMBER(K130),ISNUMBER(O130),N(O130)&gt;0),K130/O130-1,"")</f>
        <v/>
      </c>
      <c r="Q130" s="32" t="inlineStr">
        <is>
          <t>Same size (King). Ours live: Helium 10 Xray, 2026-10-13; 16 children</t>
        </is>
      </c>
      <c r="R130" s="85" t="n">
        <v>5934</v>
      </c>
      <c r="S130" s="85" t="n">
        <v>185</v>
      </c>
      <c r="T130" s="90">
        <f>IF(AND(ISNUMBER(K130),ISNUMBER(S130)),K130*S130*52/12,"")</f>
        <v/>
      </c>
      <c r="U130" s="91" t="n">
        <v>4.6</v>
      </c>
      <c r="V130" s="85" t="n">
        <v>167</v>
      </c>
      <c r="W130" s="92" t="n">
        <v>46307</v>
      </c>
      <c r="X130" s="92" t="n"/>
      <c r="Y130" s="84" t="n"/>
      <c r="Z130" s="84" t="n"/>
      <c r="AA130" s="85" t="n">
        <v>557658</v>
      </c>
      <c r="AB130" s="85" t="n">
        <v>2189</v>
      </c>
      <c r="AC130" s="93" t="n">
        <v>0.518044597943542</v>
      </c>
      <c r="AD130" s="93" t="n">
        <v>0.4819554422244464</v>
      </c>
      <c r="AE130" s="32" t="inlineStr">
        <is>
          <t>king size sheets set</t>
        </is>
      </c>
      <c r="AF130" s="93" t="n">
        <v>0.9807695756180311</v>
      </c>
      <c r="AG130" s="93" t="n">
        <v>0.2157666526795993</v>
      </c>
      <c r="AH130" s="93" t="n"/>
      <c r="AI130" s="93" t="n"/>
      <c r="AJ130" s="85" t="n">
        <v>1291</v>
      </c>
      <c r="AK130" s="85" t="n">
        <v>383</v>
      </c>
      <c r="AL130" s="85" t="n">
        <v>713</v>
      </c>
      <c r="AM130" s="85" t="n">
        <v>898</v>
      </c>
      <c r="AN130" s="85" t="n">
        <v>532</v>
      </c>
      <c r="AO130" s="85" t="n">
        <v>226</v>
      </c>
      <c r="AP130" s="94" t="n"/>
      <c r="AQ130" s="89" t="n"/>
      <c r="AR130" s="95" t="inlineStr">
        <is>
          <t>Y</t>
        </is>
      </c>
      <c r="AS130" s="95" t="inlineStr">
        <is>
          <t>List Price</t>
        </is>
      </c>
      <c r="AT130" s="96" t="n">
        <v>129.99</v>
      </c>
      <c r="AU130" s="96" t="n">
        <v>79.98999999999999</v>
      </c>
      <c r="AV130" s="95" t="inlineStr">
        <is>
          <t>none</t>
        </is>
      </c>
      <c r="AW130" s="95" t="inlineStr">
        <is>
          <t>Y</t>
        </is>
      </c>
      <c r="AX130" s="95" t="inlineStr">
        <is>
          <t>2026-10-13 12:11:32</t>
        </is>
      </c>
      <c r="AY130" s="97" t="inlineStr">
        <is>
          <t>Not live in 2025</t>
        </is>
      </c>
      <c r="AZ130" s="102" t="n"/>
      <c r="BA130" s="101" t="n"/>
      <c r="BB130" s="101" t="n"/>
      <c r="BC130" s="87">
        <f>IF(AND(ISNUMBER(BA130),ISNUMBER(BB130),N(BA130)&gt;0),1-BB130/BA130,"")</f>
        <v/>
      </c>
      <c r="BD130" s="103" t="n"/>
      <c r="BE130" s="103" t="n"/>
      <c r="BF130" s="100">
        <f>IF(AND(ISNUMBER(BD130),ISNUMBER(BE130),N(BE130)&gt;0),BD130/BE130,"")</f>
        <v/>
      </c>
      <c r="BG130" s="102" t="n"/>
      <c r="BH130" s="102" t="n"/>
    </row>
    <row r="131" ht="62" customHeight="1">
      <c r="A131" s="10">
        <f>_xlfn.IMAGE("https://images-na.ssl-images-amazon.com/images/I/81fpVjndH2L.jpg")</f>
        <v/>
      </c>
      <c r="B131" s="84" t="inlineStr">
        <is>
          <t>Shilucheng</t>
        </is>
      </c>
      <c r="C131" s="32" t="inlineStr">
        <is>
          <t>Shilucheng 4 Piece Queen Sheet Sets, Cooling Sheets, Dark Grey</t>
        </is>
      </c>
      <c r="D131" s="84" t="inlineStr">
        <is>
          <t>Beatable</t>
        </is>
      </c>
      <c r="E131" s="84" t="inlineStr">
        <is>
          <t>B0HJSVWNRS</t>
        </is>
      </c>
      <c r="F131" s="84" t="inlineStr">
        <is>
          <t>B0FWY1TGFK</t>
        </is>
      </c>
      <c r="G131" s="84" t="inlineStr">
        <is>
          <t>Queen</t>
        </is>
      </c>
      <c r="H131" s="84" t="inlineStr">
        <is>
          <t>Grey</t>
        </is>
      </c>
      <c r="I131" s="85" t="n">
        <v>49</v>
      </c>
      <c r="J131" s="32" t="inlineStr">
        <is>
          <t>B0FWY1TGFK (67%), B098JT1RF2 (22%)</t>
        </is>
      </c>
      <c r="K131" s="86" t="n">
        <v>34.99</v>
      </c>
      <c r="L131" s="86" t="n"/>
      <c r="M131" s="87">
        <f>IF(AND(ISNUMBER(L131),ISNUMBER(K131),N(K131)&gt;0),L131/K131-1,"")</f>
        <v/>
      </c>
      <c r="N131" s="88">
        <f>IF(M131="","No List Price",IF(M131&lt;=0,"At/below price",IF(M131&lt;=0.12,"&lt;=12% STR zone",IF(M131&lt;=0.25,"12-25%","&gt;25% over"))))</f>
        <v/>
      </c>
      <c r="O131" s="86" t="n">
        <v>94.98999999999999</v>
      </c>
      <c r="P131" s="89">
        <f>IF(AND(ISNUMBER(K131),ISNUMBER(O131),N(O131)&gt;0),K131/O131-1,"")</f>
        <v/>
      </c>
      <c r="Q131" s="32" t="inlineStr">
        <is>
          <t>Same size (Queen). Ours live: Helium 10 Xray, 2026-10-13; 15 children</t>
        </is>
      </c>
      <c r="R131" s="85" t="n">
        <v>5396</v>
      </c>
      <c r="S131" s="85" t="n">
        <v>173</v>
      </c>
      <c r="T131" s="90">
        <f>IF(AND(ISNUMBER(K131),ISNUMBER(S131)),K131*S131*52/12,"")</f>
        <v/>
      </c>
      <c r="U131" s="91" t="n">
        <v>4.3</v>
      </c>
      <c r="V131" s="85" t="n">
        <v>24352</v>
      </c>
      <c r="W131" s="92" t="n">
        <v>46307</v>
      </c>
      <c r="X131" s="92" t="n"/>
      <c r="Y131" s="84" t="n"/>
      <c r="Z131" s="84" t="n"/>
      <c r="AA131" s="85" t="n">
        <v>135323</v>
      </c>
      <c r="AB131" s="85" t="n">
        <v>1187</v>
      </c>
      <c r="AC131" s="93" t="n">
        <v>0.7652350080917514</v>
      </c>
      <c r="AD131" s="93" t="n">
        <v>0.234765015555375</v>
      </c>
      <c r="AE131" s="32" t="inlineStr">
        <is>
          <t>bamboo sheets</t>
        </is>
      </c>
      <c r="AF131" s="93" t="n">
        <v>0.4715236877692632</v>
      </c>
      <c r="AG131" s="93" t="n"/>
      <c r="AH131" s="93" t="n"/>
      <c r="AI131" s="93" t="n">
        <v>0.03684517783377549</v>
      </c>
      <c r="AJ131" s="85" t="n">
        <v>770</v>
      </c>
      <c r="AK131" s="85" t="n">
        <v>321</v>
      </c>
      <c r="AL131" s="85" t="n">
        <v>415</v>
      </c>
      <c r="AM131" s="85" t="n">
        <v>417</v>
      </c>
      <c r="AN131" s="85" t="n">
        <v>346</v>
      </c>
      <c r="AO131" s="85" t="n">
        <v>43</v>
      </c>
      <c r="AP131" s="94" t="n"/>
      <c r="AQ131" s="89" t="n">
        <v>-0.9497907949790795</v>
      </c>
      <c r="AR131" s="95" t="inlineStr">
        <is>
          <t>N</t>
        </is>
      </c>
      <c r="AS131" s="95" t="inlineStr">
        <is>
          <t>none</t>
        </is>
      </c>
      <c r="AT131" s="101" t="n"/>
      <c r="AU131" s="96" t="n">
        <v>34.99</v>
      </c>
      <c r="AV131" s="95" t="inlineStr">
        <is>
          <t>coupon 15%</t>
        </is>
      </c>
      <c r="AW131" s="95" t="inlineStr">
        <is>
          <t>Y</t>
        </is>
      </c>
      <c r="AX131" s="95" t="inlineStr">
        <is>
          <t>2026-10-13 12:11:26</t>
        </is>
      </c>
      <c r="AY131" s="97" t="inlineStr">
        <is>
          <t>Coupon only</t>
        </is>
      </c>
      <c r="AZ131" s="97" t="inlineStr">
        <is>
          <t>11-09 to 11-21</t>
        </is>
      </c>
      <c r="BA131" s="98" t="n">
        <v>34.9</v>
      </c>
      <c r="BB131" s="98" t="n">
        <v>28.18</v>
      </c>
      <c r="BC131" s="87">
        <f>IF(AND(ISNUMBER(BA131),ISNUMBER(BB131),N(BA131)&gt;0),1-BB131/BA131,"")</f>
        <v/>
      </c>
      <c r="BD131" s="99" t="n">
        <v>4671</v>
      </c>
      <c r="BE131" s="99" t="n">
        <v>3278</v>
      </c>
      <c r="BF131" s="100">
        <f>IF(AND(ISNUMBER(BD131),ISNUMBER(BE131),N(BE131)&gt;0),BD131/BE131,"")</f>
        <v/>
      </c>
      <c r="BG131" s="97" t="inlineStr">
        <is>
          <t>N</t>
        </is>
      </c>
      <c r="BH131" s="97" t="inlineStr">
        <is>
          <t>Coupon 15%; List Price $34.90</t>
        </is>
      </c>
    </row>
    <row r="132" ht="62" customHeight="1">
      <c r="A132" s="10">
        <f>_xlfn.IMAGE("https://images-na.ssl-images-amazon.com/images/I/81svKInu7aL.jpg")</f>
        <v/>
      </c>
      <c r="B132" s="84" t="inlineStr">
        <is>
          <t>Bambaw</t>
        </is>
      </c>
      <c r="C132" s="32" t="inlineStr">
        <is>
          <t>Bambaw 100% Viscose Derived from Bamboo Sheets Queen Size Set – 4pcs Cooling Sheet Set, Super Soft Sheets Queen Size, Luxury Bed Sheets, Deep Pocket Fits Up to 16'' Mattresses (Charcoal)</t>
        </is>
      </c>
      <c r="D132" s="84" t="inlineStr">
        <is>
          <t>Beatable</t>
        </is>
      </c>
      <c r="E132" s="84" t="inlineStr">
        <is>
          <t>B07K6SYX8L</t>
        </is>
      </c>
      <c r="F132" s="84" t="inlineStr">
        <is>
          <t>B0DR99Q37Y</t>
        </is>
      </c>
      <c r="G132" s="84" t="inlineStr">
        <is>
          <t>Queen</t>
        </is>
      </c>
      <c r="H132" s="84" t="inlineStr">
        <is>
          <t>Charcoal</t>
        </is>
      </c>
      <c r="I132" s="85" t="n">
        <v>104</v>
      </c>
      <c r="J132" s="32" t="inlineStr">
        <is>
          <t>B0DR99Q37Y (55%), B0DR98VW37 (10%), B0F2J1742T (7%), B0DR98HVG3 (5%), B0H3BQSQ1X (5%)</t>
        </is>
      </c>
      <c r="K132" s="86" t="n">
        <v>89.98999999999999</v>
      </c>
      <c r="L132" s="86" t="n"/>
      <c r="M132" s="87">
        <f>IF(AND(ISNUMBER(L132),ISNUMBER(K132),N(K132)&gt;0),L132/K132-1,"")</f>
        <v/>
      </c>
      <c r="N132" s="88">
        <f>IF(M132="","No List Price",IF(M132&lt;=0,"At/below price",IF(M132&lt;=0.12,"&lt;=12% STR zone",IF(M132&lt;=0.25,"12-25%","&gt;25% over"))))</f>
        <v/>
      </c>
      <c r="O132" s="86" t="n">
        <v>94.98999999999999</v>
      </c>
      <c r="P132" s="89">
        <f>IF(AND(ISNUMBER(K132),ISNUMBER(O132),N(O132)&gt;0),K132/O132-1,"")</f>
        <v/>
      </c>
      <c r="Q132" s="32" t="inlineStr">
        <is>
          <t>Same size (Queen). Ours live: Helium 10 Xray, 2026-10-13; 15 children</t>
        </is>
      </c>
      <c r="R132" s="85" t="n">
        <v>6971</v>
      </c>
      <c r="S132" s="85" t="n">
        <v>104</v>
      </c>
      <c r="T132" s="90">
        <f>IF(AND(ISNUMBER(K132),ISNUMBER(S132)),K132*S132*52/12,"")</f>
        <v/>
      </c>
      <c r="U132" s="91" t="n">
        <v>4.3</v>
      </c>
      <c r="V132" s="85" t="n">
        <v>2766</v>
      </c>
      <c r="W132" s="92" t="n">
        <v>46307</v>
      </c>
      <c r="X132" s="92" t="n">
        <v>45649</v>
      </c>
      <c r="Y132" s="84" t="inlineStr">
        <is>
          <t>FBA</t>
        </is>
      </c>
      <c r="Z132" s="84" t="inlineStr">
        <is>
          <t>BE</t>
        </is>
      </c>
      <c r="AA132" s="85" t="n">
        <v>407949</v>
      </c>
      <c r="AB132" s="85" t="n">
        <v>2137</v>
      </c>
      <c r="AC132" s="93" t="n">
        <v>0.5037485506766772</v>
      </c>
      <c r="AD132" s="93" t="n">
        <v>0.4962515277645003</v>
      </c>
      <c r="AE132" s="32" t="inlineStr">
        <is>
          <t>bamboo sheets</t>
        </is>
      </c>
      <c r="AF132" s="93" t="n">
        <v>0.8267479513370544</v>
      </c>
      <c r="AG132" s="93" t="n">
        <v>0.000431426477329274</v>
      </c>
      <c r="AH132" s="93" t="n">
        <v>0.3636508485129268</v>
      </c>
      <c r="AI132" s="93" t="n">
        <v>0.003414642516589083</v>
      </c>
      <c r="AJ132" s="85" t="n">
        <v>1195</v>
      </c>
      <c r="AK132" s="85" t="n">
        <v>414</v>
      </c>
      <c r="AL132" s="85" t="n">
        <v>680</v>
      </c>
      <c r="AM132" s="85" t="n">
        <v>942</v>
      </c>
      <c r="AN132" s="85" t="n">
        <v>352</v>
      </c>
      <c r="AO132" s="85" t="n">
        <v>135</v>
      </c>
      <c r="AP132" s="94" t="n">
        <v>1.374474053295933</v>
      </c>
      <c r="AQ132" s="89" t="n">
        <v>1.381825760733639</v>
      </c>
      <c r="AR132" s="95" t="inlineStr">
        <is>
          <t>N</t>
        </is>
      </c>
      <c r="AS132" s="95" t="inlineStr">
        <is>
          <t>none</t>
        </is>
      </c>
      <c r="AT132" s="101" t="n"/>
      <c r="AU132" s="96" t="n">
        <v>89.98999999999999</v>
      </c>
      <c r="AV132" s="95" t="inlineStr">
        <is>
          <t>none</t>
        </is>
      </c>
      <c r="AW132" s="95" t="inlineStr">
        <is>
          <t>Y</t>
        </is>
      </c>
      <c r="AX132" s="95" t="inlineStr">
        <is>
          <t>2026-10-13 12:10:28</t>
        </is>
      </c>
      <c r="AY132" s="97" t="inlineStr">
        <is>
          <t>None</t>
        </is>
      </c>
      <c r="AZ132" s="102" t="n"/>
      <c r="BA132" s="98" t="n">
        <v>89.98999999999999</v>
      </c>
      <c r="BB132" s="98" t="n">
        <v>89.98999999999999</v>
      </c>
      <c r="BC132" s="87">
        <f>IF(AND(ISNUMBER(BA132),ISNUMBER(BB132),N(BA132)&gt;0),1-BB132/BA132,"")</f>
        <v/>
      </c>
      <c r="BD132" s="99" t="n">
        <v>12712</v>
      </c>
      <c r="BE132" s="99" t="n">
        <v>10881</v>
      </c>
      <c r="BF132" s="100">
        <f>IF(AND(ISNUMBER(BD132),ISNUMBER(BE132),N(BE132)&gt;0),BD132/BE132,"")</f>
        <v/>
      </c>
      <c r="BG132" s="97" t="inlineStr">
        <is>
          <t>N</t>
        </is>
      </c>
      <c r="BH132" s="97" t="inlineStr">
        <is>
          <t>List Price $103.45</t>
        </is>
      </c>
    </row>
    <row r="133" ht="62" customHeight="1">
      <c r="A133" s="10">
        <f>_xlfn.IMAGE("https://images-na.ssl-images-amazon.com/images/I/81suQgVR0GL.jpg")</f>
        <v/>
      </c>
      <c r="B133" s="84" t="inlineStr">
        <is>
          <t>Bedsure</t>
        </is>
      </c>
      <c r="C133" s="32" t="inlineStr">
        <is>
          <t>Bedsure PureWoven Organically Grown Bamboo Viscose Queen Sheet Set, 4PCS</t>
        </is>
      </c>
      <c r="D133" s="84" t="inlineStr">
        <is>
          <t>Beatable</t>
        </is>
      </c>
      <c r="E133" s="84" t="inlineStr">
        <is>
          <t>B0FB8XS4D1</t>
        </is>
      </c>
      <c r="F133" s="84" t="inlineStr">
        <is>
          <t>B0FB8XR43Q</t>
        </is>
      </c>
      <c r="G133" s="84" t="inlineStr">
        <is>
          <t>Queen</t>
        </is>
      </c>
      <c r="H133" s="84" t="n"/>
      <c r="I133" s="85" t="n">
        <v>39</v>
      </c>
      <c r="J133" s="32" t="inlineStr">
        <is>
          <t>B0FB8XR43Q (31%), B0FB8ZTD7M (18%), B0GLN6VP9Y (11%), B0FB8YV6C7 (10%), B0FB8Z4GGW (10%)</t>
        </is>
      </c>
      <c r="K133" s="86" t="n">
        <v>89.98999999999999</v>
      </c>
      <c r="L133" s="86" t="n">
        <v>119.99</v>
      </c>
      <c r="M133" s="87">
        <f>IF(AND(ISNUMBER(L133),ISNUMBER(K133),N(K133)&gt;0),L133/K133-1,"")</f>
        <v/>
      </c>
      <c r="N133" s="88">
        <f>IF(M133="","No List Price",IF(M133&lt;=0,"At/below price",IF(M133&lt;=0.12,"&lt;=12% STR zone",IF(M133&lt;=0.25,"12-25%","&gt;25% over"))))</f>
        <v/>
      </c>
      <c r="O133" s="86" t="n">
        <v>94.98999999999999</v>
      </c>
      <c r="P133" s="89">
        <f>IF(AND(ISNUMBER(K133),ISNUMBER(O133),N(O133)&gt;0),K133/O133-1,"")</f>
        <v/>
      </c>
      <c r="Q133" s="32" t="inlineStr">
        <is>
          <t>Same size (Queen). Ours live: Helium 10 Xray, 2026-10-13; 15 children</t>
        </is>
      </c>
      <c r="R133" s="85" t="n">
        <v>8938</v>
      </c>
      <c r="S133" s="85" t="n">
        <v>104</v>
      </c>
      <c r="T133" s="90">
        <f>IF(AND(ISNUMBER(K133),ISNUMBER(S133)),K133*S133*52/12,"")</f>
        <v/>
      </c>
      <c r="U133" s="91" t="n">
        <v>4.5</v>
      </c>
      <c r="V133" s="85" t="n">
        <v>588</v>
      </c>
      <c r="W133" s="92" t="n">
        <v>46307</v>
      </c>
      <c r="X133" s="92" t="n">
        <v>45936</v>
      </c>
      <c r="Y133" s="84" t="inlineStr">
        <is>
          <t>FBA</t>
        </is>
      </c>
      <c r="Z133" s="84" t="inlineStr">
        <is>
          <t>US</t>
        </is>
      </c>
      <c r="AA133" s="85" t="n">
        <v>840292</v>
      </c>
      <c r="AB133" s="85" t="n">
        <v>3961</v>
      </c>
      <c r="AC133" s="93" t="n">
        <v>0.1404099194089678</v>
      </c>
      <c r="AD133" s="93" t="n">
        <v>0.8595901834124341</v>
      </c>
      <c r="AE133" s="32" t="inlineStr">
        <is>
          <t>bamboo sheets</t>
        </is>
      </c>
      <c r="AF133" s="93" t="n">
        <v>0.9284082199997143</v>
      </c>
      <c r="AG133" s="93" t="n">
        <v>0.9843340172225845</v>
      </c>
      <c r="AH133" s="93" t="n">
        <v>0.5269953777972419</v>
      </c>
      <c r="AI133" s="93" t="n">
        <v>0.000478405125837209</v>
      </c>
      <c r="AJ133" s="85" t="n">
        <v>1544</v>
      </c>
      <c r="AK133" s="85" t="n">
        <v>269</v>
      </c>
      <c r="AL133" s="85" t="n">
        <v>1174</v>
      </c>
      <c r="AM133" s="85" t="n">
        <v>2417</v>
      </c>
      <c r="AN133" s="85" t="n">
        <v>1856</v>
      </c>
      <c r="AO133" s="85" t="n">
        <v>331</v>
      </c>
      <c r="AP133" s="94" t="n">
        <v>1.764832022873481</v>
      </c>
      <c r="AQ133" s="89" t="n">
        <v>-0.09047044632086854</v>
      </c>
      <c r="AR133" s="95" t="inlineStr">
        <is>
          <t>Y</t>
        </is>
      </c>
      <c r="AS133" s="95" t="inlineStr">
        <is>
          <t>List Price</t>
        </is>
      </c>
      <c r="AT133" s="96" t="n">
        <v>119.99</v>
      </c>
      <c r="AU133" s="96" t="n">
        <v>89.98999999999999</v>
      </c>
      <c r="AV133" s="95" t="inlineStr">
        <is>
          <t>none</t>
        </is>
      </c>
      <c r="AW133" s="95" t="inlineStr">
        <is>
          <t>Y</t>
        </is>
      </c>
      <c r="AX133" s="95" t="inlineStr">
        <is>
          <t>2026-10-13 12:10:38</t>
        </is>
      </c>
      <c r="AY133" s="97" t="inlineStr">
        <is>
          <t>Prime Exclusive Discount</t>
        </is>
      </c>
      <c r="AZ133" s="97" t="inlineStr">
        <is>
          <t>11-10 to 12-05</t>
        </is>
      </c>
      <c r="BA133" s="98" t="n">
        <v>99.98999999999999</v>
      </c>
      <c r="BB133" s="98" t="n">
        <v>72.64</v>
      </c>
      <c r="BC133" s="87">
        <f>IF(AND(ISNUMBER(BA133),ISNUMBER(BB133),N(BA133)&gt;0),1-BB133/BA133,"")</f>
        <v/>
      </c>
      <c r="BD133" s="99" t="n">
        <v>53160</v>
      </c>
      <c r="BE133" s="99" t="n">
        <v>53782</v>
      </c>
      <c r="BF133" s="100">
        <f>IF(AND(ISNUMBER(BD133),ISNUMBER(BE133),N(BE133)&gt;0),BD133/BE133,"")</f>
        <v/>
      </c>
      <c r="BG133" s="97" t="inlineStr">
        <is>
          <t>N</t>
        </is>
      </c>
      <c r="BH133" s="97" t="inlineStr">
        <is>
          <t>Prime Exclusive already running before BFCM week; List Price $114.99</t>
        </is>
      </c>
    </row>
    <row r="134" ht="62" customHeight="1">
      <c r="A134" s="10">
        <f>_xlfn.IMAGE("https://images-na.ssl-images-amazon.com/images/I/71sqxa1EquL.jpg")</f>
        <v/>
      </c>
      <c r="B134" s="84" t="inlineStr">
        <is>
          <t>SONORO KATE</t>
        </is>
      </c>
      <c r="C134" s="32" t="inlineStr">
        <is>
          <t>Bamboo Sheets</t>
        </is>
      </c>
      <c r="D134" s="84" t="inlineStr">
        <is>
          <t>Beatable</t>
        </is>
      </c>
      <c r="E134" s="84" t="inlineStr">
        <is>
          <t>B0F4852T9V</t>
        </is>
      </c>
      <c r="F134" s="84" t="inlineStr">
        <is>
          <t>B0F4873G4H</t>
        </is>
      </c>
      <c r="G134" s="84" t="n"/>
      <c r="H134" s="84" t="n"/>
      <c r="I134" s="85" t="n">
        <v>33</v>
      </c>
      <c r="J134" s="32" t="inlineStr">
        <is>
          <t>B0F486MGJ1 (46%), B0F4873G4H (45%)</t>
        </is>
      </c>
      <c r="K134" s="86" t="n">
        <v>79.98999999999999</v>
      </c>
      <c r="L134" s="86" t="n"/>
      <c r="M134" s="87">
        <f>IF(AND(ISNUMBER(L134),ISNUMBER(K134),N(K134)&gt;0),L134/K134-1,"")</f>
        <v/>
      </c>
      <c r="N134" s="88">
        <f>IF(M134="","No List Price",IF(M134&lt;=0,"At/below price",IF(M134&lt;=0.12,"&lt;=12% STR zone",IF(M134&lt;=0.25,"12-25%","&gt;25% over"))))</f>
        <v/>
      </c>
      <c r="O134" s="86" t="n">
        <v>94.98999999999999</v>
      </c>
      <c r="P134" s="89">
        <f>IF(AND(ISNUMBER(K134),ISNUMBER(O134),N(O134)&gt;0),K134/O134-1,"")</f>
        <v/>
      </c>
      <c r="Q134" s="32" t="inlineStr">
        <is>
          <t>Size not stated - vs our Queen. Ours live: Helium 10 Xray, 2026-10-13; 15 children</t>
        </is>
      </c>
      <c r="R134" s="85" t="n">
        <v>7961</v>
      </c>
      <c r="S134" s="85" t="n">
        <v>104</v>
      </c>
      <c r="T134" s="90">
        <f>IF(AND(ISNUMBER(K134),ISNUMBER(S134)),K134*S134*52/12,"")</f>
        <v/>
      </c>
      <c r="U134" s="91" t="n">
        <v>4.5</v>
      </c>
      <c r="V134" s="85" t="n">
        <v>3776</v>
      </c>
      <c r="W134" s="92" t="n">
        <v>46307</v>
      </c>
      <c r="X134" s="92" t="n"/>
      <c r="Y134" s="84" t="n"/>
      <c r="Z134" s="84" t="n"/>
      <c r="AA134" s="85" t="n">
        <v>185157</v>
      </c>
      <c r="AB134" s="85" t="n">
        <v>1447</v>
      </c>
      <c r="AC134" s="93" t="n">
        <v>0.9776013545261586</v>
      </c>
      <c r="AD134" s="93" t="n">
        <v>0.02239928493116653</v>
      </c>
      <c r="AE134" s="32" t="inlineStr">
        <is>
          <t>bamboo sheets</t>
        </is>
      </c>
      <c r="AF134" s="93" t="n">
        <v>0.4342476924987983</v>
      </c>
      <c r="AG134" s="93" t="n"/>
      <c r="AH134" s="93" t="n"/>
      <c r="AI134" s="93" t="n">
        <v>0.1639959601851402</v>
      </c>
      <c r="AJ134" s="85" t="n">
        <v>924</v>
      </c>
      <c r="AK134" s="85" t="n">
        <v>331</v>
      </c>
      <c r="AL134" s="85" t="n">
        <v>521</v>
      </c>
      <c r="AM134" s="85" t="n">
        <v>523</v>
      </c>
      <c r="AN134" s="85" t="n">
        <v>71</v>
      </c>
      <c r="AO134" s="85" t="n">
        <v>8</v>
      </c>
      <c r="AP134" s="94" t="n">
        <v>1.314808539478143</v>
      </c>
      <c r="AQ134" s="89" t="n">
        <v>0.6186540731995278</v>
      </c>
      <c r="AR134" s="95" t="inlineStr">
        <is>
          <t>N</t>
        </is>
      </c>
      <c r="AS134" s="95" t="inlineStr">
        <is>
          <t>none</t>
        </is>
      </c>
      <c r="AT134" s="101" t="n"/>
      <c r="AU134" s="96" t="n">
        <v>79.98999999999999</v>
      </c>
      <c r="AV134" s="95" t="inlineStr">
        <is>
          <t>coupon $5</t>
        </is>
      </c>
      <c r="AW134" s="95" t="inlineStr">
        <is>
          <t>Y</t>
        </is>
      </c>
      <c r="AX134" s="95" t="inlineStr">
        <is>
          <t>2026-10-13 12:11:19</t>
        </is>
      </c>
      <c r="AY134" s="97" t="inlineStr">
        <is>
          <t>Prime Exclusive Discount</t>
        </is>
      </c>
      <c r="AZ134" s="97" t="inlineStr">
        <is>
          <t>11-20 to 12-01</t>
        </is>
      </c>
      <c r="BA134" s="98" t="n">
        <v>79.98999999999999</v>
      </c>
      <c r="BB134" s="98" t="n">
        <v>63.99</v>
      </c>
      <c r="BC134" s="87">
        <f>IF(AND(ISNUMBER(BA134),ISNUMBER(BB134),N(BA134)&gt;0),1-BB134/BA134,"")</f>
        <v/>
      </c>
      <c r="BD134" s="99" t="n">
        <v>36662</v>
      </c>
      <c r="BE134" s="99" t="n">
        <v>23612</v>
      </c>
      <c r="BF134" s="100">
        <f>IF(AND(ISNUMBER(BD134),ISNUMBER(BE134),N(BE134)&gt;0),BD134/BE134,"")</f>
        <v/>
      </c>
      <c r="BG134" s="97" t="inlineStr">
        <is>
          <t>N</t>
        </is>
      </c>
      <c r="BH134" s="97" t="inlineStr">
        <is>
          <t>Coupon 15% (11-06 to 11-19); List Price $79.99</t>
        </is>
      </c>
    </row>
    <row r="135" ht="62" customHeight="1">
      <c r="A135" s="10">
        <f>_xlfn.IMAGE("https://images-na.ssl-images-amazon.com/images/I/71Pl57-j67L.jpg")</f>
        <v/>
      </c>
      <c r="B135" s="84" t="inlineStr">
        <is>
          <t>BC BELLA COTERIE</t>
        </is>
      </c>
      <c r="C135" s="32" t="inlineStr">
        <is>
          <t>Bella Coterie Luxury Bamboo Viscose King Size Sheet Set</t>
        </is>
      </c>
      <c r="D135" s="84" t="inlineStr">
        <is>
          <t>Beatable</t>
        </is>
      </c>
      <c r="E135" s="84" t="inlineStr">
        <is>
          <t>B0H29V113N</t>
        </is>
      </c>
      <c r="F135" s="84" t="inlineStr">
        <is>
          <t>B08L86VLZB</t>
        </is>
      </c>
      <c r="G135" s="84" t="inlineStr">
        <is>
          <t>King</t>
        </is>
      </c>
      <c r="H135" s="84" t="n"/>
      <c r="I135" s="85" t="n">
        <v>258</v>
      </c>
      <c r="J135" s="32" t="inlineStr">
        <is>
          <t>B0C979FD5Z (12%), B09JTQMF5C (11%), B08L86VLZB (6%), B08L85SV5Z (5%), B09JV1NG9R (4%)</t>
        </is>
      </c>
      <c r="K135" s="86" t="n">
        <v>134.99</v>
      </c>
      <c r="L135" s="86" t="n"/>
      <c r="M135" s="87">
        <f>IF(AND(ISNUMBER(L135),ISNUMBER(K135),N(K135)&gt;0),L135/K135-1,"")</f>
        <v/>
      </c>
      <c r="N135" s="88">
        <f>IF(M135="","No List Price",IF(M135&lt;=0,"At/below price",IF(M135&lt;=0.12,"&lt;=12% STR zone",IF(M135&lt;=0.25,"12-25%","&gt;25% over"))))</f>
        <v/>
      </c>
      <c r="O135" s="86" t="n">
        <v>99.98999999999999</v>
      </c>
      <c r="P135" s="89">
        <f>IF(AND(ISNUMBER(K135),ISNUMBER(O135),N(O135)&gt;0),K135/O135-1,"")</f>
        <v/>
      </c>
      <c r="Q135" s="32" t="inlineStr">
        <is>
          <t>Same size (King). Ours live: Helium 10 Xray, 2026-10-13; 16 children</t>
        </is>
      </c>
      <c r="R135" s="85" t="n">
        <v>1358</v>
      </c>
      <c r="S135" s="85" t="n">
        <v>92</v>
      </c>
      <c r="T135" s="90">
        <f>IF(AND(ISNUMBER(K135),ISNUMBER(S135)),K135*S135*52/12,"")</f>
        <v/>
      </c>
      <c r="U135" s="91" t="n">
        <v>4.4</v>
      </c>
      <c r="V135" s="85" t="n">
        <v>5871</v>
      </c>
      <c r="W135" s="92" t="n">
        <v>46307</v>
      </c>
      <c r="X135" s="92" t="n">
        <v>44154</v>
      </c>
      <c r="Y135" s="84" t="inlineStr">
        <is>
          <t>FBA</t>
        </is>
      </c>
      <c r="Z135" s="84" t="inlineStr">
        <is>
          <t>US</t>
        </is>
      </c>
      <c r="AA135" s="85" t="n">
        <v>591713</v>
      </c>
      <c r="AB135" s="85" t="n">
        <v>5504</v>
      </c>
      <c r="AC135" s="93" t="n">
        <v>0.3622702587234016</v>
      </c>
      <c r="AD135" s="93" t="n">
        <v>0.6377298332130611</v>
      </c>
      <c r="AE135" s="32" t="inlineStr">
        <is>
          <t>bamboo sheets</t>
        </is>
      </c>
      <c r="AF135" s="93" t="n">
        <v>0.9808184035165697</v>
      </c>
      <c r="AG135" s="93" t="n">
        <v>0.5730548424658576</v>
      </c>
      <c r="AH135" s="93" t="n">
        <v>0.5581810776508206</v>
      </c>
      <c r="AI135" s="93" t="n">
        <v>0.03836488297536136</v>
      </c>
      <c r="AJ135" s="85" t="n">
        <v>1707</v>
      </c>
      <c r="AK135" s="85" t="n">
        <v>514</v>
      </c>
      <c r="AL135" s="85" t="n">
        <v>1033</v>
      </c>
      <c r="AM135" s="85" t="n">
        <v>3797</v>
      </c>
      <c r="AN135" s="85" t="n">
        <v>1851</v>
      </c>
      <c r="AO135" s="85" t="n">
        <v>231</v>
      </c>
      <c r="AP135" s="94" t="n">
        <v>1.778087279480037</v>
      </c>
      <c r="AQ135" s="89" t="n">
        <v>0.3772549019607843</v>
      </c>
      <c r="AR135" s="95" t="inlineStr">
        <is>
          <t>N</t>
        </is>
      </c>
      <c r="AS135" s="95" t="inlineStr">
        <is>
          <t>none</t>
        </is>
      </c>
      <c r="AT135" s="101" t="n"/>
      <c r="AU135" s="96" t="n">
        <v>169.99</v>
      </c>
      <c r="AV135" s="95" t="inlineStr">
        <is>
          <t>none</t>
        </is>
      </c>
      <c r="AW135" s="95" t="inlineStr">
        <is>
          <t>Y</t>
        </is>
      </c>
      <c r="AX135" s="95" t="inlineStr">
        <is>
          <t>2026-10-13 12:14:18</t>
        </is>
      </c>
      <c r="AY135" s="97" t="inlineStr">
        <is>
          <t>Price cut only</t>
        </is>
      </c>
      <c r="AZ135" s="97" t="inlineStr">
        <is>
          <t>11-20 to 12-01</t>
        </is>
      </c>
      <c r="BA135" s="98" t="n">
        <v>134.99</v>
      </c>
      <c r="BB135" s="98" t="n">
        <v>110.5</v>
      </c>
      <c r="BC135" s="87">
        <f>IF(AND(ISNUMBER(BA135),ISNUMBER(BB135),N(BA135)&gt;0),1-BB135/BA135,"")</f>
        <v/>
      </c>
      <c r="BD135" s="99" t="n">
        <v>3072</v>
      </c>
      <c r="BE135" s="99" t="n">
        <v>1155</v>
      </c>
      <c r="BF135" s="100">
        <f>IF(AND(ISNUMBER(BD135),ISNUMBER(BE135),N(BE135)&gt;0),BD135/BE135,"")</f>
        <v/>
      </c>
      <c r="BG135" s="97" t="inlineStr">
        <is>
          <t>N</t>
        </is>
      </c>
      <c r="BH135" s="97" t="inlineStr">
        <is>
          <t>Coupon 20.00 USD (12-03 to 12-05); List Price $169.99</t>
        </is>
      </c>
    </row>
    <row r="136" ht="62" customHeight="1">
      <c r="A136" s="10">
        <f>_xlfn.IMAGE("https://images-na.ssl-images-amazon.com/images/I/61fbapIObwL.jpg")</f>
        <v/>
      </c>
      <c r="B136" s="84" t="inlineStr">
        <is>
          <t>BAMPURE</t>
        </is>
      </c>
      <c r="C136" s="32" t="inlineStr">
        <is>
          <t>BAMPURE 100% Rayon from Bamboo Sheets King Size - 4pc Cooling King Sheets</t>
        </is>
      </c>
      <c r="D136" s="84" t="inlineStr">
        <is>
          <t>Beatable</t>
        </is>
      </c>
      <c r="E136" s="84" t="inlineStr">
        <is>
          <t>B0HC778XB4</t>
        </is>
      </c>
      <c r="F136" s="84" t="inlineStr">
        <is>
          <t>B07XFP6BY2</t>
        </is>
      </c>
      <c r="G136" s="84" t="inlineStr">
        <is>
          <t>King</t>
        </is>
      </c>
      <c r="H136" s="84" t="n"/>
      <c r="I136" s="85" t="n">
        <v>40</v>
      </c>
      <c r="J136" s="32" t="inlineStr">
        <is>
          <t>B07XBJY2JR (65%), B07XFP6BY2 (21%)</t>
        </is>
      </c>
      <c r="K136" s="86" t="n">
        <v>67.98</v>
      </c>
      <c r="L136" s="86" t="n">
        <v>99.98999999999999</v>
      </c>
      <c r="M136" s="87">
        <f>IF(AND(ISNUMBER(L136),ISNUMBER(K136),N(K136)&gt;0),L136/K136-1,"")</f>
        <v/>
      </c>
      <c r="N136" s="88">
        <f>IF(M136="","No List Price",IF(M136&lt;=0,"At/below price",IF(M136&lt;=0.12,"&lt;=12% STR zone",IF(M136&lt;=0.25,"12-25%","&gt;25% over"))))</f>
        <v/>
      </c>
      <c r="O136" s="86" t="n">
        <v>99.98999999999999</v>
      </c>
      <c r="P136" s="89">
        <f>IF(AND(ISNUMBER(K136),ISNUMBER(O136),N(O136)&gt;0),K136/O136-1,"")</f>
        <v/>
      </c>
      <c r="Q136" s="32" t="inlineStr">
        <is>
          <t>Same size (King). Ours live: Helium 10 Xray, 2026-10-13; 16 children</t>
        </is>
      </c>
      <c r="R136" s="85" t="n">
        <v>14479</v>
      </c>
      <c r="S136" s="85" t="n">
        <v>81</v>
      </c>
      <c r="T136" s="90">
        <f>IF(AND(ISNUMBER(K136),ISNUMBER(S136)),K136*S136*52/12,"")</f>
        <v/>
      </c>
      <c r="U136" s="91" t="n">
        <v>4.4</v>
      </c>
      <c r="V136" s="85" t="n">
        <v>4095</v>
      </c>
      <c r="W136" s="92" t="n">
        <v>46307</v>
      </c>
      <c r="X136" s="92" t="n">
        <v>43776</v>
      </c>
      <c r="Y136" s="84" t="inlineStr">
        <is>
          <t>FBA</t>
        </is>
      </c>
      <c r="Z136" s="84" t="inlineStr">
        <is>
          <t>US</t>
        </is>
      </c>
      <c r="AA136" s="85" t="n">
        <v>67699</v>
      </c>
      <c r="AB136" s="85" t="n">
        <v>1687</v>
      </c>
      <c r="AC136" s="93" t="n">
        <v>0.8589487052984534</v>
      </c>
      <c r="AD136" s="93" t="n">
        <v>0.1410512947015465</v>
      </c>
      <c r="AE136" s="32" t="inlineStr">
        <is>
          <t>bamboo sheets</t>
        </is>
      </c>
      <c r="AF136" s="93" t="n">
        <v>0.9117121375500377</v>
      </c>
      <c r="AG136" s="93" t="n"/>
      <c r="AH136" s="93" t="n"/>
      <c r="AI136" s="93" t="n"/>
      <c r="AJ136" s="85" t="n">
        <v>984</v>
      </c>
      <c r="AK136" s="85" t="n">
        <v>661</v>
      </c>
      <c r="AL136" s="85" t="n">
        <v>167</v>
      </c>
      <c r="AM136" s="85" t="n">
        <v>703</v>
      </c>
      <c r="AN136" s="85" t="n">
        <v>162</v>
      </c>
      <c r="AO136" s="85" t="n">
        <v>52</v>
      </c>
      <c r="AP136" s="94" t="n">
        <v>1.016706443914081</v>
      </c>
      <c r="AQ136" s="89" t="n">
        <v>-0.2868217054263565</v>
      </c>
      <c r="AR136" s="95" t="inlineStr">
        <is>
          <t>Y</t>
        </is>
      </c>
      <c r="AS136" s="95" t="inlineStr">
        <is>
          <t>List Price</t>
        </is>
      </c>
      <c r="AT136" s="96" t="n">
        <v>99.98999999999999</v>
      </c>
      <c r="AU136" s="96" t="n">
        <v>67.98</v>
      </c>
      <c r="AV136" s="95" t="inlineStr">
        <is>
          <t>Limited time deal</t>
        </is>
      </c>
      <c r="AW136" s="95" t="inlineStr">
        <is>
          <t>Y</t>
        </is>
      </c>
      <c r="AX136" s="95" t="inlineStr">
        <is>
          <t>2026-10-13 12:10:12</t>
        </is>
      </c>
      <c r="AY136" s="97" t="inlineStr">
        <is>
          <t>Prime Exclusive Discount</t>
        </is>
      </c>
      <c r="AZ136" s="97" t="inlineStr">
        <is>
          <t>11-22 to 12-01</t>
        </is>
      </c>
      <c r="BA136" s="98" t="n">
        <v>84.98999999999999</v>
      </c>
      <c r="BB136" s="98" t="n">
        <v>79.98999999999999</v>
      </c>
      <c r="BC136" s="87">
        <f>IF(AND(ISNUMBER(BA136),ISNUMBER(BB136),N(BA136)&gt;0),1-BB136/BA136,"")</f>
        <v/>
      </c>
      <c r="BD136" s="99" t="n">
        <v>31768</v>
      </c>
      <c r="BE136" s="99" t="n">
        <v>27833</v>
      </c>
      <c r="BF136" s="100">
        <f>IF(AND(ISNUMBER(BD136),ISNUMBER(BE136),N(BE136)&gt;0),BD136/BE136,"")</f>
        <v/>
      </c>
      <c r="BG136" s="97" t="inlineStr">
        <is>
          <t>N</t>
        </is>
      </c>
      <c r="BH136" s="97" t="inlineStr">
        <is>
          <t>Coupon 5.00 USD (11-01 to 11-04); Buy Box RAISED in BFCM week (median $99.99 vs $84.99 before); List Price $99.99</t>
        </is>
      </c>
    </row>
    <row r="137" ht="62" customHeight="1">
      <c r="A137" s="39" t="inlineStr">
        <is>
          <t>IMAGE MISSING</t>
        </is>
      </c>
      <c r="B137" s="84" t="inlineStr">
        <is>
          <t>BEDELITE</t>
        </is>
      </c>
      <c r="C137" s="32" t="inlineStr">
        <is>
          <t>BEDELITE Bamboo Viscose Sheet Set, Queen Size, 4 Pieces, White</t>
        </is>
      </c>
      <c r="D137" s="84" t="inlineStr">
        <is>
          <t>Beatable</t>
        </is>
      </c>
      <c r="E137" s="84" t="inlineStr">
        <is>
          <t>B0GT98GVQN</t>
        </is>
      </c>
      <c r="F137" s="84" t="inlineStr">
        <is>
          <t>B0GT8Z4X5D</t>
        </is>
      </c>
      <c r="G137" s="84" t="inlineStr">
        <is>
          <t>Queen</t>
        </is>
      </c>
      <c r="H137" s="84" t="inlineStr">
        <is>
          <t>White</t>
        </is>
      </c>
      <c r="I137" s="85" t="n">
        <v>8</v>
      </c>
      <c r="J137" s="32" t="inlineStr">
        <is>
          <t>B0GT8Z4X5D (87%)</t>
        </is>
      </c>
      <c r="K137" s="86" t="n">
        <v>84.98</v>
      </c>
      <c r="L137" s="86" t="n">
        <v>99.89</v>
      </c>
      <c r="M137" s="87">
        <f>IF(AND(ISNUMBER(L137),ISNUMBER(K137),N(K137)&gt;0),L137/K137-1,"")</f>
        <v/>
      </c>
      <c r="N137" s="88">
        <f>IF(M137="","No List Price",IF(M137&lt;=0,"At/below price",IF(M137&lt;=0.12,"&lt;=12% STR zone",IF(M137&lt;=0.25,"12-25%","&gt;25% over"))))</f>
        <v/>
      </c>
      <c r="O137" s="86" t="n">
        <v>94.98999999999999</v>
      </c>
      <c r="P137" s="89">
        <f>IF(AND(ISNUMBER(K137),ISNUMBER(O137),N(O137)&gt;0),K137/O137-1,"")</f>
        <v/>
      </c>
      <c r="Q137" s="32" t="inlineStr">
        <is>
          <t>Same size (Queen). Ours live: Helium 10 Xray, 2026-10-13; 15 children</t>
        </is>
      </c>
      <c r="R137" s="85" t="n">
        <v>65907</v>
      </c>
      <c r="S137" s="85" t="n">
        <v>81</v>
      </c>
      <c r="T137" s="90">
        <f>IF(AND(ISNUMBER(K137),ISNUMBER(S137)),K137*S137*52/12,"")</f>
        <v/>
      </c>
      <c r="U137" s="91" t="n">
        <v>4.5</v>
      </c>
      <c r="V137" s="85" t="n">
        <v>113</v>
      </c>
      <c r="W137" s="92" t="n">
        <v>46307</v>
      </c>
      <c r="X137" s="92" t="n"/>
      <c r="Y137" s="84" t="n"/>
      <c r="Z137" s="84" t="n"/>
      <c r="AA137" s="85" t="n">
        <v>212120</v>
      </c>
      <c r="AB137" s="85" t="n">
        <v>1732</v>
      </c>
      <c r="AC137" s="93" t="n">
        <v>0.1115827267584386</v>
      </c>
      <c r="AD137" s="93" t="n">
        <v>0.8884172883273614</v>
      </c>
      <c r="AE137" s="32" t="inlineStr">
        <is>
          <t>queen sheets</t>
        </is>
      </c>
      <c r="AF137" s="93" t="n">
        <v>0.8331840467659816</v>
      </c>
      <c r="AG137" s="93" t="n">
        <v>0.2347161983782765</v>
      </c>
      <c r="AH137" s="93" t="n">
        <v>0.2670893833679049</v>
      </c>
      <c r="AI137" s="93" t="n"/>
      <c r="AJ137" s="85" t="n">
        <v>866</v>
      </c>
      <c r="AK137" s="85" t="n">
        <v>383</v>
      </c>
      <c r="AL137" s="85" t="n">
        <v>428</v>
      </c>
      <c r="AM137" s="85" t="n">
        <v>866</v>
      </c>
      <c r="AN137" s="85" t="n">
        <v>854</v>
      </c>
      <c r="AO137" s="85" t="n">
        <v>156</v>
      </c>
      <c r="AP137" s="94" t="n">
        <v>0.8073654390934845</v>
      </c>
      <c r="AQ137" s="89" t="n">
        <v>0.4972677595628416</v>
      </c>
      <c r="AR137" s="95" t="inlineStr">
        <is>
          <t>Y</t>
        </is>
      </c>
      <c r="AS137" s="95" t="inlineStr">
        <is>
          <t>List Price</t>
        </is>
      </c>
      <c r="AT137" s="96" t="n">
        <v>99.89</v>
      </c>
      <c r="AU137" s="96" t="n">
        <v>84.98</v>
      </c>
      <c r="AV137" s="95" t="inlineStr">
        <is>
          <t>Limited time deal</t>
        </is>
      </c>
      <c r="AW137" s="95" t="inlineStr">
        <is>
          <t>Y</t>
        </is>
      </c>
      <c r="AX137" s="95" t="inlineStr">
        <is>
          <t>2026-10-13 12:10:25</t>
        </is>
      </c>
      <c r="AY137" s="97" t="inlineStr">
        <is>
          <t>Not live in 2025</t>
        </is>
      </c>
      <c r="AZ137" s="102" t="n"/>
      <c r="BA137" s="101" t="n"/>
      <c r="BB137" s="101" t="n"/>
      <c r="BC137" s="87">
        <f>IF(AND(ISNUMBER(BA137),ISNUMBER(BB137),N(BA137)&gt;0),1-BB137/BA137,"")</f>
        <v/>
      </c>
      <c r="BD137" s="103" t="n"/>
      <c r="BE137" s="103" t="n"/>
      <c r="BF137" s="100">
        <f>IF(AND(ISNUMBER(BD137),ISNUMBER(BE137),N(BE137)&gt;0),BD137/BE137,"")</f>
        <v/>
      </c>
      <c r="BG137" s="102" t="n"/>
      <c r="BH137" s="102" t="n"/>
    </row>
    <row r="138" ht="62" customHeight="1">
      <c r="A138" s="10">
        <f>_xlfn.IMAGE("https://images-na.ssl-images-amazon.com/images/I/71HeTCWM4hL.jpg")</f>
        <v/>
      </c>
      <c r="B138" s="84" t="inlineStr">
        <is>
          <t>SONORO KATE</t>
        </is>
      </c>
      <c r="C138" s="32" t="inlineStr">
        <is>
          <t>SONORO KATE 100% Viscose Derived from Bamboo_Sheets Queen Size,4PC</t>
        </is>
      </c>
      <c r="D138" s="84" t="inlineStr">
        <is>
          <t>Beatable</t>
        </is>
      </c>
      <c r="E138" s="84" t="inlineStr">
        <is>
          <t>B0F29FQLFD</t>
        </is>
      </c>
      <c r="F138" s="84" t="inlineStr">
        <is>
          <t>B0F29F1JM5</t>
        </is>
      </c>
      <c r="G138" s="84" t="inlineStr">
        <is>
          <t>Queen</t>
        </is>
      </c>
      <c r="H138" s="84" t="n"/>
      <c r="I138" s="85" t="n">
        <v>42</v>
      </c>
      <c r="J138" s="32" t="inlineStr">
        <is>
          <t>B0F29F1JM5 (71%), B0F29HFNNS (19%)</t>
        </is>
      </c>
      <c r="K138" s="86" t="n">
        <v>59.99</v>
      </c>
      <c r="L138" s="86" t="n"/>
      <c r="M138" s="87">
        <f>IF(AND(ISNUMBER(L138),ISNUMBER(K138),N(K138)&gt;0),L138/K138-1,"")</f>
        <v/>
      </c>
      <c r="N138" s="88">
        <f>IF(M138="","No List Price",IF(M138&lt;=0,"At/below price",IF(M138&lt;=0.12,"&lt;=12% STR zone",IF(M138&lt;=0.25,"12-25%","&gt;25% over"))))</f>
        <v/>
      </c>
      <c r="O138" s="86" t="n">
        <v>94.98999999999999</v>
      </c>
      <c r="P138" s="89">
        <f>IF(AND(ISNUMBER(K138),ISNUMBER(O138),N(O138)&gt;0),K138/O138-1,"")</f>
        <v/>
      </c>
      <c r="Q138" s="32" t="inlineStr">
        <is>
          <t>Same size (Queen). Ours live: Helium 10 Xray, 2026-10-13; 15 children</t>
        </is>
      </c>
      <c r="R138" s="85" t="n">
        <v>23979</v>
      </c>
      <c r="S138" s="85" t="n">
        <v>81</v>
      </c>
      <c r="T138" s="90">
        <f>IF(AND(ISNUMBER(K138),ISNUMBER(S138)),K138*S138*52/12,"")</f>
        <v/>
      </c>
      <c r="U138" s="91" t="n">
        <v>4.5</v>
      </c>
      <c r="V138" s="85" t="n">
        <v>3911</v>
      </c>
      <c r="W138" s="92" t="n">
        <v>46307</v>
      </c>
      <c r="X138" s="92" t="n">
        <v>45740</v>
      </c>
      <c r="Y138" s="84" t="inlineStr">
        <is>
          <t>FBA</t>
        </is>
      </c>
      <c r="Z138" s="84" t="inlineStr">
        <is>
          <t>CN</t>
        </is>
      </c>
      <c r="AA138" s="85" t="n">
        <v>114504</v>
      </c>
      <c r="AB138" s="85" t="n">
        <v>947</v>
      </c>
      <c r="AC138" s="93" t="n">
        <v>0.8792897182631171</v>
      </c>
      <c r="AD138" s="93" t="n">
        <v>0.1207102817368825</v>
      </c>
      <c r="AE138" s="32" t="inlineStr">
        <is>
          <t>bamboo sheets</t>
        </is>
      </c>
      <c r="AF138" s="93" t="n">
        <v>0.3106878362327953</v>
      </c>
      <c r="AG138" s="93" t="n"/>
      <c r="AH138" s="93" t="n"/>
      <c r="AI138" s="93" t="n">
        <v>0.03587647593097185</v>
      </c>
      <c r="AJ138" s="85" t="n">
        <v>729</v>
      </c>
      <c r="AK138" s="85" t="n">
        <v>324</v>
      </c>
      <c r="AL138" s="85" t="n">
        <v>347</v>
      </c>
      <c r="AM138" s="85" t="n">
        <v>218</v>
      </c>
      <c r="AN138" s="85" t="n">
        <v>59</v>
      </c>
      <c r="AO138" s="85" t="n">
        <v>16</v>
      </c>
      <c r="AP138" s="94" t="n">
        <v>1.095271210013908</v>
      </c>
      <c r="AQ138" s="89" t="n">
        <v>-0.1040240897892143</v>
      </c>
      <c r="AR138" s="95" t="inlineStr">
        <is>
          <t>N</t>
        </is>
      </c>
      <c r="AS138" s="95" t="inlineStr">
        <is>
          <t>none</t>
        </is>
      </c>
      <c r="AT138" s="101" t="n"/>
      <c r="AU138" s="96" t="n">
        <v>59.99</v>
      </c>
      <c r="AV138" s="95" t="inlineStr">
        <is>
          <t>coupon 15%</t>
        </is>
      </c>
      <c r="AW138" s="95" t="inlineStr">
        <is>
          <t>Y</t>
        </is>
      </c>
      <c r="AX138" s="95" t="inlineStr">
        <is>
          <t>2026-10-13 12:11:22</t>
        </is>
      </c>
      <c r="AY138" s="97" t="inlineStr">
        <is>
          <t>Prime Exclusive Discount</t>
        </is>
      </c>
      <c r="AZ138" s="97" t="inlineStr">
        <is>
          <t>11-20 to 12-01</t>
        </is>
      </c>
      <c r="BA138" s="98" t="n">
        <v>59.99</v>
      </c>
      <c r="BB138" s="98" t="n">
        <v>47.99</v>
      </c>
      <c r="BC138" s="87">
        <f>IF(AND(ISNUMBER(BA138),ISNUMBER(BB138),N(BA138)&gt;0),1-BB138/BA138,"")</f>
        <v/>
      </c>
      <c r="BD138" s="99" t="n">
        <v>22774</v>
      </c>
      <c r="BE138" s="99" t="n">
        <v>19002</v>
      </c>
      <c r="BF138" s="100">
        <f>IF(AND(ISNUMBER(BD138),ISNUMBER(BE138),N(BE138)&gt;0),BD138/BE138,"")</f>
        <v/>
      </c>
      <c r="BG138" s="97" t="inlineStr">
        <is>
          <t>N</t>
        </is>
      </c>
      <c r="BH138" s="97" t="inlineStr">
        <is>
          <t>Coupon 10% (11-04 to 12-05); List Price $59.99</t>
        </is>
      </c>
    </row>
    <row r="139" ht="62" customHeight="1">
      <c r="A139" s="39" t="inlineStr">
        <is>
          <t>IMAGE MISSING</t>
        </is>
      </c>
      <c r="B139" s="84" t="inlineStr">
        <is>
          <t>Davmabcjy</t>
        </is>
      </c>
      <c r="C139" s="32" t="inlineStr">
        <is>
          <t>100% Organically Grown Bamboo Viscose King Sheet Set with Pockets on Side</t>
        </is>
      </c>
      <c r="D139" s="84" t="inlineStr">
        <is>
          <t>Beatable</t>
        </is>
      </c>
      <c r="E139" s="84" t="inlineStr">
        <is>
          <t>B0HJZNMQ5G</t>
        </is>
      </c>
      <c r="F139" s="84" t="inlineStr">
        <is>
          <t>B0GXJYQR7H</t>
        </is>
      </c>
      <c r="G139" s="84" t="inlineStr">
        <is>
          <t>King</t>
        </is>
      </c>
      <c r="H139" s="84" t="n"/>
      <c r="I139" s="85" t="n">
        <v>7</v>
      </c>
      <c r="J139" s="32" t="inlineStr">
        <is>
          <t>B0GXJYQR7H (55%), B0GXJPP4YQ (31%)</t>
        </is>
      </c>
      <c r="K139" s="86" t="n">
        <v>59.99</v>
      </c>
      <c r="L139" s="86" t="n"/>
      <c r="M139" s="87">
        <f>IF(AND(ISNUMBER(L139),ISNUMBER(K139),N(K139)&gt;0),L139/K139-1,"")</f>
        <v/>
      </c>
      <c r="N139" s="88">
        <f>IF(M139="","No List Price",IF(M139&lt;=0,"At/below price",IF(M139&lt;=0.12,"&lt;=12% STR zone",IF(M139&lt;=0.25,"12-25%","&gt;25% over"))))</f>
        <v/>
      </c>
      <c r="O139" s="86" t="n">
        <v>99.98999999999999</v>
      </c>
      <c r="P139" s="89">
        <f>IF(AND(ISNUMBER(K139),ISNUMBER(O139),N(O139)&gt;0),K139/O139-1,"")</f>
        <v/>
      </c>
      <c r="Q139" s="32" t="inlineStr">
        <is>
          <t>Same size (King). Ours live: Helium 10 Xray, 2026-10-13; 16 children</t>
        </is>
      </c>
      <c r="R139" s="85" t="n">
        <v>205508</v>
      </c>
      <c r="S139" s="85" t="n">
        <v>35</v>
      </c>
      <c r="T139" s="90">
        <f>IF(AND(ISNUMBER(K139),ISNUMBER(S139)),K139*S139*52/12,"")</f>
        <v/>
      </c>
      <c r="U139" s="91" t="n">
        <v>4.2</v>
      </c>
      <c r="V139" s="85" t="n">
        <v>81</v>
      </c>
      <c r="W139" s="92" t="n">
        <v>46307</v>
      </c>
      <c r="X139" s="92" t="n"/>
      <c r="Y139" s="84" t="n"/>
      <c r="Z139" s="84" t="n"/>
      <c r="AA139" s="85" t="n">
        <v>75425</v>
      </c>
      <c r="AB139" s="85" t="n">
        <v>1329</v>
      </c>
      <c r="AC139" s="93" t="n">
        <v>0.8470417779250914</v>
      </c>
      <c r="AD139" s="93" t="n">
        <v>0.1529598766987073</v>
      </c>
      <c r="AE139" s="32" t="inlineStr">
        <is>
          <t>bamboo sheets</t>
        </is>
      </c>
      <c r="AF139" s="93" t="n">
        <v>0.4214782896917468</v>
      </c>
      <c r="AG139" s="93" t="n"/>
      <c r="AH139" s="93" t="n"/>
      <c r="AI139" s="93" t="n">
        <v>0.01059330460722572</v>
      </c>
      <c r="AJ139" s="85" t="n">
        <v>783</v>
      </c>
      <c r="AK139" s="85" t="n">
        <v>332</v>
      </c>
      <c r="AL139" s="85" t="n">
        <v>367</v>
      </c>
      <c r="AM139" s="85" t="n">
        <v>546</v>
      </c>
      <c r="AN139" s="85" t="n">
        <v>285</v>
      </c>
      <c r="AO139" s="85" t="n">
        <v>30</v>
      </c>
      <c r="AP139" s="94" t="n"/>
      <c r="AQ139" s="89" t="n"/>
      <c r="AR139" s="95" t="inlineStr">
        <is>
          <t>N</t>
        </is>
      </c>
      <c r="AS139" s="95" t="inlineStr">
        <is>
          <t>none</t>
        </is>
      </c>
      <c r="AT139" s="101" t="n"/>
      <c r="AU139" s="96" t="n">
        <v>59.99</v>
      </c>
      <c r="AV139" s="95" t="inlineStr">
        <is>
          <t>none</t>
        </is>
      </c>
      <c r="AW139" s="95" t="inlineStr">
        <is>
          <t>Y</t>
        </is>
      </c>
      <c r="AX139" s="95" t="inlineStr">
        <is>
          <t>2026-10-13 12:10:48</t>
        </is>
      </c>
      <c r="AY139" s="97" t="inlineStr">
        <is>
          <t>Not live in 2025</t>
        </is>
      </c>
      <c r="AZ139" s="102" t="n"/>
      <c r="BA139" s="101" t="n"/>
      <c r="BB139" s="101" t="n"/>
      <c r="BC139" s="87">
        <f>IF(AND(ISNUMBER(BA139),ISNUMBER(BB139),N(BA139)&gt;0),1-BB139/BA139,"")</f>
        <v/>
      </c>
      <c r="BD139" s="103" t="n"/>
      <c r="BE139" s="103" t="n"/>
      <c r="BF139" s="100">
        <f>IF(AND(ISNUMBER(BD139),ISNUMBER(BE139),N(BE139)&gt;0),BD139/BE139,"")</f>
        <v/>
      </c>
      <c r="BG139" s="102" t="n"/>
      <c r="BH139" s="102" t="n"/>
    </row>
    <row r="140" ht="62" customHeight="1">
      <c r="A140" s="10">
        <f>_xlfn.IMAGE("https://images-na.ssl-images-amazon.com/images/I/710aWpCd4AL.jpg")</f>
        <v/>
      </c>
      <c r="B140" s="84" t="inlineStr">
        <is>
          <t>DOZ by SIJO</t>
        </is>
      </c>
      <c r="C140" s="32" t="inlineStr">
        <is>
          <t>Bamboo Sheets</t>
        </is>
      </c>
      <c r="D140" s="84" t="inlineStr">
        <is>
          <t>Beatable</t>
        </is>
      </c>
      <c r="E140" s="84" t="inlineStr">
        <is>
          <t>B0DCZGYVZ9</t>
        </is>
      </c>
      <c r="F140" s="84" t="inlineStr">
        <is>
          <t>B0F24TRXCZ</t>
        </is>
      </c>
      <c r="G140" s="84" t="n"/>
      <c r="H140" s="84" t="n"/>
      <c r="I140" s="85" t="n">
        <v>131</v>
      </c>
      <c r="J140" s="32" t="inlineStr">
        <is>
          <t>B0B8JLLT45 (39%), B0B8JK78HR (6%), B0CS36MKM9 (5%), B0BRWD6PRK (4%), B0B9T44SJV (4%)</t>
        </is>
      </c>
      <c r="K140" s="86" t="n">
        <v>55</v>
      </c>
      <c r="L140" s="86" t="n"/>
      <c r="M140" s="87">
        <f>IF(AND(ISNUMBER(L140),ISNUMBER(K140),N(K140)&gt;0),L140/K140-1,"")</f>
        <v/>
      </c>
      <c r="N140" s="88">
        <f>IF(M140="","No List Price",IF(M140&lt;=0,"At/below price",IF(M140&lt;=0.12,"&lt;=12% STR zone",IF(M140&lt;=0.25,"12-25%","&gt;25% over"))))</f>
        <v/>
      </c>
      <c r="O140" s="86" t="n">
        <v>94.98999999999999</v>
      </c>
      <c r="P140" s="89">
        <f>IF(AND(ISNUMBER(K140),ISNUMBER(O140),N(O140)&gt;0),K140/O140-1,"")</f>
        <v/>
      </c>
      <c r="Q140" s="32" t="inlineStr">
        <is>
          <t>Size not stated - vs our Queen. Ours live: Helium 10 Xray, 2026-10-13; 15 children</t>
        </is>
      </c>
      <c r="R140" s="85" t="n">
        <v>4051</v>
      </c>
      <c r="S140" s="85" t="n">
        <v>35</v>
      </c>
      <c r="T140" s="90">
        <f>IF(AND(ISNUMBER(K140),ISNUMBER(S140)),K140*S140*52/12,"")</f>
        <v/>
      </c>
      <c r="U140" s="91" t="n">
        <v>4.4</v>
      </c>
      <c r="V140" s="85" t="n">
        <v>1909</v>
      </c>
      <c r="W140" s="92" t="n">
        <v>46307</v>
      </c>
      <c r="X140" s="92" t="n"/>
      <c r="Y140" s="84" t="n"/>
      <c r="Z140" s="84" t="n"/>
      <c r="AA140" s="85" t="n">
        <v>171534</v>
      </c>
      <c r="AB140" s="85" t="n">
        <v>2682</v>
      </c>
      <c r="AC140" s="93" t="n">
        <v>0.5544749851341424</v>
      </c>
      <c r="AD140" s="93" t="n">
        <v>0.4455250335210511</v>
      </c>
      <c r="AE140" s="32" t="inlineStr">
        <is>
          <t>bamboo sheets</t>
        </is>
      </c>
      <c r="AF140" s="93" t="n">
        <v>0.8981426422750008</v>
      </c>
      <c r="AG140" s="93" t="n">
        <v>0.06748516329124256</v>
      </c>
      <c r="AH140" s="93" t="n">
        <v>0.2462310678932456</v>
      </c>
      <c r="AI140" s="93" t="n">
        <v>0.0526193057936036</v>
      </c>
      <c r="AJ140" s="85" t="n">
        <v>1223</v>
      </c>
      <c r="AK140" s="85" t="n">
        <v>462</v>
      </c>
      <c r="AL140" s="85" t="n">
        <v>649</v>
      </c>
      <c r="AM140" s="85" t="n">
        <v>1459</v>
      </c>
      <c r="AN140" s="85" t="n">
        <v>549</v>
      </c>
      <c r="AO140" s="85" t="n">
        <v>114</v>
      </c>
      <c r="AP140" s="94" t="n"/>
      <c r="AQ140" s="89" t="n"/>
      <c r="AR140" s="95" t="inlineStr">
        <is>
          <t>N</t>
        </is>
      </c>
      <c r="AS140" s="95" t="inlineStr">
        <is>
          <t>none</t>
        </is>
      </c>
      <c r="AT140" s="101" t="n"/>
      <c r="AU140" s="96" t="n">
        <v>55</v>
      </c>
      <c r="AV140" s="95" t="inlineStr">
        <is>
          <t>none</t>
        </is>
      </c>
      <c r="AW140" s="95" t="inlineStr">
        <is>
          <t>Y</t>
        </is>
      </c>
      <c r="AX140" s="95" t="inlineStr">
        <is>
          <t>2026-10-13 12:10:45</t>
        </is>
      </c>
      <c r="AY140" s="97" t="inlineStr">
        <is>
          <t>None</t>
        </is>
      </c>
      <c r="AZ140" s="102" t="n"/>
      <c r="BA140" s="98" t="n">
        <v>55</v>
      </c>
      <c r="BB140" s="98" t="n">
        <v>55</v>
      </c>
      <c r="BC140" s="87">
        <f>IF(AND(ISNUMBER(BA140),ISNUMBER(BB140),N(BA140)&gt;0),1-BB140/BA140,"")</f>
        <v/>
      </c>
      <c r="BD140" s="99" t="n">
        <v>3634538</v>
      </c>
      <c r="BE140" s="99" t="n">
        <v>3088925</v>
      </c>
      <c r="BF140" s="100">
        <f>IF(AND(ISNUMBER(BD140),ISNUMBER(BE140),N(BE140)&gt;0),BD140/BE140,"")</f>
        <v/>
      </c>
      <c r="BG140" s="97" t="inlineStr">
        <is>
          <t>N</t>
        </is>
      </c>
      <c r="BH140" s="97" t="inlineStr">
        <is>
          <t>List Price $55.00</t>
        </is>
      </c>
    </row>
    <row r="141" ht="62" customHeight="1">
      <c r="A141" s="10">
        <f>_xlfn.IMAGE("https://images-na.ssl-images-amazon.com/images/I/81EdgN1LRmL.jpg")</f>
        <v/>
      </c>
      <c r="B141" s="84" t="inlineStr">
        <is>
          <t>GOKOTTA</t>
        </is>
      </c>
      <c r="C141" s="32" t="inlineStr">
        <is>
          <t>GOKOTTA King Bamboo Rayon Sheets Set, Silky Soft Cooling Sheets Stay Put</t>
        </is>
      </c>
      <c r="D141" s="84" t="inlineStr">
        <is>
          <t>Beatable</t>
        </is>
      </c>
      <c r="E141" s="84" t="inlineStr">
        <is>
          <t>B09WV7RN1V</t>
        </is>
      </c>
      <c r="F141" s="84" t="inlineStr">
        <is>
          <t>B0BR53P7DY</t>
        </is>
      </c>
      <c r="G141" s="84" t="inlineStr">
        <is>
          <t>King</t>
        </is>
      </c>
      <c r="H141" s="84" t="n"/>
      <c r="I141" s="85" t="n">
        <v>99</v>
      </c>
      <c r="J141" s="32" t="inlineStr">
        <is>
          <t>B0B6VQC7LD (30%), B0BR53P7DY (17%), B07TYC979L (10%), B0BL77QB6N (9%), B0FW3T96RQ (7%)</t>
        </is>
      </c>
      <c r="K141" s="86" t="n">
        <v>109</v>
      </c>
      <c r="L141" s="86" t="n"/>
      <c r="M141" s="87">
        <f>IF(AND(ISNUMBER(L141),ISNUMBER(K141),N(K141)&gt;0),L141/K141-1,"")</f>
        <v/>
      </c>
      <c r="N141" s="88">
        <f>IF(M141="","No List Price",IF(M141&lt;=0,"At/below price",IF(M141&lt;=0.12,"&lt;=12% STR zone",IF(M141&lt;=0.25,"12-25%","&gt;25% over"))))</f>
        <v/>
      </c>
      <c r="O141" s="86" t="n">
        <v>99.98999999999999</v>
      </c>
      <c r="P141" s="89">
        <f>IF(AND(ISNUMBER(K141),ISNUMBER(O141),N(O141)&gt;0),K141/O141-1,"")</f>
        <v/>
      </c>
      <c r="Q141" s="32" t="inlineStr">
        <is>
          <t>Same size (King). Ours live: Helium 10 Xray, 2026-10-13; 16 children</t>
        </is>
      </c>
      <c r="R141" s="85" t="n">
        <v>16154</v>
      </c>
      <c r="S141" s="85" t="n">
        <v>35</v>
      </c>
      <c r="T141" s="90">
        <f>IF(AND(ISNUMBER(K141),ISNUMBER(S141)),K141*S141*52/12,"")</f>
        <v/>
      </c>
      <c r="U141" s="91" t="n">
        <v>4.4</v>
      </c>
      <c r="V141" s="85" t="n">
        <v>3371</v>
      </c>
      <c r="W141" s="92" t="n">
        <v>46307</v>
      </c>
      <c r="X141" s="92" t="n">
        <v>44922</v>
      </c>
      <c r="Y141" s="84" t="inlineStr">
        <is>
          <t>FBA</t>
        </is>
      </c>
      <c r="Z141" s="84" t="inlineStr">
        <is>
          <t>TH</t>
        </is>
      </c>
      <c r="AA141" s="85" t="n">
        <v>76017</v>
      </c>
      <c r="AB141" s="85" t="n">
        <v>1577</v>
      </c>
      <c r="AC141" s="93" t="n">
        <v>0.8206756843863878</v>
      </c>
      <c r="AD141" s="93" t="n">
        <v>0.1793245681886948</v>
      </c>
      <c r="AE141" s="32" t="inlineStr">
        <is>
          <t>bamboo sheets</t>
        </is>
      </c>
      <c r="AF141" s="93" t="n">
        <v>0.9048633858215925</v>
      </c>
      <c r="AG141" s="93" t="n">
        <v>0.08220529618374837</v>
      </c>
      <c r="AH141" s="93" t="n">
        <v>0.8497046713235198</v>
      </c>
      <c r="AI141" s="93" t="n">
        <v>0.03862293960561453</v>
      </c>
      <c r="AJ141" s="85" t="n">
        <v>754</v>
      </c>
      <c r="AK141" s="85" t="n">
        <v>491</v>
      </c>
      <c r="AL141" s="85" t="n">
        <v>167</v>
      </c>
      <c r="AM141" s="85" t="n">
        <v>823</v>
      </c>
      <c r="AN141" s="85" t="n">
        <v>218</v>
      </c>
      <c r="AO141" s="85" t="n">
        <v>71</v>
      </c>
      <c r="AP141" s="94" t="n"/>
      <c r="AQ141" s="89" t="n"/>
      <c r="AR141" s="95" t="inlineStr">
        <is>
          <t>N</t>
        </is>
      </c>
      <c r="AS141" s="95" t="inlineStr">
        <is>
          <t>none</t>
        </is>
      </c>
      <c r="AT141" s="101" t="n"/>
      <c r="AU141" s="96" t="n">
        <v>109</v>
      </c>
      <c r="AV141" s="95" t="inlineStr">
        <is>
          <t>none</t>
        </is>
      </c>
      <c r="AW141" s="95" t="inlineStr">
        <is>
          <t>Y</t>
        </is>
      </c>
      <c r="AX141" s="95" t="inlineStr">
        <is>
          <t>2026-10-13 12:10:51</t>
        </is>
      </c>
      <c r="AY141" s="97" t="inlineStr">
        <is>
          <t>Price cut only</t>
        </is>
      </c>
      <c r="AZ141" s="97" t="inlineStr">
        <is>
          <t>11-20 to 12-01</t>
        </is>
      </c>
      <c r="BA141" s="98" t="n">
        <v>105</v>
      </c>
      <c r="BB141" s="98" t="n">
        <v>84</v>
      </c>
      <c r="BC141" s="87">
        <f>IF(AND(ISNUMBER(BA141),ISNUMBER(BB141),N(BA141)&gt;0),1-BB141/BA141,"")</f>
        <v/>
      </c>
      <c r="BD141" s="99" t="n">
        <v>20103</v>
      </c>
      <c r="BE141" s="99" t="n">
        <v>13630</v>
      </c>
      <c r="BF141" s="100">
        <f>IF(AND(ISNUMBER(BD141),ISNUMBER(BE141),N(BE141)&gt;0),BD141/BE141,"")</f>
        <v/>
      </c>
      <c r="BG141" s="97" t="inlineStr">
        <is>
          <t>N</t>
        </is>
      </c>
      <c r="BH141" s="97" t="inlineStr">
        <is>
          <t>Lightning Deal 11-09 to 11-09; Coupon 10.00 USD, 20.00 USD (11-02 to 11-18); List Price $105.00</t>
        </is>
      </c>
    </row>
    <row r="142" ht="62" customHeight="1">
      <c r="A142" s="10">
        <f>_xlfn.IMAGE("https://images-na.ssl-images-amazon.com/images/I/71rcYip7GcL.jpg")</f>
        <v/>
      </c>
      <c r="B142" s="84" t="inlineStr">
        <is>
          <t>KARISSA MAE</t>
        </is>
      </c>
      <c r="C142" s="32" t="inlineStr">
        <is>
          <t>Cooling Sheets</t>
        </is>
      </c>
      <c r="D142" s="84" t="inlineStr">
        <is>
          <t>Beatable</t>
        </is>
      </c>
      <c r="E142" s="84" t="inlineStr">
        <is>
          <t>B0GT172Y8L</t>
        </is>
      </c>
      <c r="F142" s="84" t="inlineStr">
        <is>
          <t>B0G1CSCQTB</t>
        </is>
      </c>
      <c r="G142" s="84" t="n"/>
      <c r="H142" s="84" t="n"/>
      <c r="I142" s="85" t="n">
        <v>138</v>
      </c>
      <c r="J142" s="32" t="inlineStr">
        <is>
          <t>B0F9X7MV5B (14%), B0G1CSCQTB (10%), B0F9X8BNQB (7%), B0F9X6KTQW (6%), B0GH24C6XY (6%)</t>
        </is>
      </c>
      <c r="K142" s="86" t="n">
        <v>119.99</v>
      </c>
      <c r="L142" s="86" t="n"/>
      <c r="M142" s="87">
        <f>IF(AND(ISNUMBER(L142),ISNUMBER(K142),N(K142)&gt;0),L142/K142-1,"")</f>
        <v/>
      </c>
      <c r="N142" s="88">
        <f>IF(M142="","No List Price",IF(M142&lt;=0,"At/below price",IF(M142&lt;=0.12,"&lt;=12% STR zone",IF(M142&lt;=0.25,"12-25%","&gt;25% over"))))</f>
        <v/>
      </c>
      <c r="O142" s="86" t="n">
        <v>94.98999999999999</v>
      </c>
      <c r="P142" s="89">
        <f>IF(AND(ISNUMBER(K142),ISNUMBER(O142),N(O142)&gt;0),K142/O142-1,"")</f>
        <v/>
      </c>
      <c r="Q142" s="32" t="inlineStr">
        <is>
          <t>Size not stated - vs our Queen. Ours live: Helium 10 Xray, 2026-10-13; 15 children</t>
        </is>
      </c>
      <c r="R142" s="85" t="n">
        <v>15914</v>
      </c>
      <c r="S142" s="85" t="n">
        <v>35</v>
      </c>
      <c r="T142" s="90">
        <f>IF(AND(ISNUMBER(K142),ISNUMBER(S142)),K142*S142*52/12,"")</f>
        <v/>
      </c>
      <c r="U142" s="91" t="n">
        <v>4.3</v>
      </c>
      <c r="V142" s="85" t="n">
        <v>474</v>
      </c>
      <c r="W142" s="92" t="n">
        <v>46307</v>
      </c>
      <c r="X142" s="92" t="n"/>
      <c r="Y142" s="84" t="n"/>
      <c r="Z142" s="84" t="n"/>
      <c r="AA142" s="85" t="n">
        <v>243610</v>
      </c>
      <c r="AB142" s="85" t="n">
        <v>3715</v>
      </c>
      <c r="AC142" s="93" t="n">
        <v>0.1385290000410493</v>
      </c>
      <c r="AD142" s="93" t="n">
        <v>0.8614710525019491</v>
      </c>
      <c r="AE142" s="32" t="inlineStr">
        <is>
          <t>bamboo sheets</t>
        </is>
      </c>
      <c r="AF142" s="93" t="n">
        <v>0.9938303025327367</v>
      </c>
      <c r="AG142" s="93" t="n">
        <v>0.0306883953860679</v>
      </c>
      <c r="AH142" s="93" t="n">
        <v>0.01590657197980378</v>
      </c>
      <c r="AI142" s="93" t="n"/>
      <c r="AJ142" s="85" t="n">
        <v>1526</v>
      </c>
      <c r="AK142" s="85" t="n">
        <v>772</v>
      </c>
      <c r="AL142" s="85" t="n">
        <v>551</v>
      </c>
      <c r="AM142" s="85" t="n">
        <v>2189</v>
      </c>
      <c r="AN142" s="85" t="n">
        <v>1255</v>
      </c>
      <c r="AO142" s="85" t="n">
        <v>261</v>
      </c>
      <c r="AP142" s="94" t="n">
        <v>2.102564102564103</v>
      </c>
      <c r="AQ142" s="89" t="n">
        <v>-0.8771186440677966</v>
      </c>
      <c r="AR142" s="95" t="inlineStr">
        <is>
          <t>N</t>
        </is>
      </c>
      <c r="AS142" s="95" t="inlineStr">
        <is>
          <t>none</t>
        </is>
      </c>
      <c r="AT142" s="101" t="n"/>
      <c r="AU142" s="96" t="n">
        <v>119.99</v>
      </c>
      <c r="AV142" s="95" t="inlineStr">
        <is>
          <t>none</t>
        </is>
      </c>
      <c r="AW142" s="95" t="inlineStr">
        <is>
          <t>Y</t>
        </is>
      </c>
      <c r="AX142" s="95" t="inlineStr">
        <is>
          <t>2026-10-13 12:10:57</t>
        </is>
      </c>
      <c r="AY142" s="102" t="n"/>
      <c r="AZ142" s="102" t="n"/>
      <c r="BA142" s="101" t="n"/>
      <c r="BB142" s="101" t="n"/>
      <c r="BC142" s="87">
        <f>IF(AND(ISNUMBER(BA142),ISNUMBER(BB142),N(BA142)&gt;0),1-BB142/BA142,"")</f>
        <v/>
      </c>
      <c r="BD142" s="103" t="n"/>
      <c r="BE142" s="103" t="n"/>
      <c r="BF142" s="100">
        <f>IF(AND(ISNUMBER(BD142),ISNUMBER(BE142),N(BE142)&gt;0),BD142/BE142,"")</f>
        <v/>
      </c>
      <c r="BG142" s="102" t="n"/>
      <c r="BH142" s="97" t="inlineStr">
        <is>
          <t>No Buy Box history in Keepa for BFCM 2025</t>
        </is>
      </c>
    </row>
    <row r="143" ht="62" customHeight="1">
      <c r="A143" s="39" t="inlineStr">
        <is>
          <t>IMAGE MISSING</t>
        </is>
      </c>
      <c r="B143" s="84" t="inlineStr">
        <is>
          <t>Pillcase</t>
        </is>
      </c>
      <c r="C143" s="32" t="inlineStr">
        <is>
          <t>100% Real Bamboo Viscose &amp; Lyocell Tencel Sheets Set Queen Size | Breathable &amp; C</t>
        </is>
      </c>
      <c r="D143" s="84" t="inlineStr">
        <is>
          <t>Beatable</t>
        </is>
      </c>
      <c r="E143" s="84" t="inlineStr">
        <is>
          <t>B0H1GGHHVN</t>
        </is>
      </c>
      <c r="F143" s="84" t="inlineStr">
        <is>
          <t>B0HFZQRXXQ</t>
        </is>
      </c>
      <c r="G143" s="84" t="inlineStr">
        <is>
          <t>Queen</t>
        </is>
      </c>
      <c r="H143" s="84" t="n"/>
      <c r="I143" s="85" t="n">
        <v>20</v>
      </c>
      <c r="J143" s="32" t="inlineStr">
        <is>
          <t>B0H9K6WK34 (27%), B0H1GVML4Z (24%), B0HFXGSDF1 (22%), B0HBX793L8 (12%)</t>
        </is>
      </c>
      <c r="K143" s="86" t="n">
        <v>79</v>
      </c>
      <c r="L143" s="86" t="n">
        <v>109</v>
      </c>
      <c r="M143" s="87">
        <f>IF(AND(ISNUMBER(L143),ISNUMBER(K143),N(K143)&gt;0),L143/K143-1,"")</f>
        <v/>
      </c>
      <c r="N143" s="88">
        <f>IF(M143="","No List Price",IF(M143&lt;=0,"At/below price",IF(M143&lt;=0.12,"&lt;=12% STR zone",IF(M143&lt;=0.25,"12-25%","&gt;25% over"))))</f>
        <v/>
      </c>
      <c r="O143" s="86" t="n">
        <v>94.98999999999999</v>
      </c>
      <c r="P143" s="89">
        <f>IF(AND(ISNUMBER(K143),ISNUMBER(O143),N(O143)&gt;0),K143/O143-1,"")</f>
        <v/>
      </c>
      <c r="Q143" s="32" t="inlineStr">
        <is>
          <t>Same size (Queen). Ours live: Helium 10 Xray, 2026-10-13; 15 children</t>
        </is>
      </c>
      <c r="R143" s="85" t="n">
        <v>28003</v>
      </c>
      <c r="S143" s="85" t="n">
        <v>35</v>
      </c>
      <c r="T143" s="90">
        <f>IF(AND(ISNUMBER(K143),ISNUMBER(S143)),K143*S143*52/12,"")</f>
        <v/>
      </c>
      <c r="U143" s="91" t="n">
        <v>4.8</v>
      </c>
      <c r="V143" s="85" t="n">
        <v>279</v>
      </c>
      <c r="W143" s="92" t="n">
        <v>46307</v>
      </c>
      <c r="X143" s="92" t="n"/>
      <c r="Y143" s="84" t="n"/>
      <c r="Z143" s="84" t="n"/>
      <c r="AA143" s="85" t="n">
        <v>216953</v>
      </c>
      <c r="AB143" s="85" t="n">
        <v>1218</v>
      </c>
      <c r="AC143" s="93" t="n">
        <v>0.9703615419007803</v>
      </c>
      <c r="AD143" s="93" t="n">
        <v>0.02963845809921965</v>
      </c>
      <c r="AE143" s="32" t="inlineStr">
        <is>
          <t>king size sheets set</t>
        </is>
      </c>
      <c r="AF143" s="93" t="n">
        <v>0.1820394278945209</v>
      </c>
      <c r="AG143" s="93" t="n"/>
      <c r="AH143" s="93" t="n"/>
      <c r="AI143" s="93" t="n">
        <v>0.01302125345120833</v>
      </c>
      <c r="AJ143" s="85" t="n">
        <v>879</v>
      </c>
      <c r="AK143" s="85" t="n">
        <v>316</v>
      </c>
      <c r="AL143" s="85" t="n">
        <v>488</v>
      </c>
      <c r="AM143" s="85" t="n">
        <v>339</v>
      </c>
      <c r="AN143" s="85" t="n">
        <v>8</v>
      </c>
      <c r="AO143" s="85" t="n">
        <v>3</v>
      </c>
      <c r="AP143" s="94" t="n"/>
      <c r="AQ143" s="89" t="n"/>
      <c r="AR143" s="95" t="inlineStr">
        <is>
          <t>Y</t>
        </is>
      </c>
      <c r="AS143" s="95" t="inlineStr">
        <is>
          <t>List Price</t>
        </is>
      </c>
      <c r="AT143" s="96" t="n">
        <v>109</v>
      </c>
      <c r="AU143" s="96" t="n">
        <v>79</v>
      </c>
      <c r="AV143" s="95" t="inlineStr">
        <is>
          <t>none</t>
        </is>
      </c>
      <c r="AW143" s="95" t="inlineStr">
        <is>
          <t>Y</t>
        </is>
      </c>
      <c r="AX143" s="95" t="inlineStr">
        <is>
          <t>2026-10-13 12:11:07</t>
        </is>
      </c>
      <c r="AY143" s="97" t="inlineStr">
        <is>
          <t>Not live in 2025</t>
        </is>
      </c>
      <c r="AZ143" s="102" t="n"/>
      <c r="BA143" s="101" t="n"/>
      <c r="BB143" s="101" t="n"/>
      <c r="BC143" s="87">
        <f>IF(AND(ISNUMBER(BA143),ISNUMBER(BB143),N(BA143)&gt;0),1-BB143/BA143,"")</f>
        <v/>
      </c>
      <c r="BD143" s="103" t="n"/>
      <c r="BE143" s="103" t="n"/>
      <c r="BF143" s="100">
        <f>IF(AND(ISNUMBER(BD143),ISNUMBER(BE143),N(BE143)&gt;0),BD143/BE143,"")</f>
        <v/>
      </c>
      <c r="BG143" s="102" t="n"/>
      <c r="BH143" s="102" t="n"/>
    </row>
    <row r="144" ht="62" customHeight="1">
      <c r="A144" s="39" t="inlineStr">
        <is>
          <t>IMAGE MISSING</t>
        </is>
      </c>
      <c r="B144" s="84" t="inlineStr">
        <is>
          <t>Bamboo Bay</t>
        </is>
      </c>
      <c r="C144" s="32" t="inlineStr">
        <is>
          <t>Bamboo Bay 4 Piece Queen Size Sheet Set, 100% Viscose Made from Bamboo, Breathab</t>
        </is>
      </c>
      <c r="D144" s="84" t="inlineStr">
        <is>
          <t>Beatable</t>
        </is>
      </c>
      <c r="E144" s="84" t="inlineStr">
        <is>
          <t>B0DLD8982V</t>
        </is>
      </c>
      <c r="F144" s="84" t="inlineStr">
        <is>
          <t>B08M9QK14J</t>
        </is>
      </c>
      <c r="G144" s="84" t="inlineStr">
        <is>
          <t>Queen</t>
        </is>
      </c>
      <c r="H144" s="84" t="n"/>
      <c r="I144" s="85" t="n">
        <v>20</v>
      </c>
      <c r="J144" s="32" t="inlineStr">
        <is>
          <t>B08M9QK14J (86%)</t>
        </is>
      </c>
      <c r="K144" s="86" t="n">
        <v>89.98</v>
      </c>
      <c r="L144" s="86" t="n"/>
      <c r="M144" s="87">
        <f>IF(AND(ISNUMBER(L144),ISNUMBER(K144),N(K144)&gt;0),L144/K144-1,"")</f>
        <v/>
      </c>
      <c r="N144" s="88">
        <f>IF(M144="","No List Price",IF(M144&lt;=0,"At/below price",IF(M144&lt;=0.12,"&lt;=12% STR zone",IF(M144&lt;=0.25,"12-25%","&gt;25% over"))))</f>
        <v/>
      </c>
      <c r="O144" s="86" t="n">
        <v>94.98999999999999</v>
      </c>
      <c r="P144" s="89">
        <f>IF(AND(ISNUMBER(K144),ISNUMBER(O144),N(O144)&gt;0),K144/O144-1,"")</f>
        <v/>
      </c>
      <c r="Q144" s="32" t="inlineStr">
        <is>
          <t>Same size (Queen). Ours live: Helium 10 Xray, 2026-10-13; 15 children</t>
        </is>
      </c>
      <c r="R144" s="85" t="n">
        <v>263209</v>
      </c>
      <c r="S144" s="85" t="n">
        <v>18</v>
      </c>
      <c r="T144" s="90">
        <f>IF(AND(ISNUMBER(K144),ISNUMBER(S144)),K144*S144*52/12,"")</f>
        <v/>
      </c>
      <c r="U144" s="91" t="n">
        <v>4.4</v>
      </c>
      <c r="V144" s="85" t="n">
        <v>739</v>
      </c>
      <c r="W144" s="92" t="n">
        <v>46307</v>
      </c>
      <c r="X144" s="92" t="n"/>
      <c r="Y144" s="84" t="n"/>
      <c r="Z144" s="84" t="n"/>
      <c r="AA144" s="85" t="n">
        <v>67928</v>
      </c>
      <c r="AB144" s="85" t="n">
        <v>1037</v>
      </c>
      <c r="AC144" s="93" t="n">
        <v>0.313496176834295</v>
      </c>
      <c r="AD144" s="93" t="n">
        <v>0.6865047653397713</v>
      </c>
      <c r="AE144" s="32" t="inlineStr">
        <is>
          <t>bamboo sheets</t>
        </is>
      </c>
      <c r="AF144" s="93" t="n">
        <v>0.9942144623719232</v>
      </c>
      <c r="AG144" s="93" t="n"/>
      <c r="AH144" s="93" t="n"/>
      <c r="AI144" s="93" t="n"/>
      <c r="AJ144" s="85" t="n">
        <v>585</v>
      </c>
      <c r="AK144" s="85" t="n">
        <v>376</v>
      </c>
      <c r="AL144" s="85" t="n">
        <v>135</v>
      </c>
      <c r="AM144" s="85" t="n">
        <v>452</v>
      </c>
      <c r="AN144" s="85" t="n">
        <v>253</v>
      </c>
      <c r="AO144" s="85" t="n">
        <v>149</v>
      </c>
      <c r="AP144" s="94" t="n">
        <v>0.7336182336182336</v>
      </c>
      <c r="AQ144" s="89" t="n">
        <v>-0.2877906976744186</v>
      </c>
      <c r="AR144" s="95" t="inlineStr">
        <is>
          <t>N</t>
        </is>
      </c>
      <c r="AS144" s="95" t="inlineStr">
        <is>
          <t>none</t>
        </is>
      </c>
      <c r="AT144" s="101" t="n"/>
      <c r="AU144" s="96" t="n">
        <v>89.98</v>
      </c>
      <c r="AV144" s="95" t="inlineStr">
        <is>
          <t>none</t>
        </is>
      </c>
      <c r="AW144" s="95" t="inlineStr">
        <is>
          <t>Y</t>
        </is>
      </c>
      <c r="AX144" s="95" t="inlineStr">
        <is>
          <t>2026-10-13 12:10:31</t>
        </is>
      </c>
      <c r="AY144" s="97" t="inlineStr">
        <is>
          <t>None</t>
        </is>
      </c>
      <c r="AZ144" s="102" t="n"/>
      <c r="BA144" s="98" t="n">
        <v>64.98999999999999</v>
      </c>
      <c r="BB144" s="98" t="n">
        <v>99.98</v>
      </c>
      <c r="BC144" s="87">
        <f>IF(AND(ISNUMBER(BA144),ISNUMBER(BB144),N(BA144)&gt;0),1-BB144/BA144,"")</f>
        <v/>
      </c>
      <c r="BD144" s="99" t="n">
        <v>136345</v>
      </c>
      <c r="BE144" s="99" t="n">
        <v>252933</v>
      </c>
      <c r="BF144" s="100">
        <f>IF(AND(ISNUMBER(BD144),ISNUMBER(BE144),N(BE144)&gt;0),BD144/BE144,"")</f>
        <v/>
      </c>
      <c r="BG144" s="97" t="inlineStr">
        <is>
          <t>N</t>
        </is>
      </c>
      <c r="BH144" s="97" t="inlineStr">
        <is>
          <t>Buy Box RAISED in BFCM week (median $99.98 vs $64.99 before); List Price $129.98</t>
        </is>
      </c>
    </row>
    <row r="145" ht="62" customHeight="1">
      <c r="A145" s="39" t="inlineStr">
        <is>
          <t>IMAGE MISSING</t>
        </is>
      </c>
      <c r="B145" s="84" t="inlineStr">
        <is>
          <t>California Design Den</t>
        </is>
      </c>
      <c r="C145" s="32" t="inlineStr">
        <is>
          <t>California Design Den 100% Viscose from Bamboo Sheets Queen, Dark Olive</t>
        </is>
      </c>
      <c r="D145" s="84" t="inlineStr">
        <is>
          <t>Beatable</t>
        </is>
      </c>
      <c r="E145" s="84" t="inlineStr">
        <is>
          <t>B0HFBJPD56</t>
        </is>
      </c>
      <c r="F145" s="84" t="inlineStr">
        <is>
          <t>B0GWHPJ9SD</t>
        </is>
      </c>
      <c r="G145" s="84" t="inlineStr">
        <is>
          <t>Queen</t>
        </is>
      </c>
      <c r="H145" s="84" t="inlineStr">
        <is>
          <t>Olive</t>
        </is>
      </c>
      <c r="I145" s="85" t="n">
        <v>81</v>
      </c>
      <c r="J145" s="32" t="inlineStr">
        <is>
          <t>B0GWHFGLVL (32%), B0GWHPJ9SD (10%), B0GWHMSZYL (8%), B0GWHGS5BM (5%), B0GWHCHY3Q (5%)</t>
        </is>
      </c>
      <c r="K145" s="86" t="n">
        <v>89.98999999999999</v>
      </c>
      <c r="L145" s="86" t="n"/>
      <c r="M145" s="87">
        <f>IF(AND(ISNUMBER(L145),ISNUMBER(K145),N(K145)&gt;0),L145/K145-1,"")</f>
        <v/>
      </c>
      <c r="N145" s="88">
        <f>IF(M145="","No List Price",IF(M145&lt;=0,"At/below price",IF(M145&lt;=0.12,"&lt;=12% STR zone",IF(M145&lt;=0.25,"12-25%","&gt;25% over"))))</f>
        <v/>
      </c>
      <c r="O145" s="86" t="n">
        <v>94.98999999999999</v>
      </c>
      <c r="P145" s="89">
        <f>IF(AND(ISNUMBER(K145),ISNUMBER(O145),N(O145)&gt;0),K145/O145-1,"")</f>
        <v/>
      </c>
      <c r="Q145" s="32" t="inlineStr">
        <is>
          <t>Same size (Queen). Ours live: Helium 10 Xray, 2026-10-13; 15 children</t>
        </is>
      </c>
      <c r="R145" s="85" t="n">
        <v>21237</v>
      </c>
      <c r="S145" s="85" t="n">
        <v>18</v>
      </c>
      <c r="T145" s="90">
        <f>IF(AND(ISNUMBER(K145),ISNUMBER(S145)),K145*S145*52/12,"")</f>
        <v/>
      </c>
      <c r="U145" s="91" t="n">
        <v>4.6</v>
      </c>
      <c r="V145" s="85" t="n">
        <v>76</v>
      </c>
      <c r="W145" s="92" t="n">
        <v>46307</v>
      </c>
      <c r="X145" s="92" t="n"/>
      <c r="Y145" s="84" t="n"/>
      <c r="Z145" s="84" t="n"/>
      <c r="AA145" s="85" t="n">
        <v>103642</v>
      </c>
      <c r="AB145" s="85" t="n">
        <v>2019</v>
      </c>
      <c r="AC145" s="93" t="n">
        <v>0.8956907055054905</v>
      </c>
      <c r="AD145" s="93" t="n">
        <v>0.1043093871210513</v>
      </c>
      <c r="AE145" s="32" t="inlineStr">
        <is>
          <t>bamboo sheets</t>
        </is>
      </c>
      <c r="AF145" s="93" t="n">
        <v>0.6944674938731402</v>
      </c>
      <c r="AG145" s="93" t="n"/>
      <c r="AH145" s="93" t="n"/>
      <c r="AI145" s="93" t="n"/>
      <c r="AJ145" s="85" t="n">
        <v>978</v>
      </c>
      <c r="AK145" s="85" t="n">
        <v>433</v>
      </c>
      <c r="AL145" s="85" t="n">
        <v>458</v>
      </c>
      <c r="AM145" s="85" t="n">
        <v>1041</v>
      </c>
      <c r="AN145" s="85" t="n">
        <v>186</v>
      </c>
      <c r="AO145" s="85" t="n">
        <v>36</v>
      </c>
      <c r="AP145" s="94" t="n"/>
      <c r="AQ145" s="89" t="n"/>
      <c r="AR145" s="95" t="inlineStr">
        <is>
          <t>N</t>
        </is>
      </c>
      <c r="AS145" s="95" t="inlineStr">
        <is>
          <t>none</t>
        </is>
      </c>
      <c r="AT145" s="101" t="n"/>
      <c r="AU145" s="96" t="n">
        <v>89.98999999999999</v>
      </c>
      <c r="AV145" s="95" t="inlineStr">
        <is>
          <t>none</t>
        </is>
      </c>
      <c r="AW145" s="95" t="inlineStr">
        <is>
          <t>Y</t>
        </is>
      </c>
      <c r="AX145" s="95" t="inlineStr">
        <is>
          <t>2026-10-13 12:10:41</t>
        </is>
      </c>
      <c r="AY145" s="97" t="inlineStr">
        <is>
          <t>Not live in 2025</t>
        </is>
      </c>
      <c r="AZ145" s="102" t="n"/>
      <c r="BA145" s="101" t="n"/>
      <c r="BB145" s="101" t="n"/>
      <c r="BC145" s="87">
        <f>IF(AND(ISNUMBER(BA145),ISNUMBER(BB145),N(BA145)&gt;0),1-BB145/BA145,"")</f>
        <v/>
      </c>
      <c r="BD145" s="103" t="n"/>
      <c r="BE145" s="103" t="n"/>
      <c r="BF145" s="100">
        <f>IF(AND(ISNUMBER(BD145),ISNUMBER(BE145),N(BE145)&gt;0),BD145/BE145,"")</f>
        <v/>
      </c>
      <c r="BG145" s="102" t="n"/>
      <c r="BH145" s="102" t="n"/>
    </row>
    <row r="146" ht="62" customHeight="1">
      <c r="A146" s="39" t="inlineStr">
        <is>
          <t>IMAGE MISSING</t>
        </is>
      </c>
      <c r="B146" s="84" t="inlineStr">
        <is>
          <t>Pillcase</t>
        </is>
      </c>
      <c r="C146" s="32" t="inlineStr">
        <is>
          <t>100% Real Bamboo Viscose &amp; Lyocell Tencel Sheets Set Queen Size | Breathable &amp; C</t>
        </is>
      </c>
      <c r="D146" s="84" t="inlineStr">
        <is>
          <t>Beatable</t>
        </is>
      </c>
      <c r="E146" s="84" t="inlineStr">
        <is>
          <t>B0HK71WHZW</t>
        </is>
      </c>
      <c r="F146" s="84" t="inlineStr">
        <is>
          <t>B0H1BWY4MD</t>
        </is>
      </c>
      <c r="G146" s="84" t="inlineStr">
        <is>
          <t>Queen</t>
        </is>
      </c>
      <c r="H146" s="84" t="n"/>
      <c r="I146" s="85" t="n">
        <v>22</v>
      </c>
      <c r="J146" s="32" t="inlineStr">
        <is>
          <t>B0HBXCGQM1 (57%), B0HF8HHN46 (7%), B0HBXK2Y4B (5%), B0H1BWY4MD (5%), B0H28FT5DH (4%)</t>
        </is>
      </c>
      <c r="K146" s="86" t="n">
        <v>99</v>
      </c>
      <c r="L146" s="86" t="n"/>
      <c r="M146" s="87">
        <f>IF(AND(ISNUMBER(L146),ISNUMBER(K146),N(K146)&gt;0),L146/K146-1,"")</f>
        <v/>
      </c>
      <c r="N146" s="88">
        <f>IF(M146="","No List Price",IF(M146&lt;=0,"At/below price",IF(M146&lt;=0.12,"&lt;=12% STR zone",IF(M146&lt;=0.25,"12-25%","&gt;25% over"))))</f>
        <v/>
      </c>
      <c r="O146" s="86" t="n">
        <v>94.98999999999999</v>
      </c>
      <c r="P146" s="89">
        <f>IF(AND(ISNUMBER(K146),ISNUMBER(O146),N(O146)&gt;0),K146/O146-1,"")</f>
        <v/>
      </c>
      <c r="Q146" s="32" t="inlineStr">
        <is>
          <t>Same size (Queen). Ours live: Helium 10 Xray, 2026-10-13; 15 children</t>
        </is>
      </c>
      <c r="R146" s="85" t="n">
        <v>38116</v>
      </c>
      <c r="S146" s="85" t="n">
        <v>18</v>
      </c>
      <c r="T146" s="90">
        <f>IF(AND(ISNUMBER(K146),ISNUMBER(S146)),K146*S146*52/12,"")</f>
        <v/>
      </c>
      <c r="U146" s="91" t="n">
        <v>4.9</v>
      </c>
      <c r="V146" s="85" t="n">
        <v>201</v>
      </c>
      <c r="W146" s="92" t="n">
        <v>46307</v>
      </c>
      <c r="X146" s="92" t="n"/>
      <c r="Y146" s="84" t="n"/>
      <c r="Z146" s="84" t="n"/>
      <c r="AA146" s="85" t="n">
        <v>116001</v>
      </c>
      <c r="AB146" s="85" t="n">
        <v>1002</v>
      </c>
      <c r="AC146" s="93" t="n">
        <v>0.8987684407893036</v>
      </c>
      <c r="AD146" s="93" t="n">
        <v>0.1012329385091508</v>
      </c>
      <c r="AE146" s="32" t="inlineStr">
        <is>
          <t>bamboo sheets</t>
        </is>
      </c>
      <c r="AF146" s="93" t="n">
        <v>0.5789691468176998</v>
      </c>
      <c r="AG146" s="93" t="n"/>
      <c r="AH146" s="93" t="n"/>
      <c r="AI146" s="93" t="n">
        <v>0.01296540547064249</v>
      </c>
      <c r="AJ146" s="85" t="n">
        <v>720</v>
      </c>
      <c r="AK146" s="85" t="n">
        <v>365</v>
      </c>
      <c r="AL146" s="85" t="n">
        <v>310</v>
      </c>
      <c r="AM146" s="85" t="n">
        <v>282</v>
      </c>
      <c r="AN146" s="85" t="n">
        <v>39</v>
      </c>
      <c r="AO146" s="85" t="n">
        <v>16</v>
      </c>
      <c r="AP146" s="94" t="n"/>
      <c r="AQ146" s="89" t="n"/>
      <c r="AR146" s="95" t="inlineStr">
        <is>
          <t>Y</t>
        </is>
      </c>
      <c r="AS146" s="95" t="inlineStr">
        <is>
          <t>List Price</t>
        </is>
      </c>
      <c r="AT146" s="96" t="n">
        <v>99</v>
      </c>
      <c r="AU146" s="96" t="n">
        <v>79</v>
      </c>
      <c r="AV146" s="95" t="inlineStr">
        <is>
          <t>none</t>
        </is>
      </c>
      <c r="AW146" s="95" t="inlineStr">
        <is>
          <t>Y</t>
        </is>
      </c>
      <c r="AX146" s="95" t="inlineStr">
        <is>
          <t>2026-10-13 12:11:10</t>
        </is>
      </c>
      <c r="AY146" s="97" t="inlineStr">
        <is>
          <t>Not live in 2025</t>
        </is>
      </c>
      <c r="AZ146" s="102" t="n"/>
      <c r="BA146" s="101" t="n"/>
      <c r="BB146" s="101" t="n"/>
      <c r="BC146" s="87">
        <f>IF(AND(ISNUMBER(BA146),ISNUMBER(BB146),N(BA146)&gt;0),1-BB146/BA146,"")</f>
        <v/>
      </c>
      <c r="BD146" s="103" t="n"/>
      <c r="BE146" s="103" t="n"/>
      <c r="BF146" s="100">
        <f>IF(AND(ISNUMBER(BD146),ISNUMBER(BE146),N(BE146)&gt;0),BD146/BE146,"")</f>
        <v/>
      </c>
      <c r="BG146" s="102" t="n"/>
      <c r="BH146" s="102" t="n"/>
    </row>
    <row r="147" ht="62" customHeight="1">
      <c r="A147" s="10">
        <f>_xlfn.IMAGE("https://images-na.ssl-images-amazon.com/images/I/81fpVjndH2L.jpg")</f>
        <v/>
      </c>
      <c r="B147" s="84" t="inlineStr">
        <is>
          <t>Shilucheng</t>
        </is>
      </c>
      <c r="C147" s="32" t="inlineStr">
        <is>
          <t>Shilucheng 4 Piece King Sheet Sets, Cooling Sheets, Dark Grey</t>
        </is>
      </c>
      <c r="D147" s="84" t="inlineStr">
        <is>
          <t>Beatable</t>
        </is>
      </c>
      <c r="E147" s="84" t="inlineStr">
        <is>
          <t>B098JT1RF2</t>
        </is>
      </c>
      <c r="F147" s="84" t="inlineStr">
        <is>
          <t>B098JT1RF2</t>
        </is>
      </c>
      <c r="G147" s="84" t="inlineStr">
        <is>
          <t>King</t>
        </is>
      </c>
      <c r="H147" s="84" t="inlineStr">
        <is>
          <t>Grey</t>
        </is>
      </c>
      <c r="I147" s="85" t="n">
        <v>100</v>
      </c>
      <c r="J147" s="32" t="inlineStr">
        <is>
          <t>B0FWY1TGFK (65%), B098JT1RF2 (23%)</t>
        </is>
      </c>
      <c r="K147" s="86" t="n">
        <v>37.9</v>
      </c>
      <c r="L147" s="86" t="n"/>
      <c r="M147" s="87">
        <f>IF(AND(ISNUMBER(L147),ISNUMBER(K147),N(K147)&gt;0),L147/K147-1,"")</f>
        <v/>
      </c>
      <c r="N147" s="88">
        <f>IF(M147="","No List Price",IF(M147&lt;=0,"At/below price",IF(M147&lt;=0.12,"&lt;=12% STR zone",IF(M147&lt;=0.25,"12-25%","&gt;25% over"))))</f>
        <v/>
      </c>
      <c r="O147" s="86" t="n">
        <v>99.98999999999999</v>
      </c>
      <c r="P147" s="89">
        <f>IF(AND(ISNUMBER(K147),ISNUMBER(O147),N(O147)&gt;0),K147/O147-1,"")</f>
        <v/>
      </c>
      <c r="Q147" s="32" t="inlineStr">
        <is>
          <t>Same size (King). Ours live: Helium 10 Xray, 2026-10-13; 16 children</t>
        </is>
      </c>
      <c r="R147" s="85" t="n">
        <v>9187</v>
      </c>
      <c r="S147" s="85" t="n">
        <v>18</v>
      </c>
      <c r="T147" s="90">
        <f>IF(AND(ISNUMBER(K147),ISNUMBER(S147)),K147*S147*52/12,"")</f>
        <v/>
      </c>
      <c r="U147" s="91" t="n">
        <v>4.3</v>
      </c>
      <c r="V147" s="85" t="n">
        <v>24333</v>
      </c>
      <c r="W147" s="92" t="n">
        <v>46286</v>
      </c>
      <c r="X147" s="92" t="n">
        <v>44379</v>
      </c>
      <c r="Y147" s="84" t="inlineStr">
        <is>
          <t>FBA</t>
        </is>
      </c>
      <c r="Z147" s="84" t="inlineStr">
        <is>
          <t>CN</t>
        </is>
      </c>
      <c r="AA147" s="85" t="n">
        <v>23320</v>
      </c>
      <c r="AB147" s="85" t="n">
        <v>859</v>
      </c>
      <c r="AC147" s="93" t="n">
        <v>0.6141093996569467</v>
      </c>
      <c r="AD147" s="93" t="n">
        <v>0.3858907375643228</v>
      </c>
      <c r="AE147" s="32" t="inlineStr">
        <is>
          <t>bamboo sheets</t>
        </is>
      </c>
      <c r="AF147" s="93" t="n">
        <v>0.5330188679245284</v>
      </c>
      <c r="AG147" s="93" t="n"/>
      <c r="AH147" s="93" t="n"/>
      <c r="AI147" s="93" t="n">
        <v>0.006989708404802744</v>
      </c>
      <c r="AJ147" s="85" t="n">
        <v>600</v>
      </c>
      <c r="AK147" s="85" t="n">
        <v>368</v>
      </c>
      <c r="AL147" s="85" t="n">
        <v>208</v>
      </c>
      <c r="AM147" s="85" t="n">
        <v>259</v>
      </c>
      <c r="AN147" s="85" t="n">
        <v>176</v>
      </c>
      <c r="AO147" s="85" t="n">
        <v>37</v>
      </c>
      <c r="AP147" s="94" t="n"/>
      <c r="AQ147" s="89" t="n">
        <v>-0.9551569506726457</v>
      </c>
      <c r="AR147" s="95" t="inlineStr">
        <is>
          <t>N</t>
        </is>
      </c>
      <c r="AS147" s="95" t="inlineStr">
        <is>
          <t>none</t>
        </is>
      </c>
      <c r="AT147" s="101" t="n"/>
      <c r="AU147" s="96" t="n">
        <v>37.9</v>
      </c>
      <c r="AV147" s="95" t="inlineStr">
        <is>
          <t>coupon 15%</t>
        </is>
      </c>
      <c r="AW147" s="95" t="inlineStr">
        <is>
          <t>Y</t>
        </is>
      </c>
      <c r="AX147" s="95" t="inlineStr">
        <is>
          <t>2026-10-13 12:11:29</t>
        </is>
      </c>
      <c r="AY147" s="97" t="inlineStr">
        <is>
          <t>Coupon only</t>
        </is>
      </c>
      <c r="AZ147" s="97" t="inlineStr">
        <is>
          <t>11-05 to 12-05</t>
        </is>
      </c>
      <c r="BA147" s="98" t="n">
        <v>37.9</v>
      </c>
      <c r="BB147" s="98" t="n">
        <v>30.32</v>
      </c>
      <c r="BC147" s="87">
        <f>IF(AND(ISNUMBER(BA147),ISNUMBER(BB147),N(BA147)&gt;0),1-BB147/BA147,"")</f>
        <v/>
      </c>
      <c r="BD147" s="99" t="n">
        <v>4668</v>
      </c>
      <c r="BE147" s="99" t="n">
        <v>3277</v>
      </c>
      <c r="BF147" s="100">
        <f>IF(AND(ISNUMBER(BD147),ISNUMBER(BE147),N(BE147)&gt;0),BD147/BE147,"")</f>
        <v/>
      </c>
      <c r="BG147" s="97" t="inlineStr">
        <is>
          <t>N</t>
        </is>
      </c>
      <c r="BH147" s="97" t="inlineStr">
        <is>
          <t>Coupon 15%; List Price $37.90</t>
        </is>
      </c>
    </row>
    <row r="148" ht="62" customHeight="1">
      <c r="A148" s="10">
        <f>_xlfn.IMAGE("https://images-na.ssl-images-amazon.com/images/I/71X+0TBtodL.jpg")</f>
        <v/>
      </c>
      <c r="B148" s="84" t="inlineStr">
        <is>
          <t>TWK</t>
        </is>
      </c>
      <c r="C148" s="32" t="inlineStr">
        <is>
          <t>TWK Real 100% Viscose Derived from Bamboo Sheets Set Queen Size, Cooling &amp; Silky</t>
        </is>
      </c>
      <c r="D148" s="84" t="inlineStr">
        <is>
          <t>Beatable</t>
        </is>
      </c>
      <c r="E148" s="84" t="inlineStr">
        <is>
          <t>B0HHQG3RSW</t>
        </is>
      </c>
      <c r="F148" s="84" t="inlineStr">
        <is>
          <t>B0G1N8QS55</t>
        </is>
      </c>
      <c r="G148" s="84" t="inlineStr">
        <is>
          <t>Queen</t>
        </is>
      </c>
      <c r="H148" s="84" t="n"/>
      <c r="I148" s="85" t="n">
        <v>13</v>
      </c>
      <c r="J148" s="32" t="inlineStr">
        <is>
          <t>B0G1N23HZ1 (41%), B0H35S6VLR (32%), B0G1N8QS55 (18%)</t>
        </is>
      </c>
      <c r="K148" s="86" t="n">
        <v>65</v>
      </c>
      <c r="L148" s="86" t="n">
        <v>79</v>
      </c>
      <c r="M148" s="87">
        <f>IF(AND(ISNUMBER(L148),ISNUMBER(K148),N(K148)&gt;0),L148/K148-1,"")</f>
        <v/>
      </c>
      <c r="N148" s="88">
        <f>IF(M148="","No List Price",IF(M148&lt;=0,"At/below price",IF(M148&lt;=0.12,"&lt;=12% STR zone",IF(M148&lt;=0.25,"12-25%","&gt;25% over"))))</f>
        <v/>
      </c>
      <c r="O148" s="86" t="n">
        <v>94.98999999999999</v>
      </c>
      <c r="P148" s="89">
        <f>IF(AND(ISNUMBER(K148),ISNUMBER(O148),N(O148)&gt;0),K148/O148-1,"")</f>
        <v/>
      </c>
      <c r="Q148" s="32" t="inlineStr">
        <is>
          <t>Same size (Queen). Ours live: Helium 10 Xray, 2026-10-13; 15 children</t>
        </is>
      </c>
      <c r="R148" s="85" t="n">
        <v>196488</v>
      </c>
      <c r="S148" s="85" t="n">
        <v>18</v>
      </c>
      <c r="T148" s="90">
        <f>IF(AND(ISNUMBER(K148),ISNUMBER(S148)),K148*S148*52/12,"")</f>
        <v/>
      </c>
      <c r="U148" s="91" t="n">
        <v>4.9</v>
      </c>
      <c r="V148" s="85" t="n">
        <v>121</v>
      </c>
      <c r="W148" s="92" t="n">
        <v>46307</v>
      </c>
      <c r="X148" s="92" t="n"/>
      <c r="Y148" s="84" t="n"/>
      <c r="Z148" s="84" t="n"/>
      <c r="AA148" s="85" t="n">
        <v>82471</v>
      </c>
      <c r="AB148" s="85" t="n">
        <v>905</v>
      </c>
      <c r="AC148" s="93" t="n">
        <v>0.8861114561482216</v>
      </c>
      <c r="AD148" s="93" t="n">
        <v>0.1138885438517783</v>
      </c>
      <c r="AE148" s="32" t="inlineStr">
        <is>
          <t>bamboo sheets</t>
        </is>
      </c>
      <c r="AF148" s="93" t="n">
        <v>0.5572868038462004</v>
      </c>
      <c r="AG148" s="93" t="n"/>
      <c r="AH148" s="93" t="n"/>
      <c r="AI148" s="93" t="n"/>
      <c r="AJ148" s="85" t="n">
        <v>730</v>
      </c>
      <c r="AK148" s="85" t="n">
        <v>388</v>
      </c>
      <c r="AL148" s="85" t="n">
        <v>263</v>
      </c>
      <c r="AM148" s="85" t="n">
        <v>175</v>
      </c>
      <c r="AN148" s="85" t="n">
        <v>27</v>
      </c>
      <c r="AO148" s="85" t="n">
        <v>18</v>
      </c>
      <c r="AP148" s="94" t="n"/>
      <c r="AQ148" s="89" t="n"/>
      <c r="AR148" s="95" t="inlineStr">
        <is>
          <t>Y</t>
        </is>
      </c>
      <c r="AS148" s="95" t="inlineStr">
        <is>
          <t>Typical price</t>
        </is>
      </c>
      <c r="AT148" s="96" t="n">
        <v>79</v>
      </c>
      <c r="AU148" s="96" t="n">
        <v>65</v>
      </c>
      <c r="AV148" s="95" t="inlineStr">
        <is>
          <t>none</t>
        </is>
      </c>
      <c r="AW148" s="95" t="inlineStr">
        <is>
          <t>Y</t>
        </is>
      </c>
      <c r="AX148" s="95" t="inlineStr">
        <is>
          <t>2026-10-13 12:11:35</t>
        </is>
      </c>
      <c r="AY148" s="97" t="inlineStr">
        <is>
          <t>Not live in 2025</t>
        </is>
      </c>
      <c r="AZ148" s="102" t="n"/>
      <c r="BA148" s="101" t="n"/>
      <c r="BB148" s="101" t="n"/>
      <c r="BC148" s="87">
        <f>IF(AND(ISNUMBER(BA148),ISNUMBER(BB148),N(BA148)&gt;0),1-BB148/BA148,"")</f>
        <v/>
      </c>
      <c r="BD148" s="103" t="n"/>
      <c r="BE148" s="103" t="n"/>
      <c r="BF148" s="100">
        <f>IF(AND(ISNUMBER(BD148),ISNUMBER(BE148),N(BE148)&gt;0),BD148/BE148,"")</f>
        <v/>
      </c>
      <c r="BG148" s="102" t="n"/>
      <c r="BH148" s="102" t="n"/>
    </row>
    <row r="149" ht="62" customHeight="1">
      <c r="A149" s="39" t="inlineStr">
        <is>
          <t>IMAGE MISSING</t>
        </is>
      </c>
      <c r="B149" s="84" t="inlineStr">
        <is>
          <t>BC BELLA COTERIE</t>
        </is>
      </c>
      <c r="C149" s="32" t="inlineStr">
        <is>
          <t>4 Piece Bamboo Sheet Set</t>
        </is>
      </c>
      <c r="D149" s="84" t="inlineStr">
        <is>
          <t>Beatable</t>
        </is>
      </c>
      <c r="E149" s="84" t="inlineStr">
        <is>
          <t>B0GKBNZ8TC</t>
        </is>
      </c>
      <c r="F149" s="84" t="inlineStr">
        <is>
          <t>B0G674ZDTV</t>
        </is>
      </c>
      <c r="G149" s="84" t="n"/>
      <c r="H149" s="84" t="n"/>
      <c r="I149" s="85" t="n"/>
      <c r="J149" s="32" t="inlineStr"/>
      <c r="K149" s="86" t="n">
        <v>129.99</v>
      </c>
      <c r="L149" s="86" t="n"/>
      <c r="M149" s="87">
        <f>IF(AND(ISNUMBER(L149),ISNUMBER(K149),N(K149)&gt;0),L149/K149-1,"")</f>
        <v/>
      </c>
      <c r="N149" s="88">
        <f>IF(M149="","No List Price",IF(M149&lt;=0,"At/below price",IF(M149&lt;=0.12,"&lt;=12% STR zone",IF(M149&lt;=0.25,"12-25%","&gt;25% over"))))</f>
        <v/>
      </c>
      <c r="O149" s="86" t="n">
        <v>94.98999999999999</v>
      </c>
      <c r="P149" s="89">
        <f>IF(AND(ISNUMBER(K149),ISNUMBER(O149),N(O149)&gt;0),K149/O149-1,"")</f>
        <v/>
      </c>
      <c r="Q149" s="32" t="inlineStr">
        <is>
          <t>Size not stated - vs our Queen. Ours live: Helium 10 Xray, 2026-10-13; 15 children</t>
        </is>
      </c>
      <c r="R149" s="85" t="n">
        <v>1577</v>
      </c>
      <c r="S149" s="85" t="n">
        <v>5</v>
      </c>
      <c r="T149" s="90">
        <f>IF(AND(ISNUMBER(K149),ISNUMBER(S149)),K149*S149*52/12,"")</f>
        <v/>
      </c>
      <c r="U149" s="91" t="n">
        <v>4.4</v>
      </c>
      <c r="V149" s="85" t="n">
        <v>5652</v>
      </c>
      <c r="W149" s="92" t="n">
        <v>46223</v>
      </c>
      <c r="X149" s="92" t="n"/>
      <c r="Y149" s="84" t="n"/>
      <c r="Z149" s="84" t="n"/>
      <c r="AA149" s="85" t="n"/>
      <c r="AB149" s="85" t="n"/>
      <c r="AC149" s="93" t="n"/>
      <c r="AD149" s="93" t="n"/>
      <c r="AE149" s="32" t="n"/>
      <c r="AF149" s="93" t="n"/>
      <c r="AG149" s="93" t="n"/>
      <c r="AH149" s="93" t="n"/>
      <c r="AI149" s="93" t="n"/>
      <c r="AJ149" s="85" t="n"/>
      <c r="AK149" s="85" t="n"/>
      <c r="AL149" s="85" t="n"/>
      <c r="AM149" s="85" t="n"/>
      <c r="AN149" s="85" t="n"/>
      <c r="AO149" s="85" t="n"/>
      <c r="AP149" s="94" t="n"/>
      <c r="AQ149" s="89" t="n"/>
      <c r="AR149" s="95" t="inlineStr">
        <is>
          <t>N</t>
        </is>
      </c>
      <c r="AS149" s="95" t="inlineStr">
        <is>
          <t>none</t>
        </is>
      </c>
      <c r="AT149" s="101" t="n"/>
      <c r="AU149" s="96" t="n">
        <v>159.99</v>
      </c>
      <c r="AV149" s="95" t="inlineStr">
        <is>
          <t>none</t>
        </is>
      </c>
      <c r="AW149" s="95" t="inlineStr">
        <is>
          <t>Y</t>
        </is>
      </c>
      <c r="AX149" s="95" t="inlineStr">
        <is>
          <t>2026-10-13 12:10:21</t>
        </is>
      </c>
      <c r="AY149" s="97" t="inlineStr">
        <is>
          <t>Not live in 2025</t>
        </is>
      </c>
      <c r="AZ149" s="102" t="n"/>
      <c r="BA149" s="101" t="n"/>
      <c r="BB149" s="101" t="n"/>
      <c r="BC149" s="87">
        <f>IF(AND(ISNUMBER(BA149),ISNUMBER(BB149),N(BA149)&gt;0),1-BB149/BA149,"")</f>
        <v/>
      </c>
      <c r="BD149" s="103" t="n"/>
      <c r="BE149" s="103" t="n"/>
      <c r="BF149" s="100">
        <f>IF(AND(ISNUMBER(BD149),ISNUMBER(BE149),N(BE149)&gt;0),BD149/BE149,"")</f>
        <v/>
      </c>
      <c r="BG149" s="102" t="n"/>
      <c r="BH149" s="102" t="n"/>
    </row>
    <row r="150" ht="62" customHeight="1">
      <c r="A150" s="39" t="inlineStr">
        <is>
          <t>IMAGE MISSING</t>
        </is>
      </c>
      <c r="B150" s="84" t="inlineStr">
        <is>
          <t>Tafts</t>
        </is>
      </c>
      <c r="C150" s="32" t="inlineStr">
        <is>
          <t>Bamboo Sheets Queen Size, 100% Pure Viscose derived from Bamboo Bed Sheet Set, L</t>
        </is>
      </c>
      <c r="D150" s="84" t="inlineStr">
        <is>
          <t>Beatable</t>
        </is>
      </c>
      <c r="E150" s="84" t="inlineStr">
        <is>
          <t>B0D34K3FB9</t>
        </is>
      </c>
      <c r="F150" s="84" t="inlineStr">
        <is>
          <t>B07YSVNCVT</t>
        </is>
      </c>
      <c r="G150" s="84" t="inlineStr">
        <is>
          <t>Queen</t>
        </is>
      </c>
      <c r="H150" s="84" t="n"/>
      <c r="I150" s="85" t="n">
        <v>23</v>
      </c>
      <c r="J150" s="32" t="inlineStr">
        <is>
          <t>B07YSW4HCT (83%)</t>
        </is>
      </c>
      <c r="K150" s="86" t="n">
        <v>104.99</v>
      </c>
      <c r="L150" s="86" t="n"/>
      <c r="M150" s="87">
        <f>IF(AND(ISNUMBER(L150),ISNUMBER(K150),N(K150)&gt;0),L150/K150-1,"")</f>
        <v/>
      </c>
      <c r="N150" s="88">
        <f>IF(M150="","No List Price",IF(M150&lt;=0,"At/below price",IF(M150&lt;=0.12,"&lt;=12% STR zone",IF(M150&lt;=0.25,"12-25%","&gt;25% over"))))</f>
        <v/>
      </c>
      <c r="O150" s="86" t="n">
        <v>94.98999999999999</v>
      </c>
      <c r="P150" s="89">
        <f>IF(AND(ISNUMBER(K150),ISNUMBER(O150),N(O150)&gt;0),K150/O150-1,"")</f>
        <v/>
      </c>
      <c r="Q150" s="32" t="inlineStr">
        <is>
          <t>Same size (Queen). Ours live: Helium 10 Xray, 2026-10-13; 15 children</t>
        </is>
      </c>
      <c r="R150" s="85" t="n">
        <v>184749</v>
      </c>
      <c r="S150" s="85" t="n">
        <v>5</v>
      </c>
      <c r="T150" s="90">
        <f>IF(AND(ISNUMBER(K150),ISNUMBER(S150)),K150*S150*52/12,"")</f>
        <v/>
      </c>
      <c r="U150" s="91" t="n">
        <v>4.5</v>
      </c>
      <c r="V150" s="85" t="n">
        <v>3184</v>
      </c>
      <c r="W150" s="92" t="n">
        <v>46307</v>
      </c>
      <c r="X150" s="92" t="n"/>
      <c r="Y150" s="84" t="n"/>
      <c r="Z150" s="84" t="n"/>
      <c r="AA150" s="85" t="n">
        <v>11787</v>
      </c>
      <c r="AB150" s="85" t="n">
        <v>302</v>
      </c>
      <c r="AC150" s="93" t="n">
        <v>0.9613189955035204</v>
      </c>
      <c r="AD150" s="93" t="n">
        <v>0.03868100449647917</v>
      </c>
      <c r="AE150" s="32" t="inlineStr">
        <is>
          <t>bamboo sheets</t>
        </is>
      </c>
      <c r="AF150" s="93" t="n">
        <v>0.8949690336811742</v>
      </c>
      <c r="AG150" s="93" t="n"/>
      <c r="AH150" s="93" t="n"/>
      <c r="AI150" s="93" t="n"/>
      <c r="AJ150" s="85" t="n">
        <v>228</v>
      </c>
      <c r="AK150" s="85" t="n">
        <v>180</v>
      </c>
      <c r="AL150" s="85" t="n">
        <v>26</v>
      </c>
      <c r="AM150" s="85" t="n">
        <v>74</v>
      </c>
      <c r="AN150" s="85" t="n">
        <v>13</v>
      </c>
      <c r="AO150" s="85" t="n">
        <v>14</v>
      </c>
      <c r="AP150" s="94" t="n"/>
      <c r="AQ150" s="89" t="n"/>
      <c r="AR150" s="95" t="inlineStr">
        <is>
          <t>N</t>
        </is>
      </c>
      <c r="AS150" s="95" t="inlineStr">
        <is>
          <t>none</t>
        </is>
      </c>
      <c r="AT150" s="101" t="n"/>
      <c r="AU150" s="96" t="n">
        <v>104.99</v>
      </c>
      <c r="AV150" s="95" t="inlineStr">
        <is>
          <t>none</t>
        </is>
      </c>
      <c r="AW150" s="95" t="inlineStr">
        <is>
          <t>Y</t>
        </is>
      </c>
      <c r="AX150" s="95" t="inlineStr">
        <is>
          <t>2026-10-13 12:14:21</t>
        </is>
      </c>
      <c r="AY150" s="97" t="inlineStr">
        <is>
          <t>Coupon only</t>
        </is>
      </c>
      <c r="AZ150" s="97" t="inlineStr">
        <is>
          <t>11-06 to 11-20</t>
        </is>
      </c>
      <c r="BA150" s="98" t="n">
        <v>99.98999999999999</v>
      </c>
      <c r="BB150" s="98" t="n">
        <v>80.73999999999999</v>
      </c>
      <c r="BC150" s="87">
        <f>IF(AND(ISNUMBER(BA150),ISNUMBER(BB150),N(BA150)&gt;0),1-BB150/BA150,"")</f>
        <v/>
      </c>
      <c r="BD150" s="99" t="n">
        <v>127180</v>
      </c>
      <c r="BE150" s="99" t="n">
        <v>98722</v>
      </c>
      <c r="BF150" s="100">
        <f>IF(AND(ISNUMBER(BD150),ISNUMBER(BE150),N(BE150)&gt;0),BD150/BE150,"")</f>
        <v/>
      </c>
      <c r="BG150" s="97" t="inlineStr">
        <is>
          <t>Y</t>
        </is>
      </c>
      <c r="BH150" s="97" t="inlineStr">
        <is>
          <t>Coupon 20%; List Price $119.99</t>
        </is>
      </c>
    </row>
    <row r="151" ht="62" customHeight="1">
      <c r="A151" s="39" t="inlineStr">
        <is>
          <t>IMAGE MISSING</t>
        </is>
      </c>
      <c r="B151" s="84" t="inlineStr">
        <is>
          <t>TWK</t>
        </is>
      </c>
      <c r="C151" s="32" t="inlineStr">
        <is>
          <t>TWK Real 100% Viscose Derived from Bamboo Sheets Set Queen Size, Cooling &amp; Silky</t>
        </is>
      </c>
      <c r="D151" s="84" t="inlineStr">
        <is>
          <t>Beatable</t>
        </is>
      </c>
      <c r="E151" s="84" t="inlineStr">
        <is>
          <t>B0HHRR4XGX</t>
        </is>
      </c>
      <c r="F151" s="84" t="inlineStr">
        <is>
          <t>B0HHRR4XGX</t>
        </is>
      </c>
      <c r="G151" s="84" t="inlineStr">
        <is>
          <t>Queen</t>
        </is>
      </c>
      <c r="H151" s="84" t="n"/>
      <c r="I151" s="85" t="n">
        <v>1</v>
      </c>
      <c r="J151" s="32" t="inlineStr">
        <is>
          <t>B0HHRR4XGX (100%)</t>
        </is>
      </c>
      <c r="K151" s="86" t="n">
        <v>105</v>
      </c>
      <c r="L151" s="86" t="n"/>
      <c r="M151" s="87">
        <f>IF(AND(ISNUMBER(L151),ISNUMBER(K151),N(K151)&gt;0),L151/K151-1,"")</f>
        <v/>
      </c>
      <c r="N151" s="88">
        <f>IF(M151="","No List Price",IF(M151&lt;=0,"At/below price",IF(M151&lt;=0.12,"&lt;=12% STR zone",IF(M151&lt;=0.25,"12-25%","&gt;25% over"))))</f>
        <v/>
      </c>
      <c r="O151" s="86" t="n">
        <v>94.98999999999999</v>
      </c>
      <c r="P151" s="89">
        <f>IF(AND(ISNUMBER(K151),ISNUMBER(O151),N(O151)&gt;0),K151/O151-1,"")</f>
        <v/>
      </c>
      <c r="Q151" s="32" t="inlineStr">
        <is>
          <t>Same size (Queen). Ours live: Helium 10 Xray, 2026-10-13; 15 children</t>
        </is>
      </c>
      <c r="R151" s="85" t="n"/>
      <c r="S151" s="85" t="n">
        <v>5</v>
      </c>
      <c r="T151" s="90">
        <f>IF(AND(ISNUMBER(K151),ISNUMBER(S151)),K151*S151*52/12,"")</f>
        <v/>
      </c>
      <c r="U151" s="91" t="n">
        <v>4.5</v>
      </c>
      <c r="V151" s="85" t="n"/>
      <c r="W151" s="92" t="n">
        <v>46307</v>
      </c>
      <c r="X151" s="92" t="n"/>
      <c r="Y151" s="84" t="n"/>
      <c r="Z151" s="84" t="n"/>
      <c r="AA151" s="85" t="n">
        <v>30066</v>
      </c>
      <c r="AB151" s="85" t="n">
        <v>74</v>
      </c>
      <c r="AC151" s="93" t="n">
        <v>1</v>
      </c>
      <c r="AD151" s="93" t="n">
        <v>0</v>
      </c>
      <c r="AE151" s="32" t="inlineStr">
        <is>
          <t>queen sheet set</t>
        </is>
      </c>
      <c r="AF151" s="93" t="n"/>
      <c r="AG151" s="93" t="n"/>
      <c r="AH151" s="93" t="n"/>
      <c r="AI151" s="93" t="n"/>
      <c r="AJ151" s="85" t="n">
        <v>73</v>
      </c>
      <c r="AK151" s="85" t="n">
        <v>64</v>
      </c>
      <c r="AL151" s="85" t="n">
        <v>8</v>
      </c>
      <c r="AM151" s="85" t="n">
        <v>1</v>
      </c>
      <c r="AN151" s="85" t="n">
        <v>0</v>
      </c>
      <c r="AO151" s="85" t="n">
        <v>0</v>
      </c>
      <c r="AP151" s="94" t="n"/>
      <c r="AQ151" s="89" t="n"/>
      <c r="AR151" s="95" t="inlineStr">
        <is>
          <t>N</t>
        </is>
      </c>
      <c r="AS151" s="95" t="inlineStr">
        <is>
          <t>none</t>
        </is>
      </c>
      <c r="AT151" s="101" t="n"/>
      <c r="AU151" s="96" t="n">
        <v>105</v>
      </c>
      <c r="AV151" s="95" t="inlineStr">
        <is>
          <t>none</t>
        </is>
      </c>
      <c r="AW151" s="95" t="inlineStr">
        <is>
          <t>Y</t>
        </is>
      </c>
      <c r="AX151" s="95" t="inlineStr">
        <is>
          <t>2026-10-13 12:11:39</t>
        </is>
      </c>
      <c r="AY151" s="97" t="inlineStr">
        <is>
          <t>Not live in 2025</t>
        </is>
      </c>
      <c r="AZ151" s="102" t="n"/>
      <c r="BA151" s="101" t="n"/>
      <c r="BB151" s="101" t="n"/>
      <c r="BC151" s="87">
        <f>IF(AND(ISNUMBER(BA151),ISNUMBER(BB151),N(BA151)&gt;0),1-BB151/BA151,"")</f>
        <v/>
      </c>
      <c r="BD151" s="103" t="n"/>
      <c r="BE151" s="103" t="n"/>
      <c r="BF151" s="100">
        <f>IF(AND(ISNUMBER(BD151),ISNUMBER(BE151),N(BE151)&gt;0),BD151/BE151,"")</f>
        <v/>
      </c>
      <c r="BG151" s="102" t="n"/>
      <c r="BH151" s="102" t="n"/>
    </row>
    <row r="152" ht="62" customHeight="1">
      <c r="A152" s="39" t="inlineStr">
        <is>
          <t>IMAGE MISSING</t>
        </is>
      </c>
      <c r="B152" s="84" t="inlineStr">
        <is>
          <t>AiAngu</t>
        </is>
      </c>
      <c r="C152" s="32" t="inlineStr">
        <is>
          <t>Bamboo Sheets</t>
        </is>
      </c>
      <c r="D152" s="84" t="inlineStr">
        <is>
          <t>Poor</t>
        </is>
      </c>
      <c r="E152" s="84" t="inlineStr">
        <is>
          <t>B0H3KP6R9B</t>
        </is>
      </c>
      <c r="F152" s="84" t="inlineStr">
        <is>
          <t>B0GX15Y7TT</t>
        </is>
      </c>
      <c r="G152" s="84" t="n"/>
      <c r="H152" s="84" t="n"/>
      <c r="I152" s="85" t="n"/>
      <c r="J152" s="32" t="inlineStr"/>
      <c r="K152" s="86" t="n">
        <v>74.98999999999999</v>
      </c>
      <c r="L152" s="86" t="n">
        <v>79.98999999999999</v>
      </c>
      <c r="M152" s="87">
        <f>IF(AND(ISNUMBER(L152),ISNUMBER(K152),N(K152)&gt;0),L152/K152-1,"")</f>
        <v/>
      </c>
      <c r="N152" s="88">
        <f>IF(M152="","No List Price",IF(M152&lt;=0,"At/below price",IF(M152&lt;=0.12,"&lt;=12% STR zone",IF(M152&lt;=0.25,"12-25%","&gt;25% over"))))</f>
        <v/>
      </c>
      <c r="O152" s="86" t="n">
        <v>94.98999999999999</v>
      </c>
      <c r="P152" s="89">
        <f>IF(AND(ISNUMBER(K152),ISNUMBER(O152),N(O152)&gt;0),K152/O152-1,"")</f>
        <v/>
      </c>
      <c r="Q152" s="32" t="inlineStr">
        <is>
          <t>Size not stated - vs our Queen. Ours live: Helium 10 Xray, 2026-10-13; 15 children</t>
        </is>
      </c>
      <c r="R152" s="85" t="n">
        <v>39296</v>
      </c>
      <c r="S152" s="85" t="n">
        <v>81</v>
      </c>
      <c r="T152" s="90">
        <f>IF(AND(ISNUMBER(K152),ISNUMBER(S152)),K152*S152*52/12,"")</f>
        <v/>
      </c>
      <c r="U152" s="91" t="n">
        <v>4.6</v>
      </c>
      <c r="V152" s="85" t="n">
        <v>121</v>
      </c>
      <c r="W152" s="92" t="n">
        <v>46307</v>
      </c>
      <c r="X152" s="92" t="n"/>
      <c r="Y152" s="84" t="n"/>
      <c r="Z152" s="84" t="n"/>
      <c r="AA152" s="85" t="n"/>
      <c r="AB152" s="85" t="n"/>
      <c r="AC152" s="93" t="n"/>
      <c r="AD152" s="93" t="n"/>
      <c r="AE152" s="32" t="n"/>
      <c r="AF152" s="93" t="n"/>
      <c r="AG152" s="93" t="n"/>
      <c r="AH152" s="93" t="n"/>
      <c r="AI152" s="93" t="n"/>
      <c r="AJ152" s="85" t="n"/>
      <c r="AK152" s="85" t="n"/>
      <c r="AL152" s="85" t="n"/>
      <c r="AM152" s="85" t="n"/>
      <c r="AN152" s="85" t="n"/>
      <c r="AO152" s="85" t="n"/>
      <c r="AP152" s="94" t="n"/>
      <c r="AQ152" s="89" t="n"/>
      <c r="AR152" s="95" t="inlineStr">
        <is>
          <t>Y</t>
        </is>
      </c>
      <c r="AS152" s="95" t="inlineStr">
        <is>
          <t>List Price</t>
        </is>
      </c>
      <c r="AT152" s="96" t="n">
        <v>79.98999999999999</v>
      </c>
      <c r="AU152" s="96" t="n">
        <v>74.98999999999999</v>
      </c>
      <c r="AV152" s="95" t="inlineStr">
        <is>
          <t>coupon 25%</t>
        </is>
      </c>
      <c r="AW152" s="95" t="inlineStr">
        <is>
          <t>Y</t>
        </is>
      </c>
      <c r="AX152" s="95" t="inlineStr">
        <is>
          <t>2026-10-13 23:35:32</t>
        </is>
      </c>
      <c r="AY152" s="97" t="inlineStr">
        <is>
          <t>Not live in 2025</t>
        </is>
      </c>
      <c r="AZ152" s="102" t="n"/>
      <c r="BA152" s="101" t="n"/>
      <c r="BB152" s="101" t="n"/>
      <c r="BC152" s="87">
        <f>IF(AND(ISNUMBER(BA152),ISNUMBER(BB152),N(BA152)&gt;0),1-BB152/BA152,"")</f>
        <v/>
      </c>
      <c r="BD152" s="103" t="n"/>
      <c r="BE152" s="103" t="n"/>
      <c r="BF152" s="100">
        <f>IF(AND(ISNUMBER(BD152),ISNUMBER(BE152),N(BE152)&gt;0),BD152/BE152,"")</f>
        <v/>
      </c>
      <c r="BG152" s="102" t="n"/>
      <c r="BH152" s="102" t="n"/>
    </row>
    <row r="153" ht="62" customHeight="1">
      <c r="A153" s="10">
        <f>_xlfn.IMAGE("https://images-na.ssl-images-amazon.com/images/I/71Kvq1YdGJL.jpg")</f>
        <v/>
      </c>
      <c r="B153" s="84" t="inlineStr">
        <is>
          <t>Cariloha</t>
        </is>
      </c>
      <c r="C153" s="32" t="inlineStr">
        <is>
          <t>Cariloha Aloha Soft Bamboo Viscose Sheet Set - Natural - Queen</t>
        </is>
      </c>
      <c r="D153" s="84" t="inlineStr">
        <is>
          <t>Poor</t>
        </is>
      </c>
      <c r="E153" s="84" t="inlineStr">
        <is>
          <t>B0F89K7BXJ</t>
        </is>
      </c>
      <c r="F153" s="84" t="inlineStr">
        <is>
          <t>B0DJV1K332</t>
        </is>
      </c>
      <c r="G153" s="84" t="inlineStr">
        <is>
          <t>Queen</t>
        </is>
      </c>
      <c r="H153" s="84" t="n"/>
      <c r="I153" s="85" t="n">
        <v>35</v>
      </c>
      <c r="J153" s="32" t="inlineStr"/>
      <c r="K153" s="86" t="n">
        <v>107.1</v>
      </c>
      <c r="L153" s="86" t="n"/>
      <c r="M153" s="87">
        <f>IF(AND(ISNUMBER(L153),ISNUMBER(K153),N(K153)&gt;0),L153/K153-1,"")</f>
        <v/>
      </c>
      <c r="N153" s="88">
        <f>IF(M153="","No List Price",IF(M153&lt;=0,"At/below price",IF(M153&lt;=0.12,"&lt;=12% STR zone",IF(M153&lt;=0.25,"12-25%","&gt;25% over"))))</f>
        <v/>
      </c>
      <c r="O153" s="86" t="n">
        <v>94.98999999999999</v>
      </c>
      <c r="P153" s="89">
        <f>IF(AND(ISNUMBER(K153),ISNUMBER(O153),N(O153)&gt;0),K153/O153-1,"")</f>
        <v/>
      </c>
      <c r="Q153" s="32" t="inlineStr">
        <is>
          <t>Same size (Queen). Ours live: Helium 10 Xray, 2026-10-13; 15 children</t>
        </is>
      </c>
      <c r="R153" s="85" t="n">
        <v>15882</v>
      </c>
      <c r="S153" s="85" t="n">
        <v>81</v>
      </c>
      <c r="T153" s="90">
        <f>IF(AND(ISNUMBER(K153),ISNUMBER(S153)),K153*S153*52/12,"")</f>
        <v/>
      </c>
      <c r="U153" s="91" t="n">
        <v>4.4</v>
      </c>
      <c r="V153" s="85" t="n">
        <v>426</v>
      </c>
      <c r="W153" s="92" t="n">
        <v>46307</v>
      </c>
      <c r="X153" s="92" t="n">
        <v>45575</v>
      </c>
      <c r="Y153" s="84" t="inlineStr">
        <is>
          <t>FBA</t>
        </is>
      </c>
      <c r="Z153" s="84" t="inlineStr">
        <is>
          <t>US</t>
        </is>
      </c>
      <c r="AA153" s="85" t="n"/>
      <c r="AB153" s="85" t="n"/>
      <c r="AC153" s="93" t="n"/>
      <c r="AD153" s="93" t="n"/>
      <c r="AE153" s="32" t="n"/>
      <c r="AF153" s="93" t="n"/>
      <c r="AG153" s="93" t="n"/>
      <c r="AH153" s="93" t="n"/>
      <c r="AI153" s="93" t="n"/>
      <c r="AJ153" s="85" t="n"/>
      <c r="AK153" s="85" t="n"/>
      <c r="AL153" s="85" t="n"/>
      <c r="AM153" s="85" t="n"/>
      <c r="AN153" s="85" t="n"/>
      <c r="AO153" s="85" t="n"/>
      <c r="AP153" s="94" t="n"/>
      <c r="AQ153" s="89" t="n"/>
      <c r="AR153" s="95" t="inlineStr">
        <is>
          <t>Y</t>
        </is>
      </c>
      <c r="AS153" s="95" t="inlineStr">
        <is>
          <t>List Price</t>
        </is>
      </c>
      <c r="AT153" s="96" t="n">
        <v>119</v>
      </c>
      <c r="AU153" s="96" t="n">
        <v>107.1</v>
      </c>
      <c r="AV153" s="95" t="inlineStr">
        <is>
          <t>none</t>
        </is>
      </c>
      <c r="AW153" s="95" t="inlineStr">
        <is>
          <t>Y</t>
        </is>
      </c>
      <c r="AX153" s="95" t="inlineStr">
        <is>
          <t>2026-10-13 23:35:56</t>
        </is>
      </c>
      <c r="AY153" s="97" t="inlineStr">
        <is>
          <t>Prime Exclusive Discount</t>
        </is>
      </c>
      <c r="AZ153" s="97" t="inlineStr">
        <is>
          <t>11-23 to 11-30</t>
        </is>
      </c>
      <c r="BA153" s="98" t="n">
        <v>119</v>
      </c>
      <c r="BB153" s="98" t="n">
        <v>71.40000000000001</v>
      </c>
      <c r="BC153" s="87">
        <f>IF(AND(ISNUMBER(BA153),ISNUMBER(BB153),N(BA153)&gt;0),1-BB153/BA153,"")</f>
        <v/>
      </c>
      <c r="BD153" s="99" t="n">
        <v>52063</v>
      </c>
      <c r="BE153" s="99" t="n">
        <v>37342</v>
      </c>
      <c r="BF153" s="100">
        <f>IF(AND(ISNUMBER(BD153),ISNUMBER(BE153),N(BE153)&gt;0),BD153/BE153,"")</f>
        <v/>
      </c>
      <c r="BG153" s="97" t="inlineStr">
        <is>
          <t>N</t>
        </is>
      </c>
      <c r="BH153" s="97" t="inlineStr">
        <is>
          <t>Coupon 20%, 30% (11-01 to 12-05); List Price $119.00</t>
        </is>
      </c>
    </row>
    <row r="154" ht="62" customHeight="1">
      <c r="A154" s="10">
        <f>_xlfn.IMAGE("https://images-na.ssl-images-amazon.com/images/I/81fSDKgL-SL.jpg")</f>
        <v/>
      </c>
      <c r="B154" s="84" t="inlineStr">
        <is>
          <t>ACCURATEX</t>
        </is>
      </c>
      <c r="C154" s="32" t="inlineStr">
        <is>
          <t>ACCURATEX Cooling Sheets for Hot Sleepers, King Size, Grey</t>
        </is>
      </c>
      <c r="D154" s="84" t="inlineStr">
        <is>
          <t>Poor</t>
        </is>
      </c>
      <c r="E154" s="84" t="inlineStr">
        <is>
          <t>B0GMGSMLQ1</t>
        </is>
      </c>
      <c r="F154" s="84" t="inlineStr">
        <is>
          <t>B09PYB9C45</t>
        </is>
      </c>
      <c r="G154" s="84" t="inlineStr">
        <is>
          <t>King</t>
        </is>
      </c>
      <c r="H154" s="84" t="inlineStr">
        <is>
          <t>Grey</t>
        </is>
      </c>
      <c r="I154" s="85" t="n">
        <v>51</v>
      </c>
      <c r="J154" s="32" t="inlineStr"/>
      <c r="K154" s="86" t="n">
        <v>69.98999999999999</v>
      </c>
      <c r="L154" s="86" t="n"/>
      <c r="M154" s="87">
        <f>IF(AND(ISNUMBER(L154),ISNUMBER(K154),N(K154)&gt;0),L154/K154-1,"")</f>
        <v/>
      </c>
      <c r="N154" s="88">
        <f>IF(M154="","No List Price",IF(M154&lt;=0,"At/below price",IF(M154&lt;=0.12,"&lt;=12% STR zone",IF(M154&lt;=0.25,"12-25%","&gt;25% over"))))</f>
        <v/>
      </c>
      <c r="O154" s="86" t="n">
        <v>99.98999999999999</v>
      </c>
      <c r="P154" s="89">
        <f>IF(AND(ISNUMBER(K154),ISNUMBER(O154),N(O154)&gt;0),K154/O154-1,"")</f>
        <v/>
      </c>
      <c r="Q154" s="32" t="inlineStr">
        <is>
          <t>Same size (King). Ours live: Helium 10 Xray, 2026-10-13; 16 children</t>
        </is>
      </c>
      <c r="R154" s="85" t="n">
        <v>33423</v>
      </c>
      <c r="S154" s="85" t="n">
        <v>35</v>
      </c>
      <c r="T154" s="90">
        <f>IF(AND(ISNUMBER(K154),ISNUMBER(S154)),K154*S154*52/12,"")</f>
        <v/>
      </c>
      <c r="U154" s="91" t="n">
        <v>4.4</v>
      </c>
      <c r="V154" s="85" t="n">
        <v>1040</v>
      </c>
      <c r="W154" s="92" t="n">
        <v>46307</v>
      </c>
      <c r="X154" s="92" t="n">
        <v>44681</v>
      </c>
      <c r="Y154" s="84" t="inlineStr">
        <is>
          <t>FBA</t>
        </is>
      </c>
      <c r="Z154" s="84" t="inlineStr">
        <is>
          <t>CN</t>
        </is>
      </c>
      <c r="AA154" s="85" t="n"/>
      <c r="AB154" s="85" t="n"/>
      <c r="AC154" s="93" t="n"/>
      <c r="AD154" s="93" t="n"/>
      <c r="AE154" s="32" t="n"/>
      <c r="AF154" s="93" t="n"/>
      <c r="AG154" s="93" t="n"/>
      <c r="AH154" s="93" t="n"/>
      <c r="AI154" s="93" t="n"/>
      <c r="AJ154" s="85" t="n"/>
      <c r="AK154" s="85" t="n"/>
      <c r="AL154" s="85" t="n"/>
      <c r="AM154" s="85" t="n"/>
      <c r="AN154" s="85" t="n"/>
      <c r="AO154" s="85" t="n"/>
      <c r="AP154" s="94" t="n"/>
      <c r="AQ154" s="89" t="n"/>
      <c r="AR154" s="95" t="inlineStr">
        <is>
          <t>N</t>
        </is>
      </c>
      <c r="AS154" s="95" t="inlineStr">
        <is>
          <t>none</t>
        </is>
      </c>
      <c r="AT154" s="101" t="n"/>
      <c r="AU154" s="96" t="n">
        <v>69.98999999999999</v>
      </c>
      <c r="AV154" s="95" t="inlineStr">
        <is>
          <t>none</t>
        </is>
      </c>
      <c r="AW154" s="95" t="inlineStr">
        <is>
          <t>Y</t>
        </is>
      </c>
      <c r="AX154" s="95" t="inlineStr">
        <is>
          <t>2026-10-13 23:35:28</t>
        </is>
      </c>
      <c r="AY154" s="97" t="inlineStr">
        <is>
          <t>Prime Exclusive Discount</t>
        </is>
      </c>
      <c r="AZ154" s="97" t="inlineStr">
        <is>
          <t>11-26 to 12-01</t>
        </is>
      </c>
      <c r="BA154" s="98" t="n">
        <v>59.49</v>
      </c>
      <c r="BB154" s="98" t="n">
        <v>59.49</v>
      </c>
      <c r="BC154" s="87">
        <f>IF(AND(ISNUMBER(BA154),ISNUMBER(BB154),N(BA154)&gt;0),1-BB154/BA154,"")</f>
        <v/>
      </c>
      <c r="BD154" s="99" t="n">
        <v>33899</v>
      </c>
      <c r="BE154" s="99" t="n">
        <v>51988</v>
      </c>
      <c r="BF154" s="100">
        <f>IF(AND(ISNUMBER(BD154),ISNUMBER(BE154),N(BE154)&gt;0),BD154/BE154,"")</f>
        <v/>
      </c>
      <c r="BG154" s="97" t="inlineStr">
        <is>
          <t>N</t>
        </is>
      </c>
      <c r="BH154" s="97" t="inlineStr">
        <is>
          <t>Lightning Deal 11-13 to 11-13; Buy Box RAISED in BFCM week (median $74.99 vs $69.99 before); List Price $74.99</t>
        </is>
      </c>
    </row>
    <row r="155" ht="62" customHeight="1">
      <c r="A155" s="10">
        <f>_xlfn.IMAGE("https://images-na.ssl-images-amazon.com/images/I/61NbNWE+BJL.jpg")</f>
        <v/>
      </c>
      <c r="B155" s="84" t="inlineStr">
        <is>
          <t>Cozy Earth</t>
        </is>
      </c>
      <c r="C155" s="32" t="inlineStr">
        <is>
          <t>Cozy Earth Luxury Bed Sheet Set, 100% Viscose from Bamboo Fabric</t>
        </is>
      </c>
      <c r="D155" s="84" t="inlineStr">
        <is>
          <t>Poor</t>
        </is>
      </c>
      <c r="E155" s="84" t="inlineStr">
        <is>
          <t>B0DSQ9V4ML</t>
        </is>
      </c>
      <c r="F155" s="84" t="inlineStr">
        <is>
          <t>B0F22JR4S8</t>
        </is>
      </c>
      <c r="G155" s="84" t="n"/>
      <c r="H155" s="84" t="n"/>
      <c r="I155" s="85" t="n">
        <v>54</v>
      </c>
      <c r="J155" s="32" t="inlineStr"/>
      <c r="K155" s="86" t="n">
        <v>328</v>
      </c>
      <c r="L155" s="86" t="n"/>
      <c r="M155" s="87">
        <f>IF(AND(ISNUMBER(L155),ISNUMBER(K155),N(K155)&gt;0),L155/K155-1,"")</f>
        <v/>
      </c>
      <c r="N155" s="88">
        <f>IF(M155="","No List Price",IF(M155&lt;=0,"At/below price",IF(M155&lt;=0.12,"&lt;=12% STR zone",IF(M155&lt;=0.25,"12-25%","&gt;25% over"))))</f>
        <v/>
      </c>
      <c r="O155" s="86" t="n">
        <v>94.98999999999999</v>
      </c>
      <c r="P155" s="89">
        <f>IF(AND(ISNUMBER(K155),ISNUMBER(O155),N(O155)&gt;0),K155/O155-1,"")</f>
        <v/>
      </c>
      <c r="Q155" s="32" t="inlineStr">
        <is>
          <t>Size not stated - vs our Queen. Ours live: Helium 10 Xray, 2026-10-13; 15 children</t>
        </is>
      </c>
      <c r="R155" s="85" t="n">
        <v>45709</v>
      </c>
      <c r="S155" s="85" t="n">
        <v>35</v>
      </c>
      <c r="T155" s="90">
        <f>IF(AND(ISNUMBER(K155),ISNUMBER(S155)),K155*S155*52/12,"")</f>
        <v/>
      </c>
      <c r="U155" s="91" t="n">
        <v>3.9</v>
      </c>
      <c r="V155" s="85" t="n">
        <v>425</v>
      </c>
      <c r="W155" s="92" t="n">
        <v>46307</v>
      </c>
      <c r="X155" s="92" t="n">
        <v>41624</v>
      </c>
      <c r="Y155" s="84" t="inlineStr">
        <is>
          <t>FBA</t>
        </is>
      </c>
      <c r="Z155" s="84" t="inlineStr">
        <is>
          <t>US</t>
        </is>
      </c>
      <c r="AA155" s="85" t="n"/>
      <c r="AB155" s="85" t="n"/>
      <c r="AC155" s="93" t="n"/>
      <c r="AD155" s="93" t="n"/>
      <c r="AE155" s="32" t="n"/>
      <c r="AF155" s="93" t="n"/>
      <c r="AG155" s="93" t="n"/>
      <c r="AH155" s="93" t="n"/>
      <c r="AI155" s="93" t="n"/>
      <c r="AJ155" s="85" t="n"/>
      <c r="AK155" s="85" t="n"/>
      <c r="AL155" s="85" t="n"/>
      <c r="AM155" s="85" t="n"/>
      <c r="AN155" s="85" t="n"/>
      <c r="AO155" s="85" t="n"/>
      <c r="AP155" s="94" t="n"/>
      <c r="AQ155" s="89" t="n"/>
      <c r="AR155" s="95" t="inlineStr">
        <is>
          <t>N</t>
        </is>
      </c>
      <c r="AS155" s="95" t="inlineStr">
        <is>
          <t>none</t>
        </is>
      </c>
      <c r="AT155" s="101" t="n"/>
      <c r="AU155" s="96" t="n">
        <v>328</v>
      </c>
      <c r="AV155" s="95" t="inlineStr">
        <is>
          <t>none</t>
        </is>
      </c>
      <c r="AW155" s="95" t="inlineStr">
        <is>
          <t>Y</t>
        </is>
      </c>
      <c r="AX155" s="95" t="inlineStr">
        <is>
          <t>2026-10-13 23:36:06</t>
        </is>
      </c>
      <c r="AY155" s="97" t="inlineStr">
        <is>
          <t>Prime Exclusive Discount</t>
        </is>
      </c>
      <c r="AZ155" s="97" t="inlineStr">
        <is>
          <t>11-27 to 12-01</t>
        </is>
      </c>
      <c r="BA155" s="98" t="n">
        <v>262.4</v>
      </c>
      <c r="BB155" s="98" t="n">
        <v>229.6</v>
      </c>
      <c r="BC155" s="87">
        <f>IF(AND(ISNUMBER(BA155),ISNUMBER(BB155),N(BA155)&gt;0),1-BB155/BA155,"")</f>
        <v/>
      </c>
      <c r="BD155" s="99" t="n">
        <v>51830</v>
      </c>
      <c r="BE155" s="99" t="n">
        <v>28404</v>
      </c>
      <c r="BF155" s="100">
        <f>IF(AND(ISNUMBER(BD155),ISNUMBER(BE155),N(BE155)&gt;0),BD155/BE155,"")</f>
        <v/>
      </c>
      <c r="BG155" s="97" t="inlineStr">
        <is>
          <t>N</t>
        </is>
      </c>
      <c r="BH155" s="97" t="inlineStr">
        <is>
          <t>List Price $328.00</t>
        </is>
      </c>
    </row>
    <row r="156" ht="62" customHeight="1">
      <c r="A156" s="10">
        <f>_xlfn.IMAGE("https://images-na.ssl-images-amazon.com/images/I/61iqSV9TaLL.jpg")</f>
        <v/>
      </c>
      <c r="B156" s="84" t="inlineStr">
        <is>
          <t>DREAMCARE</t>
        </is>
      </c>
      <c r="C156" s="32" t="inlineStr">
        <is>
          <t>DREAMCARE 100% Rayon Bamboo Sheets King Size - 4pc Cooling Sheets King Size</t>
        </is>
      </c>
      <c r="D156" s="84" t="inlineStr">
        <is>
          <t>Poor</t>
        </is>
      </c>
      <c r="E156" s="84" t="inlineStr">
        <is>
          <t>B0DVZFLVMG</t>
        </is>
      </c>
      <c r="F156" s="84" t="inlineStr">
        <is>
          <t>B0CF2MND41</t>
        </is>
      </c>
      <c r="G156" s="84" t="inlineStr">
        <is>
          <t>King</t>
        </is>
      </c>
      <c r="H156" s="84" t="n"/>
      <c r="I156" s="85" t="n">
        <v>30</v>
      </c>
      <c r="J156" s="32" t="inlineStr"/>
      <c r="K156" s="86" t="n">
        <v>46.74</v>
      </c>
      <c r="L156" s="86" t="n">
        <v>59.99</v>
      </c>
      <c r="M156" s="87">
        <f>IF(AND(ISNUMBER(L156),ISNUMBER(K156),N(K156)&gt;0),L156/K156-1,"")</f>
        <v/>
      </c>
      <c r="N156" s="88">
        <f>IF(M156="","No List Price",IF(M156&lt;=0,"At/below price",IF(M156&lt;=0.12,"&lt;=12% STR zone",IF(M156&lt;=0.25,"12-25%","&gt;25% over"))))</f>
        <v/>
      </c>
      <c r="O156" s="86" t="n">
        <v>99.98999999999999</v>
      </c>
      <c r="P156" s="89">
        <f>IF(AND(ISNUMBER(K156),ISNUMBER(O156),N(O156)&gt;0),K156/O156-1,"")</f>
        <v/>
      </c>
      <c r="Q156" s="32" t="inlineStr">
        <is>
          <t>Same size (King). Ours live: Helium 10 Xray, 2026-10-13; 16 children</t>
        </is>
      </c>
      <c r="R156" s="85" t="n">
        <v>37217</v>
      </c>
      <c r="S156" s="85" t="n">
        <v>35</v>
      </c>
      <c r="T156" s="90">
        <f>IF(AND(ISNUMBER(K156),ISNUMBER(S156)),K156*S156*52/12,"")</f>
        <v/>
      </c>
      <c r="U156" s="91" t="n">
        <v>4.5</v>
      </c>
      <c r="V156" s="85" t="n">
        <v>2261</v>
      </c>
      <c r="W156" s="92" t="n">
        <v>46307</v>
      </c>
      <c r="X156" s="92" t="n">
        <v>45146</v>
      </c>
      <c r="Y156" s="84" t="inlineStr">
        <is>
          <t>FBA</t>
        </is>
      </c>
      <c r="Z156" s="84" t="inlineStr">
        <is>
          <t>US</t>
        </is>
      </c>
      <c r="AA156" s="85" t="n"/>
      <c r="AB156" s="85" t="n"/>
      <c r="AC156" s="93" t="n"/>
      <c r="AD156" s="93" t="n"/>
      <c r="AE156" s="32" t="n"/>
      <c r="AF156" s="93" t="n"/>
      <c r="AG156" s="93" t="n"/>
      <c r="AH156" s="93" t="n"/>
      <c r="AI156" s="93" t="n"/>
      <c r="AJ156" s="85" t="n"/>
      <c r="AK156" s="85" t="n"/>
      <c r="AL156" s="85" t="n"/>
      <c r="AM156" s="85" t="n"/>
      <c r="AN156" s="85" t="n"/>
      <c r="AO156" s="85" t="n"/>
      <c r="AP156" s="94" t="n"/>
      <c r="AQ156" s="89" t="n"/>
      <c r="AR156" s="95" t="inlineStr">
        <is>
          <t>Y</t>
        </is>
      </c>
      <c r="AS156" s="95" t="inlineStr">
        <is>
          <t>List Price</t>
        </is>
      </c>
      <c r="AT156" s="96" t="n">
        <v>59.99</v>
      </c>
      <c r="AU156" s="96" t="n">
        <v>46.74</v>
      </c>
      <c r="AV156" s="95" t="inlineStr">
        <is>
          <t>Limited time deal</t>
        </is>
      </c>
      <c r="AW156" s="95" t="inlineStr">
        <is>
          <t>Y</t>
        </is>
      </c>
      <c r="AX156" s="95" t="inlineStr">
        <is>
          <t>2026-10-13 23:36:12</t>
        </is>
      </c>
      <c r="AY156" s="97" t="inlineStr">
        <is>
          <t>Prime Exclusive Discount</t>
        </is>
      </c>
      <c r="AZ156" s="97" t="inlineStr">
        <is>
          <t>11-22 to 12-01</t>
        </is>
      </c>
      <c r="BA156" s="98" t="n">
        <v>58.99</v>
      </c>
      <c r="BB156" s="98" t="n">
        <v>49.99</v>
      </c>
      <c r="BC156" s="87">
        <f>IF(AND(ISNUMBER(BA156),ISNUMBER(BB156),N(BA156)&gt;0),1-BB156/BA156,"")</f>
        <v/>
      </c>
      <c r="BD156" s="99" t="n">
        <v>209915</v>
      </c>
      <c r="BE156" s="99" t="n">
        <v>169120</v>
      </c>
      <c r="BF156" s="100">
        <f>IF(AND(ISNUMBER(BD156),ISNUMBER(BE156),N(BE156)&gt;0),BD156/BE156,"")</f>
        <v/>
      </c>
      <c r="BG156" s="97" t="inlineStr">
        <is>
          <t>N</t>
        </is>
      </c>
      <c r="BH156" s="97" t="inlineStr">
        <is>
          <t>Buy Box RAISED in BFCM week (median $62.88 vs $58.99 before); List Price $58.99</t>
        </is>
      </c>
    </row>
    <row r="157" ht="62" customHeight="1">
      <c r="A157" s="10">
        <f>_xlfn.IMAGE("https://images-na.ssl-images-amazon.com/images/I/81noqNc+ZjL.jpg")</f>
        <v/>
      </c>
      <c r="B157" s="84" t="inlineStr">
        <is>
          <t>HOT SLEEPER SHEETS</t>
        </is>
      </c>
      <c r="C157" s="32" t="inlineStr">
        <is>
          <t>Cooling Sheets Set Queen Size, Viscose Derived from Bamboo for Hot Sleepers | Deep Pocket Up to 16 Inch | Silky Soft &amp; Breathable Bedding - 4PC (Queen, Navy)</t>
        </is>
      </c>
      <c r="D157" s="84" t="inlineStr">
        <is>
          <t>Poor</t>
        </is>
      </c>
      <c r="E157" s="84" t="inlineStr">
        <is>
          <t>B0DM3GDCTR</t>
        </is>
      </c>
      <c r="F157" s="84" t="inlineStr">
        <is>
          <t>B0D3XQM7DL</t>
        </is>
      </c>
      <c r="G157" s="84" t="inlineStr">
        <is>
          <t>Queen</t>
        </is>
      </c>
      <c r="H157" s="84" t="inlineStr">
        <is>
          <t>Navy</t>
        </is>
      </c>
      <c r="I157" s="85" t="n">
        <v>74</v>
      </c>
      <c r="J157" s="32" t="inlineStr"/>
      <c r="K157" s="86" t="n">
        <v>51.29</v>
      </c>
      <c r="L157" s="86" t="n">
        <v>62.99</v>
      </c>
      <c r="M157" s="87">
        <f>IF(AND(ISNUMBER(L157),ISNUMBER(K157),N(K157)&gt;0),L157/K157-1,"")</f>
        <v/>
      </c>
      <c r="N157" s="88">
        <f>IF(M157="","No List Price",IF(M157&lt;=0,"At/below price",IF(M157&lt;=0.12,"&lt;=12% STR zone",IF(M157&lt;=0.25,"12-25%","&gt;25% over"))))</f>
        <v/>
      </c>
      <c r="O157" s="86" t="n">
        <v>94.98999999999999</v>
      </c>
      <c r="P157" s="89">
        <f>IF(AND(ISNUMBER(K157),ISNUMBER(O157),N(O157)&gt;0),K157/O157-1,"")</f>
        <v/>
      </c>
      <c r="Q157" s="32" t="inlineStr">
        <is>
          <t>Same size (Queen). Ours live: Helium 10 Xray, 2026-10-13; 15 children</t>
        </is>
      </c>
      <c r="R157" s="85" t="n">
        <v>33959</v>
      </c>
      <c r="S157" s="85" t="n">
        <v>35</v>
      </c>
      <c r="T157" s="90">
        <f>IF(AND(ISNUMBER(K157),ISNUMBER(S157)),K157*S157*52/12,"")</f>
        <v/>
      </c>
      <c r="U157" s="91" t="n">
        <v>4.4</v>
      </c>
      <c r="V157" s="85" t="n">
        <v>674</v>
      </c>
      <c r="W157" s="92" t="n">
        <v>46307</v>
      </c>
      <c r="X157" s="92" t="n">
        <v>45423</v>
      </c>
      <c r="Y157" s="84" t="inlineStr">
        <is>
          <t>FBA</t>
        </is>
      </c>
      <c r="Z157" s="84" t="inlineStr">
        <is>
          <t>CN</t>
        </is>
      </c>
      <c r="AA157" s="85" t="n"/>
      <c r="AB157" s="85" t="n"/>
      <c r="AC157" s="93" t="n"/>
      <c r="AD157" s="93" t="n"/>
      <c r="AE157" s="32" t="n"/>
      <c r="AF157" s="93" t="n"/>
      <c r="AG157" s="93" t="n"/>
      <c r="AH157" s="93" t="n"/>
      <c r="AI157" s="93" t="n"/>
      <c r="AJ157" s="85" t="n"/>
      <c r="AK157" s="85" t="n"/>
      <c r="AL157" s="85" t="n"/>
      <c r="AM157" s="85" t="n"/>
      <c r="AN157" s="85" t="n"/>
      <c r="AO157" s="85" t="n"/>
      <c r="AP157" s="94" t="n"/>
      <c r="AQ157" s="89" t="n"/>
      <c r="AR157" s="95" t="inlineStr">
        <is>
          <t>Y</t>
        </is>
      </c>
      <c r="AS157" s="95" t="inlineStr">
        <is>
          <t>Typical price</t>
        </is>
      </c>
      <c r="AT157" s="96" t="n">
        <v>62.99</v>
      </c>
      <c r="AU157" s="96" t="n">
        <v>51.29</v>
      </c>
      <c r="AV157" s="95" t="inlineStr">
        <is>
          <t>Limited time deal</t>
        </is>
      </c>
      <c r="AW157" s="95" t="inlineStr">
        <is>
          <t>Y</t>
        </is>
      </c>
      <c r="AX157" s="95" t="inlineStr">
        <is>
          <t>2026-10-13 23:36:21</t>
        </is>
      </c>
      <c r="AY157" s="97" t="inlineStr">
        <is>
          <t>Price cut only</t>
        </is>
      </c>
      <c r="AZ157" s="97" t="inlineStr">
        <is>
          <t>11-20 to 12-01</t>
        </is>
      </c>
      <c r="BA157" s="98" t="n">
        <v>62.99</v>
      </c>
      <c r="BB157" s="98" t="n">
        <v>45.89</v>
      </c>
      <c r="BC157" s="87">
        <f>IF(AND(ISNUMBER(BA157),ISNUMBER(BB157),N(BA157)&gt;0),1-BB157/BA157,"")</f>
        <v/>
      </c>
      <c r="BD157" s="99" t="n">
        <v>44317</v>
      </c>
      <c r="BE157" s="99" t="n">
        <v>18465</v>
      </c>
      <c r="BF157" s="100">
        <f>IF(AND(ISNUMBER(BD157),ISNUMBER(BE157),N(BE157)&gt;0),BD157/BE157,"")</f>
        <v/>
      </c>
      <c r="BG157" s="97" t="inlineStr">
        <is>
          <t>N</t>
        </is>
      </c>
      <c r="BH157" s="97" t="inlineStr">
        <is>
          <t>List Price $107.98</t>
        </is>
      </c>
    </row>
    <row r="158" ht="62" customHeight="1">
      <c r="A158" s="10">
        <f>_xlfn.IMAGE("https://images-na.ssl-images-amazon.com/images/I/71+O+E9PlaL.jpg")</f>
        <v/>
      </c>
      <c r="B158" s="84" t="inlineStr">
        <is>
          <t>Shilucheng</t>
        </is>
      </c>
      <c r="C158" s="32" t="inlineStr">
        <is>
          <t>Shilucheng 100% Viscose Derived from Bamboo_ Sheets Queen Size 4pcs</t>
        </is>
      </c>
      <c r="D158" s="84" t="inlineStr">
        <is>
          <t>Poor</t>
        </is>
      </c>
      <c r="E158" s="84" t="inlineStr">
        <is>
          <t>B09PYKYCCF</t>
        </is>
      </c>
      <c r="F158" s="84" t="inlineStr">
        <is>
          <t>B09PYKYCCF</t>
        </is>
      </c>
      <c r="G158" s="84" t="inlineStr">
        <is>
          <t>Queen</t>
        </is>
      </c>
      <c r="H158" s="84" t="n"/>
      <c r="I158" s="85" t="n">
        <v>79</v>
      </c>
      <c r="J158" s="32" t="inlineStr"/>
      <c r="K158" s="86" t="n">
        <v>46.66</v>
      </c>
      <c r="L158" s="86" t="n">
        <v>54.9</v>
      </c>
      <c r="M158" s="87">
        <f>IF(AND(ISNUMBER(L158),ISNUMBER(K158),N(K158)&gt;0),L158/K158-1,"")</f>
        <v/>
      </c>
      <c r="N158" s="88">
        <f>IF(M158="","No List Price",IF(M158&lt;=0,"At/below price",IF(M158&lt;=0.12,"&lt;=12% STR zone",IF(M158&lt;=0.25,"12-25%","&gt;25% over"))))</f>
        <v/>
      </c>
      <c r="O158" s="86" t="n">
        <v>94.98999999999999</v>
      </c>
      <c r="P158" s="89">
        <f>IF(AND(ISNUMBER(K158),ISNUMBER(O158),N(O158)&gt;0),K158/O158-1,"")</f>
        <v/>
      </c>
      <c r="Q158" s="32" t="inlineStr">
        <is>
          <t>Same size (Queen). Ours live: Helium 10 Xray, 2026-10-13; 15 children</t>
        </is>
      </c>
      <c r="R158" s="85" t="n">
        <v>26043</v>
      </c>
      <c r="S158" s="85" t="n">
        <v>35</v>
      </c>
      <c r="T158" s="90">
        <f>IF(AND(ISNUMBER(K158),ISNUMBER(S158)),K158*S158*52/12,"")</f>
        <v/>
      </c>
      <c r="U158" s="91" t="n">
        <v>4.4</v>
      </c>
      <c r="V158" s="85" t="n">
        <v>6629</v>
      </c>
      <c r="W158" s="92" t="n">
        <v>46307</v>
      </c>
      <c r="X158" s="92" t="n">
        <v>44652</v>
      </c>
      <c r="Y158" s="84" t="inlineStr">
        <is>
          <t>FBA</t>
        </is>
      </c>
      <c r="Z158" s="84" t="inlineStr">
        <is>
          <t>CN</t>
        </is>
      </c>
      <c r="AA158" s="85" t="n"/>
      <c r="AB158" s="85" t="n"/>
      <c r="AC158" s="93" t="n"/>
      <c r="AD158" s="93" t="n"/>
      <c r="AE158" s="32" t="n"/>
      <c r="AF158" s="93" t="n"/>
      <c r="AG158" s="93" t="n"/>
      <c r="AH158" s="93" t="n"/>
      <c r="AI158" s="93" t="n"/>
      <c r="AJ158" s="85" t="n"/>
      <c r="AK158" s="85" t="n"/>
      <c r="AL158" s="85" t="n"/>
      <c r="AM158" s="85" t="n"/>
      <c r="AN158" s="85" t="n"/>
      <c r="AO158" s="85" t="n"/>
      <c r="AP158" s="94" t="n"/>
      <c r="AQ158" s="89" t="n">
        <v>-0.9774436090225564</v>
      </c>
      <c r="AR158" s="95" t="inlineStr">
        <is>
          <t>Y</t>
        </is>
      </c>
      <c r="AS158" s="95" t="inlineStr">
        <is>
          <t>List Price</t>
        </is>
      </c>
      <c r="AT158" s="96" t="n">
        <v>54.9</v>
      </c>
      <c r="AU158" s="96" t="n">
        <v>46.66</v>
      </c>
      <c r="AV158" s="95" t="inlineStr">
        <is>
          <t>Limited time deal</t>
        </is>
      </c>
      <c r="AW158" s="95" t="inlineStr">
        <is>
          <t>Y</t>
        </is>
      </c>
      <c r="AX158" s="95" t="inlineStr">
        <is>
          <t>2026-10-13 23:36:49</t>
        </is>
      </c>
      <c r="AY158" s="97" t="inlineStr">
        <is>
          <t>Prime Exclusive Discount</t>
        </is>
      </c>
      <c r="AZ158" s="97" t="inlineStr">
        <is>
          <t>11-23 to 12-01</t>
        </is>
      </c>
      <c r="BA158" s="98" t="n">
        <v>54.9</v>
      </c>
      <c r="BB158" s="98" t="n">
        <v>46.64</v>
      </c>
      <c r="BC158" s="87">
        <f>IF(AND(ISNUMBER(BA158),ISNUMBER(BB158),N(BA158)&gt;0),1-BB158/BA158,"")</f>
        <v/>
      </c>
      <c r="BD158" s="99" t="n">
        <v>15970</v>
      </c>
      <c r="BE158" s="99" t="n">
        <v>18592</v>
      </c>
      <c r="BF158" s="100">
        <f>IF(AND(ISNUMBER(BD158),ISNUMBER(BE158),N(BE158)&gt;0),BD158/BE158,"")</f>
        <v/>
      </c>
      <c r="BG158" s="97" t="inlineStr">
        <is>
          <t>N</t>
        </is>
      </c>
      <c r="BH158" s="97" t="inlineStr">
        <is>
          <t>Buy Box RAISED in BFCM week (median $58.30 vs $54.90 before); List Price $59.90</t>
        </is>
      </c>
    </row>
    <row r="159" ht="62" customHeight="1">
      <c r="A159" s="39" t="inlineStr">
        <is>
          <t>IMAGE MISSING</t>
        </is>
      </c>
      <c r="B159" s="84" t="inlineStr">
        <is>
          <t>Bamtek</t>
        </is>
      </c>
      <c r="C159" s="32" t="inlineStr">
        <is>
          <t>Viscose Bamboo Sheets Queen Size 4PC Set - Cooling Bedding for Hot Sleepers with</t>
        </is>
      </c>
      <c r="D159" s="84" t="inlineStr">
        <is>
          <t>Poor</t>
        </is>
      </c>
      <c r="E159" s="84" t="inlineStr">
        <is>
          <t>B0CZHCZQZ3</t>
        </is>
      </c>
      <c r="F159" s="84" t="inlineStr">
        <is>
          <t>B09TQ6ZVKZ</t>
        </is>
      </c>
      <c r="G159" s="84" t="inlineStr">
        <is>
          <t>Queen</t>
        </is>
      </c>
      <c r="H159" s="84" t="n"/>
      <c r="I159" s="85" t="n"/>
      <c r="J159" s="32" t="inlineStr"/>
      <c r="K159" s="86" t="n">
        <v>94.98999999999999</v>
      </c>
      <c r="L159" s="86" t="n"/>
      <c r="M159" s="87">
        <f>IF(AND(ISNUMBER(L159),ISNUMBER(K159),N(K159)&gt;0),L159/K159-1,"")</f>
        <v/>
      </c>
      <c r="N159" s="88">
        <f>IF(M159="","No List Price",IF(M159&lt;=0,"At/below price",IF(M159&lt;=0.12,"&lt;=12% STR zone",IF(M159&lt;=0.25,"12-25%","&gt;25% over"))))</f>
        <v/>
      </c>
      <c r="O159" s="86" t="n">
        <v>94.98999999999999</v>
      </c>
      <c r="P159" s="89">
        <f>IF(AND(ISNUMBER(K159),ISNUMBER(O159),N(O159)&gt;0),K159/O159-1,"")</f>
        <v/>
      </c>
      <c r="Q159" s="32" t="inlineStr">
        <is>
          <t>Same size (Queen). Ours live: Helium 10 Xray, 2026-10-13; 15 children</t>
        </is>
      </c>
      <c r="R159" s="85" t="n">
        <v>79376</v>
      </c>
      <c r="S159" s="85" t="n">
        <v>18</v>
      </c>
      <c r="T159" s="90">
        <f>IF(AND(ISNUMBER(K159),ISNUMBER(S159)),K159*S159*52/12,"")</f>
        <v/>
      </c>
      <c r="U159" s="91" t="n">
        <v>4.4</v>
      </c>
      <c r="V159" s="85" t="n">
        <v>641</v>
      </c>
      <c r="W159" s="92" t="n">
        <v>46307</v>
      </c>
      <c r="X159" s="92" t="n"/>
      <c r="Y159" s="84" t="n"/>
      <c r="Z159" s="84" t="n"/>
      <c r="AA159" s="85" t="n"/>
      <c r="AB159" s="85" t="n"/>
      <c r="AC159" s="93" t="n"/>
      <c r="AD159" s="93" t="n"/>
      <c r="AE159" s="32" t="n"/>
      <c r="AF159" s="93" t="n"/>
      <c r="AG159" s="93" t="n"/>
      <c r="AH159" s="93" t="n"/>
      <c r="AI159" s="93" t="n"/>
      <c r="AJ159" s="85" t="n"/>
      <c r="AK159" s="85" t="n"/>
      <c r="AL159" s="85" t="n"/>
      <c r="AM159" s="85" t="n"/>
      <c r="AN159" s="85" t="n"/>
      <c r="AO159" s="85" t="n"/>
      <c r="AP159" s="94" t="n"/>
      <c r="AQ159" s="89" t="n"/>
      <c r="AR159" s="95" t="inlineStr">
        <is>
          <t>N</t>
        </is>
      </c>
      <c r="AS159" s="95" t="inlineStr">
        <is>
          <t>none</t>
        </is>
      </c>
      <c r="AT159" s="101" t="n"/>
      <c r="AU159" s="96" t="n">
        <v>94.98999999999999</v>
      </c>
      <c r="AV159" s="95" t="inlineStr">
        <is>
          <t>none</t>
        </is>
      </c>
      <c r="AW159" s="95" t="inlineStr">
        <is>
          <t>Y</t>
        </is>
      </c>
      <c r="AX159" s="95" t="inlineStr">
        <is>
          <t>2026-10-13 23:35:47</t>
        </is>
      </c>
      <c r="AY159" s="97" t="inlineStr">
        <is>
          <t>Prime Exclusive Discount</t>
        </is>
      </c>
      <c r="AZ159" s="97" t="inlineStr">
        <is>
          <t>11-24 to 12-01</t>
        </is>
      </c>
      <c r="BA159" s="98" t="n">
        <v>104.99</v>
      </c>
      <c r="BB159" s="98" t="n">
        <v>83.98999999999999</v>
      </c>
      <c r="BC159" s="87">
        <f>IF(AND(ISNUMBER(BA159),ISNUMBER(BB159),N(BA159)&gt;0),1-BB159/BA159,"")</f>
        <v/>
      </c>
      <c r="BD159" s="99" t="n">
        <v>99218</v>
      </c>
      <c r="BE159" s="99" t="n">
        <v>70530</v>
      </c>
      <c r="BF159" s="100">
        <f>IF(AND(ISNUMBER(BD159),ISNUMBER(BE159),N(BE159)&gt;0),BD159/BE159,"")</f>
        <v/>
      </c>
      <c r="BG159" s="97" t="inlineStr">
        <is>
          <t>N</t>
        </is>
      </c>
      <c r="BH159" s="97" t="inlineStr">
        <is>
          <t>Coupon 40.00 USD (11-01 to 11-10); List Price $129.99</t>
        </is>
      </c>
    </row>
    <row r="160" ht="62" customHeight="1">
      <c r="A160" s="10">
        <f>_xlfn.IMAGE("https://images-na.ssl-images-amazon.com/images/I/61imzycbiwL.jpg")</f>
        <v/>
      </c>
      <c r="B160" s="84" t="inlineStr">
        <is>
          <t>JSD</t>
        </is>
      </c>
      <c r="C160" s="32" t="inlineStr">
        <is>
          <t>JSD Sage Green 100% Viscose Derived from Bamboo Cooling Sheet Set Queen</t>
        </is>
      </c>
      <c r="D160" s="84" t="inlineStr">
        <is>
          <t>Poor</t>
        </is>
      </c>
      <c r="E160" s="84" t="inlineStr">
        <is>
          <t>B0DTY15N29</t>
        </is>
      </c>
      <c r="F160" s="84" t="inlineStr">
        <is>
          <t>B0DSZTLBV1</t>
        </is>
      </c>
      <c r="G160" s="84" t="inlineStr">
        <is>
          <t>Queen</t>
        </is>
      </c>
      <c r="H160" s="84" t="inlineStr">
        <is>
          <t>Green</t>
        </is>
      </c>
      <c r="I160" s="85" t="n">
        <v>32</v>
      </c>
      <c r="J160" s="32" t="inlineStr"/>
      <c r="K160" s="86" t="n">
        <v>56.99</v>
      </c>
      <c r="L160" s="86" t="n"/>
      <c r="M160" s="87">
        <f>IF(AND(ISNUMBER(L160),ISNUMBER(K160),N(K160)&gt;0),L160/K160-1,"")</f>
        <v/>
      </c>
      <c r="N160" s="88">
        <f>IF(M160="","No List Price",IF(M160&lt;=0,"At/below price",IF(M160&lt;=0.12,"&lt;=12% STR zone",IF(M160&lt;=0.25,"12-25%","&gt;25% over"))))</f>
        <v/>
      </c>
      <c r="O160" s="86" t="n">
        <v>94.98999999999999</v>
      </c>
      <c r="P160" s="89">
        <f>IF(AND(ISNUMBER(K160),ISNUMBER(O160),N(O160)&gt;0),K160/O160-1,"")</f>
        <v/>
      </c>
      <c r="Q160" s="32" t="inlineStr">
        <is>
          <t>Same size (Queen). Ours live: Helium 10 Xray, 2026-10-13; 15 children</t>
        </is>
      </c>
      <c r="R160" s="85" t="n">
        <v>76312</v>
      </c>
      <c r="S160" s="85" t="n">
        <v>18</v>
      </c>
      <c r="T160" s="90">
        <f>IF(AND(ISNUMBER(K160),ISNUMBER(S160)),K160*S160*52/12,"")</f>
        <v/>
      </c>
      <c r="U160" s="91" t="n">
        <v>4.3</v>
      </c>
      <c r="V160" s="85" t="n">
        <v>281</v>
      </c>
      <c r="W160" s="92" t="n">
        <v>46307</v>
      </c>
      <c r="X160" s="92" t="n">
        <v>45671</v>
      </c>
      <c r="Y160" s="84" t="inlineStr">
        <is>
          <t>FBA</t>
        </is>
      </c>
      <c r="Z160" s="84" t="inlineStr">
        <is>
          <t>CN</t>
        </is>
      </c>
      <c r="AA160" s="85" t="n"/>
      <c r="AB160" s="85" t="n"/>
      <c r="AC160" s="93" t="n"/>
      <c r="AD160" s="93" t="n"/>
      <c r="AE160" s="32" t="n"/>
      <c r="AF160" s="93" t="n"/>
      <c r="AG160" s="93" t="n"/>
      <c r="AH160" s="93" t="n"/>
      <c r="AI160" s="93" t="n"/>
      <c r="AJ160" s="85" t="n"/>
      <c r="AK160" s="85" t="n"/>
      <c r="AL160" s="85" t="n"/>
      <c r="AM160" s="85" t="n"/>
      <c r="AN160" s="85" t="n"/>
      <c r="AO160" s="85" t="n"/>
      <c r="AP160" s="94" t="n"/>
      <c r="AQ160" s="89" t="n"/>
      <c r="AR160" s="95" t="inlineStr">
        <is>
          <t>N</t>
        </is>
      </c>
      <c r="AS160" s="95" t="inlineStr">
        <is>
          <t>none</t>
        </is>
      </c>
      <c r="AT160" s="101" t="n"/>
      <c r="AU160" s="96" t="n">
        <v>56.99</v>
      </c>
      <c r="AV160" s="95" t="inlineStr">
        <is>
          <t>none</t>
        </is>
      </c>
      <c r="AW160" s="95" t="inlineStr">
        <is>
          <t>Y</t>
        </is>
      </c>
      <c r="AX160" s="95" t="inlineStr">
        <is>
          <t>2026-10-13 23:36:24</t>
        </is>
      </c>
      <c r="AY160" s="97" t="inlineStr">
        <is>
          <t>None</t>
        </is>
      </c>
      <c r="AZ160" s="102" t="n"/>
      <c r="BA160" s="98" t="n">
        <v>56.99</v>
      </c>
      <c r="BB160" s="98" t="n">
        <v>56.99</v>
      </c>
      <c r="BC160" s="87">
        <f>IF(AND(ISNUMBER(BA160),ISNUMBER(BB160),N(BA160)&gt;0),1-BB160/BA160,"")</f>
        <v/>
      </c>
      <c r="BD160" s="99" t="n">
        <v>97969</v>
      </c>
      <c r="BE160" s="99" t="n">
        <v>108941</v>
      </c>
      <c r="BF160" s="100">
        <f>IF(AND(ISNUMBER(BD160),ISNUMBER(BE160),N(BE160)&gt;0),BD160/BE160,"")</f>
        <v/>
      </c>
      <c r="BG160" s="97" t="inlineStr">
        <is>
          <t>N</t>
        </is>
      </c>
      <c r="BH160" s="97" t="inlineStr">
        <is>
          <t>Coupon 5% (11-01 to 11-17); List Price $74.99</t>
        </is>
      </c>
    </row>
    <row r="161" ht="62" customHeight="1">
      <c r="A161" s="10">
        <f>_xlfn.IMAGE("https://images-na.ssl-images-amazon.com/images/I/71zrq2AtnUL.jpg")</f>
        <v/>
      </c>
      <c r="B161" s="84" t="inlineStr">
        <is>
          <t>Kickoff Home</t>
        </is>
      </c>
      <c r="C161" s="32" t="inlineStr">
        <is>
          <t>Bamboo Sheets</t>
        </is>
      </c>
      <c r="D161" s="84" t="inlineStr">
        <is>
          <t>Poor</t>
        </is>
      </c>
      <c r="E161" s="84" t="inlineStr">
        <is>
          <t>B0D4KS4MVX</t>
        </is>
      </c>
      <c r="F161" s="84" t="inlineStr">
        <is>
          <t>B0CHN5ZPFH</t>
        </is>
      </c>
      <c r="G161" s="84" t="n"/>
      <c r="H161" s="84" t="n"/>
      <c r="I161" s="85" t="n">
        <v>106</v>
      </c>
      <c r="J161" s="32" t="inlineStr">
        <is>
          <t>B0CHN5ZPFH (27%), B0CHN6N986 (11%), B0G84K7MZQ (9%), B0G84MQQX4 (8%), B0CHN4BSZP (5%)</t>
        </is>
      </c>
      <c r="K161" s="86" t="n">
        <v>76.98999999999999</v>
      </c>
      <c r="L161" s="86" t="n">
        <v>84.98999999999999</v>
      </c>
      <c r="M161" s="87">
        <f>IF(AND(ISNUMBER(L161),ISNUMBER(K161),N(K161)&gt;0),L161/K161-1,"")</f>
        <v/>
      </c>
      <c r="N161" s="88">
        <f>IF(M161="","No List Price",IF(M161&lt;=0,"At/below price",IF(M161&lt;=0.12,"&lt;=12% STR zone",IF(M161&lt;=0.25,"12-25%","&gt;25% over"))))</f>
        <v/>
      </c>
      <c r="O161" s="86" t="n">
        <v>94.98999999999999</v>
      </c>
      <c r="P161" s="89">
        <f>IF(AND(ISNUMBER(K161),ISNUMBER(O161),N(O161)&gt;0),K161/O161-1,"")</f>
        <v/>
      </c>
      <c r="Q161" s="32" t="inlineStr">
        <is>
          <t>Size not stated - vs our Queen. Ours live: Helium 10 Xray, 2026-10-13; 15 children</t>
        </is>
      </c>
      <c r="R161" s="85" t="n">
        <v>23579</v>
      </c>
      <c r="S161" s="85" t="n">
        <v>18</v>
      </c>
      <c r="T161" s="90">
        <f>IF(AND(ISNUMBER(K161),ISNUMBER(S161)),K161*S161*52/12,"")</f>
        <v/>
      </c>
      <c r="U161" s="91" t="n">
        <v>4.6</v>
      </c>
      <c r="V161" s="85" t="n">
        <v>688</v>
      </c>
      <c r="W161" s="92" t="n">
        <v>46307</v>
      </c>
      <c r="X161" s="92" t="n"/>
      <c r="Y161" s="84" t="n"/>
      <c r="Z161" s="84" t="n"/>
      <c r="AA161" s="85" t="n">
        <v>58169</v>
      </c>
      <c r="AB161" s="85" t="n">
        <v>1164</v>
      </c>
      <c r="AC161" s="93" t="n">
        <v>0.8765498702057799</v>
      </c>
      <c r="AD161" s="93" t="n">
        <v>0.12345023981846</v>
      </c>
      <c r="AE161" s="32" t="inlineStr">
        <is>
          <t>bamboo sheets</t>
        </is>
      </c>
      <c r="AF161" s="93" t="n">
        <v>0.6749987106534409</v>
      </c>
      <c r="AG161" s="93" t="n"/>
      <c r="AH161" s="93" t="n">
        <v>0.08715982739947395</v>
      </c>
      <c r="AI161" s="93" t="n">
        <v>0.0003782083240213859</v>
      </c>
      <c r="AJ161" s="85" t="n">
        <v>652</v>
      </c>
      <c r="AK161" s="85" t="n">
        <v>395</v>
      </c>
      <c r="AL161" s="85" t="n">
        <v>185</v>
      </c>
      <c r="AM161" s="85" t="n">
        <v>512</v>
      </c>
      <c r="AN161" s="85" t="n">
        <v>45</v>
      </c>
      <c r="AO161" s="85" t="n">
        <v>45</v>
      </c>
      <c r="AP161" s="94" t="n"/>
      <c r="AQ161" s="89" t="n"/>
      <c r="AR161" s="95" t="inlineStr">
        <is>
          <t>N</t>
        </is>
      </c>
      <c r="AS161" s="95" t="inlineStr">
        <is>
          <t>none</t>
        </is>
      </c>
      <c r="AT161" s="101" t="n"/>
      <c r="AU161" s="96" t="n">
        <v>86.98999999999999</v>
      </c>
      <c r="AV161" s="95" t="inlineStr">
        <is>
          <t>none</t>
        </is>
      </c>
      <c r="AW161" s="95" t="inlineStr">
        <is>
          <t>Y</t>
        </is>
      </c>
      <c r="AX161" s="95" t="inlineStr">
        <is>
          <t>2026-10-13 23:36:30</t>
        </is>
      </c>
      <c r="AY161" s="97" t="inlineStr">
        <is>
          <t>Price cut only</t>
        </is>
      </c>
      <c r="AZ161" s="97" t="inlineStr">
        <is>
          <t>11-21 to 12-01</t>
        </is>
      </c>
      <c r="BA161" s="98" t="n">
        <v>118.99</v>
      </c>
      <c r="BB161" s="98" t="n">
        <v>79.13</v>
      </c>
      <c r="BC161" s="87">
        <f>IF(AND(ISNUMBER(BA161),ISNUMBER(BB161),N(BA161)&gt;0),1-BB161/BA161,"")</f>
        <v/>
      </c>
      <c r="BD161" s="99" t="n">
        <v>70541</v>
      </c>
      <c r="BE161" s="99" t="n">
        <v>28546</v>
      </c>
      <c r="BF161" s="100">
        <f>IF(AND(ISNUMBER(BD161),ISNUMBER(BE161),N(BE161)&gt;0),BD161/BE161,"")</f>
        <v/>
      </c>
      <c r="BG161" s="97" t="inlineStr">
        <is>
          <t>N</t>
        </is>
      </c>
      <c r="BH161" s="97" t="inlineStr">
        <is>
          <t>Coupon 25% (11-01 to 11-05); List Price $124.99</t>
        </is>
      </c>
    </row>
    <row r="162" ht="62" customHeight="1">
      <c r="A162" s="39" t="inlineStr">
        <is>
          <t>IMAGE MISSING</t>
        </is>
      </c>
      <c r="B162" s="84" t="inlineStr">
        <is>
          <t>LB Luxury Bamboo Market</t>
        </is>
      </c>
      <c r="C162" s="32" t="inlineStr">
        <is>
          <t>Bamboo Sheets</t>
        </is>
      </c>
      <c r="D162" s="84" t="inlineStr">
        <is>
          <t>Poor</t>
        </is>
      </c>
      <c r="E162" s="84" t="inlineStr">
        <is>
          <t>B0D1HWHDL2</t>
        </is>
      </c>
      <c r="F162" s="84" t="inlineStr">
        <is>
          <t>B0CH7N9WVC</t>
        </is>
      </c>
      <c r="G162" s="84" t="n"/>
      <c r="H162" s="84" t="n"/>
      <c r="I162" s="85" t="n"/>
      <c r="J162" s="32" t="inlineStr"/>
      <c r="K162" s="86" t="n">
        <v>129.94</v>
      </c>
      <c r="L162" s="86" t="n"/>
      <c r="M162" s="87">
        <f>IF(AND(ISNUMBER(L162),ISNUMBER(K162),N(K162)&gt;0),L162/K162-1,"")</f>
        <v/>
      </c>
      <c r="N162" s="88">
        <f>IF(M162="","No List Price",IF(M162&lt;=0,"At/below price",IF(M162&lt;=0.12,"&lt;=12% STR zone",IF(M162&lt;=0.25,"12-25%","&gt;25% over"))))</f>
        <v/>
      </c>
      <c r="O162" s="86" t="n">
        <v>94.98999999999999</v>
      </c>
      <c r="P162" s="89">
        <f>IF(AND(ISNUMBER(K162),ISNUMBER(O162),N(O162)&gt;0),K162/O162-1,"")</f>
        <v/>
      </c>
      <c r="Q162" s="32" t="inlineStr">
        <is>
          <t>Size not stated - vs our Queen. Ours live: Helium 10 Xray, 2026-10-13; 15 children</t>
        </is>
      </c>
      <c r="R162" s="85" t="n">
        <v>47800</v>
      </c>
      <c r="S162" s="85" t="n">
        <v>18</v>
      </c>
      <c r="T162" s="90">
        <f>IF(AND(ISNUMBER(K162),ISNUMBER(S162)),K162*S162*52/12,"")</f>
        <v/>
      </c>
      <c r="U162" s="91" t="n">
        <v>4.5</v>
      </c>
      <c r="V162" s="85" t="n">
        <v>517</v>
      </c>
      <c r="W162" s="92" t="n">
        <v>46307</v>
      </c>
      <c r="X162" s="92" t="n"/>
      <c r="Y162" s="84" t="n"/>
      <c r="Z162" s="84" t="n"/>
      <c r="AA162" s="85" t="n"/>
      <c r="AB162" s="85" t="n"/>
      <c r="AC162" s="93" t="n"/>
      <c r="AD162" s="93" t="n"/>
      <c r="AE162" s="32" t="n"/>
      <c r="AF162" s="93" t="n"/>
      <c r="AG162" s="93" t="n"/>
      <c r="AH162" s="93" t="n"/>
      <c r="AI162" s="93" t="n"/>
      <c r="AJ162" s="85" t="n"/>
      <c r="AK162" s="85" t="n"/>
      <c r="AL162" s="85" t="n"/>
      <c r="AM162" s="85" t="n"/>
      <c r="AN162" s="85" t="n"/>
      <c r="AO162" s="85" t="n"/>
      <c r="AP162" s="94" t="n"/>
      <c r="AQ162" s="89" t="n"/>
      <c r="AR162" s="95" t="inlineStr">
        <is>
          <t>N</t>
        </is>
      </c>
      <c r="AS162" s="95" t="inlineStr">
        <is>
          <t>none</t>
        </is>
      </c>
      <c r="AT162" s="101" t="n"/>
      <c r="AU162" s="96" t="n">
        <v>129.94</v>
      </c>
      <c r="AV162" s="95" t="inlineStr">
        <is>
          <t>none</t>
        </is>
      </c>
      <c r="AW162" s="95" t="inlineStr">
        <is>
          <t>Y</t>
        </is>
      </c>
      <c r="AX162" s="95" t="inlineStr">
        <is>
          <t>2026-10-13 23:36:34</t>
        </is>
      </c>
      <c r="AY162" s="97" t="inlineStr">
        <is>
          <t>Prime Exclusive Discount</t>
        </is>
      </c>
      <c r="AZ162" s="97" t="inlineStr">
        <is>
          <t>11-26 to 12-01</t>
        </is>
      </c>
      <c r="BA162" s="98" t="n">
        <v>119.94</v>
      </c>
      <c r="BB162" s="98" t="n">
        <v>103.95</v>
      </c>
      <c r="BC162" s="87">
        <f>IF(AND(ISNUMBER(BA162),ISNUMBER(BB162),N(BA162)&gt;0),1-BB162/BA162,"")</f>
        <v/>
      </c>
      <c r="BD162" s="99" t="n">
        <v>73868</v>
      </c>
      <c r="BE162" s="99" t="n">
        <v>96746</v>
      </c>
      <c r="BF162" s="100">
        <f>IF(AND(ISNUMBER(BD162),ISNUMBER(BE162),N(BE162)&gt;0),BD162/BE162,"")</f>
        <v/>
      </c>
      <c r="BG162" s="97" t="inlineStr">
        <is>
          <t>N</t>
        </is>
      </c>
      <c r="BH162" s="97" t="inlineStr">
        <is>
          <t>List Price $159.94</t>
        </is>
      </c>
    </row>
    <row r="163" ht="62" customHeight="1">
      <c r="A163" s="10">
        <f>_xlfn.IMAGE("https://images-na.ssl-images-amazon.com/images/I/71NxE1i+4jL.jpg")</f>
        <v/>
      </c>
      <c r="B163" s="84" t="inlineStr">
        <is>
          <t>Shilucheng</t>
        </is>
      </c>
      <c r="C163" s="32" t="inlineStr">
        <is>
          <t>Shilucheng 100% Viscose Derived from Bamboo_Sheets, Extra Deep Pocket</t>
        </is>
      </c>
      <c r="D163" s="84" t="inlineStr">
        <is>
          <t>Poor</t>
        </is>
      </c>
      <c r="E163" s="84" t="inlineStr">
        <is>
          <t>B0F2TBWTZR</t>
        </is>
      </c>
      <c r="F163" s="84" t="inlineStr">
        <is>
          <t>B0F2TBWTZR</t>
        </is>
      </c>
      <c r="G163" s="84" t="n"/>
      <c r="H163" s="84" t="n"/>
      <c r="I163" s="85" t="n">
        <v>32</v>
      </c>
      <c r="J163" s="32" t="inlineStr"/>
      <c r="K163" s="86" t="n">
        <v>69.98999999999999</v>
      </c>
      <c r="L163" s="86" t="n">
        <v>84.98999999999999</v>
      </c>
      <c r="M163" s="87">
        <f>IF(AND(ISNUMBER(L163),ISNUMBER(K163),N(K163)&gt;0),L163/K163-1,"")</f>
        <v/>
      </c>
      <c r="N163" s="88">
        <f>IF(M163="","No List Price",IF(M163&lt;=0,"At/below price",IF(M163&lt;=0.12,"&lt;=12% STR zone",IF(M163&lt;=0.25,"12-25%","&gt;25% over"))))</f>
        <v/>
      </c>
      <c r="O163" s="86" t="n">
        <v>94.98999999999999</v>
      </c>
      <c r="P163" s="89">
        <f>IF(AND(ISNUMBER(K163),ISNUMBER(O163),N(O163)&gt;0),K163/O163-1,"")</f>
        <v/>
      </c>
      <c r="Q163" s="32" t="inlineStr">
        <is>
          <t>Size not stated - vs our Queen. Ours live: Helium 10 Xray, 2026-10-13; 15 children</t>
        </is>
      </c>
      <c r="R163" s="85" t="n">
        <v>39194</v>
      </c>
      <c r="S163" s="85" t="n">
        <v>18</v>
      </c>
      <c r="T163" s="90">
        <f>IF(AND(ISNUMBER(K163),ISNUMBER(S163)),K163*S163*52/12,"")</f>
        <v/>
      </c>
      <c r="U163" s="91" t="n">
        <v>4.5</v>
      </c>
      <c r="V163" s="85" t="n">
        <v>1639</v>
      </c>
      <c r="W163" s="92" t="n">
        <v>46307</v>
      </c>
      <c r="X163" s="92" t="n">
        <v>45744</v>
      </c>
      <c r="Y163" s="84" t="inlineStr">
        <is>
          <t>FBA</t>
        </is>
      </c>
      <c r="Z163" s="84" t="inlineStr">
        <is>
          <t>CN</t>
        </is>
      </c>
      <c r="AA163" s="85" t="n"/>
      <c r="AB163" s="85" t="n"/>
      <c r="AC163" s="93" t="n"/>
      <c r="AD163" s="93" t="n"/>
      <c r="AE163" s="32" t="n"/>
      <c r="AF163" s="93" t="n"/>
      <c r="AG163" s="93" t="n"/>
      <c r="AH163" s="93" t="n"/>
      <c r="AI163" s="93" t="n"/>
      <c r="AJ163" s="85" t="n"/>
      <c r="AK163" s="85" t="n"/>
      <c r="AL163" s="85" t="n"/>
      <c r="AM163" s="85" t="n"/>
      <c r="AN163" s="85" t="n"/>
      <c r="AO163" s="85" t="n"/>
      <c r="AP163" s="94" t="n"/>
      <c r="AQ163" s="89" t="n">
        <v>-0.9655172413793104</v>
      </c>
      <c r="AR163" s="95" t="inlineStr">
        <is>
          <t>Y</t>
        </is>
      </c>
      <c r="AS163" s="95" t="inlineStr">
        <is>
          <t>List Price</t>
        </is>
      </c>
      <c r="AT163" s="96" t="n">
        <v>84.98999999999999</v>
      </c>
      <c r="AU163" s="96" t="n">
        <v>69.98999999999999</v>
      </c>
      <c r="AV163" s="95" t="inlineStr">
        <is>
          <t>Limited time deal</t>
        </is>
      </c>
      <c r="AW163" s="95" t="inlineStr">
        <is>
          <t>Y</t>
        </is>
      </c>
      <c r="AX163" s="95" t="inlineStr">
        <is>
          <t>2026-10-13 23:36:52</t>
        </is>
      </c>
      <c r="AY163" s="97" t="inlineStr">
        <is>
          <t>Prime Exclusive Discount</t>
        </is>
      </c>
      <c r="AZ163" s="97" t="inlineStr">
        <is>
          <t>11-21 to 12-01</t>
        </is>
      </c>
      <c r="BA163" s="98" t="n">
        <v>84.98999999999999</v>
      </c>
      <c r="BB163" s="98" t="n">
        <v>64.59</v>
      </c>
      <c r="BC163" s="87">
        <f>IF(AND(ISNUMBER(BA163),ISNUMBER(BB163),N(BA163)&gt;0),1-BB163/BA163,"")</f>
        <v/>
      </c>
      <c r="BD163" s="99" t="n">
        <v>28104</v>
      </c>
      <c r="BE163" s="99" t="n">
        <v>38474</v>
      </c>
      <c r="BF163" s="100">
        <f>IF(AND(ISNUMBER(BD163),ISNUMBER(BE163),N(BE163)&gt;0),BD163/BE163,"")</f>
        <v/>
      </c>
      <c r="BG163" s="97" t="inlineStr">
        <is>
          <t>N</t>
        </is>
      </c>
      <c r="BH163" s="97" t="inlineStr">
        <is>
          <t>Coupon 20% (11-02 to 11-12); List Price $84.99</t>
        </is>
      </c>
    </row>
    <row r="164" ht="62" customHeight="1">
      <c r="A164" s="39" t="inlineStr">
        <is>
          <t>IMAGE MISSING</t>
        </is>
      </c>
      <c r="B164" s="84" t="inlineStr">
        <is>
          <t>Bamboo Bay</t>
        </is>
      </c>
      <c r="C164" s="32" t="inlineStr">
        <is>
          <t>Bamboo Sheets</t>
        </is>
      </c>
      <c r="D164" s="84" t="inlineStr">
        <is>
          <t>Poor</t>
        </is>
      </c>
      <c r="E164" s="84" t="inlineStr">
        <is>
          <t>B0DLF1SWJ5</t>
        </is>
      </c>
      <c r="F164" s="84" t="inlineStr">
        <is>
          <t>B07TBHLZJM</t>
        </is>
      </c>
      <c r="G164" s="84" t="n"/>
      <c r="H164" s="84" t="n"/>
      <c r="I164" s="85" t="n"/>
      <c r="J164" s="32" t="inlineStr"/>
      <c r="K164" s="86" t="n">
        <v>79.98</v>
      </c>
      <c r="L164" s="86" t="n"/>
      <c r="M164" s="87">
        <f>IF(AND(ISNUMBER(L164),ISNUMBER(K164),N(K164)&gt;0),L164/K164-1,"")</f>
        <v/>
      </c>
      <c r="N164" s="88">
        <f>IF(M164="","No List Price",IF(M164&lt;=0,"At/below price",IF(M164&lt;=0.12,"&lt;=12% STR zone",IF(M164&lt;=0.25,"12-25%","&gt;25% over"))))</f>
        <v/>
      </c>
      <c r="O164" s="86" t="n">
        <v>94.98999999999999</v>
      </c>
      <c r="P164" s="89">
        <f>IF(AND(ISNUMBER(K164),ISNUMBER(O164),N(O164)&gt;0),K164/O164-1,"")</f>
        <v/>
      </c>
      <c r="Q164" s="32" t="inlineStr">
        <is>
          <t>Size not stated - vs our Queen. Ours live: Helium 10 Xray, 2026-10-13; 15 children</t>
        </is>
      </c>
      <c r="R164" s="85" t="n">
        <v>131083</v>
      </c>
      <c r="S164" s="85" t="n">
        <v>5</v>
      </c>
      <c r="T164" s="90">
        <f>IF(AND(ISNUMBER(K164),ISNUMBER(S164)),K164*S164*52/12,"")</f>
        <v/>
      </c>
      <c r="U164" s="91" t="n">
        <v>4.5</v>
      </c>
      <c r="V164" s="85" t="n">
        <v>2691</v>
      </c>
      <c r="W164" s="92" t="n">
        <v>46307</v>
      </c>
      <c r="X164" s="92" t="n"/>
      <c r="Y164" s="84" t="n"/>
      <c r="Z164" s="84" t="n"/>
      <c r="AA164" s="85" t="n"/>
      <c r="AB164" s="85" t="n"/>
      <c r="AC164" s="93" t="n"/>
      <c r="AD164" s="93" t="n"/>
      <c r="AE164" s="32" t="n"/>
      <c r="AF164" s="93" t="n"/>
      <c r="AG164" s="93" t="n"/>
      <c r="AH164" s="93" t="n"/>
      <c r="AI164" s="93" t="n"/>
      <c r="AJ164" s="85" t="n"/>
      <c r="AK164" s="85" t="n"/>
      <c r="AL164" s="85" t="n"/>
      <c r="AM164" s="85" t="n"/>
      <c r="AN164" s="85" t="n"/>
      <c r="AO164" s="85" t="n"/>
      <c r="AP164" s="94" t="n"/>
      <c r="AQ164" s="89" t="n"/>
      <c r="AR164" s="95" t="inlineStr">
        <is>
          <t>N</t>
        </is>
      </c>
      <c r="AS164" s="95" t="inlineStr">
        <is>
          <t>none</t>
        </is>
      </c>
      <c r="AT164" s="101" t="n"/>
      <c r="AU164" s="96" t="n">
        <v>79.98</v>
      </c>
      <c r="AV164" s="95" t="inlineStr">
        <is>
          <t>none</t>
        </is>
      </c>
      <c r="AW164" s="95" t="inlineStr">
        <is>
          <t>Y</t>
        </is>
      </c>
      <c r="AX164" s="95" t="inlineStr">
        <is>
          <t>2026-10-13 23:35:44</t>
        </is>
      </c>
      <c r="AY164" s="97" t="inlineStr">
        <is>
          <t>None</t>
        </is>
      </c>
      <c r="AZ164" s="102" t="n"/>
      <c r="BA164" s="98" t="n">
        <v>86.98999999999999</v>
      </c>
      <c r="BB164" s="98" t="n">
        <v>93.48</v>
      </c>
      <c r="BC164" s="87">
        <f>IF(AND(ISNUMBER(BA164),ISNUMBER(BB164),N(BA164)&gt;0),1-BB164/BA164,"")</f>
        <v/>
      </c>
      <c r="BD164" s="99" t="n">
        <v>43439</v>
      </c>
      <c r="BE164" s="99" t="n">
        <v>53047</v>
      </c>
      <c r="BF164" s="100">
        <f>IF(AND(ISNUMBER(BD164),ISNUMBER(BE164),N(BE164)&gt;0),BD164/BE164,"")</f>
        <v/>
      </c>
      <c r="BG164" s="97" t="inlineStr">
        <is>
          <t>N</t>
        </is>
      </c>
      <c r="BH164" s="97" t="inlineStr">
        <is>
          <t>Buy Box RAISED in BFCM week (median $109.98 vs $86.99 before); List Price $129.98</t>
        </is>
      </c>
    </row>
    <row r="165" ht="62" customHeight="1">
      <c r="A165" s="39" t="inlineStr">
        <is>
          <t>IMAGE MISSING</t>
        </is>
      </c>
      <c r="B165" s="84" t="inlineStr">
        <is>
          <t>LBRO2M</t>
        </is>
      </c>
      <c r="C165" s="32" t="inlineStr">
        <is>
          <t>LBRO2M Cooling Bed Sheet 100% Viscose Derived from Bamboo Sheet Set Queen Size 6</t>
        </is>
      </c>
      <c r="D165" s="84" t="inlineStr">
        <is>
          <t>Poor</t>
        </is>
      </c>
      <c r="E165" s="84" t="inlineStr">
        <is>
          <t>B0F9FK3L6J</t>
        </is>
      </c>
      <c r="F165" s="84" t="inlineStr">
        <is>
          <t>B0F9FK7SMW</t>
        </is>
      </c>
      <c r="G165" s="84" t="inlineStr">
        <is>
          <t>Queen</t>
        </is>
      </c>
      <c r="H165" s="84" t="n"/>
      <c r="I165" s="85" t="n"/>
      <c r="J165" s="32" t="inlineStr"/>
      <c r="K165" s="86" t="n">
        <v>94.98999999999999</v>
      </c>
      <c r="L165" s="86" t="n"/>
      <c r="M165" s="87">
        <f>IF(AND(ISNUMBER(L165),ISNUMBER(K165),N(K165)&gt;0),L165/K165-1,"")</f>
        <v/>
      </c>
      <c r="N165" s="88">
        <f>IF(M165="","No List Price",IF(M165&lt;=0,"At/below price",IF(M165&lt;=0.12,"&lt;=12% STR zone",IF(M165&lt;=0.25,"12-25%","&gt;25% over"))))</f>
        <v/>
      </c>
      <c r="O165" s="86" t="n">
        <v>94.98999999999999</v>
      </c>
      <c r="P165" s="89">
        <f>IF(AND(ISNUMBER(K165),ISNUMBER(O165),N(O165)&gt;0),K165/O165-1,"")</f>
        <v/>
      </c>
      <c r="Q165" s="32" t="inlineStr">
        <is>
          <t>Same size (Queen). Ours live: Helium 10 Xray, 2026-10-13; 15 children</t>
        </is>
      </c>
      <c r="R165" s="85" t="n">
        <v>1003118</v>
      </c>
      <c r="S165" s="85" t="n">
        <v>5</v>
      </c>
      <c r="T165" s="90">
        <f>IF(AND(ISNUMBER(K165),ISNUMBER(S165)),K165*S165*52/12,"")</f>
        <v/>
      </c>
      <c r="U165" s="91" t="n">
        <v>4.4</v>
      </c>
      <c r="V165" s="85" t="n">
        <v>18</v>
      </c>
      <c r="W165" s="92" t="n">
        <v>46307</v>
      </c>
      <c r="X165" s="92" t="n"/>
      <c r="Y165" s="84" t="n"/>
      <c r="Z165" s="84" t="n"/>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101" t="n"/>
      <c r="AV165" s="95" t="inlineStr">
        <is>
          <t>none</t>
        </is>
      </c>
      <c r="AW165" s="95" t="inlineStr">
        <is>
          <t>N</t>
        </is>
      </c>
      <c r="AX165" s="95" t="inlineStr">
        <is>
          <t>2026-10-13 23:36:36</t>
        </is>
      </c>
      <c r="AY165" s="97" t="inlineStr">
        <is>
          <t>Prime Exclusive Discount</t>
        </is>
      </c>
      <c r="AZ165" s="97" t="inlineStr">
        <is>
          <t>11-22 to 12-01</t>
        </is>
      </c>
      <c r="BA165" s="98" t="n">
        <v>95.98999999999999</v>
      </c>
      <c r="BB165" s="98" t="n">
        <v>67.19</v>
      </c>
      <c r="BC165" s="87">
        <f>IF(AND(ISNUMBER(BA165),ISNUMBER(BB165),N(BA165)&gt;0),1-BB165/BA165,"")</f>
        <v/>
      </c>
      <c r="BD165" s="99" t="n">
        <v>114176</v>
      </c>
      <c r="BE165" s="99" t="n">
        <v>68746</v>
      </c>
      <c r="BF165" s="100">
        <f>IF(AND(ISNUMBER(BD165),ISNUMBER(BE165),N(BE165)&gt;0),BD165/BE165,"")</f>
        <v/>
      </c>
      <c r="BG165" s="97" t="inlineStr">
        <is>
          <t>N</t>
        </is>
      </c>
      <c r="BH165" s="97" t="inlineStr">
        <is>
          <t>Lightning Deal 11-01 to 11-01; List Price $179.97</t>
        </is>
      </c>
    </row>
    <row r="166" ht="62" customHeight="1">
      <c r="A166" s="10">
        <f>_xlfn.IMAGE("https://images-na.ssl-images-amazon.com/images/I/71YlZk0Q9-L.jpg")</f>
        <v/>
      </c>
      <c r="B166" s="84" t="inlineStr">
        <is>
          <t>TWK</t>
        </is>
      </c>
      <c r="C166" s="32" t="inlineStr">
        <is>
          <t>TWK Luxury Sheet Set, Genuine 100% Viscose Derived from Bamboo, Cooling &amp; Breathable, Silky Soft, Bedding Sheets &amp; Pillowcases (White, King(78 * 80 * 15))</t>
        </is>
      </c>
      <c r="D166" s="84" t="inlineStr">
        <is>
          <t>Poor</t>
        </is>
      </c>
      <c r="E166" s="84" t="inlineStr">
        <is>
          <t>B0GVP3B7LS</t>
        </is>
      </c>
      <c r="F166" s="84" t="inlineStr">
        <is>
          <t>B0GVP3B7LS</t>
        </is>
      </c>
      <c r="G166" s="84" t="inlineStr">
        <is>
          <t>King</t>
        </is>
      </c>
      <c r="H166" s="84" t="inlineStr">
        <is>
          <t>White</t>
        </is>
      </c>
      <c r="I166" s="85" t="n">
        <v>1</v>
      </c>
      <c r="J166" s="32" t="inlineStr"/>
      <c r="K166" s="86" t="n">
        <v>46.74</v>
      </c>
      <c r="L166" s="86" t="n"/>
      <c r="M166" s="87">
        <f>IF(AND(ISNUMBER(L166),ISNUMBER(K166),N(K166)&gt;0),L166/K166-1,"")</f>
        <v/>
      </c>
      <c r="N166" s="88">
        <f>IF(M166="","No List Price",IF(M166&lt;=0,"At/below price",IF(M166&lt;=0.12,"&lt;=12% STR zone",IF(M166&lt;=0.25,"12-25%","&gt;25% over"))))</f>
        <v/>
      </c>
      <c r="O166" s="86" t="n">
        <v>99.98999999999999</v>
      </c>
      <c r="P166" s="89">
        <f>IF(AND(ISNUMBER(K166),ISNUMBER(O166),N(O166)&gt;0),K166/O166-1,"")</f>
        <v/>
      </c>
      <c r="Q166" s="32" t="inlineStr">
        <is>
          <t>Same size (King). Ours live: Helium 10 Xray, 2026-10-13; 16 children</t>
        </is>
      </c>
      <c r="R166" s="85" t="n">
        <v>2065761</v>
      </c>
      <c r="S166" s="85" t="n">
        <v>5</v>
      </c>
      <c r="T166" s="90">
        <f>IF(AND(ISNUMBER(K166),ISNUMBER(S166)),K166*S166*52/12,"")</f>
        <v/>
      </c>
      <c r="U166" s="91" t="n">
        <v>4.5</v>
      </c>
      <c r="V166" s="85" t="n">
        <v>11</v>
      </c>
      <c r="W166" s="92" t="n">
        <v>46307</v>
      </c>
      <c r="X166" s="92" t="n">
        <v>46078</v>
      </c>
      <c r="Y166" s="84" t="inlineStr">
        <is>
          <t>FBM</t>
        </is>
      </c>
      <c r="Z166" s="84" t="inlineStr">
        <is>
          <t>N/A</t>
        </is>
      </c>
      <c r="AA166" s="85" t="n"/>
      <c r="AB166" s="85" t="n"/>
      <c r="AC166" s="93" t="n"/>
      <c r="AD166" s="93" t="n"/>
      <c r="AE166" s="32" t="n"/>
      <c r="AF166" s="93" t="n"/>
      <c r="AG166" s="93" t="n"/>
      <c r="AH166" s="93" t="n"/>
      <c r="AI166" s="93" t="n"/>
      <c r="AJ166" s="85" t="n"/>
      <c r="AK166" s="85" t="n"/>
      <c r="AL166" s="85" t="n"/>
      <c r="AM166" s="85" t="n"/>
      <c r="AN166" s="85" t="n"/>
      <c r="AO166" s="85" t="n"/>
      <c r="AP166" s="94" t="n"/>
      <c r="AQ166" s="89" t="n"/>
      <c r="AR166" s="95" t="inlineStr">
        <is>
          <t>N</t>
        </is>
      </c>
      <c r="AS166" s="95" t="inlineStr">
        <is>
          <t>none</t>
        </is>
      </c>
      <c r="AT166" s="101" t="n"/>
      <c r="AU166" s="101" t="n"/>
      <c r="AV166" s="95" t="inlineStr">
        <is>
          <t>none</t>
        </is>
      </c>
      <c r="AW166" s="95" t="inlineStr">
        <is>
          <t>N</t>
        </is>
      </c>
      <c r="AX166" s="95" t="inlineStr">
        <is>
          <t>2026-10-13 23:36:57</t>
        </is>
      </c>
      <c r="AY166" s="97" t="inlineStr">
        <is>
          <t>Not live in 2025</t>
        </is>
      </c>
      <c r="AZ166" s="102" t="n"/>
      <c r="BA166" s="101" t="n"/>
      <c r="BB166" s="101" t="n"/>
      <c r="BC166" s="87">
        <f>IF(AND(ISNUMBER(BA166),ISNUMBER(BB166),N(BA166)&gt;0),1-BB166/BA166,"")</f>
        <v/>
      </c>
      <c r="BD166" s="103" t="n"/>
      <c r="BE166" s="103" t="n"/>
      <c r="BF166" s="100">
        <f>IF(AND(ISNUMBER(BD166),ISNUMBER(BE166),N(BE166)&gt;0),BD166/BE166,"")</f>
        <v/>
      </c>
      <c r="BG166" s="102" t="n"/>
      <c r="BH166" s="102" t="n"/>
    </row>
    <row r="167" ht="62" customHeight="1">
      <c r="A167" s="39" t="inlineStr">
        <is>
          <t>IMAGE MISSING</t>
        </is>
      </c>
      <c r="B167" s="84" t="inlineStr">
        <is>
          <t>TWK</t>
        </is>
      </c>
      <c r="C167" s="32" t="inlineStr">
        <is>
          <t>4 Piece Bamboo Sheet Set</t>
        </is>
      </c>
      <c r="D167" s="84" t="inlineStr">
        <is>
          <t>Poor</t>
        </is>
      </c>
      <c r="E167" s="84" t="inlineStr">
        <is>
          <t>B0GKFHP6L6</t>
        </is>
      </c>
      <c r="F167" s="84" t="inlineStr">
        <is>
          <t>B0GW7H7RHY</t>
        </is>
      </c>
      <c r="G167" s="84" t="n"/>
      <c r="H167" s="84" t="n"/>
      <c r="I167" s="85" t="n"/>
      <c r="J167" s="32" t="inlineStr"/>
      <c r="K167" s="86" t="n">
        <v>109.99</v>
      </c>
      <c r="L167" s="86" t="n"/>
      <c r="M167" s="87">
        <f>IF(AND(ISNUMBER(L167),ISNUMBER(K167),N(K167)&gt;0),L167/K167-1,"")</f>
        <v/>
      </c>
      <c r="N167" s="88">
        <f>IF(M167="","No List Price",IF(M167&lt;=0,"At/below price",IF(M167&lt;=0.12,"&lt;=12% STR zone",IF(M167&lt;=0.25,"12-25%","&gt;25% over"))))</f>
        <v/>
      </c>
      <c r="O167" s="86" t="n">
        <v>94.98999999999999</v>
      </c>
      <c r="P167" s="89">
        <f>IF(AND(ISNUMBER(K167),ISNUMBER(O167),N(O167)&gt;0),K167/O167-1,"")</f>
        <v/>
      </c>
      <c r="Q167" s="32" t="inlineStr">
        <is>
          <t>Size not stated - vs our Queen. Ours live: Helium 10 Xray, 2026-10-13; 15 children</t>
        </is>
      </c>
      <c r="R167" s="85" t="n">
        <v>4355899</v>
      </c>
      <c r="S167" s="85" t="n">
        <v>5</v>
      </c>
      <c r="T167" s="90">
        <f>IF(AND(ISNUMBER(K167),ISNUMBER(S167)),K167*S167*52/12,"")</f>
        <v/>
      </c>
      <c r="U167" s="91" t="n">
        <v>4.5</v>
      </c>
      <c r="V167" s="85" t="n">
        <v>2</v>
      </c>
      <c r="W167" s="92" t="n">
        <v>46307</v>
      </c>
      <c r="X167" s="92" t="n"/>
      <c r="Y167" s="84" t="n"/>
      <c r="Z167" s="84" t="n"/>
      <c r="AA167" s="85" t="n"/>
      <c r="AB167" s="85" t="n"/>
      <c r="AC167" s="93" t="n"/>
      <c r="AD167" s="93" t="n"/>
      <c r="AE167" s="32" t="n"/>
      <c r="AF167" s="93" t="n"/>
      <c r="AG167" s="93" t="n"/>
      <c r="AH167" s="93" t="n"/>
      <c r="AI167" s="93" t="n"/>
      <c r="AJ167" s="85" t="n"/>
      <c r="AK167" s="85" t="n"/>
      <c r="AL167" s="85" t="n"/>
      <c r="AM167" s="85" t="n"/>
      <c r="AN167" s="85" t="n"/>
      <c r="AO167" s="85" t="n"/>
      <c r="AP167" s="94" t="n"/>
      <c r="AQ167" s="89" t="n"/>
      <c r="AR167" s="95" t="inlineStr">
        <is>
          <t>N</t>
        </is>
      </c>
      <c r="AS167" s="95" t="inlineStr">
        <is>
          <t>none</t>
        </is>
      </c>
      <c r="AT167" s="101" t="n"/>
      <c r="AU167" s="101" t="n"/>
      <c r="AV167" s="95" t="inlineStr">
        <is>
          <t>none</t>
        </is>
      </c>
      <c r="AW167" s="95" t="inlineStr">
        <is>
          <t>N</t>
        </is>
      </c>
      <c r="AX167" s="95" t="inlineStr">
        <is>
          <t>2026-10-13 23:37:03</t>
        </is>
      </c>
      <c r="AY167" s="97" t="inlineStr">
        <is>
          <t>Not live in 2025</t>
        </is>
      </c>
      <c r="AZ167" s="102" t="n"/>
      <c r="BA167" s="101" t="n"/>
      <c r="BB167" s="101" t="n"/>
      <c r="BC167" s="87">
        <f>IF(AND(ISNUMBER(BA167),ISNUMBER(BB167),N(BA167)&gt;0),1-BB167/BA167,"")</f>
        <v/>
      </c>
      <c r="BD167" s="103" t="n"/>
      <c r="BE167" s="103" t="n"/>
      <c r="BF167" s="100">
        <f>IF(AND(ISNUMBER(BD167),ISNUMBER(BE167),N(BE167)&gt;0),BD167/BE167,"")</f>
        <v/>
      </c>
      <c r="BG167" s="102" t="n"/>
      <c r="BH167" s="102" t="n"/>
    </row>
    <row r="168" ht="62" customHeight="1">
      <c r="A168" s="10">
        <f>_xlfn.IMAGE("https://images-na.ssl-images-amazon.com/images/I/71gw0WpuNuL.jpg")</f>
        <v/>
      </c>
      <c r="B168" s="84" t="inlineStr">
        <is>
          <t>TWK</t>
        </is>
      </c>
      <c r="C168" s="32" t="inlineStr">
        <is>
          <t>TWK Luxury Sheet Set, Genuine 100% Organic Viscose Derived from Bamboo, Cooling &amp; Breathable, Silky Soft, Bedding Sheets &amp; Pillowcases (Mist Gray, King)</t>
        </is>
      </c>
      <c r="D168" s="84" t="inlineStr">
        <is>
          <t>Poor</t>
        </is>
      </c>
      <c r="E168" s="84" t="inlineStr">
        <is>
          <t>B0DYT2QWLC</t>
        </is>
      </c>
      <c r="F168" s="84" t="inlineStr">
        <is>
          <t>B0DYT2QWLC</t>
        </is>
      </c>
      <c r="G168" s="84" t="inlineStr">
        <is>
          <t>King</t>
        </is>
      </c>
      <c r="H168" s="84" t="inlineStr">
        <is>
          <t>Mist Gray</t>
        </is>
      </c>
      <c r="I168" s="85" t="n">
        <v>1</v>
      </c>
      <c r="J168" s="32" t="inlineStr"/>
      <c r="K168" s="86" t="n">
        <v>109.99</v>
      </c>
      <c r="L168" s="86" t="n"/>
      <c r="M168" s="87">
        <f>IF(AND(ISNUMBER(L168),ISNUMBER(K168),N(K168)&gt;0),L168/K168-1,"")</f>
        <v/>
      </c>
      <c r="N168" s="88">
        <f>IF(M168="","No List Price",IF(M168&lt;=0,"At/below price",IF(M168&lt;=0.12,"&lt;=12% STR zone",IF(M168&lt;=0.25,"12-25%","&gt;25% over"))))</f>
        <v/>
      </c>
      <c r="O168" s="86" t="n">
        <v>99.98999999999999</v>
      </c>
      <c r="P168" s="89">
        <f>IF(AND(ISNUMBER(K168),ISNUMBER(O168),N(O168)&gt;0),K168/O168-1,"")</f>
        <v/>
      </c>
      <c r="Q168" s="32" t="inlineStr">
        <is>
          <t>Same size (King). Ours live: Helium 10 Xray, 2026-10-13; 16 children</t>
        </is>
      </c>
      <c r="R168" s="85" t="n">
        <v>1506045</v>
      </c>
      <c r="S168" s="85" t="n">
        <v>5</v>
      </c>
      <c r="T168" s="90">
        <f>IF(AND(ISNUMBER(K168),ISNUMBER(S168)),K168*S168*52/12,"")</f>
        <v/>
      </c>
      <c r="U168" s="91" t="n">
        <v>4.5</v>
      </c>
      <c r="V168" s="85" t="n">
        <v>39</v>
      </c>
      <c r="W168" s="92" t="n">
        <v>46307</v>
      </c>
      <c r="X168" s="92" t="n">
        <v>45716</v>
      </c>
      <c r="Y168" s="84" t="inlineStr">
        <is>
          <t>FBM</t>
        </is>
      </c>
      <c r="Z168" s="84" t="inlineStr">
        <is>
          <t>N/A</t>
        </is>
      </c>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N</t>
        </is>
      </c>
      <c r="AS168" s="95" t="inlineStr">
        <is>
          <t>none</t>
        </is>
      </c>
      <c r="AT168" s="101" t="n"/>
      <c r="AU168" s="101" t="n"/>
      <c r="AV168" s="95" t="inlineStr">
        <is>
          <t>none</t>
        </is>
      </c>
      <c r="AW168" s="95" t="inlineStr">
        <is>
          <t>N</t>
        </is>
      </c>
      <c r="AX168" s="95" t="inlineStr">
        <is>
          <t>2026-10-13 23:37:00</t>
        </is>
      </c>
      <c r="AY168" s="97" t="inlineStr">
        <is>
          <t>Coupon only</t>
        </is>
      </c>
      <c r="AZ168" s="97" t="inlineStr">
        <is>
          <t>11-20 to 12-05</t>
        </is>
      </c>
      <c r="BA168" s="98" t="n">
        <v>69</v>
      </c>
      <c r="BB168" s="98" t="n">
        <v>74</v>
      </c>
      <c r="BC168" s="87">
        <f>IF(AND(ISNUMBER(BA168),ISNUMBER(BB168),N(BA168)&gt;0),1-BB168/BA168,"")</f>
        <v/>
      </c>
      <c r="BD168" s="99" t="n">
        <v>46533</v>
      </c>
      <c r="BE168" s="99" t="n">
        <v>67944</v>
      </c>
      <c r="BF168" s="100">
        <f>IF(AND(ISNUMBER(BD168),ISNUMBER(BE168),N(BE168)&gt;0),BD168/BE168,"")</f>
        <v/>
      </c>
      <c r="BG168" s="97" t="inlineStr">
        <is>
          <t>N</t>
        </is>
      </c>
      <c r="BH168" s="97" t="inlineStr">
        <is>
          <t>Coupon 30%; Buy Box RAISED in BFCM week (median $79.00 vs $69.00 before); List Price $69.00</t>
        </is>
      </c>
    </row>
    <row r="169" ht="62" customHeight="1">
      <c r="A169" s="39" t="inlineStr">
        <is>
          <t>IMAGE MISSING</t>
        </is>
      </c>
      <c r="B169" s="84" t="inlineStr">
        <is>
          <t>Vesta</t>
        </is>
      </c>
      <c r="C169" s="32" t="inlineStr">
        <is>
          <t>Vesta Sheet Set – Soft, Breathable &amp; Cooling, 100% Viscose Derived from Bamboo,</t>
        </is>
      </c>
      <c r="D169" s="84" t="inlineStr">
        <is>
          <t>Poor</t>
        </is>
      </c>
      <c r="E169" s="84" t="inlineStr">
        <is>
          <t>B0CZRJY68B</t>
        </is>
      </c>
      <c r="F169" s="84" t="inlineStr">
        <is>
          <t>B0DM214YG3</t>
        </is>
      </c>
      <c r="G169" s="84" t="n"/>
      <c r="H169" s="84" t="n"/>
      <c r="I169" s="85" t="n"/>
      <c r="J169" s="32" t="inlineStr"/>
      <c r="K169" s="86" t="n">
        <v>174.3</v>
      </c>
      <c r="L169" s="86" t="n"/>
      <c r="M169" s="87">
        <f>IF(AND(ISNUMBER(L169),ISNUMBER(K169),N(K169)&gt;0),L169/K169-1,"")</f>
        <v/>
      </c>
      <c r="N169" s="88">
        <f>IF(M169="","No List Price",IF(M169&lt;=0,"At/below price",IF(M169&lt;=0.12,"&lt;=12% STR zone",IF(M169&lt;=0.25,"12-25%","&gt;25% over"))))</f>
        <v/>
      </c>
      <c r="O169" s="86" t="n">
        <v>94.98999999999999</v>
      </c>
      <c r="P169" s="89">
        <f>IF(AND(ISNUMBER(K169),ISNUMBER(O169),N(O169)&gt;0),K169/O169-1,"")</f>
        <v/>
      </c>
      <c r="Q169" s="32" t="inlineStr">
        <is>
          <t>Size not stated - vs our Queen. Ours live: Helium 10 Xray, 2026-10-13; 15 children</t>
        </is>
      </c>
      <c r="R169" s="85" t="n">
        <v>591414</v>
      </c>
      <c r="S169" s="85" t="n">
        <v>5</v>
      </c>
      <c r="T169" s="90">
        <f>IF(AND(ISNUMBER(K169),ISNUMBER(S169)),K169*S169*52/12,"")</f>
        <v/>
      </c>
      <c r="U169" s="91" t="n">
        <v>4.3</v>
      </c>
      <c r="V169" s="85" t="n">
        <v>35</v>
      </c>
      <c r="W169" s="92" t="n">
        <v>46307</v>
      </c>
      <c r="X169" s="92" t="n"/>
      <c r="Y169" s="84" t="n"/>
      <c r="Z169" s="84" t="n"/>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N</t>
        </is>
      </c>
      <c r="AS169" s="95" t="inlineStr">
        <is>
          <t>none</t>
        </is>
      </c>
      <c r="AT169" s="101" t="n"/>
      <c r="AU169" s="96" t="n">
        <v>174.3</v>
      </c>
      <c r="AV169" s="95" t="inlineStr">
        <is>
          <t>none</t>
        </is>
      </c>
      <c r="AW169" s="95" t="inlineStr">
        <is>
          <t>Y</t>
        </is>
      </c>
      <c r="AX169" s="95" t="inlineStr">
        <is>
          <t>2026-10-13 23:37:06</t>
        </is>
      </c>
      <c r="AY169" s="97" t="inlineStr">
        <is>
          <t>None</t>
        </is>
      </c>
      <c r="AZ169" s="102" t="n"/>
      <c r="BA169" s="98" t="n">
        <v>174.3</v>
      </c>
      <c r="BB169" s="98" t="n">
        <v>174.3</v>
      </c>
      <c r="BC169" s="87">
        <f>IF(AND(ISNUMBER(BA169),ISNUMBER(BB169),N(BA169)&gt;0),1-BB169/BA169,"")</f>
        <v/>
      </c>
      <c r="BD169" s="99" t="n">
        <v>1047082</v>
      </c>
      <c r="BE169" s="99" t="n">
        <v>909398</v>
      </c>
      <c r="BF169" s="100">
        <f>IF(AND(ISNUMBER(BD169),ISNUMBER(BE169),N(BE169)&gt;0),BD169/BE169,"")</f>
        <v/>
      </c>
      <c r="BG169" s="97" t="inlineStr">
        <is>
          <t>N</t>
        </is>
      </c>
      <c r="BH169" s="97" t="inlineStr">
        <is>
          <t>List Price $174.30</t>
        </is>
      </c>
    </row>
    <row r="171" ht="20" customHeight="1">
      <c r="A171" s="54" t="inlineStr">
        <is>
          <t>5 · WHAT THIS MEANS FOR BFCM</t>
        </is>
      </c>
    </row>
    <row r="172" ht="30" customHeight="1">
      <c r="A172" s="104" t="inlineStr">
        <is>
          <t>•  Who sells most: Love's cabin ~924/wk at $37.99 (List $44.99, +18%); Bedsure ~809/wk at $62.99 (List $69.99, +11%); Pure Bamboo ~809/wk at $109.99; Hotel Sheets Direct ~347/wk at $79.99; KRIMANO ~185/wk at $84.99. Tracked rivals ~4,821 units/wk; we sell ~476/wk (9.0% of the tracked set).</t>
        </is>
      </c>
    </row>
    <row r="173" ht="18" customHeight="1">
      <c r="A173" s="104" t="inlineStr">
        <is>
          <t>•  Strikethrough: 14 of 46 rivals set a List Price above price; 3 within 12%: Bedsure +11%, AiAngu +7%, Kickoff Home +10%.</t>
        </is>
      </c>
    </row>
    <row r="174" ht="30" customHeight="1">
      <c r="A174" s="104" t="inlineStr">
        <is>
          <t>•  Price: 29 of 46 rivals sit below our price today (same size where the title states one). Cheapest strong rivals: Shilucheng $34.99, Shilucheng $37.90, BAMPURE $37.99, Love's cabin $37.99.</t>
        </is>
      </c>
    </row>
    <row r="175" ht="30" customHeight="1">
      <c r="A175" s="104" t="inlineStr">
        <is>
          <t>•  Strikethrough on the page today (Oct 13 check): 15 of 46 checked rivals show one: Bedsure List Price $69.99 vs $62.99 (+11%), Love's cabin List Price $44.99 vs $37.99 (+18%), TRUE BAMBOO List Price $129.99 vs $79.99 (+63%), Bedsure List Price $119.99 vs $89.99 (+33%), BAMPURE List Price $99.99 vs $67.98 (+47%) with deal, BEDELITE List Price $99.89 vs $84.98 (+18%) with deal.</t>
        </is>
      </c>
    </row>
    <row r="176" ht="30" customHeight="1">
      <c r="A176" s="104" t="inlineStr">
        <is>
          <t>•  Search: we lose most shared keywords to Bedsure (we win 174, lose 1559), Pure Bamboo (we win 155, lose 1506), Love's cabin (we win 267, lose 1198). Biggest ad gaps (they advertise where we don't or harder): Pure Bamboo 3,237 + 208 KWs, Bedsure 2,778 + 204 KWs, Bedsure 1,856 + 331 KWs.</t>
        </is>
      </c>
    </row>
    <row r="177" ht="30" customHeight="1">
      <c r="A177" s="104" t="inlineStr">
        <is>
          <t>•  Brand ads: Bedsure (SB 94%, SBV 65%), Pure Bamboo (SB 82%, SBV 88%), Bedsure (SB 98%, SBV 53%), BC BELLA COTERIE (SB 57%, SBV 56%), GOKOTTA (SB 8%, SBV 85%) hold Sponsored Brands / video on most of their traffic - the plan has our SB, SBV and display live by Nov 1.</t>
        </is>
      </c>
    </row>
    <row r="178" ht="18" customHeight="1">
      <c r="A178" s="104" t="inlineStr">
        <is>
          <t>•  Our BFCM 2025: 2.49x daily sales in BFCM week vs the 30 days before; TACoS 6.4% vs 7.4% before; December 1.36x.</t>
        </is>
      </c>
    </row>
    <row r="179" ht="18" customHeight="1">
      <c r="A179" s="104" t="inlineStr">
        <is>
          <t>•  Prime Day 2026: our organic visibility 1.44x vs rivals' median 1.25x (n=14) - we held or out-gained rivals.</t>
        </is>
      </c>
    </row>
    <row r="180" ht="30" customHeight="1">
      <c r="A180" s="104" t="inlineStr">
        <is>
          <t>•  BFCM 2025, 33 rivals with Keepa history: Prime Exclusive Discount 15, None 9, Price cut only 5, Coupon only 4. Median depth vs their Nov 1-19 price 16%; median BSR lift 1.18x. 8 raised their Buy Box in BFCM week, so their deal looked deeper than it was.</t>
        </is>
      </c>
    </row>
    <row r="181" ht="18" customHeight="1">
      <c r="A181" s="104" t="inlineStr">
        <is>
          <t>•  1 rival not in the Keepa pulls yet (yellow BFCM 2025 columns) - remaining P2 batches, AGENT_PROMPTS Prompt 2.</t>
        </is>
      </c>
    </row>
  </sheetData>
  <autoFilter ref="B123:BH169"/>
  <mergeCells count="72">
    <mergeCell ref="A15:BH15"/>
    <mergeCell ref="A108:C108"/>
    <mergeCell ref="L5:Q5"/>
    <mergeCell ref="A1:BH1"/>
    <mergeCell ref="A178:BH178"/>
    <mergeCell ref="Q11:T11"/>
    <mergeCell ref="L8:Q8"/>
    <mergeCell ref="L4:Q4"/>
    <mergeCell ref="D7:I7"/>
    <mergeCell ref="A13:D13"/>
    <mergeCell ref="A113:C113"/>
    <mergeCell ref="I13:L13"/>
    <mergeCell ref="A173:BH173"/>
    <mergeCell ref="A172:BH172"/>
    <mergeCell ref="A16:BH16"/>
    <mergeCell ref="A174:BH174"/>
    <mergeCell ref="D4:I4"/>
    <mergeCell ref="L10:Q10"/>
    <mergeCell ref="E12:H12"/>
    <mergeCell ref="Q13:T13"/>
    <mergeCell ref="X122:Z122"/>
    <mergeCell ref="A177:BH177"/>
    <mergeCell ref="D9:I9"/>
    <mergeCell ref="A118:BH118"/>
    <mergeCell ref="AR122:AX122"/>
    <mergeCell ref="U12:X12"/>
    <mergeCell ref="L9:Q9"/>
    <mergeCell ref="Q12:T12"/>
    <mergeCell ref="A106:C106"/>
    <mergeCell ref="A11:D11"/>
    <mergeCell ref="A109:C109"/>
    <mergeCell ref="I11:L11"/>
    <mergeCell ref="A120:BH120"/>
    <mergeCell ref="A3:BH3"/>
    <mergeCell ref="L6:Q6"/>
    <mergeCell ref="D8:I8"/>
    <mergeCell ref="A4:B9"/>
    <mergeCell ref="A105:BH105"/>
    <mergeCell ref="T6:Y6"/>
    <mergeCell ref="A112:C112"/>
    <mergeCell ref="AA122:AQ122"/>
    <mergeCell ref="A179:BH179"/>
    <mergeCell ref="A175:BH175"/>
    <mergeCell ref="D5:I5"/>
    <mergeCell ref="A111:C111"/>
    <mergeCell ref="A116:BH116"/>
    <mergeCell ref="M11:P11"/>
    <mergeCell ref="AY122:BH122"/>
    <mergeCell ref="U11:X11"/>
    <mergeCell ref="A114:C114"/>
    <mergeCell ref="K122:W122"/>
    <mergeCell ref="A181:BH181"/>
    <mergeCell ref="E13:H13"/>
    <mergeCell ref="A180:BH180"/>
    <mergeCell ref="D10:I10"/>
    <mergeCell ref="L7:Q7"/>
    <mergeCell ref="T5:Y5"/>
    <mergeCell ref="A107:C107"/>
    <mergeCell ref="A122:H122"/>
    <mergeCell ref="A121:BH121"/>
    <mergeCell ref="A171:BH171"/>
    <mergeCell ref="A12:D12"/>
    <mergeCell ref="M13:P13"/>
    <mergeCell ref="A115:BH115"/>
    <mergeCell ref="I12:L12"/>
    <mergeCell ref="U13:X13"/>
    <mergeCell ref="A117:BH117"/>
    <mergeCell ref="M12:P12"/>
    <mergeCell ref="T4:Y4"/>
    <mergeCell ref="D6:I6"/>
    <mergeCell ref="E11:H11"/>
    <mergeCell ref="A176:BH176"/>
  </mergeCells>
  <conditionalFormatting sqref="N124:N169">
    <cfRule type="expression" priority="1" dxfId="1">
      <formula>N124="&lt;=12% STR zone"</formula>
    </cfRule>
  </conditionalFormatting>
  <conditionalFormatting sqref="W124:W169">
    <cfRule type="expression" priority="2" dxfId="0">
      <formula>AND(ISNUMBER(W124),W124&lt;DATE(2026,10,6))</formula>
    </cfRule>
  </conditionalFormatting>
  <conditionalFormatting sqref="Q124:Q169">
    <cfRule type="expression" priority="3" dxfId="0">
      <formula>ISNUMBER(SEARCH("STALE",Q124))</formula>
    </cfRule>
  </conditionalFormatting>
  <conditionalFormatting sqref="P124:P169">
    <cfRule type="expression" priority="4" dxfId="0">
      <formula>AND(ISNUMBER(P124),P124&lt;0)</formula>
    </cfRule>
  </conditionalFormatting>
  <dataValidations count="3">
    <dataValidation sqref="AR124:AR169 BG124:BG169" showDropDown="0" showInputMessage="0" showErrorMessage="0" allowBlank="1" type="list">
      <formula1>"Y,N"</formula1>
    </dataValidation>
    <dataValidation sqref="AS124:AS169" showDropDown="0" showInputMessage="0" showErrorMessage="0" allowBlank="1" type="list">
      <formula1>"List Price,Typical price,Was price,None"</formula1>
    </dataValidation>
    <dataValidation sqref="AY124:AY1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BH13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Sheets 6 Piece  ·  Amazon.ca (CA)  ·  Bamboo  ·  BFCM role: Hero: rank and profit  ·  Scope: Core</t>
        </is>
      </c>
    </row>
    <row r="2">
      <c r="A2" s="53" t="inlineStr">
        <is>
          <t>← Dashboard</t>
        </is>
      </c>
    </row>
    <row r="3" ht="20" customHeight="1">
      <c r="A3" s="54" t="inlineStr">
        <is>
          <t>1 · OUR PRODUCT</t>
        </is>
      </c>
    </row>
    <row r="4" ht="34" customHeight="1">
      <c r="A4" s="10">
        <f>_xlfn.IMAGE("https://m.media-amazon.com/images/I/81JHZOIZl1L._AC_SL1500_.jpg")</f>
        <v/>
      </c>
      <c r="C4" s="11" t="inlineStr">
        <is>
          <t>Title</t>
        </is>
      </c>
      <c r="D4" s="12" t="inlineStr">
        <is>
          <t>DECOLURE 100% Organic Viscose Derived from Bamboo Sheets King Size 6pcs - Ultra Soft &amp; Luxuriously Cooling, 17" Deep Pocket, Double Stitching, Perfect for Hot Sleepers - King Bed Sheets (Taupe)</t>
        </is>
      </c>
      <c r="K4" s="11" t="inlineStr">
        <is>
          <t>Sizes</t>
        </is>
      </c>
      <c r="L4" s="55" t="inlineStr">
        <is>
          <t>California King, Full, King, Queen, Twin</t>
        </is>
      </c>
      <c r="S4" s="11" t="inlineStr">
        <is>
          <t>Break-even ACoS</t>
        </is>
      </c>
      <c r="T4" s="55" t="inlineStr">
        <is>
          <t>38%</t>
        </is>
      </c>
    </row>
    <row r="5" ht="22" customHeight="1">
      <c r="C5" s="11" t="inlineStr">
        <is>
          <t>Brand</t>
        </is>
      </c>
      <c r="D5" s="55" t="inlineStr">
        <is>
          <t>Decolure</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714</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B0CQ31D5FM (one of our child ASINs, not the Amazon parent)</t>
        </is>
      </c>
    </row>
    <row r="7" ht="22" customHeight="1">
      <c r="C7" s="11" t="inlineStr">
        <is>
          <t>Parent ASIN (Amazon)</t>
        </is>
      </c>
      <c r="D7" s="55" t="inlineStr">
        <is>
          <t>B0D71YJYNL</t>
        </is>
      </c>
      <c r="K7" s="11" t="inlineStr">
        <is>
          <t>Rating / reviews now</t>
        </is>
      </c>
      <c r="L7" s="55" t="inlineStr">
        <is>
          <t>Not checked yet</t>
        </is>
      </c>
    </row>
    <row r="8" ht="22" customHeight="1">
      <c r="C8" s="11" t="inlineStr">
        <is>
          <t>Best-selling child ASIN</t>
        </is>
      </c>
      <c r="D8" s="55" t="inlineStr">
        <is>
          <t>B0CQ3178D7</t>
        </is>
      </c>
      <c r="K8" s="11" t="inlineStr">
        <is>
          <t>Live prices held</t>
        </is>
      </c>
      <c r="L8" s="55" t="inlineStr">
        <is>
          <t>0 of 81 variations</t>
        </is>
      </c>
    </row>
    <row r="9" ht="22" customHeight="1">
      <c r="C9" s="11" t="inlineStr">
        <is>
          <t>Stage</t>
        </is>
      </c>
      <c r="D9" s="55" t="inlineStr">
        <is>
          <t>Re-Launch</t>
        </is>
      </c>
      <c r="K9" s="11" t="inlineStr">
        <is>
          <t>Blended price (Command Center)</t>
        </is>
      </c>
      <c r="L9" s="55" t="inlineStr">
        <is>
          <t>$92.62 - fee feed as of 2026-03-30, STALE</t>
        </is>
      </c>
    </row>
    <row r="10">
      <c r="C10" s="11" t="inlineStr">
        <is>
          <t>Total variations (SKUs)</t>
        </is>
      </c>
      <c r="D10" s="55" t="n">
        <v>80</v>
      </c>
      <c r="K10" s="11" t="inlineStr">
        <is>
          <t>Contribution / unit</t>
        </is>
      </c>
      <c r="L10" s="55" t="inlineStr">
        <is>
          <t>$35.16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3.07x</t>
        </is>
      </c>
      <c r="E12" s="57" t="inlineStr">
        <is>
          <t>6.1%</t>
        </is>
      </c>
      <c r="I12" s="57" t="inlineStr">
        <is>
          <t>1.27x</t>
        </is>
      </c>
      <c r="M12" s="57" t="inlineStr">
        <is>
          <t>8</t>
        </is>
      </c>
      <c r="Q12" s="57" t="inlineStr">
        <is>
          <t>1</t>
        </is>
      </c>
      <c r="U12" s="57" t="inlineStr">
        <is>
          <t>0 of 8</t>
        </is>
      </c>
    </row>
    <row r="13">
      <c r="A13" s="58" t="inlineStr">
        <is>
          <t>daily sales, BFCM wk vs 30 days before (SellerBoard actual)</t>
        </is>
      </c>
      <c r="E13" s="58" t="inlineStr">
        <is>
          <t>vs 12.5%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(81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_xlfn.IMAGE("https://m.media-amazon.com/images/I/81fJLSDJpFL.jpg")</f>
        <v/>
      </c>
      <c r="B18" s="32" t="inlineStr">
        <is>
          <t>B0CQ2XQF9N</t>
        </is>
      </c>
      <c r="C18" s="32" t="inlineStr">
        <is>
          <t>BAMBOO-KING-WHITE-6PCS</t>
        </is>
      </c>
      <c r="D18" s="32" t="inlineStr">
        <is>
          <t>DECOLURE 100% Organic Viscose Derived from Bamboo Sheets King Size 6pcs - Ultra Soft &amp; Luxuriously Cooling, 17" Deep Pocket, Double Stitching, Perfect for Hot Sleepers - King Bed Sheets (White)</t>
        </is>
      </c>
      <c r="E18" s="32" t="inlineStr">
        <is>
          <t>King</t>
        </is>
      </c>
      <c r="F18" s="32" t="inlineStr">
        <is>
          <t>White</t>
        </is>
      </c>
      <c r="G18" s="33" t="n"/>
      <c r="H18" s="32" t="n"/>
      <c r="I18" s="61" t="n">
        <v>99.98999999999999</v>
      </c>
      <c r="J18" s="62" t="inlineStr">
        <is>
          <t>2026-03-30</t>
        </is>
      </c>
      <c r="K18" s="33" t="n">
        <v>33.13999999999999</v>
      </c>
      <c r="L18" s="63" t="n">
        <v>0.3314331433143314</v>
      </c>
      <c r="M18" s="64" t="n">
        <v>66</v>
      </c>
      <c r="N18" s="32" t="inlineStr">
        <is>
          <t>Active</t>
        </is>
      </c>
      <c r="O18" s="32" t="n"/>
      <c r="P18" s="65" t="n"/>
      <c r="Q18" s="64" t="n"/>
      <c r="R18" s="64" t="n"/>
      <c r="S18" s="64" t="n"/>
      <c r="T18" s="32" t="n"/>
    </row>
    <row r="19" ht="62" customHeight="1">
      <c r="A19" s="10">
        <f>_xlfn.IMAGE("https://m.media-amazon.com/images/I/81JHZOIZl1L.jpg")</f>
        <v/>
      </c>
      <c r="B19" s="32" t="inlineStr">
        <is>
          <t>B0CQ3178D7</t>
        </is>
      </c>
      <c r="C19" s="32" t="inlineStr">
        <is>
          <t>BAMBOO-KING-TAUPE-6PCS</t>
        </is>
      </c>
      <c r="D19" s="32" t="inlineStr">
        <is>
          <t>DECOLURE 100% Organic Viscose Derived from Bamboo Sheets King Size 6pcs - Ultra Soft &amp; Luxuriously Cooling, 17" Deep Pocket, Double Stitching, Perfect for Hot Sleepers - King Bed Sheets (Taupe)</t>
        </is>
      </c>
      <c r="E19" s="32" t="inlineStr">
        <is>
          <t>King</t>
        </is>
      </c>
      <c r="F19" s="32" t="inlineStr">
        <is>
          <t>Taupe</t>
        </is>
      </c>
      <c r="G19" s="33" t="n"/>
      <c r="H19" s="32" t="n"/>
      <c r="I19" s="61" t="n">
        <v>117.12</v>
      </c>
      <c r="J19" s="62" t="inlineStr">
        <is>
          <t>2026-03-30</t>
        </is>
      </c>
      <c r="K19" s="33" t="n">
        <v>48.98000000000001</v>
      </c>
      <c r="L19" s="63" t="n">
        <v>0.4182035519125684</v>
      </c>
      <c r="M19" s="64" t="n">
        <v>58</v>
      </c>
      <c r="N19" s="32" t="inlineStr">
        <is>
          <t>Active</t>
        </is>
      </c>
      <c r="O19" s="32" t="n"/>
      <c r="P19" s="65" t="n"/>
      <c r="Q19" s="64" t="n"/>
      <c r="R19" s="64" t="n"/>
      <c r="S19" s="64" t="n"/>
      <c r="T19" s="32" t="n"/>
    </row>
    <row r="20" ht="62" customHeight="1">
      <c r="A20" s="10">
        <f>_xlfn.IMAGE("https://m.media-amazon.com/images/I/81fJLSDJpFL.jpg")</f>
        <v/>
      </c>
      <c r="B20" s="32" t="inlineStr">
        <is>
          <t>B0CQ2ZWGNQ</t>
        </is>
      </c>
      <c r="C20" s="32" t="inlineStr">
        <is>
          <t>BAMBOO-QUEEN-WHITE-6PCS</t>
        </is>
      </c>
      <c r="D20" s="32" t="inlineStr">
        <is>
          <t>DECOLURE 100% Organic Viscose Derived from Bamboo Sheets Queen Size 6pcs - Ultra Soft &amp; Luxuriously Cooling, 17" Deep Pocket, Double Stitching, Perfect for Hot Sleepers - Queen Bed Sheets (White)</t>
        </is>
      </c>
      <c r="E20" s="32" t="inlineStr">
        <is>
          <t>Queen</t>
        </is>
      </c>
      <c r="F20" s="32" t="inlineStr">
        <is>
          <t>White</t>
        </is>
      </c>
      <c r="G20" s="33" t="n"/>
      <c r="H20" s="32" t="n"/>
      <c r="I20" s="61" t="n">
        <v>114.72</v>
      </c>
      <c r="J20" s="62" t="inlineStr">
        <is>
          <t>2026-03-30</t>
        </is>
      </c>
      <c r="K20" s="33" t="n">
        <v>58.2</v>
      </c>
      <c r="L20" s="63" t="n">
        <v>0.5073221757322175</v>
      </c>
      <c r="M20" s="64" t="n">
        <v>45</v>
      </c>
      <c r="N20" s="32" t="inlineStr">
        <is>
          <t>Active</t>
        </is>
      </c>
      <c r="O20" s="32" t="n"/>
      <c r="P20" s="65" t="n"/>
      <c r="Q20" s="64" t="n"/>
      <c r="R20" s="64" t="n"/>
      <c r="S20" s="64" t="n"/>
      <c r="T20" s="32" t="n"/>
    </row>
    <row r="21" ht="62" customHeight="1">
      <c r="A21" s="10">
        <f>_xlfn.IMAGE("https://m.media-amazon.com/images/I/81qE6QSwrML.jpg")</f>
        <v/>
      </c>
      <c r="B21" s="32" t="inlineStr">
        <is>
          <t>B0CQ316YRY</t>
        </is>
      </c>
      <c r="C21" s="32" t="inlineStr">
        <is>
          <t>BAMBOO-KING-NAVYBLUE-6PCS</t>
        </is>
      </c>
      <c r="D21" s="32" t="inlineStr">
        <is>
          <t>DECOLURE 100% Viscose Derived from Bamboo Sheets King Size - Luxury 6 Pc Naturally Cooling Sheets, Ultra Soft Bed Set - Deep 17" Pockets, Durable Double Stitching, Oeko Tex Standard (Navy Blue)</t>
        </is>
      </c>
      <c r="E21" s="32" t="inlineStr">
        <is>
          <t>King</t>
        </is>
      </c>
      <c r="F21" s="32" t="inlineStr">
        <is>
          <t>Navy Blue</t>
        </is>
      </c>
      <c r="G21" s="33" t="n"/>
      <c r="H21" s="32" t="n"/>
      <c r="I21" s="61" t="n">
        <v>117.12</v>
      </c>
      <c r="J21" s="62" t="inlineStr">
        <is>
          <t>2026-03-06</t>
        </is>
      </c>
      <c r="K21" s="33" t="n">
        <v>55.3</v>
      </c>
      <c r="L21" s="63" t="n">
        <v>0.4721653005464481</v>
      </c>
      <c r="M21" s="64" t="n">
        <v>41</v>
      </c>
      <c r="N21" s="32" t="inlineStr">
        <is>
          <t>Active</t>
        </is>
      </c>
      <c r="O21" s="32" t="n"/>
      <c r="P21" s="65" t="n"/>
      <c r="Q21" s="64" t="n"/>
      <c r="R21" s="64" t="n"/>
      <c r="S21" s="64" t="n"/>
      <c r="T21" s="32" t="n"/>
    </row>
    <row r="22" ht="62" customHeight="1">
      <c r="A22" s="10">
        <f>_xlfn.IMAGE("https://m.media-amazon.com/images/I/81JHZOIZl1L.jpg")</f>
        <v/>
      </c>
      <c r="B22" s="32" t="inlineStr">
        <is>
          <t>B0CQ33198K</t>
        </is>
      </c>
      <c r="C22" s="32" t="inlineStr">
        <is>
          <t>BAMBOO-QUEEN-TAUPE-6PCS</t>
        </is>
      </c>
      <c r="D22" s="32" t="inlineStr">
        <is>
          <t>DECOLURE 100% Organic Viscose Derived from Bamboo Sheets Queen Size 6pcs - Ultra Soft &amp; Luxuriously Cooling, 17" Deep Pocket, Double Stitching, Perfect for Hot Sleepers - Queen Bed Sheets (Taupe)</t>
        </is>
      </c>
      <c r="E22" s="32" t="inlineStr">
        <is>
          <t>Queen</t>
        </is>
      </c>
      <c r="F22" s="32" t="inlineStr">
        <is>
          <t>Taupe</t>
        </is>
      </c>
      <c r="G22" s="33" t="n"/>
      <c r="H22" s="32" t="n"/>
      <c r="I22" s="61" t="n">
        <v>99.98999999999999</v>
      </c>
      <c r="J22" s="62" t="inlineStr">
        <is>
          <t>2026-03-30</t>
        </is>
      </c>
      <c r="K22" s="33" t="n">
        <v>46.77999999999999</v>
      </c>
      <c r="L22" s="63" t="n">
        <v>0.4678467846784677</v>
      </c>
      <c r="M22" s="64" t="n">
        <v>33</v>
      </c>
      <c r="N22" s="32" t="inlineStr">
        <is>
          <t>Active</t>
        </is>
      </c>
      <c r="O22" s="32" t="n"/>
      <c r="P22" s="65" t="n"/>
      <c r="Q22" s="64" t="n"/>
      <c r="R22" s="64" t="n"/>
      <c r="S22" s="64" t="n"/>
      <c r="T22" s="32" t="n"/>
    </row>
    <row r="23" ht="62" customHeight="1">
      <c r="A23" s="10">
        <f>_xlfn.IMAGE("https://m.media-amazon.com/images/I/81PXZ9VB3EL.jpg")</f>
        <v/>
      </c>
      <c r="B23" s="32" t="inlineStr">
        <is>
          <t>B0CQ33KG5X</t>
        </is>
      </c>
      <c r="C23" s="32" t="inlineStr">
        <is>
          <t>BAMBOO-KING-CREME-6PCS</t>
        </is>
      </c>
      <c r="D23" s="32" t="inlineStr">
        <is>
          <t>DECOLURE 100% Organic Viscose Derived from Bamboo Sheets King Size 6pcs - Ultra Soft &amp; Luxuriously Cooling, 17" Deep Pocket, Double Stitching, Perfect for Hot Sleepers - King Bed Sheets (Creme)</t>
        </is>
      </c>
      <c r="E23" s="32" t="inlineStr">
        <is>
          <t>King</t>
        </is>
      </c>
      <c r="F23" s="32" t="inlineStr">
        <is>
          <t>Creme</t>
        </is>
      </c>
      <c r="G23" s="33" t="n"/>
      <c r="H23" s="32" t="n"/>
      <c r="I23" s="61" t="n">
        <v>76.48999999999999</v>
      </c>
      <c r="J23" s="62" t="inlineStr">
        <is>
          <t>2026-03-30</t>
        </is>
      </c>
      <c r="K23" s="33" t="n">
        <v>20.02</v>
      </c>
      <c r="L23" s="63" t="n">
        <v>0.2617335599424761</v>
      </c>
      <c r="M23" s="64" t="n">
        <v>30</v>
      </c>
      <c r="N23" s="32" t="inlineStr">
        <is>
          <t>Active</t>
        </is>
      </c>
      <c r="O23" s="32" t="n"/>
      <c r="P23" s="65" t="n"/>
      <c r="Q23" s="64" t="n"/>
      <c r="R23" s="64" t="n"/>
      <c r="S23" s="64" t="n"/>
      <c r="T23" s="32" t="n"/>
    </row>
    <row r="24" ht="62" customHeight="1">
      <c r="A24" s="10">
        <f>_xlfn.IMAGE("https://m.media-amazon.com/images/I/81fJLSDJpFL.jpg")</f>
        <v/>
      </c>
      <c r="B24" s="32" t="inlineStr">
        <is>
          <t>B0CQ31Q559</t>
        </is>
      </c>
      <c r="C24" s="32" t="inlineStr">
        <is>
          <t>BAMBOO-FULL-WHITE-6PCS</t>
        </is>
      </c>
      <c r="D24" s="32" t="inlineStr">
        <is>
          <t>DECOLURE 100% Organic Viscose Derived from Bamboo Sheets Full Size 6pcs - Ultra Soft &amp; Luxuriously Cooling, 17" Deep Pocket, Double Stitching, Perfect for Hot Sleepers - Full Bed Sheets (White)</t>
        </is>
      </c>
      <c r="E24" s="32" t="inlineStr">
        <is>
          <t>Full</t>
        </is>
      </c>
      <c r="F24" s="32" t="inlineStr">
        <is>
          <t>White</t>
        </is>
      </c>
      <c r="G24" s="33" t="n"/>
      <c r="H24" s="32" t="n"/>
      <c r="I24" s="61" t="n">
        <v>76.48</v>
      </c>
      <c r="J24" s="62" t="inlineStr">
        <is>
          <t>2026-03-30</t>
        </is>
      </c>
      <c r="K24" s="33" t="n">
        <v>22.57</v>
      </c>
      <c r="L24" s="63" t="n">
        <v>0.2951098326359833</v>
      </c>
      <c r="M24" s="64" t="n">
        <v>27</v>
      </c>
      <c r="N24" s="32" t="inlineStr">
        <is>
          <t>Active</t>
        </is>
      </c>
      <c r="O24" s="32" t="n"/>
      <c r="P24" s="65" t="n"/>
      <c r="Q24" s="64" t="n"/>
      <c r="R24" s="64" t="n"/>
      <c r="S24" s="64" t="n"/>
      <c r="T24" s="32" t="n"/>
    </row>
    <row r="25" ht="62" customHeight="1">
      <c r="A25" s="10">
        <f>_xlfn.IMAGE("https://m.media-amazon.com/images/I/81+83kJjC0L.jpg")</f>
        <v/>
      </c>
      <c r="B25" s="32" t="inlineStr">
        <is>
          <t>B0CQ33C286</t>
        </is>
      </c>
      <c r="C25" s="32" t="inlineStr">
        <is>
          <t>BAMBOO-QUEEN-CHARCOAL-6PCS</t>
        </is>
      </c>
      <c r="D25" s="32" t="inlineStr">
        <is>
          <t>DECOLURE 100% Organic Viscose Derived from Bamboo Sheets Queen Size 6pcs - Ultra Soft &amp; Luxuriously Cooling, 17" Deep Pocket, Double Stitching, Perfect for Hot Sleepers - Queen Bed Sheets (Charcoal)</t>
        </is>
      </c>
      <c r="E25" s="32" t="inlineStr">
        <is>
          <t>Queen</t>
        </is>
      </c>
      <c r="F25" s="32" t="inlineStr">
        <is>
          <t>Charcoal</t>
        </is>
      </c>
      <c r="G25" s="33" t="n"/>
      <c r="H25" s="32" t="n"/>
      <c r="I25" s="61" t="n">
        <v>99.98999999999999</v>
      </c>
      <c r="J25" s="62" t="inlineStr">
        <is>
          <t>2026-03-30</t>
        </is>
      </c>
      <c r="K25" s="33" t="n">
        <v>44.55</v>
      </c>
      <c r="L25" s="63" t="n">
        <v>0.4455445544554456</v>
      </c>
      <c r="M25" s="64" t="n">
        <v>27</v>
      </c>
      <c r="N25" s="32" t="inlineStr">
        <is>
          <t>Active</t>
        </is>
      </c>
      <c r="O25" s="32" t="n"/>
      <c r="P25" s="65" t="n"/>
      <c r="Q25" s="64" t="n"/>
      <c r="R25" s="64" t="n"/>
      <c r="S25" s="64" t="n"/>
      <c r="T25" s="32" t="n"/>
    </row>
    <row r="26" ht="62" customHeight="1">
      <c r="A26" s="10">
        <f>_xlfn.IMAGE("https://m.media-amazon.com/images/I/81MRRHk3q4L.jpg")</f>
        <v/>
      </c>
      <c r="B26" s="32" t="inlineStr">
        <is>
          <t>B0CQ32F3HY</t>
        </is>
      </c>
      <c r="C26" s="32" t="inlineStr">
        <is>
          <t>BAMBOO-QUEEN-LIGHTBLUE-6PCS</t>
        </is>
      </c>
      <c r="D26" s="32" t="inlineStr">
        <is>
          <t>DECOLURE 100% Organic Viscose Derived from Bamboo Sheets Queen Size 6pcs - Ultra Soft &amp; Luxuriously Cooling, 17" Deep Pocket, Double Stitching, Perfect for Hot Sleepers - Queen Bed Sheets (Light Blue)</t>
        </is>
      </c>
      <c r="E26" s="32" t="inlineStr">
        <is>
          <t>Queen</t>
        </is>
      </c>
      <c r="F26" s="32" t="inlineStr">
        <is>
          <t>Light Blue</t>
        </is>
      </c>
      <c r="G26" s="33" t="n"/>
      <c r="H26" s="32" t="n"/>
      <c r="I26" s="61" t="n">
        <v>76.48999999999999</v>
      </c>
      <c r="J26" s="62" t="inlineStr">
        <is>
          <t>2026-03-30</t>
        </is>
      </c>
      <c r="K26" s="33" t="n">
        <v>25.83</v>
      </c>
      <c r="L26" s="63" t="n">
        <v>0.3376912014642437</v>
      </c>
      <c r="M26" s="64" t="n">
        <v>26</v>
      </c>
      <c r="N26" s="32" t="inlineStr">
        <is>
          <t>Active</t>
        </is>
      </c>
      <c r="O26" s="32" t="n"/>
      <c r="P26" s="65" t="n"/>
      <c r="Q26" s="64" t="n"/>
      <c r="R26" s="64" t="n"/>
      <c r="S26" s="64" t="n"/>
      <c r="T26" s="32" t="n"/>
    </row>
    <row r="27" ht="62" customHeight="1">
      <c r="A27" s="10">
        <f>_xlfn.IMAGE("https://m.media-amazon.com/images/I/813aFqxnKrL.jpg")</f>
        <v/>
      </c>
      <c r="B27" s="32" t="inlineStr">
        <is>
          <t>B0CQ32B24Y</t>
        </is>
      </c>
      <c r="C27" s="32" t="inlineStr">
        <is>
          <t>BAMBOO-QUEEN-OLIVE-6PCS</t>
        </is>
      </c>
      <c r="D27" s="32" t="inlineStr">
        <is>
          <t>DECOLURE 100% Organic Viscose Derived from Bamboo Sheets Queen Size 6pcs - Ultra Soft &amp; Luxuriously Cooling, 17" Deep Pocket, Double Stitching, Perfect for Hot Sleepers - Queen Bed Sheets (Olive)</t>
        </is>
      </c>
      <c r="E27" s="32" t="inlineStr">
        <is>
          <t>Queen</t>
        </is>
      </c>
      <c r="F27" s="32" t="inlineStr">
        <is>
          <t>Olive</t>
        </is>
      </c>
      <c r="G27" s="33" t="n"/>
      <c r="H27" s="32" t="n"/>
      <c r="I27" s="61" t="n">
        <v>79.98999999999999</v>
      </c>
      <c r="J27" s="62" t="inlineStr">
        <is>
          <t>2026-03-30</t>
        </is>
      </c>
      <c r="K27" s="33" t="n">
        <v>28.78999999999999</v>
      </c>
      <c r="L27" s="63" t="n">
        <v>0.3599199899987497</v>
      </c>
      <c r="M27" s="64" t="n">
        <v>26</v>
      </c>
      <c r="N27" s="32" t="inlineStr">
        <is>
          <t>Active</t>
        </is>
      </c>
      <c r="O27" s="32" t="n"/>
      <c r="P27" s="65" t="n"/>
      <c r="Q27" s="64" t="n"/>
      <c r="R27" s="64" t="n"/>
      <c r="S27" s="64" t="n"/>
      <c r="T27" s="32" t="n"/>
    </row>
    <row r="28" ht="62" customHeight="1">
      <c r="A28" s="10">
        <f>_xlfn.IMAGE("https://m.media-amazon.com/images/I/81+83kJjC0L.jpg")</f>
        <v/>
      </c>
      <c r="B28" s="32" t="inlineStr">
        <is>
          <t>B0CQ2ZZW88</t>
        </is>
      </c>
      <c r="C28" s="32" t="inlineStr">
        <is>
          <t>BAMBOO-KING-CHARCOAL-6PCS</t>
        </is>
      </c>
      <c r="D28" s="32" t="inlineStr">
        <is>
          <t>DECOLURE 100% Organic Viscose Derived from Bamboo Sheets King Size 6pcs - Ultra Soft &amp; Luxuriously Cooling, 17" Deep Pocket, Double Stitching, Perfect for Hot Sleepers - King Bed Sheets (Charcoal)</t>
        </is>
      </c>
      <c r="E28" s="32" t="inlineStr">
        <is>
          <t>King</t>
        </is>
      </c>
      <c r="F28" s="32" t="inlineStr">
        <is>
          <t>Charcoal</t>
        </is>
      </c>
      <c r="G28" s="33" t="n"/>
      <c r="H28" s="32" t="n"/>
      <c r="I28" s="61" t="n">
        <v>99.98999999999999</v>
      </c>
      <c r="J28" s="62" t="inlineStr">
        <is>
          <t>2026-03-30</t>
        </is>
      </c>
      <c r="K28" s="33" t="n">
        <v>39.91999999999999</v>
      </c>
      <c r="L28" s="63" t="n">
        <v>0.3992399239923992</v>
      </c>
      <c r="M28" s="64" t="n">
        <v>25</v>
      </c>
      <c r="N28" s="32" t="inlineStr">
        <is>
          <t>Active</t>
        </is>
      </c>
      <c r="O28" s="32" t="n"/>
      <c r="P28" s="65" t="n"/>
      <c r="Q28" s="64" t="n"/>
      <c r="R28" s="64" t="n"/>
      <c r="S28" s="64" t="n"/>
      <c r="T28" s="32" t="n"/>
    </row>
    <row r="29" ht="62" customHeight="1">
      <c r="A29" s="10">
        <f>_xlfn.IMAGE("https://m.media-amazon.com/images/I/81PXZ9VB3EL.jpg")</f>
        <v/>
      </c>
      <c r="B29" s="32" t="inlineStr">
        <is>
          <t>B0CQ32Z6VP</t>
        </is>
      </c>
      <c r="C29" s="32" t="inlineStr">
        <is>
          <t>BAMBOO-QUEEN-CREME-6PCS</t>
        </is>
      </c>
      <c r="D29" s="32" t="inlineStr">
        <is>
          <t>DECOLURE 100% Organic Viscose Derived from Bamboo Sheets Queen Size 6pcs - Ultra Soft &amp; Luxuriously Cooling, 17" Deep Pocket, Double Stitching, Perfect for Hot Sleepers - Queen Bed Sheets (Creme)</t>
        </is>
      </c>
      <c r="E29" s="32" t="inlineStr">
        <is>
          <t>Queen</t>
        </is>
      </c>
      <c r="F29" s="32" t="inlineStr">
        <is>
          <t>Creme</t>
        </is>
      </c>
      <c r="G29" s="33" t="n"/>
      <c r="H29" s="32" t="n"/>
      <c r="I29" s="61" t="n">
        <v>76.48999999999999</v>
      </c>
      <c r="J29" s="62" t="inlineStr">
        <is>
          <t>2026-03-30</t>
        </is>
      </c>
      <c r="K29" s="33" t="n">
        <v>25.94</v>
      </c>
      <c r="L29" s="63" t="n">
        <v>0.3391292979474441</v>
      </c>
      <c r="M29" s="64" t="n">
        <v>25</v>
      </c>
      <c r="N29" s="32" t="inlineStr">
        <is>
          <t>Active</t>
        </is>
      </c>
      <c r="O29" s="32" t="n"/>
      <c r="P29" s="65" t="n"/>
      <c r="Q29" s="64" t="n"/>
      <c r="R29" s="64" t="n"/>
      <c r="S29" s="64" t="n"/>
      <c r="T29" s="32" t="n"/>
    </row>
    <row r="30" ht="62" customHeight="1">
      <c r="A30" s="10">
        <f>_xlfn.IMAGE("https://m.media-amazon.com/images/I/81KfdRGP46L.jpg")</f>
        <v/>
      </c>
      <c r="B30" s="32" t="inlineStr">
        <is>
          <t>B0CQ32NPF5</t>
        </is>
      </c>
      <c r="C30" s="32" t="inlineStr">
        <is>
          <t>BAMBOO-KING-BURGUNDY-6PCS</t>
        </is>
      </c>
      <c r="D30" s="32" t="inlineStr">
        <is>
          <t>DECOLURE 100% Organic Viscose Derived from Bamboo Sheets King Size 6pcs - Ultra Soft &amp; Luxuriously Cooling, 17" Deep Pocket, Double Stitching, Perfect for Hot Sleepers - King Bed Sheets (Burgundy)</t>
        </is>
      </c>
      <c r="E30" s="32" t="inlineStr">
        <is>
          <t>King</t>
        </is>
      </c>
      <c r="F30" s="32" t="inlineStr">
        <is>
          <t>Burgundy</t>
        </is>
      </c>
      <c r="G30" s="33" t="n"/>
      <c r="H30" s="32" t="n"/>
      <c r="I30" s="33" t="n"/>
      <c r="J30" s="32" t="n"/>
      <c r="K30" s="33" t="n"/>
      <c r="L30" s="63" t="n"/>
      <c r="M30" s="64" t="n">
        <v>23</v>
      </c>
      <c r="N30" s="32" t="inlineStr">
        <is>
          <t>Active</t>
        </is>
      </c>
      <c r="O30" s="32" t="n"/>
      <c r="P30" s="65" t="n"/>
      <c r="Q30" s="64" t="n"/>
      <c r="R30" s="64" t="n"/>
      <c r="S30" s="64" t="n"/>
      <c r="T30" s="32" t="n"/>
    </row>
    <row r="31" ht="62" customHeight="1">
      <c r="A31" s="10">
        <f>_xlfn.IMAGE("https://m.media-amazon.com/images/I/81I312usunL.jpg")</f>
        <v/>
      </c>
      <c r="B31" s="32" t="inlineStr">
        <is>
          <t>B0CQ33H4QW</t>
        </is>
      </c>
      <c r="C31" s="32" t="inlineStr">
        <is>
          <t>BAMBOO-KING-LIGHTGREY-6PCS</t>
        </is>
      </c>
      <c r="D31" s="32" t="inlineStr">
        <is>
          <t>DECOLURE 100% Organic Viscose Derived from Bamboo Sheets King Size 6pcs - Ultra Soft &amp; Luxuriously Cooling, 17" Deep Pocket, Double Stitching, Perfect for Hot Sleepers - King Bed Sheets (Light Grey)</t>
        </is>
      </c>
      <c r="E31" s="32" t="inlineStr">
        <is>
          <t>King</t>
        </is>
      </c>
      <c r="F31" s="32" t="inlineStr">
        <is>
          <t>Light Grey</t>
        </is>
      </c>
      <c r="G31" s="33" t="n"/>
      <c r="H31" s="32" t="n"/>
      <c r="I31" s="61" t="n">
        <v>79.98999999999999</v>
      </c>
      <c r="J31" s="62" t="inlineStr">
        <is>
          <t>2026-03-30</t>
        </is>
      </c>
      <c r="K31" s="33" t="n">
        <v>23.09</v>
      </c>
      <c r="L31" s="63" t="n">
        <v>0.2886610826353294</v>
      </c>
      <c r="M31" s="64" t="n">
        <v>22</v>
      </c>
      <c r="N31" s="32" t="inlineStr">
        <is>
          <t>Active</t>
        </is>
      </c>
      <c r="O31" s="32" t="n"/>
      <c r="P31" s="65" t="n"/>
      <c r="Q31" s="64" t="n"/>
      <c r="R31" s="64" t="n"/>
      <c r="S31" s="64" t="n"/>
      <c r="T31" s="32" t="n"/>
    </row>
    <row r="32" ht="62" customHeight="1">
      <c r="A32" s="10">
        <f>_xlfn.IMAGE("https://m.media-amazon.com/images/I/81C7Qfwu1WL.jpg")</f>
        <v/>
      </c>
      <c r="B32" s="32" t="inlineStr">
        <is>
          <t>B0CQ31XHCV</t>
        </is>
      </c>
      <c r="C32" s="32" t="inlineStr">
        <is>
          <t>BAMBOO-QUEEN-GREY-6PCS</t>
        </is>
      </c>
      <c r="D32" s="32" t="inlineStr">
        <is>
          <t>DECOLURE 100% Organic Viscose Derived from Bamboo Sheets Queen Size 6pcs - Ultra Soft &amp; Luxuriously Cooling, 17" Deep Pocket, Double Stitching, Perfect for Hot Sleepers - Queen Bed Sheets (Grey)</t>
        </is>
      </c>
      <c r="E32" s="32" t="inlineStr">
        <is>
          <t>Queen</t>
        </is>
      </c>
      <c r="F32" s="32" t="inlineStr">
        <is>
          <t>Grey</t>
        </is>
      </c>
      <c r="G32" s="33" t="n"/>
      <c r="H32" s="32" t="n"/>
      <c r="I32" s="61" t="n">
        <v>94.93000000000001</v>
      </c>
      <c r="J32" s="62" t="inlineStr">
        <is>
          <t>2026-03-30</t>
        </is>
      </c>
      <c r="K32" s="33" t="n">
        <v>36.66000000000001</v>
      </c>
      <c r="L32" s="63" t="n">
        <v>0.3861792900031603</v>
      </c>
      <c r="M32" s="64" t="n">
        <v>21</v>
      </c>
      <c r="N32" s="32" t="inlineStr">
        <is>
          <t>Active</t>
        </is>
      </c>
      <c r="O32" s="32" t="n"/>
      <c r="P32" s="65" t="n"/>
      <c r="Q32" s="64" t="n"/>
      <c r="R32" s="64" t="n"/>
      <c r="S32" s="64" t="n"/>
      <c r="T32" s="32" t="n"/>
    </row>
    <row r="33" ht="62" customHeight="1">
      <c r="A33" s="10">
        <f>_xlfn.IMAGE("https://m.media-amazon.com/images/I/817PHsMlA6L.jpg")</f>
        <v/>
      </c>
      <c r="B33" s="32" t="inlineStr">
        <is>
          <t>B0CQ331L15</t>
        </is>
      </c>
      <c r="C33" s="32" t="inlineStr">
        <is>
          <t>BAMBOO-KING-BLACK-6PCS</t>
        </is>
      </c>
      <c r="D33" s="32" t="inlineStr">
        <is>
          <t>DECOLURE 100% Organic Viscose Derived from Bamboo Sheets King Size 6pcs - Ultra Soft &amp; Luxuriously Cooling, 17" Deep Pocket, Double Stitching, Perfect for Hot Sleepers - King Bed Sheets (Black)</t>
        </is>
      </c>
      <c r="E33" s="32" t="inlineStr">
        <is>
          <t>King</t>
        </is>
      </c>
      <c r="F33" s="32" t="inlineStr">
        <is>
          <t>Black</t>
        </is>
      </c>
      <c r="G33" s="33" t="n"/>
      <c r="H33" s="32" t="n"/>
      <c r="I33" s="61" t="n">
        <v>76.48999999999999</v>
      </c>
      <c r="J33" s="62" t="inlineStr">
        <is>
          <t>2026-03-30</t>
        </is>
      </c>
      <c r="K33" s="33" t="n">
        <v>19.31</v>
      </c>
      <c r="L33" s="63" t="n">
        <v>0.252451300823637</v>
      </c>
      <c r="M33" s="64" t="n">
        <v>18</v>
      </c>
      <c r="N33" s="32" t="inlineStr">
        <is>
          <t>Active</t>
        </is>
      </c>
      <c r="O33" s="32" t="n"/>
      <c r="P33" s="65" t="n"/>
      <c r="Q33" s="64" t="n"/>
      <c r="R33" s="64" t="n"/>
      <c r="S33" s="64" t="n"/>
      <c r="T33" s="32" t="n"/>
    </row>
    <row r="34" ht="62" customHeight="1">
      <c r="A34" s="10">
        <f>_xlfn.IMAGE("https://m.media-amazon.com/images/I/81bS-hq76OL.jpg")</f>
        <v/>
      </c>
      <c r="B34" s="32" t="inlineStr">
        <is>
          <t>B0CQ319J1Z</t>
        </is>
      </c>
      <c r="C34" s="32" t="inlineStr">
        <is>
          <t>BAMBOO-KING-MIDGREY-6PCS</t>
        </is>
      </c>
      <c r="D34" s="32" t="inlineStr">
        <is>
          <t>DECOLURE 100% Organic Viscose Derived from Bamboo Sheets King Size 6pcs - Ultra Soft &amp; Luxuriously Cooling, 17" Deep Pocket, Double Stitching, Perfect for Hot Sleepers - King Bed Sheets (Midgrey)</t>
        </is>
      </c>
      <c r="E34" s="32" t="inlineStr">
        <is>
          <t>King</t>
        </is>
      </c>
      <c r="F34" s="32" t="inlineStr">
        <is>
          <t>Midgrey</t>
        </is>
      </c>
      <c r="G34" s="33" t="n"/>
      <c r="H34" s="32" t="n"/>
      <c r="I34" s="61" t="n">
        <v>99.98999999999999</v>
      </c>
      <c r="J34" s="62" t="inlineStr">
        <is>
          <t>2026-03-30</t>
        </is>
      </c>
      <c r="K34" s="33" t="n">
        <v>39.84999999999999</v>
      </c>
      <c r="L34" s="63" t="n">
        <v>0.3985398539853985</v>
      </c>
      <c r="M34" s="64" t="n">
        <v>16</v>
      </c>
      <c r="N34" s="32" t="inlineStr">
        <is>
          <t>Active</t>
        </is>
      </c>
      <c r="O34" s="32" t="n"/>
      <c r="P34" s="65" t="n"/>
      <c r="Q34" s="64" t="n"/>
      <c r="R34" s="64" t="n"/>
      <c r="S34" s="64" t="n"/>
      <c r="T34" s="32" t="n"/>
    </row>
    <row r="35" ht="62" customHeight="1">
      <c r="A35" s="10">
        <f>_xlfn.IMAGE("https://m.media-amazon.com/images/I/81qE6QSwrML.jpg")</f>
        <v/>
      </c>
      <c r="B35" s="32" t="inlineStr">
        <is>
          <t>B0CQ32N392</t>
        </is>
      </c>
      <c r="C35" s="32" t="inlineStr">
        <is>
          <t>BAMBOO-QUEEN-NAVYBLUE-6PCS</t>
        </is>
      </c>
      <c r="D35" s="32" t="inlineStr">
        <is>
          <t>DECOLURE 100% Viscose Derived from Bamboo Sheets Queen Size - Luxury 6 Pc Naturally Cooling Sheets, Ultra Soft Bed Set - Deep 17" Pockets, Durable Double Stitching, Oeko Tex Standard (Navy Blue)</t>
        </is>
      </c>
      <c r="E35" s="32" t="inlineStr">
        <is>
          <t>Queen</t>
        </is>
      </c>
      <c r="F35" s="32" t="inlineStr">
        <is>
          <t>Navy Blue</t>
        </is>
      </c>
      <c r="G35" s="33" t="n"/>
      <c r="H35" s="32" t="n"/>
      <c r="I35" s="61" t="n">
        <v>115.22</v>
      </c>
      <c r="J35" s="62" t="inlineStr">
        <is>
          <t>2026-03-30</t>
        </is>
      </c>
      <c r="K35" s="33" t="n">
        <v>53.31</v>
      </c>
      <c r="L35" s="63" t="n">
        <v>0.4626800902621073</v>
      </c>
      <c r="M35" s="64" t="n">
        <v>15</v>
      </c>
      <c r="N35" s="32" t="inlineStr">
        <is>
          <t>Active</t>
        </is>
      </c>
      <c r="O35" s="32" t="n"/>
      <c r="P35" s="65" t="n"/>
      <c r="Q35" s="64" t="n"/>
      <c r="R35" s="64" t="n"/>
      <c r="S35" s="64" t="n"/>
      <c r="T35" s="32" t="n"/>
    </row>
    <row r="36" ht="62" customHeight="1">
      <c r="A36" s="10">
        <f>_xlfn.IMAGE("https://m.media-amazon.com/images/I/81KfdRGP46L.jpg")</f>
        <v/>
      </c>
      <c r="B36" s="32" t="inlineStr">
        <is>
          <t>B0CQ2ZWSN7</t>
        </is>
      </c>
      <c r="C36" s="32" t="inlineStr">
        <is>
          <t>BAMBOO-QUEEN-BURGUNDY-6PCS</t>
        </is>
      </c>
      <c r="D36" s="32" t="inlineStr">
        <is>
          <t>DECOLURE 100% Organic Viscose Derived from Bamboo Sheets Queen Size 6pcs - Ultra Soft &amp; Luxuriously Cooling, 17" Deep Pocket, Double Stitching, Perfect for Hot Sleepers - Queen Bed Sheets (Burgundy)</t>
        </is>
      </c>
      <c r="E36" s="32" t="inlineStr">
        <is>
          <t>Queen</t>
        </is>
      </c>
      <c r="F36" s="32" t="inlineStr">
        <is>
          <t>Burgundy</t>
        </is>
      </c>
      <c r="G36" s="33" t="n"/>
      <c r="H36" s="32" t="n"/>
      <c r="I36" s="61" t="n">
        <v>94</v>
      </c>
      <c r="J36" s="62" t="inlineStr">
        <is>
          <t>2026-03-30</t>
        </is>
      </c>
      <c r="K36" s="33" t="n">
        <v>35.37</v>
      </c>
      <c r="L36" s="63" t="n">
        <v>0.3762765957446809</v>
      </c>
      <c r="M36" s="64" t="n">
        <v>14</v>
      </c>
      <c r="N36" s="32" t="inlineStr">
        <is>
          <t>Active</t>
        </is>
      </c>
      <c r="O36" s="32" t="n"/>
      <c r="P36" s="65" t="n"/>
      <c r="Q36" s="64" t="n"/>
      <c r="R36" s="64" t="n"/>
      <c r="S36" s="64" t="n"/>
      <c r="T36" s="32" t="n"/>
    </row>
    <row r="37" ht="62" customHeight="1">
      <c r="A37" s="10">
        <f>_xlfn.IMAGE("https://m.media-amazon.com/images/I/81PXZ9VB3EL.jpg")</f>
        <v/>
      </c>
      <c r="B37" s="32" t="inlineStr">
        <is>
          <t>B0CQ2ZVD96</t>
        </is>
      </c>
      <c r="C37" s="32" t="inlineStr">
        <is>
          <t>BAMBOO-FULL-CREME-6PCS</t>
        </is>
      </c>
      <c r="D37" s="32" t="inlineStr">
        <is>
          <t>DECOLURE 100% Organic Viscose Derived from Bamboo Sheets Full Size 6pcs - Ultra Soft &amp; Luxuriously Cooling, 17" Deep Pocket, Double Stitching, Perfect for Hot Sleepers - Full Bed Sheets (Creme)</t>
        </is>
      </c>
      <c r="E37" s="32" t="inlineStr">
        <is>
          <t>Full</t>
        </is>
      </c>
      <c r="F37" s="32" t="inlineStr">
        <is>
          <t>Creme</t>
        </is>
      </c>
      <c r="G37" s="33" t="n"/>
      <c r="H37" s="32" t="n"/>
      <c r="I37" s="61" t="n">
        <v>59.49</v>
      </c>
      <c r="J37" s="62" t="inlineStr">
        <is>
          <t>2026-03-30</t>
        </is>
      </c>
      <c r="K37" s="33" t="n">
        <v>11.72</v>
      </c>
      <c r="L37" s="63" t="n">
        <v>0.1970079004874769</v>
      </c>
      <c r="M37" s="64" t="n">
        <v>13</v>
      </c>
      <c r="N37" s="32" t="inlineStr">
        <is>
          <t>Active</t>
        </is>
      </c>
      <c r="O37" s="32" t="n"/>
      <c r="P37" s="65" t="n"/>
      <c r="Q37" s="64" t="n"/>
      <c r="R37" s="64" t="n"/>
      <c r="S37" s="64" t="n"/>
      <c r="T37" s="32" t="n"/>
    </row>
    <row r="38" ht="62" customHeight="1">
      <c r="A38" s="10">
        <f>_xlfn.IMAGE("https://m.media-amazon.com/images/I/81MRRHk3q4L.jpg")</f>
        <v/>
      </c>
      <c r="B38" s="32" t="inlineStr">
        <is>
          <t>B0CQ31X65Y</t>
        </is>
      </c>
      <c r="C38" s="32" t="inlineStr">
        <is>
          <t>BAMBOO-KING-LIGHTBLUE-6PCS</t>
        </is>
      </c>
      <c r="D38" s="32" t="inlineStr">
        <is>
          <t>DECOLURE 100% Organic Viscose Derived from Bamboo Sheets King Size 6pcs - Ultra Soft &amp; Luxuriously Cooling, 17" Deep Pocket, Double Stitching, Perfect for Hot Sleepers - King Bed Sheets (Light Blue)</t>
        </is>
      </c>
      <c r="E38" s="32" t="inlineStr">
        <is>
          <t>King</t>
        </is>
      </c>
      <c r="F38" s="32" t="inlineStr">
        <is>
          <t>Light Blue</t>
        </is>
      </c>
      <c r="G38" s="33" t="n"/>
      <c r="H38" s="32" t="n"/>
      <c r="I38" s="61" t="n">
        <v>79.98999999999999</v>
      </c>
      <c r="J38" s="62" t="inlineStr">
        <is>
          <t>2026-03-22</t>
        </is>
      </c>
      <c r="K38" s="33" t="n">
        <v>23.54</v>
      </c>
      <c r="L38" s="63" t="n">
        <v>0.294286785848231</v>
      </c>
      <c r="M38" s="64" t="n">
        <v>12</v>
      </c>
      <c r="N38" s="32" t="inlineStr">
        <is>
          <t>Active</t>
        </is>
      </c>
      <c r="O38" s="32" t="n"/>
      <c r="P38" s="65" t="n"/>
      <c r="Q38" s="64" t="n"/>
      <c r="R38" s="64" t="n"/>
      <c r="S38" s="64" t="n"/>
      <c r="T38" s="32" t="n"/>
    </row>
    <row r="39" ht="62" customHeight="1">
      <c r="A39" s="10">
        <f>_xlfn.IMAGE("https://m.media-amazon.com/images/I/81I312usunL.jpg")</f>
        <v/>
      </c>
      <c r="B39" s="32" t="inlineStr">
        <is>
          <t>B0CQ33K3TL</t>
        </is>
      </c>
      <c r="C39" s="32" t="inlineStr">
        <is>
          <t>BAMBOO-QUEEN-LIGHTGREY-6PCS</t>
        </is>
      </c>
      <c r="D39" s="32" t="inlineStr">
        <is>
          <t>DECOLURE 100% Organic Viscose Derived from Bamboo Sheets Queen Size 6pcs - Ultra Soft &amp; Luxuriously Cooling, 17" Deep Pocket, Double Stitching, Perfect for Hot Sleepers - Queen Bed Sheets (Light Grey)</t>
        </is>
      </c>
      <c r="E39" s="32" t="inlineStr">
        <is>
          <t>Queen</t>
        </is>
      </c>
      <c r="F39" s="32" t="inlineStr">
        <is>
          <t>Light Grey</t>
        </is>
      </c>
      <c r="G39" s="33" t="n"/>
      <c r="H39" s="32" t="n"/>
      <c r="I39" s="61" t="n">
        <v>99.98999999999999</v>
      </c>
      <c r="J39" s="62" t="inlineStr">
        <is>
          <t>2026-03-30</t>
        </is>
      </c>
      <c r="K39" s="33" t="n">
        <v>46.10999999999999</v>
      </c>
      <c r="L39" s="63" t="n">
        <v>0.461146114611461</v>
      </c>
      <c r="M39" s="64" t="n">
        <v>12</v>
      </c>
      <c r="N39" s="32" t="inlineStr">
        <is>
          <t>Active</t>
        </is>
      </c>
      <c r="O39" s="32" t="n"/>
      <c r="P39" s="65" t="n"/>
      <c r="Q39" s="64" t="n"/>
      <c r="R39" s="64" t="n"/>
      <c r="S39" s="64" t="n"/>
      <c r="T39" s="32" t="n"/>
    </row>
    <row r="40" ht="62" customHeight="1">
      <c r="A40" s="10">
        <f>_xlfn.IMAGE("https://m.media-amazon.com/images/I/81bS-hq76OL.jpg")</f>
        <v/>
      </c>
      <c r="B40" s="32" t="inlineStr">
        <is>
          <t>B0CQ318RHN</t>
        </is>
      </c>
      <c r="C40" s="32" t="inlineStr">
        <is>
          <t>BAMBOO-FULL-MIDGREY-6PCS</t>
        </is>
      </c>
      <c r="D40" s="32" t="inlineStr">
        <is>
          <t>DECOLURE 100% Organic Viscose Derived from Bamboo Sheets Full Size 6pcs - Ultra Soft &amp; Luxuriously Cooling, 17" Deep Pocket, Double Stitching, Perfect for Hot Sleepers - Full Bed Sheets (Midgrey)</t>
        </is>
      </c>
      <c r="E40" s="32" t="inlineStr">
        <is>
          <t>Full</t>
        </is>
      </c>
      <c r="F40" s="32" t="inlineStr">
        <is>
          <t>Midgrey</t>
        </is>
      </c>
      <c r="G40" s="33" t="n"/>
      <c r="H40" s="32" t="n"/>
      <c r="I40" s="61" t="n">
        <v>59.49</v>
      </c>
      <c r="J40" s="62" t="inlineStr">
        <is>
          <t>2026-03-30</t>
        </is>
      </c>
      <c r="K40" s="33" t="n">
        <v>13.68</v>
      </c>
      <c r="L40" s="63" t="n">
        <v>0.2299546142208775</v>
      </c>
      <c r="M40" s="64" t="n">
        <v>11</v>
      </c>
      <c r="N40" s="32" t="inlineStr">
        <is>
          <t>Active</t>
        </is>
      </c>
      <c r="O40" s="32" t="n"/>
      <c r="P40" s="65" t="n"/>
      <c r="Q40" s="64" t="n"/>
      <c r="R40" s="64" t="n"/>
      <c r="S40" s="64" t="n"/>
      <c r="T40" s="32" t="n"/>
    </row>
    <row r="41" ht="62" customHeight="1">
      <c r="A41" s="10">
        <f>_xlfn.IMAGE("https://m.media-amazon.com/images/I/81Ky84k0RkL.jpg")</f>
        <v/>
      </c>
      <c r="B41" s="32" t="inlineStr">
        <is>
          <t>B0CQ2ZZ9QN</t>
        </is>
      </c>
      <c r="C41" s="32" t="inlineStr">
        <is>
          <t>BAMBOO-KING-SAGE GREEN-6PCS</t>
        </is>
      </c>
      <c r="D41" s="32" t="inlineStr">
        <is>
          <t>DECOLURE 100% Organic Viscose Derived from Bamboo Sheets King Size 6pcs - Ultra Soft &amp; Luxuriously Cooling, 17" Deep Pocket, Double Stitching, Perfect for Hot Sleepers - King Bed Sheets (Sage Green)</t>
        </is>
      </c>
      <c r="E41" s="32" t="inlineStr">
        <is>
          <t>King</t>
        </is>
      </c>
      <c r="F41" s="32" t="inlineStr">
        <is>
          <t>Sage Green</t>
        </is>
      </c>
      <c r="G41" s="33" t="n"/>
      <c r="H41" s="32" t="n"/>
      <c r="I41" s="61" t="n">
        <v>80.98999999999999</v>
      </c>
      <c r="J41" s="62" t="inlineStr">
        <is>
          <t>2026-03-30</t>
        </is>
      </c>
      <c r="K41" s="33" t="n">
        <v>23.08999999999999</v>
      </c>
      <c r="L41" s="63" t="n">
        <v>0.2850969255463636</v>
      </c>
      <c r="M41" s="64" t="n">
        <v>11</v>
      </c>
      <c r="N41" s="32" t="inlineStr">
        <is>
          <t>Active</t>
        </is>
      </c>
      <c r="O41" s="32" t="n"/>
      <c r="P41" s="65" t="n"/>
      <c r="Q41" s="64" t="n"/>
      <c r="R41" s="64" t="n"/>
      <c r="S41" s="64" t="n"/>
      <c r="T41" s="32" t="n"/>
    </row>
    <row r="42" ht="62" customHeight="1">
      <c r="A42" s="10">
        <f>_xlfn.IMAGE("https://m.media-amazon.com/images/I/81qwLZXe5IL.jpg")</f>
        <v/>
      </c>
      <c r="B42" s="32" t="inlineStr">
        <is>
          <t>B0CQ31PZ8Q</t>
        </is>
      </c>
      <c r="C42" s="32" t="inlineStr">
        <is>
          <t>BAMBOO-QUEEN-LIGHT PINK-6PCS</t>
        </is>
      </c>
      <c r="D42" s="32" t="inlineStr">
        <is>
          <t>DECOLURE 100% Organic Viscose Derived from Bamboo Sheets Queen Size 6pcs - Ultra Soft &amp; Luxuriously Cooling, 17" Deep Pocket, Double Stitching, Perfect for Hot Sleepers - Queen Bed Sheets (Light Pink)</t>
        </is>
      </c>
      <c r="E42" s="32" t="inlineStr">
        <is>
          <t>Queen</t>
        </is>
      </c>
      <c r="F42" s="32" t="inlineStr">
        <is>
          <t>Light Pink</t>
        </is>
      </c>
      <c r="G42" s="33" t="n"/>
      <c r="H42" s="32" t="n"/>
      <c r="I42" s="61" t="n">
        <v>79.98999999999999</v>
      </c>
      <c r="J42" s="62" t="inlineStr">
        <is>
          <t>2026-03-30</t>
        </is>
      </c>
      <c r="K42" s="33" t="n">
        <v>29.14</v>
      </c>
      <c r="L42" s="63" t="n">
        <v>0.3642955369421179</v>
      </c>
      <c r="M42" s="64" t="n">
        <v>11</v>
      </c>
      <c r="N42" s="32" t="inlineStr">
        <is>
          <t>Active</t>
        </is>
      </c>
      <c r="O42" s="32" t="n"/>
      <c r="P42" s="65" t="n"/>
      <c r="Q42" s="64" t="n"/>
      <c r="R42" s="64" t="n"/>
      <c r="S42" s="64" t="n"/>
      <c r="T42" s="32" t="n"/>
    </row>
    <row r="43" ht="62" customHeight="1">
      <c r="A43" s="10">
        <f>_xlfn.IMAGE("https://m.media-amazon.com/images/I/81kehc99ZjL.jpg")</f>
        <v/>
      </c>
      <c r="B43" s="32" t="inlineStr">
        <is>
          <t>B0CQ328N9Z</t>
        </is>
      </c>
      <c r="C43" s="32" t="inlineStr">
        <is>
          <t>BAMBOO-KING-PURPLE-6PCS</t>
        </is>
      </c>
      <c r="D43" s="32" t="inlineStr">
        <is>
          <t>DECOLURE 100% Organic Viscose Derived from Bamboo Sheets King Size 6pcs - Ultra Soft &amp; Luxuriously Cooling, 17" Deep Pocket, Double Stitching, Perfect for Hot Sleepers - King Bed Sheets (Purple)</t>
        </is>
      </c>
      <c r="E43" s="32" t="inlineStr">
        <is>
          <t>King</t>
        </is>
      </c>
      <c r="F43" s="32" t="inlineStr">
        <is>
          <t>Purple</t>
        </is>
      </c>
      <c r="G43" s="33" t="n"/>
      <c r="H43" s="32" t="n"/>
      <c r="I43" s="61" t="n">
        <v>99.98999999999999</v>
      </c>
      <c r="J43" s="62" t="inlineStr">
        <is>
          <t>2026-03-30</t>
        </is>
      </c>
      <c r="K43" s="33" t="n">
        <v>39.81999999999999</v>
      </c>
      <c r="L43" s="63" t="n">
        <v>0.3982398239823982</v>
      </c>
      <c r="M43" s="64" t="n">
        <v>9</v>
      </c>
      <c r="N43" s="32" t="inlineStr">
        <is>
          <t>Active</t>
        </is>
      </c>
      <c r="O43" s="32" t="n"/>
      <c r="P43" s="65" t="n"/>
      <c r="Q43" s="64" t="n"/>
      <c r="R43" s="64" t="n"/>
      <c r="S43" s="64" t="n"/>
      <c r="T43" s="32" t="n"/>
    </row>
    <row r="44" ht="62" customHeight="1">
      <c r="A44" s="10">
        <f>_xlfn.IMAGE("https://m.media-amazon.com/images/I/81vnFb6DYQL.jpg")</f>
        <v/>
      </c>
      <c r="B44" s="32" t="inlineStr">
        <is>
          <t>B0CQ312HKC</t>
        </is>
      </c>
      <c r="C44" s="32" t="inlineStr">
        <is>
          <t>BAMBOO-QUEEN-LIGHTOLIVE-6PCS</t>
        </is>
      </c>
      <c r="D44" s="32" t="inlineStr">
        <is>
          <t>DECOLURE 100% Organic Viscose Derived from Bamboo Sheets Queen Size 6pcs - Ultra Soft &amp; Luxuriously Cooling, 17" Deep Pocket, Double Stitching,Perfect for Hot Sleepers - Queen Bed Sheets (Light Olive)</t>
        </is>
      </c>
      <c r="E44" s="32" t="inlineStr">
        <is>
          <t>Queen</t>
        </is>
      </c>
      <c r="F44" s="32" t="inlineStr">
        <is>
          <t>Light Olive</t>
        </is>
      </c>
      <c r="G44" s="33" t="n"/>
      <c r="H44" s="32" t="n"/>
      <c r="I44" s="61" t="n">
        <v>79.98999999999999</v>
      </c>
      <c r="J44" s="62" t="inlineStr">
        <is>
          <t>2026-03-30</t>
        </is>
      </c>
      <c r="K44" s="33" t="n">
        <v>28.83999999999999</v>
      </c>
      <c r="L44" s="63" t="n">
        <v>0.3605450681335166</v>
      </c>
      <c r="M44" s="64" t="n">
        <v>9</v>
      </c>
      <c r="N44" s="32" t="inlineStr">
        <is>
          <t>Active</t>
        </is>
      </c>
      <c r="O44" s="32" t="n"/>
      <c r="P44" s="65" t="n"/>
      <c r="Q44" s="64" t="n"/>
      <c r="R44" s="64" t="n"/>
      <c r="S44" s="64" t="n"/>
      <c r="T44" s="32" t="n"/>
    </row>
    <row r="45" ht="62" customHeight="1">
      <c r="A45" s="10">
        <f>_xlfn.IMAGE("https://m.media-amazon.com/images/I/81qwLZXe5IL.jpg")</f>
        <v/>
      </c>
      <c r="B45" s="32" t="inlineStr">
        <is>
          <t>B0CQ3437ZF</t>
        </is>
      </c>
      <c r="C45" s="32" t="inlineStr">
        <is>
          <t>BAMBOO-KING-LIGHT PINK-6PCS</t>
        </is>
      </c>
      <c r="D45" s="32" t="inlineStr">
        <is>
          <t>DECOLURE 100% Organic Viscose Derived from Bamboo Sheets King Size 6pcs - Ultra Soft &amp; Luxuriously Cooling, 17" Deep Pocket, Double Stitching, Perfect for Hot Sleepers - King Bed Sheets (Light Pink)</t>
        </is>
      </c>
      <c r="E45" s="32" t="inlineStr">
        <is>
          <t>King</t>
        </is>
      </c>
      <c r="F45" s="32" t="inlineStr">
        <is>
          <t>Light Pink</t>
        </is>
      </c>
      <c r="G45" s="33" t="n"/>
      <c r="H45" s="32" t="n"/>
      <c r="I45" s="61" t="n">
        <v>63.74</v>
      </c>
      <c r="J45" s="62" t="inlineStr">
        <is>
          <t>2026-03-22</t>
        </is>
      </c>
      <c r="K45" s="33" t="n">
        <v>9.449999999999996</v>
      </c>
      <c r="L45" s="63" t="n">
        <v>0.1482585503608408</v>
      </c>
      <c r="M45" s="64" t="n">
        <v>8</v>
      </c>
      <c r="N45" s="32" t="inlineStr">
        <is>
          <t>Active</t>
        </is>
      </c>
      <c r="O45" s="32" t="n"/>
      <c r="P45" s="65" t="n"/>
      <c r="Q45" s="64" t="n"/>
      <c r="R45" s="64" t="n"/>
      <c r="S45" s="64" t="n"/>
      <c r="T45" s="32" t="n"/>
    </row>
    <row r="46" ht="62" customHeight="1">
      <c r="A46" s="10">
        <f>_xlfn.IMAGE("https://m.media-amazon.com/images/I/813aFqxnKrL.jpg")</f>
        <v/>
      </c>
      <c r="B46" s="32" t="inlineStr">
        <is>
          <t>B0CQ33ZGQ4</t>
        </is>
      </c>
      <c r="C46" s="32" t="inlineStr">
        <is>
          <t>BAMBOO-FULL-OLIVE-6PCS</t>
        </is>
      </c>
      <c r="D46" s="32" t="inlineStr">
        <is>
          <t>DECOLURE 100% Organic Viscose Derived from Bamboo Sheets Full Size 6pcs - Ultra Soft &amp; Luxuriously Cooling, 17" Deep Pocket, Double Stitching, Perfect for Hot Sleepers - Full Bed Sheets (Olive)</t>
        </is>
      </c>
      <c r="E46" s="32" t="inlineStr">
        <is>
          <t>Full</t>
        </is>
      </c>
      <c r="F46" s="32" t="inlineStr">
        <is>
          <t>Olive</t>
        </is>
      </c>
      <c r="G46" s="33" t="n"/>
      <c r="H46" s="32" t="n"/>
      <c r="I46" s="61" t="n">
        <v>62.99</v>
      </c>
      <c r="J46" s="62" t="inlineStr">
        <is>
          <t>2026-03-30</t>
        </is>
      </c>
      <c r="K46" s="33" t="n">
        <v>14.69</v>
      </c>
      <c r="L46" s="63" t="n">
        <v>0.2332116208922051</v>
      </c>
      <c r="M46" s="64" t="n">
        <v>6</v>
      </c>
      <c r="N46" s="32" t="inlineStr">
        <is>
          <t>Active</t>
        </is>
      </c>
      <c r="O46" s="32" t="n"/>
      <c r="P46" s="65" t="n"/>
      <c r="Q46" s="64" t="n"/>
      <c r="R46" s="64" t="n"/>
      <c r="S46" s="64" t="n"/>
      <c r="T46" s="32" t="n"/>
    </row>
    <row r="47" ht="62" customHeight="1">
      <c r="A47" s="10">
        <f>_xlfn.IMAGE("https://m.media-amazon.com/images/I/81Ky84k0RkL.jpg")</f>
        <v/>
      </c>
      <c r="B47" s="32" t="inlineStr">
        <is>
          <t>B0CQ3CDRTN</t>
        </is>
      </c>
      <c r="C47" s="32" t="inlineStr">
        <is>
          <t>BAMBOO-QUEEN-SAGE GREEN-6PCS</t>
        </is>
      </c>
      <c r="D47" s="32" t="inlineStr">
        <is>
          <t>DECOLURE 100% Organic Viscose Derived from Bamboo Sheets Queen Size 6pcs - Ultra Soft &amp; Luxuriously Cooling, 17" Deep Pocket, Double Stitching, Perfect for Hot Sleepers - Queen Bed Sheets (Sage Green)</t>
        </is>
      </c>
      <c r="E47" s="32" t="inlineStr">
        <is>
          <t>Queen</t>
        </is>
      </c>
      <c r="F47" s="32" t="inlineStr">
        <is>
          <t>Sage Green</t>
        </is>
      </c>
      <c r="G47" s="33" t="n"/>
      <c r="H47" s="32" t="n"/>
      <c r="I47" s="61" t="n">
        <v>76.48999999999999</v>
      </c>
      <c r="J47" s="62" t="inlineStr">
        <is>
          <t>2026-03-30</t>
        </is>
      </c>
      <c r="K47" s="33" t="n">
        <v>26.34999999999999</v>
      </c>
      <c r="L47" s="63" t="n">
        <v>0.3444894757484638</v>
      </c>
      <c r="M47" s="64" t="n">
        <v>6</v>
      </c>
      <c r="N47" s="32" t="inlineStr">
        <is>
          <t>Active</t>
        </is>
      </c>
      <c r="O47" s="32" t="n"/>
      <c r="P47" s="65" t="n"/>
      <c r="Q47" s="64" t="n"/>
      <c r="R47" s="64" t="n"/>
      <c r="S47" s="64" t="n"/>
      <c r="T47" s="32" t="n"/>
    </row>
    <row r="48" ht="62" customHeight="1">
      <c r="A48" s="10">
        <f>_xlfn.IMAGE("https://m.media-amazon.com/images/I/81+83kJjC0L.jpg")</f>
        <v/>
      </c>
      <c r="B48" s="32" t="inlineStr">
        <is>
          <t>B0CQ32JTTK</t>
        </is>
      </c>
      <c r="C48" s="32" t="inlineStr">
        <is>
          <t>BAMBOO-CALIFKING-CHARCOAL-6PCS</t>
        </is>
      </c>
      <c r="D48" s="32" t="inlineStr">
        <is>
          <t>DECOLURE 100% Viscose Derived from Bamboo Sheets California King Size - Luxury 6 Pc Naturally Cooling Sheets, Ultra Soft Bed Set - Deep 17" Pockets, Double Stitching, Oeko Tex Standard (Charcoal)</t>
        </is>
      </c>
      <c r="E48" s="32" t="inlineStr">
        <is>
          <t>California King</t>
        </is>
      </c>
      <c r="F48" s="32" t="inlineStr">
        <is>
          <t>Charcoal</t>
        </is>
      </c>
      <c r="G48" s="33" t="n"/>
      <c r="H48" s="32" t="n"/>
      <c r="I48" s="61" t="n">
        <v>89.98999999999999</v>
      </c>
      <c r="J48" s="62" t="inlineStr">
        <is>
          <t>2026-03-30</t>
        </is>
      </c>
      <c r="K48" s="33" t="n">
        <v>29.9</v>
      </c>
      <c r="L48" s="63" t="n">
        <v>0.3322591399044338</v>
      </c>
      <c r="M48" s="64" t="n">
        <v>4</v>
      </c>
      <c r="N48" s="32" t="inlineStr">
        <is>
          <t>Active</t>
        </is>
      </c>
      <c r="O48" s="32" t="n"/>
      <c r="P48" s="65" t="n"/>
      <c r="Q48" s="64" t="n"/>
      <c r="R48" s="64" t="n"/>
      <c r="S48" s="64" t="n"/>
      <c r="T48" s="32" t="n"/>
    </row>
    <row r="49" ht="62" customHeight="1">
      <c r="A49" s="10">
        <f>_xlfn.IMAGE("https://m.media-amazon.com/images/I/81qE6QSwrML.jpg")</f>
        <v/>
      </c>
      <c r="B49" s="32" t="inlineStr">
        <is>
          <t>B0CQ311QX3</t>
        </is>
      </c>
      <c r="C49" s="32" t="inlineStr">
        <is>
          <t>BAMBOO-CALIFKING-NAVYBLUE-6PCS</t>
        </is>
      </c>
      <c r="D49" s="32" t="inlineStr">
        <is>
          <t>DECOLURE 100% Organic Viscose Derived from Bamboo Sheets Cal King Size 6pcs - Ultra Soft &amp; Luxuriously Cooling, 17" Deep Pocket, Double Stitching,Perfect for Hot Sleepers - King Bed Sheets (Navy Blue)</t>
        </is>
      </c>
      <c r="E49" s="32" t="inlineStr">
        <is>
          <t>California King</t>
        </is>
      </c>
      <c r="F49" s="32" t="inlineStr">
        <is>
          <t>Navy Blue</t>
        </is>
      </c>
      <c r="G49" s="33" t="n"/>
      <c r="H49" s="32" t="n"/>
      <c r="I49" s="61" t="n">
        <v>79.98999999999999</v>
      </c>
      <c r="J49" s="62" t="inlineStr">
        <is>
          <t>2026-03-30</t>
        </is>
      </c>
      <c r="K49" s="33" t="n">
        <v>21.89</v>
      </c>
      <c r="L49" s="63" t="n">
        <v>0.2736592074009251</v>
      </c>
      <c r="M49" s="64" t="n">
        <v>4</v>
      </c>
      <c r="N49" s="32" t="inlineStr">
        <is>
          <t>Active</t>
        </is>
      </c>
      <c r="O49" s="32" t="n"/>
      <c r="P49" s="65" t="n"/>
      <c r="Q49" s="64" t="n"/>
      <c r="R49" s="64" t="n"/>
      <c r="S49" s="64" t="n"/>
      <c r="T49" s="32" t="n"/>
    </row>
    <row r="50" ht="62" customHeight="1">
      <c r="A50" s="10">
        <f>_xlfn.IMAGE("https://m.media-amazon.com/images/I/81KfdRGP46L.jpg")</f>
        <v/>
      </c>
      <c r="B50" s="32" t="inlineStr">
        <is>
          <t>B0CQ3199ZV</t>
        </is>
      </c>
      <c r="C50" s="32" t="inlineStr">
        <is>
          <t>BAMBOO-FULL-BURGUNDY-6PCS</t>
        </is>
      </c>
      <c r="D50" s="32" t="inlineStr">
        <is>
          <t>DECOLURE 100% Organic Viscose Derived from Bamboo Sheets Full Size 6pcs - Ultra Soft &amp; Luxuriously Cooling, 17" Deep Pocket, Double Stitching, Perfect for Hot Sleepers - Full Bed Sheets (Burgundy)</t>
        </is>
      </c>
      <c r="E50" s="32" t="inlineStr">
        <is>
          <t>Full</t>
        </is>
      </c>
      <c r="F50" s="32" t="inlineStr">
        <is>
          <t>Burgundy</t>
        </is>
      </c>
      <c r="G50" s="33" t="n"/>
      <c r="H50" s="32" t="n"/>
      <c r="I50" s="61" t="n">
        <v>67.98999999999999</v>
      </c>
      <c r="J50" s="62" t="inlineStr">
        <is>
          <t>2026-03-30</t>
        </is>
      </c>
      <c r="K50" s="33" t="n">
        <v>18.75999999999999</v>
      </c>
      <c r="L50" s="63" t="n">
        <v>0.2759229298426238</v>
      </c>
      <c r="M50" s="64" t="n">
        <v>4</v>
      </c>
      <c r="N50" s="32" t="inlineStr">
        <is>
          <t>Inactive</t>
        </is>
      </c>
      <c r="O50" s="32" t="n"/>
      <c r="P50" s="65" t="n"/>
      <c r="Q50" s="64" t="n"/>
      <c r="R50" s="64" t="n"/>
      <c r="S50" s="64" t="n"/>
      <c r="T50" s="32" t="n"/>
    </row>
    <row r="51" ht="62" customHeight="1">
      <c r="A51" s="10">
        <f>_xlfn.IMAGE("https://m.media-amazon.com/images/I/81fJLSDJpFL.jpg")</f>
        <v/>
      </c>
      <c r="B51" s="32" t="inlineStr">
        <is>
          <t>B0CQ2ZYZJT</t>
        </is>
      </c>
      <c r="C51" s="32" t="inlineStr">
        <is>
          <t>BAMBOO-CALIFKING-WHITE-6PCS</t>
        </is>
      </c>
      <c r="D51" s="32" t="inlineStr">
        <is>
          <t>DECOLURE 100% Organic Viscose Derived from Bamboo Sheets Cal King Size 6pcs - Ultra Soft &amp; Luxuriously Cooling, 17" Deep Pocket, Double Stitching, Perfect for Hot Sleepers - King Bed Sheets (White)</t>
        </is>
      </c>
      <c r="E51" s="32" t="inlineStr">
        <is>
          <t>California King</t>
        </is>
      </c>
      <c r="F51" s="32" t="inlineStr">
        <is>
          <t>White</t>
        </is>
      </c>
      <c r="G51" s="33" t="n"/>
      <c r="H51" s="32" t="n"/>
      <c r="I51" s="61" t="n">
        <v>84.98999999999999</v>
      </c>
      <c r="J51" s="62" t="inlineStr">
        <is>
          <t>2026-03-30</t>
        </is>
      </c>
      <c r="K51" s="33" t="n">
        <v>26.74999999999999</v>
      </c>
      <c r="L51" s="63" t="n">
        <v>0.3147429109306977</v>
      </c>
      <c r="M51" s="64" t="n">
        <v>3</v>
      </c>
      <c r="N51" s="32" t="inlineStr">
        <is>
          <t>Active</t>
        </is>
      </c>
      <c r="O51" s="32" t="n"/>
      <c r="P51" s="65" t="n"/>
      <c r="Q51" s="64" t="n"/>
      <c r="R51" s="64" t="n"/>
      <c r="S51" s="64" t="n"/>
      <c r="T51" s="32" t="n"/>
    </row>
    <row r="52" ht="62" customHeight="1">
      <c r="A52" s="10">
        <f>_xlfn.IMAGE("https://m.media-amazon.com/images/I/81qwLZXe5IL.jpg")</f>
        <v/>
      </c>
      <c r="B52" s="32" t="inlineStr">
        <is>
          <t>B0CQ32S4MW</t>
        </is>
      </c>
      <c r="C52" s="32" t="inlineStr">
        <is>
          <t>BAMBOO-FULL-LIGHT PINK-6PCS</t>
        </is>
      </c>
      <c r="D52" s="32" t="inlineStr">
        <is>
          <t>DECOLURE 100% Organic Viscose Derived from Bamboo Sheets Full Size 6pcs - Ultra Soft &amp; Luxuriously Cooling, 17" Deep Pocket, Double Stitching, Perfect for Hot Sleepers - Full Bed Sheets (Light Pink)</t>
        </is>
      </c>
      <c r="E52" s="32" t="inlineStr">
        <is>
          <t>Full</t>
        </is>
      </c>
      <c r="F52" s="32" t="inlineStr">
        <is>
          <t>Light Pink</t>
        </is>
      </c>
      <c r="G52" s="33" t="n"/>
      <c r="H52" s="32" t="n"/>
      <c r="I52" s="61" t="n">
        <v>62.99</v>
      </c>
      <c r="J52" s="62" t="inlineStr">
        <is>
          <t>2026-03-30</t>
        </is>
      </c>
      <c r="K52" s="33" t="n">
        <v>16.91000000000001</v>
      </c>
      <c r="L52" s="63" t="n">
        <v>0.268455310366725</v>
      </c>
      <c r="M52" s="64" t="n">
        <v>3</v>
      </c>
      <c r="N52" s="32" t="inlineStr">
        <is>
          <t>Active</t>
        </is>
      </c>
      <c r="O52" s="32" t="n"/>
      <c r="P52" s="65" t="n"/>
      <c r="Q52" s="64" t="n"/>
      <c r="R52" s="64" t="n"/>
      <c r="S52" s="64" t="n"/>
      <c r="T52" s="32" t="n"/>
    </row>
    <row r="53" ht="62" customHeight="1">
      <c r="A53" s="10">
        <f>_xlfn.IMAGE("https://m.media-amazon.com/images/I/81PXZ9VB3EL.jpg")</f>
        <v/>
      </c>
      <c r="B53" s="32" t="inlineStr">
        <is>
          <t>B0CQ31X78V</t>
        </is>
      </c>
      <c r="C53" s="32" t="inlineStr">
        <is>
          <t>BAMBOO-CALIFKING-CREME-6PCS</t>
        </is>
      </c>
      <c r="D53" s="32" t="inlineStr">
        <is>
          <t>DECOLURE 100% Organic Viscose Derived from Bamboo Sheets Cal King Size 6pcs - Ultra Soft &amp; Luxuriously Cooling, 17" Deep Pocket, Double Stitching, Perfect for Hot Sleepers - King Bed Sheets (Creme)</t>
        </is>
      </c>
      <c r="E53" s="32" t="inlineStr">
        <is>
          <t>California King</t>
        </is>
      </c>
      <c r="F53" s="32" t="inlineStr">
        <is>
          <t>Creme</t>
        </is>
      </c>
      <c r="G53" s="33" t="n"/>
      <c r="H53" s="32" t="n"/>
      <c r="I53" s="61" t="n">
        <v>89.98999999999999</v>
      </c>
      <c r="J53" s="62" t="inlineStr">
        <is>
          <t>2026-03-30</t>
        </is>
      </c>
      <c r="K53" s="33" t="n">
        <v>29.71999999999999</v>
      </c>
      <c r="L53" s="63" t="n">
        <v>0.3302589176575175</v>
      </c>
      <c r="M53" s="64" t="n">
        <v>2</v>
      </c>
      <c r="N53" s="32" t="inlineStr">
        <is>
          <t>Active</t>
        </is>
      </c>
      <c r="O53" s="32" t="n"/>
      <c r="P53" s="65" t="n"/>
      <c r="Q53" s="64" t="n"/>
      <c r="R53" s="64" t="n"/>
      <c r="S53" s="64" t="n"/>
      <c r="T53" s="32" t="n"/>
    </row>
    <row r="54" ht="62" customHeight="1">
      <c r="A54" s="10">
        <f>_xlfn.IMAGE("https://m.media-amazon.com/images/I/81bS-hq76OL.jpg")</f>
        <v/>
      </c>
      <c r="B54" s="32" t="inlineStr">
        <is>
          <t>B0CQ316WG1</t>
        </is>
      </c>
      <c r="C54" s="32" t="inlineStr">
        <is>
          <t>BAMBOO-CALIFKING-MIDGREY-6PCS</t>
        </is>
      </c>
      <c r="D54" s="32" t="inlineStr">
        <is>
          <t>DECOLURE 100% Organic Viscose Derived from Bamboo Sheets Cal King Size 6pcs - Ultra Soft &amp; Luxuriously Cooling, 17" Deep Pocket, Double Stitching, Perfect for Hot Sleepers - King Bed Sheets (Midgrey)</t>
        </is>
      </c>
      <c r="E54" s="32" t="inlineStr">
        <is>
          <t>California King</t>
        </is>
      </c>
      <c r="F54" s="32" t="inlineStr">
        <is>
          <t>Midgrey</t>
        </is>
      </c>
      <c r="G54" s="33" t="n"/>
      <c r="H54" s="32" t="n"/>
      <c r="I54" s="61" t="n">
        <v>79.19</v>
      </c>
      <c r="J54" s="62" t="inlineStr">
        <is>
          <t>2026-03-30</t>
        </is>
      </c>
      <c r="K54" s="33" t="n">
        <v>22.09</v>
      </c>
      <c r="L54" s="63" t="n">
        <v>0.2789493622932189</v>
      </c>
      <c r="M54" s="64" t="n">
        <v>2</v>
      </c>
      <c r="N54" s="32" t="inlineStr">
        <is>
          <t>Active</t>
        </is>
      </c>
      <c r="O54" s="32" t="n"/>
      <c r="P54" s="65" t="n"/>
      <c r="Q54" s="64" t="n"/>
      <c r="R54" s="64" t="n"/>
      <c r="S54" s="64" t="n"/>
      <c r="T54" s="32" t="n"/>
    </row>
    <row r="55" ht="62" customHeight="1">
      <c r="A55" s="10">
        <f>_xlfn.IMAGE("https://m.media-amazon.com/images/I/813aFqxnKrL.jpg")</f>
        <v/>
      </c>
      <c r="B55" s="32" t="inlineStr">
        <is>
          <t>B0CQ32JY2T</t>
        </is>
      </c>
      <c r="C55" s="32" t="inlineStr">
        <is>
          <t>BAMBOO-CALIFKING-OLIVE-6PCS</t>
        </is>
      </c>
      <c r="D55" s="32" t="inlineStr">
        <is>
          <t>DECOLURE 100% Organic Viscose Derived from Bamboo Sheets Cal King Size 6pcs - Ultra Soft &amp; Luxuriously Cooling, 17" Deep Pocket, Double Stitching, Perfect for Hot Sleepers - King Bed Sheets (Olive)</t>
        </is>
      </c>
      <c r="E55" s="32" t="inlineStr">
        <is>
          <t>California King</t>
        </is>
      </c>
      <c r="F55" s="32" t="inlineStr">
        <is>
          <t>Olive</t>
        </is>
      </c>
      <c r="G55" s="33" t="n"/>
      <c r="H55" s="32" t="n"/>
      <c r="I55" s="61" t="n">
        <v>80.98999999999999</v>
      </c>
      <c r="J55" s="62" t="inlineStr">
        <is>
          <t>2026-03-30</t>
        </is>
      </c>
      <c r="K55" s="33" t="n">
        <v>22.51999999999999</v>
      </c>
      <c r="L55" s="63" t="n">
        <v>0.2780590196320532</v>
      </c>
      <c r="M55" s="64" t="n">
        <v>2</v>
      </c>
      <c r="N55" s="32" t="inlineStr">
        <is>
          <t>Active</t>
        </is>
      </c>
      <c r="O55" s="32" t="n"/>
      <c r="P55" s="65" t="n"/>
      <c r="Q55" s="64" t="n"/>
      <c r="R55" s="64" t="n"/>
      <c r="S55" s="64" t="n"/>
      <c r="T55" s="32" t="n"/>
    </row>
    <row r="56" ht="62" customHeight="1">
      <c r="A56" s="10">
        <f>_xlfn.IMAGE("https://m.media-amazon.com/images/I/81qX1TwGR6L.jpg")</f>
        <v/>
      </c>
      <c r="B56" s="32" t="inlineStr">
        <is>
          <t>B0CQ31LJ3J</t>
        </is>
      </c>
      <c r="C56" s="32" t="inlineStr">
        <is>
          <t>BAMBOO-CALIFKING-SAGE GREEN-6PCS</t>
        </is>
      </c>
      <c r="D56" s="32" t="inlineStr">
        <is>
          <t>DECOLURE 100% Organic Viscose Derived from Bamboo Sheets Cal King Size 6pcs - Ultra Soft &amp; Luxuriously Cooling, 17" Deep Pocket,Double Stitching,Perfect for Hot Sleepers - King Bed Sheets (Sage Green)</t>
        </is>
      </c>
      <c r="E56" s="32" t="inlineStr">
        <is>
          <t>California King</t>
        </is>
      </c>
      <c r="F56" s="32" t="inlineStr">
        <is>
          <t>Sage Green</t>
        </is>
      </c>
      <c r="G56" s="33" t="n"/>
      <c r="H56" s="32" t="n"/>
      <c r="I56" s="61" t="n">
        <v>80.98999999999999</v>
      </c>
      <c r="J56" s="62" t="inlineStr">
        <is>
          <t>2026-03-30</t>
        </is>
      </c>
      <c r="K56" s="33" t="n">
        <v>23.80999999999999</v>
      </c>
      <c r="L56" s="63" t="n">
        <v>0.2939869119644399</v>
      </c>
      <c r="M56" s="64" t="n">
        <v>2</v>
      </c>
      <c r="N56" s="32" t="inlineStr">
        <is>
          <t>Active</t>
        </is>
      </c>
      <c r="O56" s="32" t="n"/>
      <c r="P56" s="65" t="n"/>
      <c r="Q56" s="64" t="n"/>
      <c r="R56" s="64" t="n"/>
      <c r="S56" s="64" t="n"/>
      <c r="T56" s="32" t="n"/>
    </row>
    <row r="57" ht="62" customHeight="1">
      <c r="A57" s="10">
        <f>_xlfn.IMAGE("https://m.media-amazon.com/images/I/81C7Qfwu1WL.jpg")</f>
        <v/>
      </c>
      <c r="B57" s="32" t="inlineStr">
        <is>
          <t>B0CQ328B82</t>
        </is>
      </c>
      <c r="C57" s="32" t="inlineStr">
        <is>
          <t>BAMBOO-FULL-GREY-6PCS</t>
        </is>
      </c>
      <c r="D57" s="32" t="inlineStr">
        <is>
          <t>DECOLURE 100% Organic Viscose Derived from Bamboo Sheets Full Size 6pcs - Ultra Soft &amp; Luxuriously Cooling, 17" Deep Pocket, Double Stitching, Perfect for Hot Sleepers - Full Bed Sheets (Grey)</t>
        </is>
      </c>
      <c r="E57" s="32" t="inlineStr">
        <is>
          <t>Full</t>
        </is>
      </c>
      <c r="F57" s="32" t="inlineStr">
        <is>
          <t>Grey</t>
        </is>
      </c>
      <c r="G57" s="33" t="n"/>
      <c r="H57" s="32" t="n"/>
      <c r="I57" s="61" t="n">
        <v>76.11</v>
      </c>
      <c r="J57" s="62" t="inlineStr">
        <is>
          <t>2026-03-30</t>
        </is>
      </c>
      <c r="K57" s="33" t="n">
        <v>21.18</v>
      </c>
      <c r="L57" s="63" t="n">
        <v>0.278281434765471</v>
      </c>
      <c r="M57" s="64" t="n">
        <v>2</v>
      </c>
      <c r="N57" s="32" t="inlineStr">
        <is>
          <t>Active</t>
        </is>
      </c>
      <c r="O57" s="32" t="n"/>
      <c r="P57" s="65" t="n"/>
      <c r="Q57" s="64" t="n"/>
      <c r="R57" s="64" t="n"/>
      <c r="S57" s="64" t="n"/>
      <c r="T57" s="32" t="n"/>
    </row>
    <row r="58" ht="62" customHeight="1">
      <c r="A58" s="10">
        <f>_xlfn.IMAGE("https://m.media-amazon.com/images/I/81aP4bechFL.jpg")</f>
        <v/>
      </c>
      <c r="B58" s="32" t="inlineStr">
        <is>
          <t>B0CQ32JNVG</t>
        </is>
      </c>
      <c r="C58" s="32" t="inlineStr">
        <is>
          <t>BAMBOO-FULL-LIGHTBLUE-6PCS</t>
        </is>
      </c>
      <c r="D58" s="32" t="inlineStr">
        <is>
          <t>DECOLURE 100% Organic Viscose Derived from Bamboo Sheets Full Size 6pcs - Ultra Soft &amp; Luxuriously Cooling, 17" Deep Pocket, Double Stitching, Perfect for Hot Sleepers - Full Bed Sheets (Light Blue)</t>
        </is>
      </c>
      <c r="E58" s="32" t="inlineStr">
        <is>
          <t>Full</t>
        </is>
      </c>
      <c r="F58" s="32" t="inlineStr">
        <is>
          <t>Light Blue</t>
        </is>
      </c>
      <c r="G58" s="33" t="n"/>
      <c r="H58" s="32" t="n"/>
      <c r="I58" s="61" t="n">
        <v>63.99</v>
      </c>
      <c r="J58" s="62" t="inlineStr">
        <is>
          <t>2026-03-22</t>
        </is>
      </c>
      <c r="K58" s="33" t="n">
        <v>17.37</v>
      </c>
      <c r="L58" s="63" t="n">
        <v>0.2714486638537271</v>
      </c>
      <c r="M58" s="64" t="n">
        <v>2</v>
      </c>
      <c r="N58" s="32" t="inlineStr">
        <is>
          <t>Active</t>
        </is>
      </c>
      <c r="O58" s="32" t="n"/>
      <c r="P58" s="65" t="n"/>
      <c r="Q58" s="64" t="n"/>
      <c r="R58" s="64" t="n"/>
      <c r="S58" s="64" t="n"/>
      <c r="T58" s="32" t="n"/>
    </row>
    <row r="59" ht="62" customHeight="1">
      <c r="A59" s="10">
        <f>_xlfn.IMAGE("https://m.media-amazon.com/images/I/81JHZOIZl1L.jpg")</f>
        <v/>
      </c>
      <c r="B59" s="32" t="inlineStr">
        <is>
          <t>B0CQ311KCT</t>
        </is>
      </c>
      <c r="C59" s="32" t="inlineStr">
        <is>
          <t>BAMBOO-FULL-TAUPE-6PCS</t>
        </is>
      </c>
      <c r="D59" s="32" t="inlineStr">
        <is>
          <t>DECOLURE 100% Organic Viscose Derived from Bamboo Sheets Full Size 6pcs - Ultra Soft &amp; Luxuriously Cooling, 17" Deep Pocket, Double Stitching, Perfect for Hot Sleepers - Full Bed Sheets (Taupe)</t>
        </is>
      </c>
      <c r="E59" s="32" t="inlineStr">
        <is>
          <t>Full</t>
        </is>
      </c>
      <c r="F59" s="32" t="inlineStr">
        <is>
          <t>Taupe</t>
        </is>
      </c>
      <c r="G59" s="33" t="n"/>
      <c r="H59" s="32" t="n"/>
      <c r="I59" s="61" t="n">
        <v>79.98999999999999</v>
      </c>
      <c r="J59" s="62" t="inlineStr">
        <is>
          <t>2026-03-18</t>
        </is>
      </c>
      <c r="K59" s="33" t="n">
        <v>29.97</v>
      </c>
      <c r="L59" s="63" t="n">
        <v>0.3746718339792474</v>
      </c>
      <c r="M59" s="64" t="n">
        <v>2</v>
      </c>
      <c r="N59" s="32" t="inlineStr">
        <is>
          <t>Active</t>
        </is>
      </c>
      <c r="O59" s="32" t="n"/>
      <c r="P59" s="65" t="n"/>
      <c r="Q59" s="64" t="n"/>
      <c r="R59" s="64" t="n"/>
      <c r="S59" s="64" t="n"/>
      <c r="T59" s="32" t="n"/>
    </row>
    <row r="60" ht="62" customHeight="1">
      <c r="A60" s="10">
        <f>_xlfn.IMAGE("https://m.media-amazon.com/images/I/81RH5ZSH8mL.jpg")</f>
        <v/>
      </c>
      <c r="B60" s="32" t="inlineStr">
        <is>
          <t>B0CQ32QQ47</t>
        </is>
      </c>
      <c r="C60" s="32" t="inlineStr">
        <is>
          <t>BAMBOO-TWIN-TAUPE-6PCS</t>
        </is>
      </c>
      <c r="D60" s="32" t="inlineStr">
        <is>
          <t>DECOLURE 100% Organic Viscose Derived from Bamboo Sheets Twin Size 4pcs - Ultra Soft &amp; Luxuriously Cooling, 17" Deep Pocket, Double Stitching, Perfect for Hot Sleepers - Twin Bed Sheets (Taupe)</t>
        </is>
      </c>
      <c r="E60" s="32" t="inlineStr">
        <is>
          <t>Twin</t>
        </is>
      </c>
      <c r="F60" s="32" t="inlineStr">
        <is>
          <t>Taupe</t>
        </is>
      </c>
      <c r="G60" s="33" t="n"/>
      <c r="H60" s="32" t="n"/>
      <c r="I60" s="61" t="n">
        <v>50.99</v>
      </c>
      <c r="J60" s="62" t="inlineStr">
        <is>
          <t>2026-03-30</t>
        </is>
      </c>
      <c r="K60" s="33" t="n">
        <v>12.78</v>
      </c>
      <c r="L60" s="63" t="n">
        <v>0.2506373798784076</v>
      </c>
      <c r="M60" s="64" t="n">
        <v>2</v>
      </c>
      <c r="N60" s="32" t="inlineStr">
        <is>
          <t>Active</t>
        </is>
      </c>
      <c r="O60" s="32" t="n"/>
      <c r="P60" s="65" t="n"/>
      <c r="Q60" s="64" t="n"/>
      <c r="R60" s="64" t="n"/>
      <c r="S60" s="64" t="n"/>
      <c r="T60" s="32" t="n"/>
    </row>
    <row r="61" ht="62" customHeight="1">
      <c r="A61" s="10">
        <f>_xlfn.IMAGE("https://m.media-amazon.com/images/I/81KfdRGP46L.jpg")</f>
        <v/>
      </c>
      <c r="B61" s="32" t="inlineStr">
        <is>
          <t>B0CQ33QVZK</t>
        </is>
      </c>
      <c r="C61" s="32" t="inlineStr">
        <is>
          <t>BAMBOO-CALIFKING-BURGUNDY-6PCS</t>
        </is>
      </c>
      <c r="D61" s="32" t="inlineStr">
        <is>
          <t>DECOLURE 100% Organic Viscose Derived from Bamboo Sheets Cal King Size 6pcs - Ultra Soft &amp; Luxuriously Cooling, 17" Deep Pocket, Double Stitching, Perfect for Hot Sleepers - King Bed Sheets (Burgundy)</t>
        </is>
      </c>
      <c r="E61" s="32" t="inlineStr">
        <is>
          <t>California King</t>
        </is>
      </c>
      <c r="F61" s="32" t="inlineStr">
        <is>
          <t>Burgundy</t>
        </is>
      </c>
      <c r="G61" s="33" t="n"/>
      <c r="H61" s="32" t="n"/>
      <c r="I61" s="61" t="n">
        <v>80.98999999999999</v>
      </c>
      <c r="J61" s="62" t="inlineStr">
        <is>
          <t>2026-03-30</t>
        </is>
      </c>
      <c r="K61" s="33" t="n">
        <v>22.81999999999999</v>
      </c>
      <c r="L61" s="63" t="n">
        <v>0.2817631806395851</v>
      </c>
      <c r="M61" s="64" t="n">
        <v>1</v>
      </c>
      <c r="N61" s="32" t="inlineStr">
        <is>
          <t>Active</t>
        </is>
      </c>
      <c r="O61" s="32" t="n"/>
      <c r="P61" s="65" t="n"/>
      <c r="Q61" s="64" t="n"/>
      <c r="R61" s="64" t="n"/>
      <c r="S61" s="64" t="n"/>
      <c r="T61" s="32" t="n"/>
    </row>
    <row r="62" ht="62" customHeight="1">
      <c r="A62" s="10">
        <f>_xlfn.IMAGE("https://m.media-amazon.com/images/I/81MRRHk3q4L.jpg")</f>
        <v/>
      </c>
      <c r="B62" s="32" t="inlineStr">
        <is>
          <t>B0CQ31L3V7</t>
        </is>
      </c>
      <c r="C62" s="32" t="inlineStr">
        <is>
          <t>BAMBOO-CALIFKING-LIGHTBLUE-6PCS</t>
        </is>
      </c>
      <c r="D62" s="32" t="inlineStr">
        <is>
          <t>DECOLURE 100% Organic Viscose Derived from Bamboo Sheets Cal King Size 6pcs - Ultra Soft &amp; Luxuriously Cooling, 17" Deep Pocket,Double Stitching,Perfect for Hot Sleepers - King Bed Sheets (Light Blue)</t>
        </is>
      </c>
      <c r="E62" s="32" t="inlineStr">
        <is>
          <t>California King</t>
        </is>
      </c>
      <c r="F62" s="32" t="inlineStr">
        <is>
          <t>Light Blue</t>
        </is>
      </c>
      <c r="G62" s="33" t="n"/>
      <c r="H62" s="32" t="n"/>
      <c r="I62" s="61" t="n">
        <v>89.98999999999999</v>
      </c>
      <c r="J62" s="62" t="inlineStr">
        <is>
          <t>2026-03-30</t>
        </is>
      </c>
      <c r="K62" s="33" t="n">
        <v>30.57999999999999</v>
      </c>
      <c r="L62" s="63" t="n">
        <v>0.3398155350594509</v>
      </c>
      <c r="M62" s="64" t="n">
        <v>1</v>
      </c>
      <c r="N62" s="32" t="inlineStr">
        <is>
          <t>Active</t>
        </is>
      </c>
      <c r="O62" s="32" t="n"/>
      <c r="P62" s="65" t="n"/>
      <c r="Q62" s="64" t="n"/>
      <c r="R62" s="64" t="n"/>
      <c r="S62" s="64" t="n"/>
      <c r="T62" s="32" t="n"/>
    </row>
    <row r="63" ht="62" customHeight="1">
      <c r="A63" s="10">
        <f>_xlfn.IMAGE("https://m.media-amazon.com/images/I/81I312usunL.jpg")</f>
        <v/>
      </c>
      <c r="B63" s="32" t="inlineStr">
        <is>
          <t>B0CQ31X7S5</t>
        </is>
      </c>
      <c r="C63" s="32" t="inlineStr">
        <is>
          <t>BAMBOO-CALIFKING-LIGHTGREY-6PCS</t>
        </is>
      </c>
      <c r="D63" s="32" t="inlineStr">
        <is>
          <t>DECOLURE 100% Organic Viscose Derived from Bamboo Sheets Cal King Size 6pcs - Ultra Soft &amp; Luxuriously Cooling, 17" Deep Pocket,Double Stitching,Perfect for Hot Sleepers - King Bed Sheets (Light Grey)</t>
        </is>
      </c>
      <c r="E63" s="32" t="inlineStr">
        <is>
          <t>California King</t>
        </is>
      </c>
      <c r="F63" s="32" t="inlineStr">
        <is>
          <t>Light Grey</t>
        </is>
      </c>
      <c r="G63" s="33" t="n"/>
      <c r="H63" s="32" t="n"/>
      <c r="I63" s="61" t="n">
        <v>99.98999999999999</v>
      </c>
      <c r="J63" s="62" t="inlineStr">
        <is>
          <t>2026-03-30</t>
        </is>
      </c>
      <c r="K63" s="33" t="n">
        <v>38.57999999999999</v>
      </c>
      <c r="L63" s="63" t="n">
        <v>0.3858385838583858</v>
      </c>
      <c r="M63" s="64" t="n">
        <v>1</v>
      </c>
      <c r="N63" s="32" t="inlineStr">
        <is>
          <t>Active</t>
        </is>
      </c>
      <c r="O63" s="32" t="n"/>
      <c r="P63" s="65" t="n"/>
      <c r="Q63" s="64" t="n"/>
      <c r="R63" s="64" t="n"/>
      <c r="S63" s="64" t="n"/>
      <c r="T63" s="32" t="n"/>
    </row>
    <row r="64" ht="62" customHeight="1">
      <c r="A64" s="10">
        <f>_xlfn.IMAGE("https://m.media-amazon.com/images/I/81kehc99ZjL.jpg")</f>
        <v/>
      </c>
      <c r="B64" s="32" t="inlineStr">
        <is>
          <t>B0CQ32CNNX</t>
        </is>
      </c>
      <c r="C64" s="32" t="inlineStr">
        <is>
          <t>BAMBOO-CALIFKING-PURPLE-6PCS</t>
        </is>
      </c>
      <c r="D64" s="32" t="inlineStr">
        <is>
          <t>DECOLURE 100% Organic Viscose Derived from Bamboo Sheets Cal King Size 6pcs - Ultra Soft &amp; Luxuriously Cooling, 17" Deep Pocket, Double Stitching, Perfect for Hot Sleepers - King Bed Sheets (Purple)</t>
        </is>
      </c>
      <c r="E64" s="32" t="inlineStr">
        <is>
          <t>California King</t>
        </is>
      </c>
      <c r="F64" s="32" t="inlineStr">
        <is>
          <t>Purple</t>
        </is>
      </c>
      <c r="G64" s="33" t="n"/>
      <c r="H64" s="32" t="n"/>
      <c r="I64" s="61" t="n">
        <v>72.89</v>
      </c>
      <c r="J64" s="62" t="inlineStr">
        <is>
          <t>2026-03-30</t>
        </is>
      </c>
      <c r="K64" s="33" t="n">
        <v>15.64</v>
      </c>
      <c r="L64" s="63" t="n">
        <v>0.2145698998490877</v>
      </c>
      <c r="M64" s="64" t="n">
        <v>1</v>
      </c>
      <c r="N64" s="32" t="inlineStr">
        <is>
          <t>Inactive</t>
        </is>
      </c>
      <c r="O64" s="32" t="n"/>
      <c r="P64" s="65" t="n"/>
      <c r="Q64" s="64" t="n"/>
      <c r="R64" s="64" t="n"/>
      <c r="S64" s="64" t="n"/>
      <c r="T64" s="32" t="n"/>
    </row>
    <row r="65" ht="62" customHeight="1">
      <c r="A65" s="10">
        <f>_xlfn.IMAGE("https://m.media-amazon.com/images/I/81JHZOIZl1L.jpg")</f>
        <v/>
      </c>
      <c r="B65" s="32" t="inlineStr">
        <is>
          <t>B0CQ328DZM</t>
        </is>
      </c>
      <c r="C65" s="32" t="inlineStr">
        <is>
          <t>BAMBOO-CALIFKING-TAUPE-6PCS</t>
        </is>
      </c>
      <c r="D65" s="32" t="inlineStr">
        <is>
          <t>DECOLURE 100% Organic Viscose Derived from Bamboo Sheets Cal King Size 6pcs - Ultra Soft &amp; Luxuriously Cooling, 17" Deep Pocket, Double Stitching, Perfect for Hot Sleepers - King Bed Sheets (Taupe)</t>
        </is>
      </c>
      <c r="E65" s="32" t="inlineStr">
        <is>
          <t>California King</t>
        </is>
      </c>
      <c r="F65" s="32" t="inlineStr">
        <is>
          <t>Taupe</t>
        </is>
      </c>
      <c r="G65" s="33" t="n"/>
      <c r="H65" s="32" t="n"/>
      <c r="I65" s="61" t="n">
        <v>99.98999999999999</v>
      </c>
      <c r="J65" s="62" t="inlineStr">
        <is>
          <t>2026-03-30</t>
        </is>
      </c>
      <c r="K65" s="33" t="n">
        <v>38.48999999999999</v>
      </c>
      <c r="L65" s="63" t="n">
        <v>0.3849384938493848</v>
      </c>
      <c r="M65" s="64" t="n">
        <v>1</v>
      </c>
      <c r="N65" s="32" t="inlineStr">
        <is>
          <t>Active</t>
        </is>
      </c>
      <c r="O65" s="32" t="n"/>
      <c r="P65" s="65" t="n"/>
      <c r="Q65" s="64" t="n"/>
      <c r="R65" s="64" t="n"/>
      <c r="S65" s="64" t="n"/>
      <c r="T65" s="32" t="n"/>
    </row>
    <row r="66" ht="62" customHeight="1">
      <c r="A66" s="10">
        <f>_xlfn.IMAGE("https://m.media-amazon.com/images/I/810i1yrrNKL.jpg")</f>
        <v/>
      </c>
      <c r="B66" s="32" t="inlineStr">
        <is>
          <t>B0CQ32VM8N</t>
        </is>
      </c>
      <c r="C66" s="32" t="inlineStr">
        <is>
          <t>BAMBOO-FULL-LIGHTGREY-6PCS</t>
        </is>
      </c>
      <c r="D66" s="32" t="inlineStr">
        <is>
          <t>DECOLURE 100% Organic Viscose Derived from Bamboo Sheets Full Size 6pcs - Ultra Soft &amp; Luxuriously Cooling, 17" Deep Pocket, Double Stitching, Perfect for Hot Sleepers - Full Bed Sheets (Light Grey)</t>
        </is>
      </c>
      <c r="E66" s="32" t="inlineStr">
        <is>
          <t>Full</t>
        </is>
      </c>
      <c r="F66" s="32" t="inlineStr">
        <is>
          <t>Light Grey</t>
        </is>
      </c>
      <c r="G66" s="33" t="n"/>
      <c r="H66" s="32" t="n"/>
      <c r="I66" s="61" t="n">
        <v>62.99</v>
      </c>
      <c r="J66" s="62" t="inlineStr">
        <is>
          <t>2026-03-30</t>
        </is>
      </c>
      <c r="K66" s="33" t="n">
        <v>16.90000000000001</v>
      </c>
      <c r="L66" s="63" t="n">
        <v>0.2682965550087316</v>
      </c>
      <c r="M66" s="64" t="n">
        <v>1</v>
      </c>
      <c r="N66" s="32" t="inlineStr">
        <is>
          <t>Active</t>
        </is>
      </c>
      <c r="O66" s="32" t="n"/>
      <c r="P66" s="65" t="n"/>
      <c r="Q66" s="64" t="n"/>
      <c r="R66" s="64" t="n"/>
      <c r="S66" s="64" t="n"/>
      <c r="T66" s="32" t="n"/>
    </row>
    <row r="67" ht="62" customHeight="1">
      <c r="A67" s="10">
        <f>_xlfn.IMAGE("https://m.media-amazon.com/images/I/81qE6QSwrML.jpg")</f>
        <v/>
      </c>
      <c r="B67" s="32" t="inlineStr">
        <is>
          <t>B0CQ2ZSDMN</t>
        </is>
      </c>
      <c r="C67" s="32" t="inlineStr">
        <is>
          <t>BAMBOO-FULL-NAVYBLUE-6PCS</t>
        </is>
      </c>
      <c r="D67" s="32" t="inlineStr">
        <is>
          <t>DECOLURE 100% Organic Viscose Derived from Bamboo Sheets Full Size 6pcs - Ultra Soft &amp; Luxuriously Cooling, 17" Deep Pocket, Double Stitching, Perfect for Hot Sleepers - Full Bed Sheets (Navy Blue)</t>
        </is>
      </c>
      <c r="E67" s="32" t="inlineStr">
        <is>
          <t>Full</t>
        </is>
      </c>
      <c r="F67" s="32" t="inlineStr">
        <is>
          <t>Navy Blue</t>
        </is>
      </c>
      <c r="G67" s="33" t="n"/>
      <c r="H67" s="32" t="n"/>
      <c r="I67" s="61" t="n">
        <v>59.49</v>
      </c>
      <c r="J67" s="62" t="inlineStr">
        <is>
          <t>2026-03-30</t>
        </is>
      </c>
      <c r="K67" s="33" t="n">
        <v>13.66</v>
      </c>
      <c r="L67" s="63" t="n">
        <v>0.2296184232644142</v>
      </c>
      <c r="M67" s="64" t="n">
        <v>1</v>
      </c>
      <c r="N67" s="32" t="inlineStr">
        <is>
          <t>Active</t>
        </is>
      </c>
      <c r="O67" s="32" t="n"/>
      <c r="P67" s="65" t="n"/>
      <c r="Q67" s="64" t="n"/>
      <c r="R67" s="64" t="n"/>
      <c r="S67" s="64" t="n"/>
      <c r="T67" s="32" t="n"/>
    </row>
    <row r="68" ht="62" customHeight="1">
      <c r="A68" s="10">
        <f>_xlfn.IMAGE("https://m.media-amazon.com/images/I/81kehc99ZjL.jpg")</f>
        <v/>
      </c>
      <c r="B68" s="32" t="inlineStr">
        <is>
          <t>B0CQ31X3X5</t>
        </is>
      </c>
      <c r="C68" s="32" t="inlineStr">
        <is>
          <t>BAMBOO-FULL-PURPLE-6PCS</t>
        </is>
      </c>
      <c r="D68" s="32" t="inlineStr">
        <is>
          <t>DECOLURE 100% Organic Viscose Derived from Bamboo Sheets Full Size 6pcs - Ultra Soft &amp; Luxuriously Cooling, 17" Deep Pocket, Double Stitching, Perfect for Hot Sleepers - Full Bed Sheets (Purple)</t>
        </is>
      </c>
      <c r="E68" s="32" t="inlineStr">
        <is>
          <t>Full</t>
        </is>
      </c>
      <c r="F68" s="32" t="inlineStr">
        <is>
          <t>Purple</t>
        </is>
      </c>
      <c r="G68" s="33" t="n"/>
      <c r="H68" s="32" t="n"/>
      <c r="I68" s="61" t="n">
        <v>62.99</v>
      </c>
      <c r="J68" s="62" t="inlineStr">
        <is>
          <t>2026-03-30</t>
        </is>
      </c>
      <c r="K68" s="33" t="n">
        <v>16.54000000000001</v>
      </c>
      <c r="L68" s="63" t="n">
        <v>0.2625813621209717</v>
      </c>
      <c r="M68" s="64" t="n">
        <v>1</v>
      </c>
      <c r="N68" s="32" t="inlineStr">
        <is>
          <t>Active</t>
        </is>
      </c>
      <c r="O68" s="32" t="n"/>
      <c r="P68" s="65" t="n"/>
      <c r="Q68" s="64" t="n"/>
      <c r="R68" s="64" t="n"/>
      <c r="S68" s="64" t="n"/>
      <c r="T68" s="32" t="n"/>
    </row>
    <row r="69" ht="62" customHeight="1">
      <c r="A69" s="10">
        <f>_xlfn.IMAGE("https://m.media-amazon.com/images/I/81C7Qfwu1WL.jpg")</f>
        <v/>
      </c>
      <c r="B69" s="32" t="inlineStr">
        <is>
          <t>B0CQ32S4ML</t>
        </is>
      </c>
      <c r="C69" s="32" t="inlineStr">
        <is>
          <t>BAMBOO-KING-GREY-6PCS</t>
        </is>
      </c>
      <c r="D69" s="32" t="inlineStr">
        <is>
          <t>DECOLURE 100% Organic Viscose Derived from Bamboo Sheets King Size 6pcs - Ultra Soft &amp; Luxuriously Cooling, 17" Deep Pocket, Double Stitching, Perfect for Hot Sleepers - King Bed Sheets (Grey)</t>
        </is>
      </c>
      <c r="E69" s="32" t="inlineStr">
        <is>
          <t>King</t>
        </is>
      </c>
      <c r="F69" s="32" t="inlineStr">
        <is>
          <t>Grey</t>
        </is>
      </c>
      <c r="G69" s="33" t="n"/>
      <c r="H69" s="32" t="n"/>
      <c r="I69" s="61" t="n">
        <v>117.31</v>
      </c>
      <c r="J69" s="62" t="inlineStr">
        <is>
          <t>2026-03-30</t>
        </is>
      </c>
      <c r="K69" s="33" t="n">
        <v>48.19</v>
      </c>
      <c r="L69" s="63" t="n">
        <v>0.4107919188474981</v>
      </c>
      <c r="M69" s="64" t="n">
        <v>1</v>
      </c>
      <c r="N69" s="32" t="inlineStr">
        <is>
          <t>Active</t>
        </is>
      </c>
      <c r="O69" s="32" t="n"/>
      <c r="P69" s="65" t="n"/>
      <c r="Q69" s="64" t="n"/>
      <c r="R69" s="64" t="n"/>
      <c r="S69" s="64" t="n"/>
      <c r="T69" s="32" t="n"/>
    </row>
    <row r="70" ht="62" customHeight="1">
      <c r="A70" s="10">
        <f>_xlfn.IMAGE("https://m.media-amazon.com/images/I/81bS-hq76OL.jpg")</f>
        <v/>
      </c>
      <c r="B70" s="32" t="inlineStr">
        <is>
          <t>B0CQ31FR3Y</t>
        </is>
      </c>
      <c r="C70" s="32" t="inlineStr">
        <is>
          <t>BAMBOO-QUEEN-MIDGREY-6PCS</t>
        </is>
      </c>
      <c r="D70" s="32" t="inlineStr">
        <is>
          <t>DECOLURE 100% Organic Viscose Derived from Bamboo Sheets Queen Size 6pcs - Ultra Soft &amp; Luxuriously Cooling, 17" Deep Pocket, Double Stitching, Perfect for Hot Sleepers - Queen Bed Sheets (Midgrey)</t>
        </is>
      </c>
      <c r="E70" s="32" t="inlineStr">
        <is>
          <t>Queen</t>
        </is>
      </c>
      <c r="F70" s="32" t="inlineStr">
        <is>
          <t>Midgrey</t>
        </is>
      </c>
      <c r="G70" s="33" t="n"/>
      <c r="H70" s="32" t="n"/>
      <c r="I70" s="61" t="n">
        <v>78.73</v>
      </c>
      <c r="J70" s="62" t="inlineStr">
        <is>
          <t>2026-03-30</t>
        </is>
      </c>
      <c r="K70" s="33" t="n">
        <v>26.21</v>
      </c>
      <c r="L70" s="63" t="n">
        <v>0.3329099453829544</v>
      </c>
      <c r="M70" s="64" t="n">
        <v>1</v>
      </c>
      <c r="N70" s="32" t="inlineStr">
        <is>
          <t>Active</t>
        </is>
      </c>
      <c r="O70" s="32" t="n"/>
      <c r="P70" s="65" t="n"/>
      <c r="Q70" s="64" t="n"/>
      <c r="R70" s="64" t="n"/>
      <c r="S70" s="64" t="n"/>
      <c r="T70" s="32" t="n"/>
    </row>
    <row r="71" ht="62" customHeight="1">
      <c r="A71" s="10">
        <f>_xlfn.IMAGE("https://m.media-amazon.com/images/I/81E1xMzOfhL.jpg")</f>
        <v/>
      </c>
      <c r="B71" s="32" t="inlineStr">
        <is>
          <t>B0CQ33P28L</t>
        </is>
      </c>
      <c r="C71" s="32" t="inlineStr">
        <is>
          <t>BAMBOO-TWIN-GREY-6PCS</t>
        </is>
      </c>
      <c r="D71" s="32" t="inlineStr">
        <is>
          <t>DECOLURE 100% Organic Viscose Derived from Bamboo Sheets Twin Size 4pcs - Ultra Soft &amp; Luxuriously Cooling, 17" Deep Pocket, Double Stitching, Perfect for Hot Sleepers - Twin Bed Sheets (Grey)</t>
        </is>
      </c>
      <c r="E71" s="32" t="inlineStr">
        <is>
          <t>Twin</t>
        </is>
      </c>
      <c r="F71" s="32" t="inlineStr">
        <is>
          <t>Grey</t>
        </is>
      </c>
      <c r="G71" s="33" t="n"/>
      <c r="H71" s="32" t="n"/>
      <c r="I71" s="61" t="n">
        <v>71.98999999999999</v>
      </c>
      <c r="J71" s="62" t="inlineStr">
        <is>
          <t>2026-03-30</t>
        </is>
      </c>
      <c r="K71" s="33" t="n">
        <v>27.94</v>
      </c>
      <c r="L71" s="63" t="n">
        <v>0.3881094596471732</v>
      </c>
      <c r="M71" s="64" t="n">
        <v>1</v>
      </c>
      <c r="N71" s="32" t="inlineStr">
        <is>
          <t>Active</t>
        </is>
      </c>
      <c r="O71" s="32" t="n"/>
      <c r="P71" s="65" t="n"/>
      <c r="Q71" s="64" t="n"/>
      <c r="R71" s="64" t="n"/>
      <c r="S71" s="64" t="n"/>
      <c r="T71" s="32" t="n"/>
    </row>
    <row r="72" ht="62" customHeight="1">
      <c r="A72" s="10">
        <f>_xlfn.IMAGE("https://m.media-amazon.com/images/I/810-YAbkXoL.jpg")</f>
        <v/>
      </c>
      <c r="B72" s="32" t="inlineStr">
        <is>
          <t>B0CQ2YWCB3</t>
        </is>
      </c>
      <c r="C72" s="32" t="inlineStr">
        <is>
          <t>BAMBOO-TWIN-LIGHTOLIVE-6PCS</t>
        </is>
      </c>
      <c r="D72" s="32" t="inlineStr">
        <is>
          <t>DECOLURE 100% Organic Viscose Derived from Bamboo Sheets Twin Size 4pcs - Ultra Soft &amp; Luxuriously Cooling, 17" Deep Pocket, Double Stitching, Perfect for Hot Sleepers - Twin Bed Sheets (Light Olive)</t>
        </is>
      </c>
      <c r="E72" s="32" t="inlineStr">
        <is>
          <t>Twin</t>
        </is>
      </c>
      <c r="F72" s="32" t="inlineStr">
        <is>
          <t>Light Olive</t>
        </is>
      </c>
      <c r="G72" s="33" t="n"/>
      <c r="H72" s="32" t="n"/>
      <c r="I72" s="61" t="n">
        <v>62.99</v>
      </c>
      <c r="J72" s="62" t="inlineStr">
        <is>
          <t>2026-03-30</t>
        </is>
      </c>
      <c r="K72" s="33" t="n">
        <v>20.56000000000001</v>
      </c>
      <c r="L72" s="63" t="n">
        <v>0.3264010160342912</v>
      </c>
      <c r="M72" s="64" t="n">
        <v>1</v>
      </c>
      <c r="N72" s="32" t="inlineStr">
        <is>
          <t>Active</t>
        </is>
      </c>
      <c r="O72" s="32" t="n"/>
      <c r="P72" s="65" t="n"/>
      <c r="Q72" s="64" t="n"/>
      <c r="R72" s="64" t="n"/>
      <c r="S72" s="64" t="n"/>
      <c r="T72" s="32" t="n"/>
    </row>
    <row r="73" ht="62" customHeight="1">
      <c r="A73" s="10">
        <f>_xlfn.IMAGE("https://m.media-amazon.com/images/I/81SvYgazSwL.jpg")</f>
        <v/>
      </c>
      <c r="B73" s="32" t="inlineStr">
        <is>
          <t>B0CQ31N5Q5</t>
        </is>
      </c>
      <c r="C73" s="32" t="inlineStr">
        <is>
          <t>BAMBOO-TWIN-NAVYBLUE-6PCS</t>
        </is>
      </c>
      <c r="D73" s="32" t="inlineStr">
        <is>
          <t>DECOLURE 100% Organic Viscose Derived from Bamboo Sheets Twin Size 4pcs - Ultra Soft &amp; Luxuriously Cooling, 17" Deep Pocket, Double Stitching, Perfect for Hot Sleepers - Twin Bed Sheets (Navy Blue)</t>
        </is>
      </c>
      <c r="E73" s="32" t="inlineStr">
        <is>
          <t>Twin</t>
        </is>
      </c>
      <c r="F73" s="32" t="inlineStr">
        <is>
          <t>Navy Blue</t>
        </is>
      </c>
      <c r="G73" s="33" t="n"/>
      <c r="H73" s="32" t="n"/>
      <c r="I73" s="61" t="n">
        <v>74.93000000000001</v>
      </c>
      <c r="J73" s="62" t="inlineStr">
        <is>
          <t>2026-03-30</t>
        </is>
      </c>
      <c r="K73" s="33" t="n">
        <v>27.4</v>
      </c>
      <c r="L73" s="63" t="n">
        <v>0.365674629654344</v>
      </c>
      <c r="M73" s="64" t="n">
        <v>1</v>
      </c>
      <c r="N73" s="32" t="inlineStr">
        <is>
          <t>Active</t>
        </is>
      </c>
      <c r="O73" s="32" t="n"/>
      <c r="P73" s="65" t="n"/>
      <c r="Q73" s="64" t="n"/>
      <c r="R73" s="64" t="n"/>
      <c r="S73" s="64" t="n"/>
      <c r="T73" s="32" t="n"/>
    </row>
    <row r="74" ht="62" customHeight="1">
      <c r="A74" s="10">
        <f>_xlfn.IMAGE("https://m.media-amazon.com/images/I/81HVmR8NRpL.jpg")</f>
        <v/>
      </c>
      <c r="B74" s="32" t="inlineStr">
        <is>
          <t>B0CQ34D2QS</t>
        </is>
      </c>
      <c r="C74" s="32" t="inlineStr">
        <is>
          <t>BAMBOO-TWIN-WHITE-6PCS</t>
        </is>
      </c>
      <c r="D74" s="32" t="inlineStr">
        <is>
          <t>DECOLURE 100% Viscose Derived from Bamboo Sheets Twin Size - Luxury 4 Pc Naturally Cooling Sheets, Ultra Soft Bed Set - Deep 17" Pockets, Durable Double Stitching, Oeko Tex Standard (White)</t>
        </is>
      </c>
      <c r="E74" s="32" t="inlineStr">
        <is>
          <t>Twin</t>
        </is>
      </c>
      <c r="F74" s="32" t="inlineStr">
        <is>
          <t>White</t>
        </is>
      </c>
      <c r="G74" s="33" t="n"/>
      <c r="H74" s="32" t="n"/>
      <c r="I74" s="61" t="n">
        <v>69.98999999999999</v>
      </c>
      <c r="J74" s="62" t="inlineStr">
        <is>
          <t>2026-03-30</t>
        </is>
      </c>
      <c r="K74" s="33" t="n">
        <v>29.35</v>
      </c>
      <c r="L74" s="63" t="n">
        <v>0.4193456208029718</v>
      </c>
      <c r="M74" s="64" t="n">
        <v>1</v>
      </c>
      <c r="N74" s="32" t="inlineStr">
        <is>
          <t>Active</t>
        </is>
      </c>
      <c r="O74" s="32" t="n"/>
      <c r="P74" s="65" t="n"/>
      <c r="Q74" s="64" t="n"/>
      <c r="R74" s="64" t="n"/>
      <c r="S74" s="64" t="n"/>
      <c r="T74" s="32" t="n"/>
    </row>
    <row r="75" ht="62" customHeight="1">
      <c r="A75" s="10">
        <f>_xlfn.IMAGE("https://m.media-amazon.com/images/I/817PHsMlA6L.jpg")</f>
        <v/>
      </c>
      <c r="B75" s="32" t="inlineStr">
        <is>
          <t>B0CQ31D5FM</t>
        </is>
      </c>
      <c r="C75" s="32" t="inlineStr">
        <is>
          <t>BAMBOO-CALIFKING-BLACK-6PCS</t>
        </is>
      </c>
      <c r="D75" s="32" t="inlineStr">
        <is>
          <t>DECOLURE 100% Organic Viscose Derived from Bamboo Sheets Cal King Size 6pcs - Ultra Soft &amp; Luxuriously Cooling, 17" Deep Pocket, Double Stitching, Perfect for Hot Sleepers - King Bed Sheets (Black)</t>
        </is>
      </c>
      <c r="E75" s="32" t="inlineStr">
        <is>
          <t>California King</t>
        </is>
      </c>
      <c r="F75" s="32" t="inlineStr">
        <is>
          <t>Black</t>
        </is>
      </c>
      <c r="G75" s="33" t="n"/>
      <c r="H75" s="32" t="n"/>
      <c r="I75" s="61" t="n">
        <v>71.27</v>
      </c>
      <c r="J75" s="62" t="inlineStr">
        <is>
          <t>2026-03-30</t>
        </is>
      </c>
      <c r="K75" s="33" t="n">
        <v>13.9</v>
      </c>
      <c r="L75" s="63" t="n">
        <v>0.1950329732005051</v>
      </c>
      <c r="M75" s="64" t="n">
        <v>0</v>
      </c>
      <c r="N75" s="32" t="inlineStr">
        <is>
          <t>Active</t>
        </is>
      </c>
      <c r="O75" s="32" t="n"/>
      <c r="P75" s="65" t="n"/>
      <c r="Q75" s="64" t="n"/>
      <c r="R75" s="64" t="n"/>
      <c r="S75" s="64" t="n"/>
      <c r="T75" s="32" t="n"/>
    </row>
    <row r="76" ht="62" customHeight="1">
      <c r="A76" s="10">
        <f>_xlfn.IMAGE("https://m.media-amazon.com/images/I/81C7Qfwu1WL.jpg")</f>
        <v/>
      </c>
      <c r="B76" s="32" t="inlineStr">
        <is>
          <t>B0CQ33T9BL</t>
        </is>
      </c>
      <c r="C76" s="32" t="inlineStr">
        <is>
          <t>BAMBOO-CALIFKING-GREY-6PCS</t>
        </is>
      </c>
      <c r="D76" s="32" t="inlineStr">
        <is>
          <t>DECOLURE 100% Organic Viscose Derived from Bamboo Sheets Cal King Size 6pcs - Ultra Soft &amp; Luxuriously Cooling, 17" Deep Pocket, Double Stitching, Perfect for Hot Sleepers - King Bed Sheets (Grey)</t>
        </is>
      </c>
      <c r="E76" s="32" t="inlineStr">
        <is>
          <t>California King</t>
        </is>
      </c>
      <c r="F76" s="32" t="inlineStr">
        <is>
          <t>Grey</t>
        </is>
      </c>
      <c r="G76" s="33" t="n"/>
      <c r="H76" s="32" t="n"/>
      <c r="I76" s="61" t="n">
        <v>80.98999999999999</v>
      </c>
      <c r="J76" s="62" t="inlineStr">
        <is>
          <t>2026-03-30</t>
        </is>
      </c>
      <c r="K76" s="33" t="n">
        <v>23.28999999999999</v>
      </c>
      <c r="L76" s="63" t="n">
        <v>0.2875663662180515</v>
      </c>
      <c r="M76" s="64" t="n">
        <v>0</v>
      </c>
      <c r="N76" s="32" t="inlineStr">
        <is>
          <t>Active</t>
        </is>
      </c>
      <c r="O76" s="32" t="n"/>
      <c r="P76" s="65" t="n"/>
      <c r="Q76" s="64" t="n"/>
      <c r="R76" s="64" t="n"/>
      <c r="S76" s="64" t="n"/>
      <c r="T76" s="32" t="n"/>
    </row>
    <row r="77" ht="62" customHeight="1">
      <c r="A77" s="10">
        <f>_xlfn.IMAGE("https://m.media-amazon.com/images/I/81vnFb6DYQL.jpg")</f>
        <v/>
      </c>
      <c r="B77" s="32" t="inlineStr">
        <is>
          <t>B0CQ31V52K</t>
        </is>
      </c>
      <c r="C77" s="32" t="inlineStr">
        <is>
          <t>BAMBOO-CALIFKING-LIGHTOLIVE-6PCS</t>
        </is>
      </c>
      <c r="D77" s="32" t="inlineStr">
        <is>
          <t>DECOLURE 100% Organic Viscose Derived from Bamboo Sheets Cal King Size 6pcs - Ultra Soft &amp; Luxuriously Cooling,17" Deep Pocket,Double Stitching,Perfect for Hot Sleepers - King Bed Sheets (Light Olive)</t>
        </is>
      </c>
      <c r="E77" s="32" t="inlineStr">
        <is>
          <t>California King</t>
        </is>
      </c>
      <c r="F77" s="32" t="inlineStr">
        <is>
          <t>Light Olive</t>
        </is>
      </c>
      <c r="G77" s="33" t="n"/>
      <c r="H77" s="32" t="n"/>
      <c r="I77" s="61" t="n">
        <v>80.98999999999999</v>
      </c>
      <c r="J77" s="62" t="inlineStr">
        <is>
          <t>2026-03-30</t>
        </is>
      </c>
      <c r="K77" s="33" t="n">
        <v>22.51999999999999</v>
      </c>
      <c r="L77" s="63" t="n">
        <v>0.2780590196320532</v>
      </c>
      <c r="M77" s="64" t="n">
        <v>0</v>
      </c>
      <c r="N77" s="32" t="inlineStr">
        <is>
          <t>Inactive</t>
        </is>
      </c>
      <c r="O77" s="32" t="n"/>
      <c r="P77" s="65" t="n"/>
      <c r="Q77" s="64" t="n"/>
      <c r="R77" s="64" t="n"/>
      <c r="S77" s="64" t="n"/>
      <c r="T77" s="32" t="n"/>
    </row>
    <row r="78" ht="62" customHeight="1">
      <c r="A78" s="10">
        <f>_xlfn.IMAGE("https://m.media-amazon.com/images/I/81qwLZXe5IL.jpg")</f>
        <v/>
      </c>
      <c r="B78" s="32" t="inlineStr">
        <is>
          <t>B0CQ2ZS83S</t>
        </is>
      </c>
      <c r="C78" s="32" t="inlineStr">
        <is>
          <t>BAMBOO-CALIFKING-LIGHT PINK-6PCS</t>
        </is>
      </c>
      <c r="D78" s="32" t="inlineStr">
        <is>
          <t>DECOLURE 100% Organic Viscose Derived from Bamboo Sheets Cal King Size 6pcs - Ultra Soft &amp; Luxuriously Cooling, 17" Deep Pocket,Double Stitching,Perfect for Hot Sleepers - King Bed Sheets (Light Pink)</t>
        </is>
      </c>
      <c r="E78" s="32" t="inlineStr">
        <is>
          <t>California King</t>
        </is>
      </c>
      <c r="F78" s="32" t="inlineStr">
        <is>
          <t>Light Pink</t>
        </is>
      </c>
      <c r="G78" s="33" t="n"/>
      <c r="H78" s="32" t="n"/>
      <c r="I78" s="61" t="n">
        <v>99.98999999999999</v>
      </c>
      <c r="J78" s="62" t="inlineStr">
        <is>
          <t>2026-03-30</t>
        </is>
      </c>
      <c r="K78" s="33" t="n">
        <v>38.48999999999999</v>
      </c>
      <c r="L78" s="63" t="n">
        <v>0.3849384938493848</v>
      </c>
      <c r="M78" s="64" t="n">
        <v>0</v>
      </c>
      <c r="N78" s="32" t="inlineStr">
        <is>
          <t>Active</t>
        </is>
      </c>
      <c r="O78" s="32" t="n"/>
      <c r="P78" s="65" t="n"/>
      <c r="Q78" s="64" t="n"/>
      <c r="R78" s="64" t="n"/>
      <c r="S78" s="64" t="n"/>
      <c r="T78" s="32" t="n"/>
    </row>
    <row r="79" ht="62" customHeight="1">
      <c r="A79" s="10">
        <f>_xlfn.IMAGE("https://m.media-amazon.com/images/I/817PHsMlA6L.jpg")</f>
        <v/>
      </c>
      <c r="B79" s="32" t="inlineStr">
        <is>
          <t>B0CQ332KLH</t>
        </is>
      </c>
      <c r="C79" s="32" t="inlineStr">
        <is>
          <t>BAMBOO-FULL-BLACK-6PCS</t>
        </is>
      </c>
      <c r="D79" s="32" t="inlineStr">
        <is>
          <t>DECOLURE 100% Organic Viscose Derived from Bamboo Sheets Full Size 6pcs - Ultra Soft &amp; Luxuriously Cooling, 17" Deep Pocket, Double Stitching, Perfect for Hot Sleepers - Full Bed Sheets (Black)</t>
        </is>
      </c>
      <c r="E79" s="32" t="inlineStr">
        <is>
          <t>Full</t>
        </is>
      </c>
      <c r="F79" s="32" t="inlineStr">
        <is>
          <t>Black</t>
        </is>
      </c>
      <c r="G79" s="33" t="n"/>
      <c r="H79" s="32" t="n"/>
      <c r="I79" s="61" t="n">
        <v>62.99</v>
      </c>
      <c r="J79" s="62" t="inlineStr">
        <is>
          <t>2026-03-30</t>
        </is>
      </c>
      <c r="K79" s="33" t="n">
        <v>16.72</v>
      </c>
      <c r="L79" s="63" t="n">
        <v>0.2654389585648516</v>
      </c>
      <c r="M79" s="64" t="n">
        <v>0</v>
      </c>
      <c r="N79" s="32" t="inlineStr">
        <is>
          <t>Active</t>
        </is>
      </c>
      <c r="O79" s="32" t="n"/>
      <c r="P79" s="65" t="n"/>
      <c r="Q79" s="64" t="n"/>
      <c r="R79" s="64" t="n"/>
      <c r="S79" s="64" t="n"/>
      <c r="T79" s="32" t="n"/>
    </row>
    <row r="80" ht="62" customHeight="1">
      <c r="A80" s="10">
        <f>_xlfn.IMAGE("https://m.media-amazon.com/images/I/81+83kJjC0L.jpg")</f>
        <v/>
      </c>
      <c r="B80" s="32" t="inlineStr">
        <is>
          <t>B0CQ31ZKNJ</t>
        </is>
      </c>
      <c r="C80" s="32" t="inlineStr">
        <is>
          <t>BAMBOO-FULL-CHARCOAL-6PCS</t>
        </is>
      </c>
      <c r="D80" s="32" t="inlineStr">
        <is>
          <t>DECOLURE 100% Organic Viscose Derived from Bamboo Sheets Full Size 6pcs - Ultra Soft &amp; Luxuriously Cooling, 17" Deep Pocket, Double Stitching, Perfect for Hot Sleepers - Full Bed Sheets (Charcoal)</t>
        </is>
      </c>
      <c r="E80" s="32" t="inlineStr">
        <is>
          <t>Full</t>
        </is>
      </c>
      <c r="F80" s="32" t="inlineStr">
        <is>
          <t>Charcoal</t>
        </is>
      </c>
      <c r="G80" s="33" t="n"/>
      <c r="H80" s="32" t="n"/>
      <c r="I80" s="61" t="n">
        <v>71.98999999999999</v>
      </c>
      <c r="J80" s="62" t="inlineStr">
        <is>
          <t>2026-03-30</t>
        </is>
      </c>
      <c r="K80" s="33" t="n">
        <v>22.33999999999999</v>
      </c>
      <c r="L80" s="63" t="n">
        <v>0.3103208778997082</v>
      </c>
      <c r="M80" s="64" t="n">
        <v>0</v>
      </c>
      <c r="N80" s="32" t="inlineStr">
        <is>
          <t>Inactive</t>
        </is>
      </c>
      <c r="O80" s="32" t="n"/>
      <c r="P80" s="65" t="n"/>
      <c r="Q80" s="64" t="n"/>
      <c r="R80" s="64" t="n"/>
      <c r="S80" s="64" t="n"/>
      <c r="T80" s="32" t="n"/>
    </row>
    <row r="81" ht="62" customHeight="1">
      <c r="A81" s="10">
        <f>_xlfn.IMAGE("https://m.media-amazon.com/images/I/81I312usunL.jpg")</f>
        <v/>
      </c>
      <c r="B81" s="32" t="inlineStr">
        <is>
          <t>B0HD13QPG2</t>
        </is>
      </c>
      <c r="C81" s="32" t="inlineStr">
        <is>
          <t>BAMBOO-FULL-LIGHTGREY-6PC</t>
        </is>
      </c>
      <c r="D81" s="32" t="inlineStr">
        <is>
          <t>DECOLURE 100% Organic Viscose Derived from Bamboo Sheets Full Size 6pcs - Ultra Soft &amp; Luxuriously Cooling, 17" Deep Pocket, Double Stitching, Perfect for Hot Sleepers - Full Bed Sheets (Light Grey-1)</t>
        </is>
      </c>
      <c r="E81" s="32" t="inlineStr">
        <is>
          <t>Full</t>
        </is>
      </c>
      <c r="F81" s="32" t="inlineStr">
        <is>
          <t>Light Grey</t>
        </is>
      </c>
      <c r="G81" s="33" t="n"/>
      <c r="H81" s="32" t="n"/>
      <c r="I81" s="33" t="n"/>
      <c r="J81" s="32" t="n"/>
      <c r="K81" s="33" t="n"/>
      <c r="L81" s="63" t="n"/>
      <c r="M81" s="64" t="n">
        <v>0</v>
      </c>
      <c r="N81" s="32" t="inlineStr">
        <is>
          <t>Active</t>
        </is>
      </c>
      <c r="O81" s="32" t="n"/>
      <c r="P81" s="65" t="n"/>
      <c r="Q81" s="64" t="n"/>
      <c r="R81" s="64" t="n"/>
      <c r="S81" s="64" t="n"/>
      <c r="T81" s="32" t="n"/>
    </row>
    <row r="82" ht="62" customHeight="1">
      <c r="A82" s="10">
        <f>_xlfn.IMAGE("https://m.media-amazon.com/images/I/81vnFb6DYQL.jpg")</f>
        <v/>
      </c>
      <c r="B82" s="32" t="inlineStr">
        <is>
          <t>B0CQ2YBSK2</t>
        </is>
      </c>
      <c r="C82" s="32" t="inlineStr">
        <is>
          <t>BAMBOO-FULL-LIGHTOLIVE-6PCS</t>
        </is>
      </c>
      <c r="D82" s="32" t="inlineStr">
        <is>
          <t>DECOLURE 100% Organic Viscose Derived from Bamboo Sheets Full Size 6pcs - Ultra Soft &amp; Luxuriously Cooling, 17" Deep Pocket, Double Stitching, Perfect for Hot Sleepers - Full Bed Sheets (Light Olive)</t>
        </is>
      </c>
      <c r="E82" s="32" t="inlineStr">
        <is>
          <t>Full</t>
        </is>
      </c>
      <c r="F82" s="32" t="inlineStr">
        <is>
          <t>Light Olive</t>
        </is>
      </c>
      <c r="G82" s="33" t="n"/>
      <c r="H82" s="32" t="n"/>
      <c r="I82" s="61" t="n">
        <v>62.99</v>
      </c>
      <c r="J82" s="62" t="inlineStr">
        <is>
          <t>2026-03-30</t>
        </is>
      </c>
      <c r="K82" s="33" t="n">
        <v>14.78</v>
      </c>
      <c r="L82" s="63" t="n">
        <v>0.2346404191141452</v>
      </c>
      <c r="M82" s="64" t="n">
        <v>0</v>
      </c>
      <c r="N82" s="32" t="inlineStr">
        <is>
          <t>Active</t>
        </is>
      </c>
      <c r="O82" s="32" t="n"/>
      <c r="P82" s="65" t="n"/>
      <c r="Q82" s="64" t="n"/>
      <c r="R82" s="64" t="n"/>
      <c r="S82" s="64" t="n"/>
      <c r="T82" s="32" t="n"/>
    </row>
    <row r="83" ht="62" customHeight="1">
      <c r="A83" s="10">
        <f>_xlfn.IMAGE("https://m.media-amazon.com/images/I/81qX1TwGR6L.jpg")</f>
        <v/>
      </c>
      <c r="B83" s="32" t="inlineStr">
        <is>
          <t>B0CQ322XC6</t>
        </is>
      </c>
      <c r="C83" s="32" t="inlineStr">
        <is>
          <t>BAMBOO-FULL-SAGE GREEN-6PCS</t>
        </is>
      </c>
      <c r="D83" s="32" t="inlineStr">
        <is>
          <t>DECOLURE 100% Organic Viscose Derived from Bamboo Sheets Full Size 6pcs - Ultra Soft &amp; Luxuriously Cooling, 17" Deep Pocket, Double Stitching, Perfect for Hot Sleepers - Full Bed Sheets (Sage Green)</t>
        </is>
      </c>
      <c r="E83" s="32" t="inlineStr">
        <is>
          <t>Full</t>
        </is>
      </c>
      <c r="F83" s="32" t="inlineStr">
        <is>
          <t>Sage Green</t>
        </is>
      </c>
      <c r="G83" s="33" t="n"/>
      <c r="H83" s="32" t="n"/>
      <c r="I83" s="61" t="n">
        <v>93.20999999999999</v>
      </c>
      <c r="J83" s="62" t="inlineStr">
        <is>
          <t>2026-03-30</t>
        </is>
      </c>
      <c r="K83" s="33" t="n">
        <v>37.65999999999999</v>
      </c>
      <c r="L83" s="63" t="n">
        <v>0.4040339019418516</v>
      </c>
      <c r="M83" s="64" t="n">
        <v>0</v>
      </c>
      <c r="N83" s="32" t="inlineStr">
        <is>
          <t>Active</t>
        </is>
      </c>
      <c r="O83" s="32" t="n"/>
      <c r="P83" s="65" t="n"/>
      <c r="Q83" s="64" t="n"/>
      <c r="R83" s="64" t="n"/>
      <c r="S83" s="64" t="n"/>
      <c r="T83" s="32" t="n"/>
    </row>
    <row r="84" ht="62" customHeight="1">
      <c r="A84" s="10">
        <f>_xlfn.IMAGE("https://m.media-amazon.com/images/I/81vnFb6DYQL.jpg")</f>
        <v/>
      </c>
      <c r="B84" s="32" t="inlineStr">
        <is>
          <t>B0CQ2YVZ18</t>
        </is>
      </c>
      <c r="C84" s="32" t="inlineStr">
        <is>
          <t>BAMBOO-KING-LIGHTOLIVE-6PCS</t>
        </is>
      </c>
      <c r="D84" s="32" t="inlineStr">
        <is>
          <t>DECOLURE 100% Organic Viscose Derived from Bamboo Sheets King Size 6pcs - Ultra Soft &amp; Luxuriously Cooling, 17" Deep Pocket, Double Stitching, Perfect for Hot Sleepers - King Bed Sheets (Light Olive)</t>
        </is>
      </c>
      <c r="E84" s="32" t="inlineStr">
        <is>
          <t>King</t>
        </is>
      </c>
      <c r="F84" s="32" t="inlineStr">
        <is>
          <t>Light Olive</t>
        </is>
      </c>
      <c r="G84" s="33" t="n"/>
      <c r="H84" s="32" t="n"/>
      <c r="I84" s="61" t="n">
        <v>99.98999999999999</v>
      </c>
      <c r="J84" s="62" t="inlineStr">
        <is>
          <t>2026-03-30</t>
        </is>
      </c>
      <c r="K84" s="33" t="n">
        <v>39.62</v>
      </c>
      <c r="L84" s="63" t="n">
        <v>0.3962396239623963</v>
      </c>
      <c r="M84" s="64" t="n">
        <v>0</v>
      </c>
      <c r="N84" s="32" t="inlineStr">
        <is>
          <t>Active</t>
        </is>
      </c>
      <c r="O84" s="32" t="n"/>
      <c r="P84" s="65" t="n"/>
      <c r="Q84" s="64" t="n"/>
      <c r="R84" s="64" t="n"/>
      <c r="S84" s="64" t="n"/>
      <c r="T84" s="32" t="n"/>
    </row>
    <row r="85" ht="62" customHeight="1">
      <c r="A85" s="10">
        <f>_xlfn.IMAGE("https://m.media-amazon.com/images/I/813aFqxnKrL.jpg")</f>
        <v/>
      </c>
      <c r="B85" s="32" t="inlineStr">
        <is>
          <t>B0CQ2YDPDS</t>
        </is>
      </c>
      <c r="C85" s="32" t="inlineStr">
        <is>
          <t>BAMBOO-KING-OLIVE-6PCS</t>
        </is>
      </c>
      <c r="D85" s="32" t="inlineStr">
        <is>
          <t>DECOLURE 100% Viscose Derived from Bamboo Sheets King Size - Luxury 6 Pc Naturally Cooling Sheets, Ultra Soft Bed Set - Deep 17" Pockets, Durable Double Stitching, Oeko Tex Standard (Olive)</t>
        </is>
      </c>
      <c r="E85" s="32" t="inlineStr">
        <is>
          <t>King</t>
        </is>
      </c>
      <c r="F85" s="32" t="inlineStr">
        <is>
          <t>Olive</t>
        </is>
      </c>
      <c r="G85" s="33" t="n"/>
      <c r="H85" s="32" t="n"/>
      <c r="I85" s="61" t="n">
        <v>74.98999999999999</v>
      </c>
      <c r="J85" s="62" t="inlineStr">
        <is>
          <t>2026-03-22</t>
        </is>
      </c>
      <c r="K85" s="33" t="n">
        <v>17.62</v>
      </c>
      <c r="L85" s="63" t="n">
        <v>0.2349646619549273</v>
      </c>
      <c r="M85" s="64" t="n">
        <v>0</v>
      </c>
      <c r="N85" s="32" t="inlineStr">
        <is>
          <t>Active</t>
        </is>
      </c>
      <c r="O85" s="32" t="n"/>
      <c r="P85" s="65" t="n"/>
      <c r="Q85" s="64" t="n"/>
      <c r="R85" s="64" t="n"/>
      <c r="S85" s="64" t="n"/>
      <c r="T85" s="32" t="n"/>
    </row>
    <row r="86" ht="62" customHeight="1">
      <c r="A86" s="10">
        <f>_xlfn.IMAGE("https://m.media-amazon.com/images/I/817PHsMlA6L.jpg")</f>
        <v/>
      </c>
      <c r="B86" s="32" t="inlineStr">
        <is>
          <t>B0CQ31CZTJ</t>
        </is>
      </c>
      <c r="C86" s="32" t="inlineStr">
        <is>
          <t>BAMBOO-QUEEN-BLACK-6PCS</t>
        </is>
      </c>
      <c r="D86" s="32" t="inlineStr">
        <is>
          <t>DECOLURE 100% Organic Viscose Derived from Bamboo Sheets Queen Size 6pcs - Ultra Soft &amp; Luxuriously Cooling, 17" Deep Pocket, Double Stitching, Perfect for Hot Sleepers - Queen Bed Sheets (Black)</t>
        </is>
      </c>
      <c r="E86" s="32" t="inlineStr">
        <is>
          <t>Queen</t>
        </is>
      </c>
      <c r="F86" s="32" t="inlineStr">
        <is>
          <t>Black</t>
        </is>
      </c>
      <c r="G86" s="33" t="n"/>
      <c r="H86" s="32" t="n"/>
      <c r="I86" s="61" t="n">
        <v>115.02</v>
      </c>
      <c r="J86" s="62" t="inlineStr">
        <is>
          <t>2026-03-14</t>
        </is>
      </c>
      <c r="K86" s="33" t="n">
        <v>52.90999999999999</v>
      </c>
      <c r="L86" s="63" t="n">
        <v>0.4600069553121195</v>
      </c>
      <c r="M86" s="64" t="n"/>
      <c r="N86" s="32" t="inlineStr">
        <is>
          <t>Inactive</t>
        </is>
      </c>
      <c r="O86" s="32" t="n"/>
      <c r="P86" s="65" t="n"/>
      <c r="Q86" s="64" t="n"/>
      <c r="R86" s="64" t="n"/>
      <c r="S86" s="64" t="n"/>
      <c r="T86" s="32" t="n"/>
    </row>
    <row r="87" ht="62" customHeight="1">
      <c r="A87" s="10">
        <f>_xlfn.IMAGE("https://m.media-amazon.com/images/I/81K76gPDPkL.jpg")</f>
        <v/>
      </c>
      <c r="B87" s="32" t="inlineStr">
        <is>
          <t>B0CQ3GXLCJ</t>
        </is>
      </c>
      <c r="C87" s="32" t="n"/>
      <c r="D87" s="32" t="inlineStr">
        <is>
          <t>DECOLURE 100% Organic Viscose Derived from Bamboo Sheets Queen Size 6pcs - Ultra Soft &amp; Luxuriously Cooling, 17" Deep Pocket, Double Stitching, Perfect for Hot Sleepers - Queen Bed Sheets (Purple)</t>
        </is>
      </c>
      <c r="E87" s="32" t="inlineStr">
        <is>
          <t>Queen</t>
        </is>
      </c>
      <c r="F87" s="32" t="inlineStr">
        <is>
          <t>Purple</t>
        </is>
      </c>
      <c r="G87" s="33" t="n"/>
      <c r="H87" s="32" t="n"/>
      <c r="I87" s="33" t="n"/>
      <c r="J87" s="32" t="n"/>
      <c r="K87" s="33" t="n"/>
      <c r="L87" s="63" t="n"/>
      <c r="M87" s="64" t="n"/>
      <c r="N87" s="32" t="inlineStr">
        <is>
          <t>Active</t>
        </is>
      </c>
      <c r="O87" s="32" t="n"/>
      <c r="P87" s="65" t="n"/>
      <c r="Q87" s="64" t="n"/>
      <c r="R87" s="64" t="n"/>
      <c r="S87" s="64" t="n"/>
      <c r="T87" s="32" t="n"/>
    </row>
    <row r="88" ht="62" customHeight="1">
      <c r="A88" s="10">
        <f>_xlfn.IMAGE("https://m.media-amazon.com/images/I/81LUuxH3WqL.jpg")</f>
        <v/>
      </c>
      <c r="B88" s="32" t="inlineStr">
        <is>
          <t>B0CQ3319BK</t>
        </is>
      </c>
      <c r="C88" s="32" t="inlineStr">
        <is>
          <t>BAMBOO-TWIN-BLACK-6PCS</t>
        </is>
      </c>
      <c r="D88" s="32" t="inlineStr">
        <is>
          <t>DECOLURE 100% Organic Viscose Derived from Bamboo Sheets Twin Size 4pcs - Ultra Soft &amp; Luxuriously Cooling, 17" Deep Pocket, Double Stitching, Perfect for Hot Sleepers - Twin Bed Sheets (Black)</t>
        </is>
      </c>
      <c r="E88" s="32" t="inlineStr">
        <is>
          <t>Twin</t>
        </is>
      </c>
      <c r="F88" s="32" t="inlineStr">
        <is>
          <t>Black</t>
        </is>
      </c>
      <c r="G88" s="33" t="n"/>
      <c r="H88" s="32" t="n"/>
      <c r="I88" s="61" t="n">
        <v>62.99</v>
      </c>
      <c r="J88" s="62" t="inlineStr">
        <is>
          <t>2026-03-30</t>
        </is>
      </c>
      <c r="K88" s="33" t="n">
        <v>22.69000000000001</v>
      </c>
      <c r="L88" s="63" t="n">
        <v>0.3602159072868711</v>
      </c>
      <c r="M88" s="64" t="n">
        <v>0</v>
      </c>
      <c r="N88" s="32" t="inlineStr">
        <is>
          <t>Active</t>
        </is>
      </c>
      <c r="O88" s="32" t="n"/>
      <c r="P88" s="65" t="n"/>
      <c r="Q88" s="64" t="n"/>
      <c r="R88" s="64" t="n"/>
      <c r="S88" s="64" t="n"/>
      <c r="T88" s="32" t="n"/>
    </row>
    <row r="89" ht="62" customHeight="1">
      <c r="A89" s="10">
        <f>_xlfn.IMAGE("https://m.media-amazon.com/images/I/81KfdRGP46L.jpg")</f>
        <v/>
      </c>
      <c r="B89" s="32" t="inlineStr">
        <is>
          <t>B0CQ32LWVD</t>
        </is>
      </c>
      <c r="C89" s="32" t="inlineStr">
        <is>
          <t>BAMBOO-TWIN-BURGUNDY-6PCS</t>
        </is>
      </c>
      <c r="D89" s="32" t="inlineStr">
        <is>
          <t>DECOLURE 100% Organic Viscose Derived from Bamboo Sheets Twin Size 4pcs - Ultra Soft &amp; Luxuriously Cooling, 17" Deep Pocket, Double Stitching, Perfect for Hot Sleepers - Twin Bed Sheets (Burgundy)</t>
        </is>
      </c>
      <c r="E89" s="32" t="inlineStr">
        <is>
          <t>Twin</t>
        </is>
      </c>
      <c r="F89" s="32" t="inlineStr">
        <is>
          <t>Burgundy</t>
        </is>
      </c>
      <c r="G89" s="33" t="n"/>
      <c r="H89" s="32" t="n"/>
      <c r="I89" s="61" t="n">
        <v>50.99</v>
      </c>
      <c r="J89" s="62" t="inlineStr">
        <is>
          <t>2026-03-30</t>
        </is>
      </c>
      <c r="K89" s="33" t="n">
        <v>13.02</v>
      </c>
      <c r="L89" s="63" t="n">
        <v>0.2553441851343401</v>
      </c>
      <c r="M89" s="64" t="n"/>
      <c r="N89" s="32" t="inlineStr">
        <is>
          <t>Inactive</t>
        </is>
      </c>
      <c r="O89" s="32" t="n"/>
      <c r="P89" s="65" t="n"/>
      <c r="Q89" s="64" t="n"/>
      <c r="R89" s="64" t="n"/>
      <c r="S89" s="64" t="n"/>
      <c r="T89" s="32" t="n"/>
    </row>
    <row r="90" ht="62" customHeight="1">
      <c r="A90" s="10">
        <f>_xlfn.IMAGE("https://m.media-amazon.com/images/I/81+83kJjC0L.jpg")</f>
        <v/>
      </c>
      <c r="B90" s="32" t="inlineStr">
        <is>
          <t>B0CQ2ZVDC1</t>
        </is>
      </c>
      <c r="C90" s="32" t="inlineStr">
        <is>
          <t>BAMBOO-TWIN-CHARCOAL-6PCS</t>
        </is>
      </c>
      <c r="D90" s="32" t="inlineStr">
        <is>
          <t>DECOLURE 100% Organic Viscose Derived from Bamboo Sheets Twin Size 4pcs - Ultra Soft &amp; Luxuriously Cooling, 17" Deep Pocket, Double Stitching, Perfect for Hot Sleepers - Twin Bed Sheets (Charcoal)</t>
        </is>
      </c>
      <c r="E90" s="32" t="inlineStr">
        <is>
          <t>Twin</t>
        </is>
      </c>
      <c r="F90" s="32" t="inlineStr">
        <is>
          <t>Charcoal</t>
        </is>
      </c>
      <c r="G90" s="33" t="n"/>
      <c r="H90" s="32" t="n"/>
      <c r="I90" s="61" t="n">
        <v>62.99</v>
      </c>
      <c r="J90" s="62" t="inlineStr">
        <is>
          <t>2026-03-30</t>
        </is>
      </c>
      <c r="K90" s="33" t="n">
        <v>20.14000000000001</v>
      </c>
      <c r="L90" s="63" t="n">
        <v>0.3197332909985714</v>
      </c>
      <c r="M90" s="64" t="n"/>
      <c r="N90" s="32" t="inlineStr">
        <is>
          <t>Inactive</t>
        </is>
      </c>
      <c r="O90" s="32" t="n"/>
      <c r="P90" s="65" t="n"/>
      <c r="Q90" s="64" t="n"/>
      <c r="R90" s="64" t="n"/>
      <c r="S90" s="64" t="n"/>
      <c r="T90" s="32" t="n"/>
    </row>
    <row r="91" ht="62" customHeight="1">
      <c r="A91" s="10">
        <f>_xlfn.IMAGE("https://m.media-amazon.com/images/I/81UukoIufqL.jpg")</f>
        <v/>
      </c>
      <c r="B91" s="32" t="inlineStr">
        <is>
          <t>B0CQ2ZZZ42</t>
        </is>
      </c>
      <c r="C91" s="32" t="inlineStr">
        <is>
          <t>BAMBOO-TWIN-CREME-6PCS</t>
        </is>
      </c>
      <c r="D91" s="32" t="inlineStr">
        <is>
          <t>DECOLURE 100% Organic Viscose Derived from Bamboo Sheets Twin Size 4pcs - Ultra Soft &amp; Luxuriously Cooling, 17" Deep Pocket, Double Stitching, Perfect for Hot Sleepers - Twin Bed Sheets (Creme)</t>
        </is>
      </c>
      <c r="E91" s="32" t="inlineStr">
        <is>
          <t>Twin</t>
        </is>
      </c>
      <c r="F91" s="32" t="inlineStr">
        <is>
          <t>Creme</t>
        </is>
      </c>
      <c r="G91" s="33" t="n"/>
      <c r="H91" s="32" t="n"/>
      <c r="I91" s="61" t="n">
        <v>62.99</v>
      </c>
      <c r="J91" s="62" t="inlineStr">
        <is>
          <t>2026-03-30</t>
        </is>
      </c>
      <c r="K91" s="33" t="n">
        <v>23.04000000000001</v>
      </c>
      <c r="L91" s="63" t="n">
        <v>0.3657723448166377</v>
      </c>
      <c r="M91" s="64" t="n"/>
      <c r="N91" s="32" t="inlineStr">
        <is>
          <t>Active</t>
        </is>
      </c>
      <c r="O91" s="32" t="n"/>
      <c r="P91" s="65" t="n"/>
      <c r="Q91" s="64" t="n"/>
      <c r="R91" s="64" t="n"/>
      <c r="S91" s="64" t="n"/>
      <c r="T91" s="32" t="n"/>
    </row>
    <row r="92" ht="62" customHeight="1">
      <c r="A92" s="10">
        <f>_xlfn.IMAGE("https://m.media-amazon.com/images/I/81Ej8SH6bmL.jpg")</f>
        <v/>
      </c>
      <c r="B92" s="32" t="inlineStr">
        <is>
          <t>B0CQ31CJPJ</t>
        </is>
      </c>
      <c r="C92" s="32" t="inlineStr">
        <is>
          <t>BAMBOO-TWIN-LIGHTBLUE-6PCS</t>
        </is>
      </c>
      <c r="D92" s="32" t="inlineStr">
        <is>
          <t>DECOLURE 100% Organic Viscose Derived from Bamboo Sheets Twin Size 4pcs - Ultra Soft &amp; Luxuriously Cooling, 17" Deep Pocket, Double Stitching, Perfect for Hot Sleepers - Twin Bed Sheets (Light Blue)</t>
        </is>
      </c>
      <c r="E92" s="32" t="inlineStr">
        <is>
          <t>Twin</t>
        </is>
      </c>
      <c r="F92" s="32" t="inlineStr">
        <is>
          <t>Light Blue</t>
        </is>
      </c>
      <c r="G92" s="33" t="n"/>
      <c r="H92" s="32" t="n"/>
      <c r="I92" s="61" t="n">
        <v>63.99</v>
      </c>
      <c r="J92" s="62" t="inlineStr">
        <is>
          <t>2026-03-30</t>
        </is>
      </c>
      <c r="K92" s="33" t="n">
        <v>24.48</v>
      </c>
      <c r="L92" s="63" t="n">
        <v>0.3825597749648382</v>
      </c>
      <c r="M92" s="64" t="n">
        <v>0</v>
      </c>
      <c r="N92" s="32" t="inlineStr">
        <is>
          <t>Active</t>
        </is>
      </c>
      <c r="O92" s="32" t="n"/>
      <c r="P92" s="65" t="n"/>
      <c r="Q92" s="64" t="n"/>
      <c r="R92" s="64" t="n"/>
      <c r="S92" s="64" t="n"/>
      <c r="T92" s="32" t="n"/>
    </row>
    <row r="93" ht="62" customHeight="1">
      <c r="A93" s="10">
        <f>_xlfn.IMAGE("https://m.media-amazon.com/images/I/81FUAGLZKiL.jpg")</f>
        <v/>
      </c>
      <c r="B93" s="32" t="inlineStr">
        <is>
          <t>B0CQ33ZGQL</t>
        </is>
      </c>
      <c r="C93" s="32" t="inlineStr">
        <is>
          <t>BAMBOO-TWIN-LIGHTGREY-6PCS</t>
        </is>
      </c>
      <c r="D93" s="32" t="inlineStr">
        <is>
          <t>DECOLURE 100% Organic Viscose Derived from Bamboo Sheets Twin Size 4pcs - Ultra Soft &amp; Luxuriously Cooling, 17" Deep Pocket, Double Stitching, Perfect for Hot Sleepers - Twin Bed Sheets (Light Grey)</t>
        </is>
      </c>
      <c r="E93" s="32" t="inlineStr">
        <is>
          <t>Twin</t>
        </is>
      </c>
      <c r="F93" s="32" t="inlineStr">
        <is>
          <t>Light Grey</t>
        </is>
      </c>
      <c r="G93" s="33" t="n"/>
      <c r="H93" s="32" t="n"/>
      <c r="I93" s="61" t="n">
        <v>69.98999999999999</v>
      </c>
      <c r="J93" s="62" t="inlineStr">
        <is>
          <t>2026-03-30</t>
        </is>
      </c>
      <c r="K93" s="33" t="n">
        <v>29.1</v>
      </c>
      <c r="L93" s="63" t="n">
        <v>0.4157736819545649</v>
      </c>
      <c r="M93" s="64" t="n">
        <v>0</v>
      </c>
      <c r="N93" s="32" t="inlineStr">
        <is>
          <t>Active</t>
        </is>
      </c>
      <c r="O93" s="32" t="n"/>
      <c r="P93" s="65" t="n"/>
      <c r="Q93" s="64" t="n"/>
      <c r="R93" s="64" t="n"/>
      <c r="S93" s="64" t="n"/>
      <c r="T93" s="32" t="n"/>
    </row>
    <row r="94" ht="62" customHeight="1">
      <c r="A94" s="10">
        <f>_xlfn.IMAGE("https://m.media-amazon.com/images/I/81qwLZXe5IL.jpg")</f>
        <v/>
      </c>
      <c r="B94" s="32" t="inlineStr">
        <is>
          <t>B0CQ33BH1K</t>
        </is>
      </c>
      <c r="C94" s="32" t="inlineStr">
        <is>
          <t>BAMBOO-TWIN-LIGHT PINK-6PCS</t>
        </is>
      </c>
      <c r="D94" s="32" t="inlineStr">
        <is>
          <t>DECOLURE 100% Organic Viscose Derived from Bamboo Sheets Twin Size 4pcs - Ultra Soft &amp; Luxuriously Cooling, 17" Deep Pocket, Double Stitching, Perfect for Hot Sleepers - Twin Bed Sheets (Light Pink)</t>
        </is>
      </c>
      <c r="E94" s="32" t="inlineStr">
        <is>
          <t>Twin</t>
        </is>
      </c>
      <c r="F94" s="32" t="inlineStr">
        <is>
          <t>Light Pink</t>
        </is>
      </c>
      <c r="G94" s="33" t="n"/>
      <c r="H94" s="32" t="n"/>
      <c r="I94" s="61" t="n">
        <v>61.59</v>
      </c>
      <c r="J94" s="62" t="inlineStr">
        <is>
          <t>2026-03-30</t>
        </is>
      </c>
      <c r="K94" s="33" t="n">
        <v>22</v>
      </c>
      <c r="L94" s="63" t="n">
        <v>0.3572008442929047</v>
      </c>
      <c r="M94" s="64" t="n"/>
      <c r="N94" s="32" t="inlineStr">
        <is>
          <t>Inactive</t>
        </is>
      </c>
      <c r="O94" s="32" t="n"/>
      <c r="P94" s="65" t="n"/>
      <c r="Q94" s="64" t="n"/>
      <c r="R94" s="64" t="n"/>
      <c r="S94" s="64" t="n"/>
      <c r="T94" s="32" t="n"/>
    </row>
    <row r="95" ht="62" customHeight="1">
      <c r="A95" s="10">
        <f>_xlfn.IMAGE("https://m.media-amazon.com/images/I/81eT+1RWQML.jpg")</f>
        <v/>
      </c>
      <c r="B95" s="32" t="inlineStr">
        <is>
          <t>B0CQ31XF3H</t>
        </is>
      </c>
      <c r="C95" s="32" t="inlineStr">
        <is>
          <t>BAMBOO-TWIN-MIDGREY-6PCS</t>
        </is>
      </c>
      <c r="D95" s="32" t="inlineStr">
        <is>
          <t>DECOLURE 100% Organic Viscose Derived from Bamboo Sheets Twin Size 4pcs - Ultra Soft &amp; Luxuriously Cooling, 17" Deep Pocket, Double Stitching, Perfect for Hot Sleepers - Twin Bed Sheets (Midgrey)</t>
        </is>
      </c>
      <c r="E95" s="32" t="inlineStr">
        <is>
          <t>Twin</t>
        </is>
      </c>
      <c r="F95" s="32" t="inlineStr">
        <is>
          <t>Midgrey</t>
        </is>
      </c>
      <c r="G95" s="33" t="n"/>
      <c r="H95" s="32" t="n"/>
      <c r="I95" s="61" t="n">
        <v>52.79</v>
      </c>
      <c r="J95" s="62" t="inlineStr">
        <is>
          <t>2026-03-30</t>
        </is>
      </c>
      <c r="K95" s="33" t="n">
        <v>14.55</v>
      </c>
      <c r="L95" s="63" t="n">
        <v>0.2756203826482288</v>
      </c>
      <c r="M95" s="64" t="n">
        <v>0</v>
      </c>
      <c r="N95" s="32" t="inlineStr">
        <is>
          <t>Active</t>
        </is>
      </c>
      <c r="O95" s="32" t="n"/>
      <c r="P95" s="65" t="n"/>
      <c r="Q95" s="64" t="n"/>
      <c r="R95" s="64" t="n"/>
      <c r="S95" s="64" t="n"/>
      <c r="T95" s="32" t="n"/>
    </row>
    <row r="96" ht="62" customHeight="1">
      <c r="A96" s="10">
        <f>_xlfn.IMAGE("https://m.media-amazon.com/images/I/81X7gOcKsEL.jpg")</f>
        <v/>
      </c>
      <c r="B96" s="32" t="inlineStr">
        <is>
          <t>B0CQ2ZVMJJ</t>
        </is>
      </c>
      <c r="C96" s="32" t="inlineStr">
        <is>
          <t>BAMBOO-TWIN-OLIVE-6PCS</t>
        </is>
      </c>
      <c r="D96" s="32" t="inlineStr">
        <is>
          <t>DECOLURE 100% Organic Viscose Derived from Bamboo Sheets Twin Size 4pcs - Ultra Soft &amp; Luxuriously Cooling, 17" Deep Pocket, Double Stitching, Perfect for Hot Sleepers - Twin Bed Sheets (Olive)</t>
        </is>
      </c>
      <c r="E96" s="32" t="inlineStr">
        <is>
          <t>Twin</t>
        </is>
      </c>
      <c r="F96" s="32" t="inlineStr">
        <is>
          <t>Olive</t>
        </is>
      </c>
      <c r="G96" s="33" t="n"/>
      <c r="H96" s="32" t="n"/>
      <c r="I96" s="61" t="n">
        <v>71.98999999999999</v>
      </c>
      <c r="J96" s="62" t="inlineStr">
        <is>
          <t>2026-03-30</t>
        </is>
      </c>
      <c r="K96" s="33" t="n">
        <v>28.21</v>
      </c>
      <c r="L96" s="63" t="n">
        <v>0.3918599805528545</v>
      </c>
      <c r="M96" s="64" t="n">
        <v>0</v>
      </c>
      <c r="N96" s="32" t="inlineStr">
        <is>
          <t>Active</t>
        </is>
      </c>
      <c r="O96" s="32" t="n"/>
      <c r="P96" s="65" t="n"/>
      <c r="Q96" s="64" t="n"/>
      <c r="R96" s="64" t="n"/>
      <c r="S96" s="64" t="n"/>
      <c r="T96" s="32" t="n"/>
    </row>
    <row r="97" ht="62" customHeight="1">
      <c r="A97" s="10">
        <f>_xlfn.IMAGE("https://m.media-amazon.com/images/I/81ES2nvuC3L.jpg")</f>
        <v/>
      </c>
      <c r="B97" s="32" t="inlineStr">
        <is>
          <t>B0CQ2YMNV7</t>
        </is>
      </c>
      <c r="C97" s="32" t="inlineStr">
        <is>
          <t>BAMBOO-TWIN-PURPLE-6PCS</t>
        </is>
      </c>
      <c r="D97" s="32" t="inlineStr">
        <is>
          <t>DECOLURE 100% Organic Viscose Derived from Bamboo Sheets Twin Size 4pcs - Ultra Soft &amp; Luxuriously Cooling, 17" Deep Pocket, Double Stitching, Perfect for Hot Sleepers - Twin Bed Sheets (Purple)</t>
        </is>
      </c>
      <c r="E97" s="32" t="inlineStr">
        <is>
          <t>Twin</t>
        </is>
      </c>
      <c r="F97" s="32" t="inlineStr">
        <is>
          <t>Purple</t>
        </is>
      </c>
      <c r="G97" s="33" t="n"/>
      <c r="H97" s="32" t="n"/>
      <c r="I97" s="61" t="n">
        <v>74.02</v>
      </c>
      <c r="J97" s="62" t="inlineStr">
        <is>
          <t>2026-03-30</t>
        </is>
      </c>
      <c r="K97" s="33" t="n">
        <v>27.16999999999999</v>
      </c>
      <c r="L97" s="63" t="n">
        <v>0.3670629559578491</v>
      </c>
      <c r="M97" s="64" t="n">
        <v>0</v>
      </c>
      <c r="N97" s="32" t="inlineStr">
        <is>
          <t>Active</t>
        </is>
      </c>
      <c r="O97" s="32" t="n"/>
      <c r="P97" s="65" t="n"/>
      <c r="Q97" s="64" t="n"/>
      <c r="R97" s="64" t="n"/>
      <c r="S97" s="64" t="n"/>
      <c r="T97" s="32" t="n"/>
    </row>
    <row r="98" ht="62" customHeight="1">
      <c r="A98" s="10">
        <f>_xlfn.IMAGE("https://m.media-amazon.com/images/I/81EHFhQyvAL.jpg")</f>
        <v/>
      </c>
      <c r="B98" s="32" t="inlineStr">
        <is>
          <t>B0CQ2YZ364</t>
        </is>
      </c>
      <c r="C98" s="32" t="inlineStr">
        <is>
          <t>BAMBOO-TWIN-SAGE GREEN-6PCS</t>
        </is>
      </c>
      <c r="D98" s="32" t="inlineStr">
        <is>
          <t>DECOLURE 100% Organic Viscose Derived from Bamboo Sheets Twin Size 4pcs - Ultra Soft &amp; Luxuriously Cooling, 17" Deep Pocket, Double Stitching, Perfect for Hot Sleepers - Twin Bed Sheets (Sage Green)</t>
        </is>
      </c>
      <c r="E98" s="32" t="inlineStr">
        <is>
          <t>Twin</t>
        </is>
      </c>
      <c r="F98" s="32" t="inlineStr">
        <is>
          <t>Sage Green</t>
        </is>
      </c>
      <c r="G98" s="33" t="n"/>
      <c r="H98" s="32" t="n"/>
      <c r="I98" s="61" t="n">
        <v>62.99</v>
      </c>
      <c r="J98" s="62" t="inlineStr">
        <is>
          <t>2026-03-30</t>
        </is>
      </c>
      <c r="K98" s="33" t="n">
        <v>23.42000000000001</v>
      </c>
      <c r="L98" s="63" t="n">
        <v>0.3718050484203843</v>
      </c>
      <c r="M98" s="64" t="n">
        <v>0</v>
      </c>
      <c r="N98" s="32" t="inlineStr">
        <is>
          <t>Active</t>
        </is>
      </c>
      <c r="O98" s="32" t="n"/>
      <c r="P98" s="65" t="n"/>
      <c r="Q98" s="64" t="n"/>
      <c r="R98" s="64" t="n"/>
      <c r="S98" s="64" t="n"/>
      <c r="T98" s="32" t="n"/>
    </row>
    <row r="100" ht="20" customHeight="1">
      <c r="A100" s="54" t="inlineStr">
        <is>
          <t>3 · OUR BFCM 2025 RESULT &amp; EVENT VISIBILITY</t>
        </is>
      </c>
    </row>
    <row r="101">
      <c r="A101" s="67" t="inlineStr">
        <is>
          <t>Window</t>
        </is>
      </c>
      <c r="B101" s="68" t="n"/>
      <c r="C101" s="69" t="n"/>
      <c r="D101" s="67" t="inlineStr">
        <is>
          <t>Ad spend</t>
        </is>
      </c>
      <c r="E101" s="67" t="inlineStr">
        <is>
          <t>Ad sales</t>
        </is>
      </c>
      <c r="F101" s="67" t="inlineStr">
        <is>
          <t>ACoS</t>
        </is>
      </c>
      <c r="G101" s="67" t="inlineStr">
        <is>
          <t>TACoS</t>
        </is>
      </c>
      <c r="H101" s="67" t="inlineStr">
        <is>
          <t>Total sales (derived)</t>
        </is>
      </c>
      <c r="J101" s="67" t="inlineStr">
        <is>
          <t>Ad orders</t>
        </is>
      </c>
      <c r="K101" s="67" t="inlineStr">
        <is>
          <t>CVR</t>
        </is>
      </c>
    </row>
    <row r="102">
      <c r="A102" s="70" t="inlineStr">
        <is>
          <t>Pre-event Oct 21 - Nov 19, 2025 (30d)</t>
        </is>
      </c>
      <c r="B102" s="68" t="n"/>
      <c r="C102" s="69" t="n"/>
      <c r="D102" s="71" t="n">
        <v>13504.03</v>
      </c>
      <c r="E102" s="71" t="n">
        <v>60891.58999999998</v>
      </c>
      <c r="F102" s="72" t="n">
        <v>22.2</v>
      </c>
      <c r="G102" s="72" t="n">
        <v>12.49687324373004</v>
      </c>
      <c r="H102" s="71" t="n">
        <v>108059.27</v>
      </c>
      <c r="J102" s="73" t="n">
        <v>709</v>
      </c>
      <c r="K102" s="74" t="n">
        <v>10.94</v>
      </c>
    </row>
    <row r="103">
      <c r="A103" s="70" t="inlineStr">
        <is>
          <t>BFCM week Nov 20 - Dec 1, 2025 (12d)</t>
        </is>
      </c>
      <c r="B103" s="68" t="n"/>
      <c r="C103" s="69" t="n"/>
      <c r="D103" s="71" t="n">
        <v>8130.229999999998</v>
      </c>
      <c r="E103" s="71" t="n">
        <v>50932.02</v>
      </c>
      <c r="F103" s="72" t="n">
        <v>16</v>
      </c>
      <c r="G103" s="72" t="n">
        <v>6.088840788657071</v>
      </c>
      <c r="H103" s="71" t="n">
        <v>133526.73</v>
      </c>
      <c r="J103" s="73" t="n">
        <v>723</v>
      </c>
      <c r="K103" s="74" t="n">
        <v>16.65</v>
      </c>
    </row>
    <row r="104">
      <c r="A104" s="70" t="inlineStr">
        <is>
          <t>December 2 - 31, 2025 (30d)</t>
        </is>
      </c>
      <c r="B104" s="68" t="n"/>
      <c r="C104" s="69" t="n"/>
      <c r="D104" s="71" t="n">
        <v>12138.7</v>
      </c>
      <c r="E104" s="71" t="n">
        <v>64917.74999999999</v>
      </c>
      <c r="F104" s="72" t="n">
        <v>18.7</v>
      </c>
      <c r="G104" s="72" t="n">
        <v>9.648393640662018</v>
      </c>
      <c r="H104" s="71" t="n">
        <v>125810.58</v>
      </c>
      <c r="J104" s="73" t="n">
        <v>746</v>
      </c>
      <c r="K104" s="74" t="n">
        <v>13.41</v>
      </c>
    </row>
    <row r="106">
      <c r="A106" s="67" t="inlineStr">
        <is>
          <t>Actual sales (SellerBoard)</t>
        </is>
      </c>
      <c r="B106" s="68" t="n"/>
      <c r="C106" s="69" t="n"/>
      <c r="D106" s="67" t="inlineStr">
        <is>
          <t>Sales</t>
        </is>
      </c>
      <c r="E106" s="67" t="inlineStr">
        <is>
          <t>Units</t>
        </is>
      </c>
      <c r="F106" s="67" t="inlineStr">
        <is>
          <t>Organic units</t>
        </is>
      </c>
      <c r="G106" s="67" t="inlineStr">
        <is>
          <t>Ad units</t>
        </is>
      </c>
      <c r="H106" s="67" t="inlineStr">
        <is>
          <t>Ad cost</t>
        </is>
      </c>
      <c r="J106" s="67" t="inlineStr">
        <is>
          <t>TACoS (actual)</t>
        </is>
      </c>
      <c r="K106" s="67" t="inlineStr">
        <is>
          <t>Sessions</t>
        </is>
      </c>
      <c r="L106" s="67" t="inlineStr">
        <is>
          <t>Unit session %</t>
        </is>
      </c>
      <c r="M106" s="67" t="inlineStr">
        <is>
          <t>Avg price</t>
        </is>
      </c>
      <c r="N106" s="67" t="inlineStr">
        <is>
          <t>Refunds</t>
        </is>
      </c>
    </row>
    <row r="107">
      <c r="A107" s="70" t="inlineStr">
        <is>
          <t>Pre-event Oct 21 - Nov 19, 2025 (30d)</t>
        </is>
      </c>
      <c r="B107" s="68" t="n"/>
      <c r="C107" s="69" t="n"/>
      <c r="D107" s="71" t="n">
        <v>78110.10000000001</v>
      </c>
      <c r="E107" s="73" t="n">
        <v>1315</v>
      </c>
      <c r="F107" s="73" t="n">
        <v>1231</v>
      </c>
      <c r="G107" s="73" t="n">
        <v>84</v>
      </c>
      <c r="H107" s="71" t="n">
        <v>9627.639999999999</v>
      </c>
      <c r="J107" s="75" t="n">
        <v>0.1232572996321858</v>
      </c>
      <c r="K107" s="73" t="n">
        <v>30898</v>
      </c>
      <c r="L107" s="75" t="n">
        <v>0.04255938895721406</v>
      </c>
      <c r="M107" s="76" t="n">
        <v>59.39931558935362</v>
      </c>
      <c r="N107" s="73" t="n">
        <v>107</v>
      </c>
    </row>
    <row r="108">
      <c r="A108" s="70" t="inlineStr">
        <is>
          <t>BFCM week Nov 20 - Dec 1, 2025 (12d)</t>
        </is>
      </c>
      <c r="B108" s="68" t="n"/>
      <c r="C108" s="69" t="n"/>
      <c r="D108" s="71" t="n">
        <v>95881.75999999999</v>
      </c>
      <c r="E108" s="73" t="n">
        <v>1982</v>
      </c>
      <c r="F108" s="73" t="n">
        <v>1877</v>
      </c>
      <c r="G108" s="73" t="n">
        <v>105</v>
      </c>
      <c r="H108" s="71" t="n">
        <v>5792.86</v>
      </c>
      <c r="J108" s="75" t="n">
        <v>0.06041670490821194</v>
      </c>
      <c r="K108" s="73" t="n">
        <v>28069</v>
      </c>
      <c r="L108" s="75" t="n">
        <v>0.07061170686522499</v>
      </c>
      <c r="M108" s="76" t="n">
        <v>48.3762663975782</v>
      </c>
      <c r="N108" s="73" t="n">
        <v>48</v>
      </c>
    </row>
    <row r="109">
      <c r="A109" s="70" t="inlineStr">
        <is>
          <t>December 2 - 31, 2025 (30d)</t>
        </is>
      </c>
      <c r="B109" s="68" t="n"/>
      <c r="C109" s="69" t="n"/>
      <c r="D109" s="71" t="n">
        <v>98854.08</v>
      </c>
      <c r="E109" s="73" t="n">
        <v>1631</v>
      </c>
      <c r="F109" s="73" t="n">
        <v>1525</v>
      </c>
      <c r="G109" s="73" t="n">
        <v>106</v>
      </c>
      <c r="H109" s="71" t="n">
        <v>8816.139999999999</v>
      </c>
      <c r="J109" s="75" t="n">
        <v>0.08918337007435605</v>
      </c>
      <c r="K109" s="73" t="n">
        <v>31381</v>
      </c>
      <c r="L109" s="75" t="n">
        <v>0.05197412447022083</v>
      </c>
      <c r="M109" s="76" t="n">
        <v>60.60949110974862</v>
      </c>
      <c r="N109" s="73" t="n">
        <v>160</v>
      </c>
    </row>
    <row r="110">
      <c r="A110" s="59" t="inlineStr">
        <is>
          <t>SellerBoard, Ecotero account, Amazon parent B0D71YJYNL plus any of this product's child ASINs SellerBoard lists on their own, UTC days. Lift above uses these actual sales (3.07x; the ad-spend estimate was 3.09x). Amazon.ca sales here are in USD: SellerBoard converts to the account currency, while the Command Center table above is in CAD (ratio ~0.71). Lift is a ratio, so it is unaffected.</t>
        </is>
      </c>
    </row>
    <row r="111" ht="30" customHeight="1">
      <c r="A111" s="77" t="inlineStr">
        <is>
          <t>Deals we ran or scheduled, Nov 1 - Dec 5, 2025 (DataHub promotions; scheduled deal price not in the feed. Keepa price = lowest Buy Box seen during the deal, an observation for the hero child only, not the scheduled deal price): Lightning Deal 11-05 to 11-05 (ran, 79 variations, 30 units); Lightning Deal 11-13 to 11-14 (ran, 79 variations, 67 units); Best Deal 11-20 to 12-02 (ran, 79 variations, 1,966 units).</t>
        </is>
      </c>
    </row>
    <row r="112" ht="26" customHeight="1">
      <c r="A112" s="77" t="inlineStr">
        <is>
          <t>Stock in BFCM week 2025 (FBA inventory snapshots, child-ASIN level, revision 2): 3 of 77 variations hit zero FBA stock on at least one observed day; weighted by today's sales mix that is ~1.0% of variation-days lost. Most important: B0CQ32NPF5 2/9 days; B0CQ319J1Z 1/9 days; B0CQ32S4ML 1/9 days. Snapshots missing: US Nov 26-27 and Dec 1 (Cyber Monday); CA Nov 24, 29-30.</t>
        </is>
      </c>
    </row>
    <row r="113">
      <c r="A113" s="59" t="inlineStr">
        <is>
          <t>Figures above are Amazon.ca in CAD. Visibility history is held for US ASINs only.</t>
        </is>
      </c>
    </row>
    <row r="115" ht="20" customHeight="1">
      <c r="A115" s="54" t="inlineStr">
        <is>
          <t>4 · COMPETITOR LANDSCAPE (8 mapped)</t>
        </is>
      </c>
    </row>
    <row r="116">
      <c r="A116" s="59" t="inlineStr">
        <is>
          <t>Sorted by tier, then estimated weekly units. Green = Command Center price/sales; blue = Data Dive listing; purple = Command Center search strategy (ASINsight); yellow = fill from Keepa / page check.</t>
        </is>
      </c>
    </row>
    <row r="117" ht="30" customHeight="1">
      <c r="A117"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Command Center CAD price (Mar 2026) - no live Canadian price source yet.</t>
        </is>
      </c>
    </row>
    <row r="118">
      <c r="A118" s="78" t="inlineStr">
        <is>
          <t>COMPETITOR</t>
        </is>
      </c>
      <c r="I118" s="79" t="inlineStr">
        <is>
          <t>LISTING - Data Dive</t>
        </is>
      </c>
      <c r="J118" s="80" t="inlineStr">
        <is>
          <t>SEARCH STRATEGY - Command Center ASINsight</t>
        </is>
      </c>
      <c r="K118" s="81" t="inlineStr">
        <is>
          <t>PRICE &amp; SALES - Command Center snapshot (date per row)</t>
        </is>
      </c>
      <c r="X118" s="79" t="inlineStr">
        <is>
          <t>LISTING - Data Dive</t>
        </is>
      </c>
      <c r="AA118" s="80" t="inlineStr">
        <is>
          <t>SEARCH STRATEGY - Command Center ASINsight</t>
        </is>
      </c>
      <c r="AR118" s="82" t="inlineStr">
        <is>
          <t>STR NOW - Amazon page check (Oct 13, P1 + P2)</t>
        </is>
      </c>
      <c r="AY118" s="83" t="inlineStr">
        <is>
          <t>BFCM 2025 - Keepa (P1 filled; yellow = not pulled yet)</t>
        </is>
      </c>
    </row>
    <row r="119" ht="48" customHeight="1">
      <c r="A119" s="22" t="inlineStr">
        <is>
          <t>Image</t>
        </is>
      </c>
      <c r="B119" s="22" t="inlineStr">
        <is>
          <t>Brand</t>
        </is>
      </c>
      <c r="C119" s="22" t="inlineStr">
        <is>
          <t>Product title</t>
        </is>
      </c>
      <c r="D119" s="22" t="inlineStr">
        <is>
          <t>Tier</t>
        </is>
      </c>
      <c r="E119" s="22" t="inlineStr">
        <is>
          <t>Parent ASIN</t>
        </is>
      </c>
      <c r="F119" s="22" t="inlineStr">
        <is>
          <t>Tracked child ASIN</t>
        </is>
      </c>
      <c r="G119" s="22" t="inlineStr">
        <is>
          <t>Size (title)</t>
        </is>
      </c>
      <c r="H119" s="22" t="inlineStr">
        <is>
          <t>Colour (title)</t>
        </is>
      </c>
      <c r="I119" s="22" t="inlineStr">
        <is>
          <t>Variations</t>
        </is>
      </c>
      <c r="J119" s="22" t="inlineStr">
        <is>
          <t>Hero child ASINs (share of their visibility)</t>
        </is>
      </c>
      <c r="K119" s="22" t="inlineStr">
        <is>
          <t>Price ($)</t>
        </is>
      </c>
      <c r="L119" s="22" t="inlineStr">
        <is>
          <t>List Price ($)</t>
        </is>
      </c>
      <c r="M119" s="22" t="inlineStr">
        <is>
          <t>List Price % over</t>
        </is>
      </c>
      <c r="N119" s="22" t="inlineStr">
        <is>
          <t>STR band</t>
        </is>
      </c>
      <c r="O119" s="22" t="inlineStr">
        <is>
          <t>Our price, same size ($)</t>
        </is>
      </c>
      <c r="P119" s="22" t="inlineStr">
        <is>
          <t>Their price vs ours</t>
        </is>
      </c>
      <c r="Q119" s="22" t="inlineStr">
        <is>
          <t>Comparison basis</t>
        </is>
      </c>
      <c r="R119" s="22" t="inlineStr">
        <is>
          <t>BSR</t>
        </is>
      </c>
      <c r="S119" s="22" t="inlineStr">
        <is>
          <t>Est weekly units</t>
        </is>
      </c>
      <c r="T119" s="22" t="inlineStr">
        <is>
          <t>Est monthly revenue ($)</t>
        </is>
      </c>
      <c r="U119" s="22" t="inlineStr">
        <is>
          <t>Rating</t>
        </is>
      </c>
      <c r="V119" s="22" t="inlineStr">
        <is>
          <t>Reviews</t>
        </is>
      </c>
      <c r="W119" s="22" t="inlineStr">
        <is>
          <t>Snapshot date</t>
        </is>
      </c>
      <c r="X119" s="22" t="inlineStr">
        <is>
          <t>Listed</t>
        </is>
      </c>
      <c r="Y119" s="22" t="inlineStr">
        <is>
          <t>Fulfil.</t>
        </is>
      </c>
      <c r="Z119" s="22" t="inlineStr">
        <is>
          <t>Seller country</t>
        </is>
      </c>
      <c r="AA119" s="22" t="inlineStr">
        <is>
          <t>ASINsight 7d traffic</t>
        </is>
      </c>
      <c r="AB119" s="22" t="inlineStr">
        <is>
          <t>Keywords ranked</t>
        </is>
      </c>
      <c r="AC119" s="22" t="inlineStr">
        <is>
          <t>Organic share of traffic</t>
        </is>
      </c>
      <c r="AD119" s="22" t="inlineStr">
        <is>
          <t>Ad share of traffic</t>
        </is>
      </c>
      <c r="AE119" s="22" t="inlineStr">
        <is>
          <t>Top keyword</t>
        </is>
      </c>
      <c r="AF119" s="22" t="inlineStr">
        <is>
          <t>SP reach</t>
        </is>
      </c>
      <c r="AG119" s="22" t="inlineStr">
        <is>
          <t>SB reach</t>
        </is>
      </c>
      <c r="AH119" s="22" t="inlineStr">
        <is>
          <t>SB video reach</t>
        </is>
      </c>
      <c r="AI119" s="22" t="inlineStr">
        <is>
          <t>Amazon's Choice reach</t>
        </is>
      </c>
      <c r="AJ119" s="22" t="inlineStr">
        <is>
          <t>Shared keywords</t>
        </is>
      </c>
      <c r="AK119" s="22" t="inlineStr">
        <is>
          <t>We win</t>
        </is>
      </c>
      <c r="AL119" s="22" t="inlineStr">
        <is>
          <t>We lose</t>
        </is>
      </c>
      <c r="AM119" s="22" t="inlineStr">
        <is>
          <t>Their keywords we miss</t>
        </is>
      </c>
      <c r="AN119" s="22" t="inlineStr">
        <is>
          <t>KWs they advertise, we don't</t>
        </is>
      </c>
      <c r="AO119" s="22" t="inlineStr">
        <is>
          <t>KWs they out-advertise us</t>
        </is>
      </c>
      <c r="AP119" s="22" t="inlineStr">
        <is>
          <t>Prime Day 2026 organic vis lift</t>
        </is>
      </c>
      <c r="AQ119" s="22" t="inlineStr">
        <is>
          <t>Organic trend (Aug-Sep vs Q2)</t>
        </is>
      </c>
      <c r="AR119" s="22" t="inlineStr">
        <is>
          <t>STR showing now? (Y/N)</t>
        </is>
      </c>
      <c r="AS119" s="22" t="inlineStr">
        <is>
          <t>STR label</t>
        </is>
      </c>
      <c r="AT119" s="22" t="inlineStr">
        <is>
          <t>Strikethrough price ($)</t>
        </is>
      </c>
      <c r="AU119" s="22" t="inlineStr">
        <is>
          <t>Page price at check ($)</t>
        </is>
      </c>
      <c r="AV119" s="22" t="inlineStr">
        <is>
          <t>Deal / coupon now</t>
        </is>
      </c>
      <c r="AW119" s="22" t="inlineStr">
        <is>
          <t>Orderable now (Y/N)</t>
        </is>
      </c>
      <c r="AX119" s="22" t="inlineStr">
        <is>
          <t>Checked (ET)</t>
        </is>
      </c>
      <c r="AY119" s="22" t="inlineStr">
        <is>
          <t>BFCM 2025 deal type</t>
        </is>
      </c>
      <c r="AZ119" s="22" t="inlineStr">
        <is>
          <t>BFCM 2025 deal dates</t>
        </is>
      </c>
      <c r="BA119" s="22" t="inlineStr">
        <is>
          <t>Pre-event price ($)</t>
        </is>
      </c>
      <c r="BB119" s="22" t="inlineStr">
        <is>
          <t>BFCM 2025 low ($)</t>
        </is>
      </c>
      <c r="BC119" s="22" t="inlineStr">
        <is>
          <t>BFCM 2025 discount</t>
        </is>
      </c>
      <c r="BD119" s="22" t="inlineStr">
        <is>
          <t>BSR pre-event</t>
        </is>
      </c>
      <c r="BE119" s="22" t="inlineStr">
        <is>
          <t>BSR BFCM wk</t>
        </is>
      </c>
      <c r="BF119" s="22" t="inlineStr">
        <is>
          <t>BSR lift (x)</t>
        </is>
      </c>
      <c r="BG119" s="22" t="inlineStr">
        <is>
          <t>OOS in BFCM? (Y/N)</t>
        </is>
      </c>
      <c r="BH119" s="22" t="inlineStr">
        <is>
          <t>Notes</t>
        </is>
      </c>
    </row>
    <row r="120" ht="62" customHeight="1">
      <c r="A120" s="10">
        <f>_xlfn.IMAGE("https://m.media-amazon.com/images/I/81cMXuF9sWL.jpg")</f>
        <v/>
      </c>
      <c r="B120" s="84" t="inlineStr">
        <is>
          <t>GOKOTTA</t>
        </is>
      </c>
      <c r="C120" s="32" t="inlineStr">
        <is>
          <t>Gökotta Queen Bed Sheets 6 Piece, 100% FSC® Certified Bamboo, Cooling</t>
        </is>
      </c>
      <c r="D120" s="84" t="inlineStr">
        <is>
          <t>Untiered</t>
        </is>
      </c>
      <c r="E120" s="84" t="inlineStr">
        <is>
          <t>B09WY1GFH8</t>
        </is>
      </c>
      <c r="F120" s="84" t="inlineStr">
        <is>
          <t>B0BYMKZ5ZC</t>
        </is>
      </c>
      <c r="G120" s="84" t="inlineStr">
        <is>
          <t>Queen</t>
        </is>
      </c>
      <c r="H120" s="84" t="inlineStr">
        <is>
          <t>05 Dark Grey</t>
        </is>
      </c>
      <c r="I120" s="85" t="n">
        <v>101</v>
      </c>
      <c r="J120" s="32" t="n"/>
      <c r="K120" s="86" t="n">
        <v>159.99</v>
      </c>
      <c r="L120" s="86" t="n"/>
      <c r="M120" s="87">
        <f>IF(AND(ISNUMBER(L120),ISNUMBER(K120),N(K120)&gt;0),L120/K120-1,"")</f>
        <v/>
      </c>
      <c r="N120" s="88">
        <f>IF(M120="","No List Price",IF(M120&lt;=0,"At/below price",IF(M120&lt;=0.12,"&lt;=12% STR zone",IF(M120&lt;=0.25,"12-25%","&gt;25% over"))))</f>
        <v/>
      </c>
      <c r="O120" s="86" t="n">
        <v>94.1612915129151</v>
      </c>
      <c r="P120" s="89">
        <f>IF(AND(ISNUMBER(K120),ISNUMBER(O120),N(O120)&gt;0),K120/O120-1,"")</f>
        <v/>
      </c>
      <c r="Q120" s="32" t="inlineStr">
        <is>
          <t>Same size (Queen), CAD. Ours: Command Center fee feed, Mar 2026 - STALE</t>
        </is>
      </c>
      <c r="R120" s="85" t="n">
        <v>4180</v>
      </c>
      <c r="S120" s="85" t="n"/>
      <c r="T120" s="90">
        <f>IF(AND(ISNUMBER(K120),ISNUMBER(S120)),K120*S120*52/12,"")</f>
        <v/>
      </c>
      <c r="U120" s="91" t="n">
        <v>4.4</v>
      </c>
      <c r="V120" s="85" t="n">
        <v>2698</v>
      </c>
      <c r="W120" s="92" t="n">
        <v>46309</v>
      </c>
      <c r="X120" s="92" t="n"/>
      <c r="Y120" s="84" t="n"/>
      <c r="Z120" s="84" t="n"/>
      <c r="AA120" s="85" t="n"/>
      <c r="AB120" s="85" t="n"/>
      <c r="AC120" s="93" t="n"/>
      <c r="AD120" s="93" t="n"/>
      <c r="AE120" s="32" t="n"/>
      <c r="AF120" s="93" t="n"/>
      <c r="AG120" s="93" t="n"/>
      <c r="AH120" s="93" t="n"/>
      <c r="AI120" s="93" t="n"/>
      <c r="AJ120" s="85" t="n"/>
      <c r="AK120" s="85" t="n"/>
      <c r="AL120" s="85" t="n"/>
      <c r="AM120" s="85" t="n"/>
      <c r="AN120" s="85" t="n"/>
      <c r="AO120" s="85" t="n"/>
      <c r="AP120" s="94" t="n"/>
      <c r="AQ120" s="89" t="n"/>
      <c r="AR120" s="95" t="inlineStr">
        <is>
          <t>N</t>
        </is>
      </c>
      <c r="AS120" s="95" t="inlineStr">
        <is>
          <t>none</t>
        </is>
      </c>
      <c r="AT120" s="101" t="n"/>
      <c r="AU120" s="96" t="n">
        <v>159.99</v>
      </c>
      <c r="AV120" s="95" t="inlineStr">
        <is>
          <t>coupon $10</t>
        </is>
      </c>
      <c r="AW120" s="95" t="inlineStr">
        <is>
          <t>Y</t>
        </is>
      </c>
      <c r="AX120" s="95" t="inlineStr">
        <is>
          <t>2026-10-14 00:30:46</t>
        </is>
      </c>
      <c r="AY120" s="102" t="n"/>
      <c r="AZ120" s="102" t="n"/>
      <c r="BA120" s="101" t="n"/>
      <c r="BB120" s="101" t="n"/>
      <c r="BC120" s="87">
        <f>IF(AND(ISNUMBER(BA120),ISNUMBER(BB120),N(BA120)&gt;0),1-BB120/BA120,"")</f>
        <v/>
      </c>
      <c r="BD120" s="103" t="n"/>
      <c r="BE120" s="103" t="n"/>
      <c r="BF120" s="100">
        <f>IF(AND(ISNUMBER(BD120),ISNUMBER(BE120),N(BE120)&gt;0),BD120/BE120,"")</f>
        <v/>
      </c>
      <c r="BG120" s="102" t="n"/>
      <c r="BH120" s="97" t="inlineStr">
        <is>
          <t>Amazon.ca organic #2 for 'bamboo sheets queen 6 piece'; 100% Rayon Made from Bamboo; variation_count = distinct children exposed in page variation map, not a guaranteed complete catalogue. Bought-past-month badge not displayed.</t>
        </is>
      </c>
    </row>
    <row r="121" ht="62" customHeight="1">
      <c r="A121" s="10">
        <f>_xlfn.IMAGE("https://m.media-amazon.com/images/I/71JCKgmoACL.jpg")</f>
        <v/>
      </c>
      <c r="B121" s="84" t="inlineStr">
        <is>
          <t>Love's cabin</t>
        </is>
      </c>
      <c r="C121" s="32" t="inlineStr">
        <is>
          <t>Love's cabin 100% Rayon Derived from Bamboo, Queen Sheets, 6 Pieces, White</t>
        </is>
      </c>
      <c r="D121" s="84" t="inlineStr">
        <is>
          <t>Untiered</t>
        </is>
      </c>
      <c r="E121" s="84" t="inlineStr">
        <is>
          <t>B0DWH7649Z</t>
        </is>
      </c>
      <c r="F121" s="84" t="inlineStr">
        <is>
          <t>B0GGGRH6PC</t>
        </is>
      </c>
      <c r="G121" s="84" t="inlineStr">
        <is>
          <t>Queen</t>
        </is>
      </c>
      <c r="H121" s="84" t="inlineStr">
        <is>
          <t>01-white</t>
        </is>
      </c>
      <c r="I121" s="85" t="n">
        <v>154</v>
      </c>
      <c r="J121" s="32" t="n"/>
      <c r="K121" s="86" t="n">
        <v>90.36</v>
      </c>
      <c r="L121" s="86" t="n"/>
      <c r="M121" s="87">
        <f>IF(AND(ISNUMBER(L121),ISNUMBER(K121),N(K121)&gt;0),L121/K121-1,"")</f>
        <v/>
      </c>
      <c r="N121" s="88">
        <f>IF(M121="","No List Price",IF(M121&lt;=0,"At/below price",IF(M121&lt;=0.12,"&lt;=12% STR zone",IF(M121&lt;=0.25,"12-25%","&gt;25% over"))))</f>
        <v/>
      </c>
      <c r="O121" s="86" t="n">
        <v>94.1612915129151</v>
      </c>
      <c r="P121" s="89">
        <f>IF(AND(ISNUMBER(K121),ISNUMBER(O121),N(O121)&gt;0),K121/O121-1,"")</f>
        <v/>
      </c>
      <c r="Q121" s="32" t="inlineStr">
        <is>
          <t>Same size (Queen), CAD. Ours: Command Center fee feed, Mar 2026 - STALE</t>
        </is>
      </c>
      <c r="R121" s="85" t="n">
        <v>190314</v>
      </c>
      <c r="S121" s="85" t="n"/>
      <c r="T121" s="90">
        <f>IF(AND(ISNUMBER(K121),ISNUMBER(S121)),K121*S121*52/12,"")</f>
        <v/>
      </c>
      <c r="U121" s="91" t="n">
        <v>4.4</v>
      </c>
      <c r="V121" s="85" t="n">
        <v>1854</v>
      </c>
      <c r="W121" s="92" t="n">
        <v>46309</v>
      </c>
      <c r="X121" s="92" t="n"/>
      <c r="Y121" s="84" t="n"/>
      <c r="Z121" s="84" t="n"/>
      <c r="AA121" s="85" t="n"/>
      <c r="AB121" s="85" t="n"/>
      <c r="AC121" s="93" t="n"/>
      <c r="AD121" s="93" t="n"/>
      <c r="AE121" s="32" t="n"/>
      <c r="AF121" s="93" t="n"/>
      <c r="AG121" s="93" t="n"/>
      <c r="AH121" s="93" t="n"/>
      <c r="AI121" s="93" t="n"/>
      <c r="AJ121" s="85" t="n"/>
      <c r="AK121" s="85" t="n"/>
      <c r="AL121" s="85" t="n"/>
      <c r="AM121" s="85" t="n"/>
      <c r="AN121" s="85" t="n"/>
      <c r="AO121" s="85" t="n"/>
      <c r="AP121" s="94" t="n"/>
      <c r="AQ121" s="89" t="n"/>
      <c r="AR121" s="95" t="inlineStr">
        <is>
          <t>N</t>
        </is>
      </c>
      <c r="AS121" s="95" t="inlineStr">
        <is>
          <t>none</t>
        </is>
      </c>
      <c r="AT121" s="101" t="n"/>
      <c r="AU121" s="96" t="n">
        <v>90.36</v>
      </c>
      <c r="AV121" s="95" t="inlineStr">
        <is>
          <t>none</t>
        </is>
      </c>
      <c r="AW121" s="95" t="inlineStr">
        <is>
          <t>Y</t>
        </is>
      </c>
      <c r="AX121" s="95" t="inlineStr">
        <is>
          <t>2026-10-14 00:34:52</t>
        </is>
      </c>
      <c r="AY121" s="102" t="n"/>
      <c r="AZ121" s="102" t="n"/>
      <c r="BA121" s="101" t="n"/>
      <c r="BB121" s="101" t="n"/>
      <c r="BC121" s="87">
        <f>IF(AND(ISNUMBER(BA121),ISNUMBER(BB121),N(BA121)&gt;0),1-BB121/BA121,"")</f>
        <v/>
      </c>
      <c r="BD121" s="103" t="n"/>
      <c r="BE121" s="103" t="n"/>
      <c r="BF121" s="100">
        <f>IF(AND(ISNUMBER(BD121),ISNUMBER(BE121),N(BE121)&gt;0),BD121/BE121,"")</f>
        <v/>
      </c>
      <c r="BG121" s="102" t="n"/>
      <c r="BH121" s="97" t="inlineStr">
        <is>
          <t>Amazon.ca organic #12 for '6 piece bamboo sheets'; 100% Rayon Derived from Bamboo; variation_count = distinct children exposed in page variation map, not a guaranteed complete catalogue. Bought-past-month badge not displayed.</t>
        </is>
      </c>
    </row>
    <row r="122" ht="62" customHeight="1">
      <c r="A122" s="10">
        <f>_xlfn.IMAGE("https://m.media-amazon.com/images/I/61eXrcqZqhL.jpg")</f>
        <v/>
      </c>
      <c r="B122" s="84" t="inlineStr">
        <is>
          <t>Bamboo Bay</t>
        </is>
      </c>
      <c r="C122" s="32" t="inlineStr">
        <is>
          <t>Bamboo Bay Luxury Bamboo Sheets Queen Size - 6 Piece Ultra Soft Cooling Sheets for Hot Sleepers - 100% Organic Bamboo Queen Sheet Set Fits Up to 16" Deep Pocket - Eco Friendly - Queen - Light Blue</t>
        </is>
      </c>
      <c r="D122" s="84" t="inlineStr">
        <is>
          <t>Untiered</t>
        </is>
      </c>
      <c r="E122" s="84" t="inlineStr">
        <is>
          <t>B06Y46YNR8</t>
        </is>
      </c>
      <c r="F122" s="84" t="inlineStr">
        <is>
          <t>B08G4PP8H1</t>
        </is>
      </c>
      <c r="G122" s="84" t="inlineStr">
        <is>
          <t>Queen</t>
        </is>
      </c>
      <c r="H122" s="84" t="inlineStr">
        <is>
          <t>Light Blue</t>
        </is>
      </c>
      <c r="I122" s="85" t="n">
        <v>45</v>
      </c>
      <c r="J122" s="32" t="n"/>
      <c r="K122" s="86" t="n"/>
      <c r="L122" s="86" t="n"/>
      <c r="M122" s="87">
        <f>IF(AND(ISNUMBER(L122),ISNUMBER(K122),N(K122)&gt;0),L122/K122-1,"")</f>
        <v/>
      </c>
      <c r="N122" s="88">
        <f>IF(M122="","No List Price",IF(M122&lt;=0,"At/below price",IF(M122&lt;=0.12,"&lt;=12% STR zone",IF(M122&lt;=0.25,"12-25%","&gt;25% over"))))</f>
        <v/>
      </c>
      <c r="O122" s="86" t="n">
        <v>94.1612915129151</v>
      </c>
      <c r="P122" s="89">
        <f>IF(AND(ISNUMBER(K122),ISNUMBER(O122),N(O122)&gt;0),K122/O122-1,"")</f>
        <v/>
      </c>
      <c r="Q122" s="32" t="inlineStr">
        <is>
          <t>Same size (Queen), CAD. Ours: Command Center fee feed, Mar 2026 - STALE</t>
        </is>
      </c>
      <c r="R122" s="85" t="n">
        <v>43757</v>
      </c>
      <c r="S122" s="85" t="n"/>
      <c r="T122" s="90">
        <f>IF(AND(ISNUMBER(K122),ISNUMBER(S122)),K122*S122*52/12,"")</f>
        <v/>
      </c>
      <c r="U122" s="91" t="n">
        <v>4.4</v>
      </c>
      <c r="V122" s="85" t="n">
        <v>2826</v>
      </c>
      <c r="W122" s="92" t="n">
        <v>46309</v>
      </c>
      <c r="X122" s="92" t="n"/>
      <c r="Y122" s="84" t="n"/>
      <c r="Z122" s="84" t="n"/>
      <c r="AA122" s="85" t="n"/>
      <c r="AB122" s="85" t="n"/>
      <c r="AC122" s="93" t="n"/>
      <c r="AD122" s="93" t="n"/>
      <c r="AE122" s="32" t="n"/>
      <c r="AF122" s="93" t="n"/>
      <c r="AG122" s="93" t="n"/>
      <c r="AH122" s="93" t="n"/>
      <c r="AI122" s="93" t="n"/>
      <c r="AJ122" s="85" t="n"/>
      <c r="AK122" s="85" t="n"/>
      <c r="AL122" s="85" t="n"/>
      <c r="AM122" s="85" t="n"/>
      <c r="AN122" s="85" t="n"/>
      <c r="AO122" s="85" t="n"/>
      <c r="AP122" s="94" t="n"/>
      <c r="AQ122" s="89" t="n"/>
      <c r="AR122" s="95" t="inlineStr">
        <is>
          <t>N</t>
        </is>
      </c>
      <c r="AS122" s="95" t="inlineStr">
        <is>
          <t>none</t>
        </is>
      </c>
      <c r="AT122" s="101" t="n"/>
      <c r="AU122" s="101" t="n"/>
      <c r="AV122" s="95" t="inlineStr">
        <is>
          <t>none</t>
        </is>
      </c>
      <c r="AW122" s="102" t="n"/>
      <c r="AX122" s="95" t="inlineStr">
        <is>
          <t>2026-10-14 00:40:07</t>
        </is>
      </c>
      <c r="AY122" s="102" t="n"/>
      <c r="AZ122" s="102" t="n"/>
      <c r="BA122" s="101" t="n"/>
      <c r="BB122" s="101" t="n"/>
      <c r="BC122" s="87">
        <f>IF(AND(ISNUMBER(BA122),ISNUMBER(BB122),N(BA122)&gt;0),1-BB122/BA122,"")</f>
        <v/>
      </c>
      <c r="BD122" s="103" t="n"/>
      <c r="BE122" s="103" t="n"/>
      <c r="BF122" s="100">
        <f>IF(AND(ISNUMBER(BD122),ISNUMBER(BE122),N(BE122)&gt;0),BD122/BE122,"")</f>
        <v/>
      </c>
      <c r="BG122" s="102" t="n"/>
      <c r="BH122" s="97" t="inlineStr">
        <is>
          <t>Amazon.ca organic #13 for '6 piece bamboo sheets'; 100% Organic Bamboo; Exact standard Queen sheet/set option selected; pillowcase-only, short-Queen, multipack and different-piece-count options not substituted. Search child B08BHVTS</t>
        </is>
      </c>
    </row>
    <row r="123" ht="62" customHeight="1">
      <c r="A123" s="10">
        <f>_xlfn.IMAGE("https://m.media-amazon.com/images/I/61I0uIu6eFL.jpg")</f>
        <v/>
      </c>
      <c r="B123" s="84" t="inlineStr">
        <is>
          <t>GOKOTTA</t>
        </is>
      </c>
      <c r="C123" s="32" t="inlineStr">
        <is>
          <t>Queen Bed Sheets 6 Piece Set by Gökotta, 24" Extra Deep Pocket Fitted Sheets with Elastic Corner Straps, 150 GSM Thicker Luxury Soft Sheets, 100% Rayon Derived from Bamboo, Blue</t>
        </is>
      </c>
      <c r="D123" s="84" t="inlineStr">
        <is>
          <t>Untiered</t>
        </is>
      </c>
      <c r="E123" s="84" t="inlineStr">
        <is>
          <t>B0CLQ1F333</t>
        </is>
      </c>
      <c r="F123" s="84" t="inlineStr">
        <is>
          <t>B0CCRKZ8G2</t>
        </is>
      </c>
      <c r="G123" s="84" t="inlineStr">
        <is>
          <t>Queen</t>
        </is>
      </c>
      <c r="H123" s="84" t="inlineStr">
        <is>
          <t>03 Blue</t>
        </is>
      </c>
      <c r="I123" s="85" t="n">
        <v>4</v>
      </c>
      <c r="J123" s="32" t="n"/>
      <c r="K123" s="86" t="n">
        <v>174.99</v>
      </c>
      <c r="L123" s="86" t="n"/>
      <c r="M123" s="87">
        <f>IF(AND(ISNUMBER(L123),ISNUMBER(K123),N(K123)&gt;0),L123/K123-1,"")</f>
        <v/>
      </c>
      <c r="N123" s="88">
        <f>IF(M123="","No List Price",IF(M123&lt;=0,"At/below price",IF(M123&lt;=0.12,"&lt;=12% STR zone",IF(M123&lt;=0.25,"12-25%","&gt;25% over"))))</f>
        <v/>
      </c>
      <c r="O123" s="86" t="n">
        <v>94.1612915129151</v>
      </c>
      <c r="P123" s="89">
        <f>IF(AND(ISNUMBER(K123),ISNUMBER(O123),N(O123)&gt;0),K123/O123-1,"")</f>
        <v/>
      </c>
      <c r="Q123" s="32" t="inlineStr">
        <is>
          <t>Same size (Queen), CAD. Ours: Command Center fee feed, Mar 2026 - STALE</t>
        </is>
      </c>
      <c r="R123" s="85" t="n">
        <v>160491</v>
      </c>
      <c r="S123" s="85" t="n"/>
      <c r="T123" s="90">
        <f>IF(AND(ISNUMBER(K123),ISNUMBER(S123)),K123*S123*52/12,"")</f>
        <v/>
      </c>
      <c r="U123" s="91" t="n">
        <v>4.5</v>
      </c>
      <c r="V123" s="85" t="n">
        <v>323</v>
      </c>
      <c r="W123" s="92" t="n">
        <v>46309</v>
      </c>
      <c r="X123" s="92" t="n"/>
      <c r="Y123" s="84" t="n"/>
      <c r="Z123" s="84" t="n"/>
      <c r="AA123" s="85" t="n"/>
      <c r="AB123" s="85" t="n"/>
      <c r="AC123" s="93" t="n"/>
      <c r="AD123" s="93" t="n"/>
      <c r="AE123" s="32" t="n"/>
      <c r="AF123" s="93" t="n"/>
      <c r="AG123" s="93" t="n"/>
      <c r="AH123" s="93" t="n"/>
      <c r="AI123" s="93" t="n"/>
      <c r="AJ123" s="85" t="n"/>
      <c r="AK123" s="85" t="n"/>
      <c r="AL123" s="85" t="n"/>
      <c r="AM123" s="85" t="n"/>
      <c r="AN123" s="85" t="n"/>
      <c r="AO123" s="85" t="n"/>
      <c r="AP123" s="94" t="n"/>
      <c r="AQ123" s="89" t="n"/>
      <c r="AR123" s="95" t="inlineStr">
        <is>
          <t>N</t>
        </is>
      </c>
      <c r="AS123" s="95" t="inlineStr">
        <is>
          <t>none</t>
        </is>
      </c>
      <c r="AT123" s="101" t="n"/>
      <c r="AU123" s="96" t="n">
        <v>174.99</v>
      </c>
      <c r="AV123" s="95" t="inlineStr">
        <is>
          <t>coupon $28</t>
        </is>
      </c>
      <c r="AW123" s="95" t="inlineStr">
        <is>
          <t>Y</t>
        </is>
      </c>
      <c r="AX123" s="95" t="inlineStr">
        <is>
          <t>2026-10-14 00:35:12</t>
        </is>
      </c>
      <c r="AY123" s="102" t="n"/>
      <c r="AZ123" s="102" t="n"/>
      <c r="BA123" s="101" t="n"/>
      <c r="BB123" s="101" t="n"/>
      <c r="BC123" s="87">
        <f>IF(AND(ISNUMBER(BA123),ISNUMBER(BB123),N(BA123)&gt;0),1-BB123/BA123,"")</f>
        <v/>
      </c>
      <c r="BD123" s="103" t="n"/>
      <c r="BE123" s="103" t="n"/>
      <c r="BF123" s="100">
        <f>IF(AND(ISNUMBER(BD123),ISNUMBER(BE123),N(BE123)&gt;0),BD123/BE123,"")</f>
        <v/>
      </c>
      <c r="BG123" s="102" t="n"/>
      <c r="BH123" s="97" t="inlineStr">
        <is>
          <t>Amazon.ca organic #13 for 'bamboo sheets queen 6 piece'; 100% Rayon Derived from Bamboo; variation_count = distinct children exposed in page variation map, not a guaranteed complete catalogue. Bought-past-month badge not displayed.</t>
        </is>
      </c>
    </row>
    <row r="124" ht="62" customHeight="1">
      <c r="A124" s="10">
        <f>_xlfn.IMAGE("https://m.media-amazon.com/images/I/81kw-1bG0-L.jpg")</f>
        <v/>
      </c>
      <c r="B124" s="84" t="inlineStr">
        <is>
          <t>Bambaw</t>
        </is>
      </c>
      <c r="C124" s="32" t="inlineStr">
        <is>
          <t>Bambaw 100% Viscose Derived from Bamboo Sheets Queen Size Set – 6pcs Cooling Queen Sheet Set, Deep Pocket Fits Up to 16'' with Elastic Corner Straps, Queen Soft Sheets (Charcoal)</t>
        </is>
      </c>
      <c r="D124" s="84" t="inlineStr">
        <is>
          <t>Untiered</t>
        </is>
      </c>
      <c r="E124" s="84" t="inlineStr">
        <is>
          <t>B07K6SYX8L</t>
        </is>
      </c>
      <c r="F124" s="84" t="inlineStr">
        <is>
          <t>B0DR9BMSW2</t>
        </is>
      </c>
      <c r="G124" s="84" t="inlineStr">
        <is>
          <t>Queen</t>
        </is>
      </c>
      <c r="H124" s="84" t="inlineStr">
        <is>
          <t>Charcoal</t>
        </is>
      </c>
      <c r="I124" s="85" t="n">
        <v>112</v>
      </c>
      <c r="J124" s="32" t="n"/>
      <c r="K124" s="86" t="n">
        <v>159.95</v>
      </c>
      <c r="L124" s="86" t="n"/>
      <c r="M124" s="87">
        <f>IF(AND(ISNUMBER(L124),ISNUMBER(K124),N(K124)&gt;0),L124/K124-1,"")</f>
        <v/>
      </c>
      <c r="N124" s="88">
        <f>IF(M124="","No List Price",IF(M124&lt;=0,"At/below price",IF(M124&lt;=0.12,"&lt;=12% STR zone",IF(M124&lt;=0.25,"12-25%","&gt;25% over"))))</f>
        <v/>
      </c>
      <c r="O124" s="86" t="n">
        <v>94.1612915129151</v>
      </c>
      <c r="P124" s="89">
        <f>IF(AND(ISNUMBER(K124),ISNUMBER(O124),N(O124)&gt;0),K124/O124-1,"")</f>
        <v/>
      </c>
      <c r="Q124" s="32" t="inlineStr">
        <is>
          <t>Same size (Queen), CAD. Ours: Command Center fee feed, Mar 2026 - STALE</t>
        </is>
      </c>
      <c r="R124" s="85" t="n">
        <v>5024</v>
      </c>
      <c r="S124" s="85" t="n"/>
      <c r="T124" s="90">
        <f>IF(AND(ISNUMBER(K124),ISNUMBER(S124)),K124*S124*52/12,"")</f>
        <v/>
      </c>
      <c r="U124" s="91" t="n">
        <v>4.3</v>
      </c>
      <c r="V124" s="85" t="n">
        <v>3030</v>
      </c>
      <c r="W124" s="92" t="n">
        <v>46309</v>
      </c>
      <c r="X124" s="92" t="n"/>
      <c r="Y124" s="84" t="n"/>
      <c r="Z124" s="84" t="n"/>
      <c r="AA124" s="85" t="n"/>
      <c r="AB124" s="85" t="n"/>
      <c r="AC124" s="93" t="n"/>
      <c r="AD124" s="93" t="n"/>
      <c r="AE124" s="32" t="n"/>
      <c r="AF124" s="93" t="n"/>
      <c r="AG124" s="93" t="n"/>
      <c r="AH124" s="93" t="n"/>
      <c r="AI124" s="93" t="n"/>
      <c r="AJ124" s="85" t="n"/>
      <c r="AK124" s="85" t="n"/>
      <c r="AL124" s="85" t="n"/>
      <c r="AM124" s="85" t="n"/>
      <c r="AN124" s="85" t="n"/>
      <c r="AO124" s="85" t="n"/>
      <c r="AP124" s="94" t="n"/>
      <c r="AQ124" s="89" t="n"/>
      <c r="AR124" s="95" t="inlineStr">
        <is>
          <t>N</t>
        </is>
      </c>
      <c r="AS124" s="95" t="inlineStr">
        <is>
          <t>none</t>
        </is>
      </c>
      <c r="AT124" s="101" t="n"/>
      <c r="AU124" s="96" t="n">
        <v>159.95</v>
      </c>
      <c r="AV124" s="95" t="inlineStr">
        <is>
          <t>none</t>
        </is>
      </c>
      <c r="AW124" s="95" t="inlineStr">
        <is>
          <t>Y</t>
        </is>
      </c>
      <c r="AX124" s="95" t="inlineStr">
        <is>
          <t>2026-10-14 00:35:39</t>
        </is>
      </c>
      <c r="AY124" s="102" t="n"/>
      <c r="AZ124" s="102" t="n"/>
      <c r="BA124" s="101" t="n"/>
      <c r="BB124" s="101" t="n"/>
      <c r="BC124" s="87">
        <f>IF(AND(ISNUMBER(BA124),ISNUMBER(BB124),N(BA124)&gt;0),1-BB124/BA124,"")</f>
        <v/>
      </c>
      <c r="BD124" s="103" t="n"/>
      <c r="BE124" s="103" t="n"/>
      <c r="BF124" s="100">
        <f>IF(AND(ISNUMBER(BD124),ISNUMBER(BE124),N(BE124)&gt;0),BD124/BE124,"")</f>
        <v/>
      </c>
      <c r="BG124" s="102" t="n"/>
      <c r="BH124" s="97" t="inlineStr">
        <is>
          <t>Amazon.ca organic #17 for 'bamboo sheets queen 6 piece'; 100% Viscose Derived from Bamboo; variation_count = distinct children exposed in page variation map, not a guaranteed complete catalogue. Bought-past-month badge not displayed.</t>
        </is>
      </c>
    </row>
    <row r="125" ht="62" customHeight="1">
      <c r="A125" s="10">
        <f>_xlfn.IMAGE("https://m.media-amazon.com/images/I/71DKiQ4ilnL.jpg")</f>
        <v/>
      </c>
      <c r="B125" s="84" t="inlineStr">
        <is>
          <t>Bamboo Bay</t>
        </is>
      </c>
      <c r="C125" s="32" t="inlineStr">
        <is>
          <t>Bamboo Bay Luxury Bamboo Sheets Queen Size - 6 Piece Ultra Soft Cooling Sheets for Hot Sleepers - 100% Organic Bamboo Queen Sheet Set Fits Up to 16" Deep Pocket - Eco Friendly - Queen - White</t>
        </is>
      </c>
      <c r="D125" s="84" t="inlineStr">
        <is>
          <t>Untiered</t>
        </is>
      </c>
      <c r="E125" s="84" t="n"/>
      <c r="F125" s="84" t="inlineStr">
        <is>
          <t>B0777SFXZK</t>
        </is>
      </c>
      <c r="G125" s="84" t="inlineStr">
        <is>
          <t>Queen</t>
        </is>
      </c>
      <c r="H125" s="84" t="inlineStr">
        <is>
          <t>White</t>
        </is>
      </c>
      <c r="I125" s="85" t="n"/>
      <c r="J125" s="32" t="n"/>
      <c r="K125" s="86" t="n">
        <v>112.35</v>
      </c>
      <c r="L125" s="86" t="n"/>
      <c r="M125" s="87">
        <f>IF(AND(ISNUMBER(L125),ISNUMBER(K125),N(K125)&gt;0),L125/K125-1,"")</f>
        <v/>
      </c>
      <c r="N125" s="88">
        <f>IF(M125="","No List Price",IF(M125&lt;=0,"At/below price",IF(M125&lt;=0.12,"&lt;=12% STR zone",IF(M125&lt;=0.25,"12-25%","&gt;25% over"))))</f>
        <v/>
      </c>
      <c r="O125" s="86" t="n">
        <v>94.1612915129151</v>
      </c>
      <c r="P125" s="89">
        <f>IF(AND(ISNUMBER(K125),ISNUMBER(O125),N(O125)&gt;0),K125/O125-1,"")</f>
        <v/>
      </c>
      <c r="Q125" s="32" t="inlineStr">
        <is>
          <t>Same size (Queen), CAD. Ours: Command Center fee feed, Mar 2026 - STALE</t>
        </is>
      </c>
      <c r="R125" s="85" t="n">
        <v>2581598</v>
      </c>
      <c r="S125" s="85" t="n"/>
      <c r="T125" s="90">
        <f>IF(AND(ISNUMBER(K125),ISNUMBER(S125)),K125*S125*52/12,"")</f>
        <v/>
      </c>
      <c r="U125" s="91" t="n">
        <v>4.6</v>
      </c>
      <c r="V125" s="85" t="n">
        <v>222</v>
      </c>
      <c r="W125" s="92" t="n">
        <v>46309</v>
      </c>
      <c r="X125" s="92" t="n"/>
      <c r="Y125" s="84" t="n"/>
      <c r="Z125" s="84" t="n"/>
      <c r="AA125" s="85" t="n"/>
      <c r="AB125" s="85" t="n"/>
      <c r="AC125" s="93" t="n"/>
      <c r="AD125" s="93" t="n"/>
      <c r="AE125" s="32" t="n"/>
      <c r="AF125" s="93" t="n"/>
      <c r="AG125" s="93" t="n"/>
      <c r="AH125" s="93" t="n"/>
      <c r="AI125" s="93" t="n"/>
      <c r="AJ125" s="85" t="n"/>
      <c r="AK125" s="85" t="n"/>
      <c r="AL125" s="85" t="n"/>
      <c r="AM125" s="85" t="n"/>
      <c r="AN125" s="85" t="n"/>
      <c r="AO125" s="85" t="n"/>
      <c r="AP125" s="94" t="n"/>
      <c r="AQ125" s="89" t="n"/>
      <c r="AR125" s="95" t="inlineStr">
        <is>
          <t>N</t>
        </is>
      </c>
      <c r="AS125" s="95" t="inlineStr">
        <is>
          <t>none</t>
        </is>
      </c>
      <c r="AT125" s="101" t="n"/>
      <c r="AU125" s="96" t="n">
        <v>112.35</v>
      </c>
      <c r="AV125" s="95" t="inlineStr">
        <is>
          <t>none</t>
        </is>
      </c>
      <c r="AW125" s="95" t="inlineStr">
        <is>
          <t>Y</t>
        </is>
      </c>
      <c r="AX125" s="95" t="inlineStr">
        <is>
          <t>2026-10-14 00:36:09</t>
        </is>
      </c>
      <c r="AY125" s="102" t="n"/>
      <c r="AZ125" s="102" t="n"/>
      <c r="BA125" s="101" t="n"/>
      <c r="BB125" s="101" t="n"/>
      <c r="BC125" s="87">
        <f>IF(AND(ISNUMBER(BA125),ISNUMBER(BB125),N(BA125)&gt;0),1-BB125/BA125,"")</f>
        <v/>
      </c>
      <c r="BD125" s="103" t="n"/>
      <c r="BE125" s="103" t="n"/>
      <c r="BF125" s="100">
        <f>IF(AND(ISNUMBER(BD125),ISNUMBER(BE125),N(BE125)&gt;0),BD125/BE125,"")</f>
        <v/>
      </c>
      <c r="BG125" s="102" t="n"/>
      <c r="BH125" s="97" t="inlineStr">
        <is>
          <t>Amazon.ca organic #22 for 'bamboo sheets queen 6 piece'; 100% Organic Bamboo; Page parent field repeats the selected child; no distinct parent ASIN exposed. Treated as standalone observed listing. Parent ASIN not exposed. No child variati</t>
        </is>
      </c>
    </row>
    <row r="126" ht="62" customHeight="1">
      <c r="A126" s="10">
        <f>_xlfn.IMAGE("https://m.media-amazon.com/images/I/71uagjboyTL.jpg")</f>
        <v/>
      </c>
      <c r="B126" s="84" t="inlineStr">
        <is>
          <t>BC BELLA COTERIE</t>
        </is>
      </c>
      <c r="C126" s="32" t="inlineStr">
        <is>
          <t>Bella Coterie 6 Piece Luxury Bamboo Viscose Queen Sheet Set</t>
        </is>
      </c>
      <c r="D126" s="84" t="inlineStr">
        <is>
          <t>Untiered</t>
        </is>
      </c>
      <c r="E126" s="84" t="inlineStr">
        <is>
          <t>B08P97YSMW</t>
        </is>
      </c>
      <c r="F126" s="84" t="inlineStr">
        <is>
          <t>B0GTWJ29LG</t>
        </is>
      </c>
      <c r="G126" s="84" t="inlineStr">
        <is>
          <t>Queen</t>
        </is>
      </c>
      <c r="H126" s="84" t="inlineStr">
        <is>
          <t>19 - Lemonade</t>
        </is>
      </c>
      <c r="I126" s="85" t="n">
        <v>233</v>
      </c>
      <c r="J126" s="32" t="n"/>
      <c r="K126" s="86" t="n"/>
      <c r="L126" s="86" t="n"/>
      <c r="M126" s="87">
        <f>IF(AND(ISNUMBER(L126),ISNUMBER(K126),N(K126)&gt;0),L126/K126-1,"")</f>
        <v/>
      </c>
      <c r="N126" s="88">
        <f>IF(M126="","No List Price",IF(M126&lt;=0,"At/below price",IF(M126&lt;=0.12,"&lt;=12% STR zone",IF(M126&lt;=0.25,"12-25%","&gt;25% over"))))</f>
        <v/>
      </c>
      <c r="O126" s="86" t="n">
        <v>94.1612915129151</v>
      </c>
      <c r="P126" s="89">
        <f>IF(AND(ISNUMBER(K126),ISNUMBER(O126),N(O126)&gt;0),K126/O126-1,"")</f>
        <v/>
      </c>
      <c r="Q126" s="32" t="inlineStr">
        <is>
          <t>Same size (Queen), CAD. Ours: Command Center fee feed, Mar 2026 - STALE</t>
        </is>
      </c>
      <c r="R126" s="85" t="n">
        <v>297691</v>
      </c>
      <c r="S126" s="85" t="n"/>
      <c r="T126" s="90">
        <f>IF(AND(ISNUMBER(K126),ISNUMBER(S126)),K126*S126*52/12,"")</f>
        <v/>
      </c>
      <c r="U126" s="91" t="n">
        <v>4.4</v>
      </c>
      <c r="V126" s="85" t="n">
        <v>6192</v>
      </c>
      <c r="W126" s="92" t="n">
        <v>46309</v>
      </c>
      <c r="X126" s="92" t="n"/>
      <c r="Y126" s="84" t="n"/>
      <c r="Z126" s="84" t="n"/>
      <c r="AA126" s="85" t="n"/>
      <c r="AB126" s="85" t="n"/>
      <c r="AC126" s="93" t="n"/>
      <c r="AD126" s="93" t="n"/>
      <c r="AE126" s="32" t="n"/>
      <c r="AF126" s="93" t="n"/>
      <c r="AG126" s="93" t="n"/>
      <c r="AH126" s="93" t="n"/>
      <c r="AI126" s="93" t="n"/>
      <c r="AJ126" s="85" t="n"/>
      <c r="AK126" s="85" t="n"/>
      <c r="AL126" s="85" t="n"/>
      <c r="AM126" s="85" t="n"/>
      <c r="AN126" s="85" t="n"/>
      <c r="AO126" s="85" t="n"/>
      <c r="AP126" s="94" t="n"/>
      <c r="AQ126" s="89" t="n"/>
      <c r="AR126" s="95" t="inlineStr">
        <is>
          <t>N</t>
        </is>
      </c>
      <c r="AS126" s="95" t="inlineStr">
        <is>
          <t>none</t>
        </is>
      </c>
      <c r="AT126" s="101" t="n"/>
      <c r="AU126" s="101" t="n"/>
      <c r="AV126" s="95" t="inlineStr">
        <is>
          <t>none</t>
        </is>
      </c>
      <c r="AW126" s="102" t="n"/>
      <c r="AX126" s="95" t="inlineStr">
        <is>
          <t>2026-10-14 00:38:27</t>
        </is>
      </c>
      <c r="AY126" s="102" t="n"/>
      <c r="AZ126" s="102" t="n"/>
      <c r="BA126" s="101" t="n"/>
      <c r="BB126" s="101" t="n"/>
      <c r="BC126" s="87">
        <f>IF(AND(ISNUMBER(BA126),ISNUMBER(BB126),N(BA126)&gt;0),1-BB126/BA126,"")</f>
        <v/>
      </c>
      <c r="BD126" s="103" t="n"/>
      <c r="BE126" s="103" t="n"/>
      <c r="BF126" s="100">
        <f>IF(AND(ISNUMBER(BD126),ISNUMBER(BE126),N(BE126)&gt;0),BD126/BE126,"")</f>
        <v/>
      </c>
      <c r="BG126" s="102" t="n"/>
      <c r="BH126" s="97" t="inlineStr">
        <is>
          <t>Amazon.ca organic #38 for 'bamboo sheets queen 6 piece'; 100% Viscose Made from Bamboo; Selected new-variation stock/orderability not established; in_stock blank. Exact variation buy-box price not displayed; no other-offer substitution. variation_c</t>
        </is>
      </c>
    </row>
    <row r="127" ht="62" customHeight="1">
      <c r="A127" s="10">
        <f>_xlfn.IMAGE("https://m.media-amazon.com/images/I/610q+H2k3BL.jpg")</f>
        <v/>
      </c>
      <c r="B127" s="84" t="inlineStr">
        <is>
          <t>Bamboo Bay</t>
        </is>
      </c>
      <c r="C127" s="32" t="inlineStr">
        <is>
          <t>Bamboo Bay Luxury Bamboo Sheets Queen Size - 6 Piece Ultra Soft Cooling Sheets for Hot Sleepers - 100% Organic Bamboo Queen Sheet Set Fits Up to 16" Deep Pocket - Eco Friendly - Queen - Ivory</t>
        </is>
      </c>
      <c r="D127" s="84" t="inlineStr">
        <is>
          <t>Untiered</t>
        </is>
      </c>
      <c r="E127" s="84" t="n"/>
      <c r="F127" s="84" t="inlineStr">
        <is>
          <t>B07PS657BP</t>
        </is>
      </c>
      <c r="G127" s="84" t="inlineStr">
        <is>
          <t>Queen</t>
        </is>
      </c>
      <c r="H127" s="84" t="inlineStr">
        <is>
          <t>Ivory</t>
        </is>
      </c>
      <c r="I127" s="85" t="n"/>
      <c r="J127" s="32" t="n"/>
      <c r="K127" s="86" t="n">
        <v>159.99</v>
      </c>
      <c r="L127" s="86" t="n"/>
      <c r="M127" s="87">
        <f>IF(AND(ISNUMBER(L127),ISNUMBER(K127),N(K127)&gt;0),L127/K127-1,"")</f>
        <v/>
      </c>
      <c r="N127" s="88">
        <f>IF(M127="","No List Price",IF(M127&lt;=0,"At/below price",IF(M127&lt;=0.12,"&lt;=12% STR zone",IF(M127&lt;=0.25,"12-25%","&gt;25% over"))))</f>
        <v/>
      </c>
      <c r="O127" s="86" t="n">
        <v>94.1612915129151</v>
      </c>
      <c r="P127" s="89">
        <f>IF(AND(ISNUMBER(K127),ISNUMBER(O127),N(O127)&gt;0),K127/O127-1,"")</f>
        <v/>
      </c>
      <c r="Q127" s="32" t="inlineStr">
        <is>
          <t>Same size (Queen), CAD. Ours: Command Center fee feed, Mar 2026 - STALE</t>
        </is>
      </c>
      <c r="R127" s="85" t="n"/>
      <c r="S127" s="85" t="n"/>
      <c r="T127" s="90">
        <f>IF(AND(ISNUMBER(K127),ISNUMBER(S127)),K127*S127*52/12,"")</f>
        <v/>
      </c>
      <c r="U127" s="91" t="n">
        <v>4.4</v>
      </c>
      <c r="V127" s="85" t="n">
        <v>107</v>
      </c>
      <c r="W127" s="92" t="n">
        <v>46309</v>
      </c>
      <c r="X127" s="92" t="n"/>
      <c r="Y127" s="84" t="n"/>
      <c r="Z127" s="84" t="n"/>
      <c r="AA127" s="85" t="n"/>
      <c r="AB127" s="85" t="n"/>
      <c r="AC127" s="93" t="n"/>
      <c r="AD127" s="93" t="n"/>
      <c r="AE127" s="32" t="n"/>
      <c r="AF127" s="93" t="n"/>
      <c r="AG127" s="93" t="n"/>
      <c r="AH127" s="93" t="n"/>
      <c r="AI127" s="93" t="n"/>
      <c r="AJ127" s="85" t="n"/>
      <c r="AK127" s="85" t="n"/>
      <c r="AL127" s="85" t="n"/>
      <c r="AM127" s="85" t="n"/>
      <c r="AN127" s="85" t="n"/>
      <c r="AO127" s="85" t="n"/>
      <c r="AP127" s="94" t="n"/>
      <c r="AQ127" s="89" t="n"/>
      <c r="AR127" s="95" t="inlineStr">
        <is>
          <t>N</t>
        </is>
      </c>
      <c r="AS127" s="95" t="inlineStr">
        <is>
          <t>none</t>
        </is>
      </c>
      <c r="AT127" s="101" t="n"/>
      <c r="AU127" s="96" t="n">
        <v>159.99</v>
      </c>
      <c r="AV127" s="95" t="inlineStr">
        <is>
          <t>none</t>
        </is>
      </c>
      <c r="AW127" s="95" t="inlineStr">
        <is>
          <t>Y</t>
        </is>
      </c>
      <c r="AX127" s="95" t="inlineStr">
        <is>
          <t>2026-10-14 00:38:33</t>
        </is>
      </c>
      <c r="AY127" s="102" t="n"/>
      <c r="AZ127" s="102" t="n"/>
      <c r="BA127" s="101" t="n"/>
      <c r="BB127" s="101" t="n"/>
      <c r="BC127" s="87">
        <f>IF(AND(ISNUMBER(BA127),ISNUMBER(BB127),N(BA127)&gt;0),1-BB127/BA127,"")</f>
        <v/>
      </c>
      <c r="BD127" s="103" t="n"/>
      <c r="BE127" s="103" t="n"/>
      <c r="BF127" s="100">
        <f>IF(AND(ISNUMBER(BD127),ISNUMBER(BE127),N(BE127)&gt;0),BD127/BE127,"")</f>
        <v/>
      </c>
      <c r="BG127" s="102" t="n"/>
      <c r="BH127" s="97" t="inlineStr">
        <is>
          <t>Amazon.ca organic #39 for 'bamboo sheets queen 6 piece'; 100% Organic Bamboo; Page parent field repeats the selected child; no distinct parent ASIN exposed. Treated as standalone observed listing. Parent ASIN not exposed. No child variati</t>
        </is>
      </c>
    </row>
    <row r="129" ht="20" customHeight="1">
      <c r="A129" s="54" t="inlineStr">
        <is>
          <t>5 · WHAT THIS MEANS FOR BFCM</t>
        </is>
      </c>
    </row>
    <row r="130" ht="30" customHeight="1">
      <c r="A130" s="104" t="inlineStr">
        <is>
          <t>•  Price: 1 of 8 rivals sit below our price today (same size where the title states one). Cheapest strong rivals: Love's cabin $90.36. CA prices are CAD; our comparison price is the Command Center's Mar 2026 CAD price (no live Canadian price yet).</t>
        </is>
      </c>
    </row>
    <row r="131" ht="30" customHeight="1">
      <c r="A131" s="104" t="inlineStr">
        <is>
          <t>•  Top organic on Amazon.ca (Oct 13): #2 GOKOTTA $159.99 (bamboo sheets queen 6 piece); #12 Love's cabin $90.36 (6 piece bamboo sheets); #13 Bamboo Bay n/a (6 piece bamboo sheets); #13 GOKOTTA $174.99 (bamboo sheets queen 6 piece); #17 Bambaw $159.95 (bamboo sheets queen 6 piece).</t>
        </is>
      </c>
    </row>
    <row r="132" ht="18" customHeight="1">
      <c r="A132" s="104" t="inlineStr">
        <is>
          <t>•  Strikethrough on the page today (Oct 13 check): 0 of 8 checked rivals show one.</t>
        </is>
      </c>
    </row>
    <row r="133" ht="18" customHeight="1">
      <c r="A133" s="104" t="inlineStr">
        <is>
          <t>•  Our BFCM 2025: 3.07x daily sales in BFCM week vs the 30 days before; TACoS 6.1% vs 12.5% before; December 1.27x.</t>
        </is>
      </c>
    </row>
  </sheetData>
  <autoFilter ref="B119:BH127"/>
  <mergeCells count="67">
    <mergeCell ref="A15:BH15"/>
    <mergeCell ref="A108:C108"/>
    <mergeCell ref="L5:Q5"/>
    <mergeCell ref="X118:Z118"/>
    <mergeCell ref="A1:BH1"/>
    <mergeCell ref="A132:BH132"/>
    <mergeCell ref="A110:BH110"/>
    <mergeCell ref="Q11:T11"/>
    <mergeCell ref="A101:C101"/>
    <mergeCell ref="L8:Q8"/>
    <mergeCell ref="L4:Q4"/>
    <mergeCell ref="D7:I7"/>
    <mergeCell ref="A13:D13"/>
    <mergeCell ref="A104:C104"/>
    <mergeCell ref="I13:L13"/>
    <mergeCell ref="A16:BH16"/>
    <mergeCell ref="D4:I4"/>
    <mergeCell ref="L10:Q10"/>
    <mergeCell ref="E12:H12"/>
    <mergeCell ref="Q13:T13"/>
    <mergeCell ref="AY118:BH118"/>
    <mergeCell ref="D9:I9"/>
    <mergeCell ref="K118:W118"/>
    <mergeCell ref="A133:BH133"/>
    <mergeCell ref="U12:X12"/>
    <mergeCell ref="L9:Q9"/>
    <mergeCell ref="Q12:T12"/>
    <mergeCell ref="A106:C106"/>
    <mergeCell ref="A11:D11"/>
    <mergeCell ref="A109:C109"/>
    <mergeCell ref="A118:H118"/>
    <mergeCell ref="I11:L11"/>
    <mergeCell ref="A3:BH3"/>
    <mergeCell ref="L6:Q6"/>
    <mergeCell ref="D8:I8"/>
    <mergeCell ref="A4:B9"/>
    <mergeCell ref="T6:Y6"/>
    <mergeCell ref="A113:BH113"/>
    <mergeCell ref="A129:BH129"/>
    <mergeCell ref="A102:C102"/>
    <mergeCell ref="D5:I5"/>
    <mergeCell ref="A116:BH116"/>
    <mergeCell ref="M11:P11"/>
    <mergeCell ref="U11:X11"/>
    <mergeCell ref="A131:BH131"/>
    <mergeCell ref="A100:BH100"/>
    <mergeCell ref="E13:H13"/>
    <mergeCell ref="D10:I10"/>
    <mergeCell ref="L7:Q7"/>
    <mergeCell ref="T5:Y5"/>
    <mergeCell ref="A107:C107"/>
    <mergeCell ref="AA118:AQ118"/>
    <mergeCell ref="A103:C103"/>
    <mergeCell ref="A12:D12"/>
    <mergeCell ref="M13:P13"/>
    <mergeCell ref="A112:BH112"/>
    <mergeCell ref="A115:BH115"/>
    <mergeCell ref="I12:L12"/>
    <mergeCell ref="U13:X13"/>
    <mergeCell ref="A117:BH117"/>
    <mergeCell ref="M12:P12"/>
    <mergeCell ref="A111:BH111"/>
    <mergeCell ref="T4:Y4"/>
    <mergeCell ref="AR118:AX118"/>
    <mergeCell ref="D6:I6"/>
    <mergeCell ref="E11:H11"/>
    <mergeCell ref="A130:BH130"/>
  </mergeCells>
  <conditionalFormatting sqref="N120:N127">
    <cfRule type="expression" priority="1" dxfId="1">
      <formula>N120="&lt;=12% STR zone"</formula>
    </cfRule>
  </conditionalFormatting>
  <conditionalFormatting sqref="W120:W127">
    <cfRule type="expression" priority="2" dxfId="0">
      <formula>AND(ISNUMBER(W120),W120&lt;DATE(2026,10,6))</formula>
    </cfRule>
  </conditionalFormatting>
  <conditionalFormatting sqref="Q120:Q127">
    <cfRule type="expression" priority="3" dxfId="0">
      <formula>ISNUMBER(SEARCH("STALE",Q120))</formula>
    </cfRule>
  </conditionalFormatting>
  <conditionalFormatting sqref="P120:P127">
    <cfRule type="expression" priority="4" dxfId="0">
      <formula>AND(ISNUMBER(P120),P120&lt;0)</formula>
    </cfRule>
  </conditionalFormatting>
  <dataValidations count="3">
    <dataValidation sqref="AR120:AR127 BG120:BG127" showDropDown="0" showInputMessage="0" showErrorMessage="0" allowBlank="1" type="list">
      <formula1>"Y,N"</formula1>
    </dataValidation>
    <dataValidation sqref="AS120:AS127" showDropDown="0" showInputMessage="0" showErrorMessage="0" allowBlank="1" type="list">
      <formula1>"List Price,Typical price,Was price,None"</formula1>
    </dataValidation>
    <dataValidation sqref="AY120:AY12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BH16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6 Piece  ·  Amazon.com (US)  ·  Bamboo  ·  BFCM role: Core  ·  Scope: Core</t>
        </is>
      </c>
    </row>
    <row r="2">
      <c r="A2" s="53" t="inlineStr">
        <is>
          <t>← Dashboard</t>
        </is>
      </c>
    </row>
    <row r="3" ht="20" customHeight="1">
      <c r="A3" s="54" t="inlineStr">
        <is>
          <t>1 · OUR PRODUCT</t>
        </is>
      </c>
    </row>
    <row r="4" ht="34" customHeight="1">
      <c r="A4" s="10">
        <f>_xlfn.IMAGE("https://m.media-amazon.com/images/I/81rHI1QN6jL._AC_SL1500_.jpg")</f>
        <v/>
      </c>
      <c r="C4" s="11" t="inlineStr">
        <is>
          <t>Title</t>
        </is>
      </c>
      <c r="D4" s="12" t="inlineStr">
        <is>
          <t>SLEEP SANCTUARY 100% Viscose Derived from Bamboo Sheets King Size, 6 Pc Set | Cooling BamBliss Comfort for Hot Sleepers | Cloud Soft | Deep 17" Pocket w Corner Straps | Luxury Bed Set | Taupe</t>
        </is>
      </c>
      <c r="K4" s="11" t="inlineStr">
        <is>
          <t>Sizes</t>
        </is>
      </c>
      <c r="L4" s="55" t="inlineStr">
        <is>
          <t>California King, Full, King, Queen, Twin</t>
        </is>
      </c>
      <c r="S4" s="11" t="inlineStr">
        <is>
          <t>Break-even ACoS</t>
        </is>
      </c>
      <c r="T4" s="55" t="inlineStr">
        <is>
          <t>24%</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91</t>
        </is>
      </c>
    </row>
    <row r="6" ht="22" customHeight="1">
      <c r="C6" s="11" t="inlineStr">
        <is>
          <t>Marketplace</t>
        </is>
      </c>
      <c r="D6" s="55" t="inlineStr">
        <is>
          <t>Amazon.com (US)</t>
        </is>
      </c>
      <c r="K6" s="11" t="inlineStr">
        <is>
          <t>Price now, best child</t>
        </is>
      </c>
      <c r="L6" s="55" t="inlineStr">
        <is>
          <t>$69.99 (Helium 10 Xray, 2026-10-13)</t>
        </is>
      </c>
      <c r="S6" s="11" t="inlineStr">
        <is>
          <t>Command Center product ASIN</t>
        </is>
      </c>
      <c r="T6" s="55" t="inlineStr">
        <is>
          <t>B0DDTY8HFR (one of our child ASINs, not the Amazon parent)</t>
        </is>
      </c>
    </row>
    <row r="7" ht="22" customHeight="1">
      <c r="C7" s="11" t="inlineStr">
        <is>
          <t>Parent ASIN (Amazon)</t>
        </is>
      </c>
      <c r="D7" s="55" t="inlineStr">
        <is>
          <t>B0HBWXDWJ5</t>
        </is>
      </c>
      <c r="K7" s="11" t="inlineStr">
        <is>
          <t>Rating / reviews now</t>
        </is>
      </c>
      <c r="L7" s="55" t="inlineStr">
        <is>
          <t>4.5 / 320 (Helium 10 Xray, 2026-10-13)</t>
        </is>
      </c>
    </row>
    <row r="8" ht="22" customHeight="1">
      <c r="C8" s="11" t="inlineStr">
        <is>
          <t>Best-selling child ASIN</t>
        </is>
      </c>
      <c r="D8" s="55" t="inlineStr">
        <is>
          <t>B0DDTYDHVB</t>
        </is>
      </c>
      <c r="K8" s="11" t="inlineStr">
        <is>
          <t>Live prices held</t>
        </is>
      </c>
      <c r="L8" s="55" t="inlineStr">
        <is>
          <t>81 of 82 variations</t>
        </is>
      </c>
    </row>
    <row r="9" ht="22" customHeight="1">
      <c r="C9" s="11" t="inlineStr">
        <is>
          <t>Stage</t>
        </is>
      </c>
      <c r="D9" s="55" t="inlineStr">
        <is>
          <t>Re-Launch</t>
        </is>
      </c>
      <c r="K9" s="11" t="inlineStr">
        <is>
          <t>Blended price (Command Center)</t>
        </is>
      </c>
      <c r="L9" s="55" t="inlineStr">
        <is>
          <t>$67.07 - fee feed as of 2026-03-30, STALE</t>
        </is>
      </c>
    </row>
    <row r="10">
      <c r="C10" s="11" t="inlineStr">
        <is>
          <t>Total variations (SKUs)</t>
        </is>
      </c>
      <c r="D10" s="55" t="n">
        <v>78</v>
      </c>
      <c r="K10" s="11" t="inlineStr">
        <is>
          <t>Contribution / unit</t>
        </is>
      </c>
      <c r="L10" s="55" t="inlineStr">
        <is>
          <t>$15.99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1.20x</t>
        </is>
      </c>
      <c r="E12" s="57" t="inlineStr">
        <is>
          <t>18.7%</t>
        </is>
      </c>
      <c r="I12" s="57" t="inlineStr">
        <is>
          <t>2.27x</t>
        </is>
      </c>
      <c r="M12" s="57" t="inlineStr">
        <is>
          <t>30</t>
        </is>
      </c>
      <c r="Q12" s="57" t="inlineStr">
        <is>
          <t>9</t>
        </is>
      </c>
      <c r="U12" s="57" t="inlineStr">
        <is>
          <t>2</t>
        </is>
      </c>
    </row>
    <row r="13">
      <c r="A13" s="58" t="inlineStr">
        <is>
          <t>daily sales, BFCM wk vs 30 days before (SellerBoard actual)</t>
        </is>
      </c>
      <c r="E13" s="58" t="inlineStr">
        <is>
          <t>vs 35.5%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_xlfn.IMAGE("https://m.media-amazon.com/images/I/81rHI1QN6jL.jpg")</f>
        <v/>
      </c>
      <c r="B18" s="32" t="inlineStr">
        <is>
          <t>B0DDTYDHVB</t>
        </is>
      </c>
      <c r="C18" s="32" t="inlineStr">
        <is>
          <t>SS-BAMBOO-TAUPE-KING-6PCS</t>
        </is>
      </c>
      <c r="D18" s="32" t="inlineStr">
        <is>
          <t>SLEEP SANCTUARY 100% Viscose Derived from Bamboo Sheets King Size, 6 Pc Set | Cooling BamBliss Comfort for Hot Sleepers | Cloud Soft | Deep 17" Pocket w Corner Straps | Luxury Bed Set | Taupe</t>
        </is>
      </c>
      <c r="E18" s="32" t="inlineStr">
        <is>
          <t>King</t>
        </is>
      </c>
      <c r="F18" s="32" t="inlineStr">
        <is>
          <t>Taupe</t>
        </is>
      </c>
      <c r="G18" s="60" t="n">
        <v>69.98999999999999</v>
      </c>
      <c r="H18" s="32" t="inlineStr">
        <is>
          <t>Helium 10 Xray, 2026-10-13</t>
        </is>
      </c>
      <c r="I18" s="61" t="n">
        <v>69.98999999999999</v>
      </c>
      <c r="J18" s="62" t="inlineStr">
        <is>
          <t>2026-03-30</t>
        </is>
      </c>
      <c r="K18" s="33" t="n">
        <v>13.94</v>
      </c>
      <c r="L18" s="63" t="n">
        <v>0.1991713101871696</v>
      </c>
      <c r="M18" s="64" t="n">
        <v>26</v>
      </c>
      <c r="N18" s="32" t="inlineStr">
        <is>
          <t>Active</t>
        </is>
      </c>
      <c r="O18" s="32" t="inlineStr">
        <is>
          <t>Yes (63%)</t>
        </is>
      </c>
      <c r="P18" s="65" t="n">
        <v>4.5</v>
      </c>
      <c r="Q18" s="64" t="n">
        <v>320</v>
      </c>
      <c r="R18" s="64" t="n">
        <v>252428</v>
      </c>
      <c r="S18" s="64" t="n">
        <v>99</v>
      </c>
      <c r="T18" s="32" t="n"/>
    </row>
    <row r="19" ht="62" customHeight="1">
      <c r="A19" s="10">
        <f>_xlfn.IMAGE("https://m.media-amazon.com/images/I/81Aq2f-TgXL.jpg")</f>
        <v/>
      </c>
      <c r="B19" s="32" t="inlineStr">
        <is>
          <t>B0DDTZCKGQ</t>
        </is>
      </c>
      <c r="C19" s="32" t="inlineStr">
        <is>
          <t>SS-BAMBOO-CREME-QUEEN-6PCS</t>
        </is>
      </c>
      <c r="D19" s="32" t="inlineStr">
        <is>
          <t>SLEEP SANCTUARY 100% Viscose Derived from Bamboo Sheets Queen Size 6 Pc Set</t>
        </is>
      </c>
      <c r="E19" s="32" t="inlineStr">
        <is>
          <t>Queen</t>
        </is>
      </c>
      <c r="F19" s="32" t="inlineStr">
        <is>
          <t>Creme</t>
        </is>
      </c>
      <c r="G19" s="60" t="n">
        <v>59.99</v>
      </c>
      <c r="H19" s="32" t="inlineStr">
        <is>
          <t>SellerBoard listing price, 2026-10-14</t>
        </is>
      </c>
      <c r="I19" s="61" t="n">
        <v>64.98999999999999</v>
      </c>
      <c r="J19" s="62" t="inlineStr">
        <is>
          <t>2026-03-30</t>
        </is>
      </c>
      <c r="K19" s="33" t="n">
        <v>19.41</v>
      </c>
      <c r="L19" s="63" t="n">
        <v>0.2986613325126942</v>
      </c>
      <c r="M19" s="64" t="n">
        <v>10</v>
      </c>
      <c r="N19" s="32" t="inlineStr">
        <is>
          <t>Active</t>
        </is>
      </c>
      <c r="O19" s="32" t="n"/>
      <c r="P19" s="65" t="n"/>
      <c r="Q19" s="64" t="n"/>
      <c r="R19" s="64" t="n"/>
      <c r="S19" s="64" t="n"/>
      <c r="T19" s="32" t="n"/>
    </row>
    <row r="20" ht="62" customHeight="1">
      <c r="A20" s="10">
        <f>_xlfn.IMAGE("https://m.media-amazon.com/images/I/81mJdrNJffL.jpg")</f>
        <v/>
      </c>
      <c r="B20" s="32" t="inlineStr">
        <is>
          <t>B0DDTXFRNB</t>
        </is>
      </c>
      <c r="C20" s="32" t="inlineStr">
        <is>
          <t>SS-BAMBOO-OLIVE-KING-6PCS</t>
        </is>
      </c>
      <c r="D20" s="32" t="inlineStr">
        <is>
          <t>SLEEP SANCTUARY 100% Viscose Derived from Bamboo Sheets King Size, 6 Pc Set</t>
        </is>
      </c>
      <c r="E20" s="32" t="inlineStr">
        <is>
          <t>King</t>
        </is>
      </c>
      <c r="F20" s="32" t="inlineStr">
        <is>
          <t>Olive</t>
        </is>
      </c>
      <c r="G20" s="60" t="n">
        <v>69.98999999999999</v>
      </c>
      <c r="H20" s="32" t="inlineStr">
        <is>
          <t>Helium 10 Xray, 2026-10-13</t>
        </is>
      </c>
      <c r="I20" s="61" t="n">
        <v>69.98999999999999</v>
      </c>
      <c r="J20" s="62" t="inlineStr">
        <is>
          <t>2026-03-30</t>
        </is>
      </c>
      <c r="K20" s="33" t="n">
        <v>14.06999999999999</v>
      </c>
      <c r="L20" s="63" t="n">
        <v>0.2010287183883411</v>
      </c>
      <c r="M20" s="64" t="n">
        <v>6</v>
      </c>
      <c r="N20" s="32" t="inlineStr">
        <is>
          <t>Active</t>
        </is>
      </c>
      <c r="O20" s="32" t="n"/>
      <c r="P20" s="65" t="n">
        <v>4.5</v>
      </c>
      <c r="Q20" s="64" t="n">
        <v>320</v>
      </c>
      <c r="R20" s="64" t="n">
        <v>252421</v>
      </c>
      <c r="S20" s="64" t="n">
        <v>1</v>
      </c>
      <c r="T20" s="32" t="n"/>
    </row>
    <row r="21" ht="62" customHeight="1">
      <c r="A21" s="10">
        <f>_xlfn.IMAGE("https://m.media-amazon.com/images/I/81EFLUe87PL.jpg")</f>
        <v/>
      </c>
      <c r="B21" s="32" t="inlineStr">
        <is>
          <t>B0DDTX24QR</t>
        </is>
      </c>
      <c r="C21" s="32" t="inlineStr">
        <is>
          <t>SS-BAMBOO-LIGHT-GREY-KING-6PCS</t>
        </is>
      </c>
      <c r="D21" s="32" t="inlineStr">
        <is>
          <t>SLEEP SANCTUARY 100% Viscose Derived from Bamboo Sheets King Size, 6 Pc Set</t>
        </is>
      </c>
      <c r="E21" s="32" t="inlineStr">
        <is>
          <t>King</t>
        </is>
      </c>
      <c r="F21" s="32" t="inlineStr">
        <is>
          <t>Light Grey</t>
        </is>
      </c>
      <c r="G21" s="60" t="n">
        <v>69.98999999999999</v>
      </c>
      <c r="H21" s="32" t="inlineStr">
        <is>
          <t>Helium 10 Xray, 2026-10-13</t>
        </is>
      </c>
      <c r="I21" s="61" t="n">
        <v>69.98999999999999</v>
      </c>
      <c r="J21" s="62" t="inlineStr">
        <is>
          <t>2026-03-30</t>
        </is>
      </c>
      <c r="K21" s="33" t="n"/>
      <c r="L21" s="63" t="n"/>
      <c r="M21" s="64" t="n">
        <v>5</v>
      </c>
      <c r="N21" s="32" t="inlineStr">
        <is>
          <t>Active</t>
        </is>
      </c>
      <c r="O21" s="32" t="n"/>
      <c r="P21" s="65" t="n">
        <v>4.5</v>
      </c>
      <c r="Q21" s="64" t="n">
        <v>320</v>
      </c>
      <c r="R21" s="64" t="n">
        <v>252421</v>
      </c>
      <c r="S21" s="64" t="n">
        <v>0.6758999999999999</v>
      </c>
      <c r="T21" s="32" t="n"/>
    </row>
    <row r="22" ht="62" customHeight="1">
      <c r="A22" s="10">
        <f>_xlfn.IMAGE("https://m.media-amazon.com/images/I/81LhmKkL6uL.jpg")</f>
        <v/>
      </c>
      <c r="B22" s="32" t="inlineStr">
        <is>
          <t>B0DDV13P1L</t>
        </is>
      </c>
      <c r="C22" s="32" t="inlineStr">
        <is>
          <t>SS-BAMBOO-LIGHT-OLIVE-KING-6PCS</t>
        </is>
      </c>
      <c r="D22" s="32" t="inlineStr">
        <is>
          <t>SLEEP SANCTUARY 100% Viscose Derived from Bamboo Sheets King Size, 6 Pc Set</t>
        </is>
      </c>
      <c r="E22" s="32" t="inlineStr">
        <is>
          <t>King</t>
        </is>
      </c>
      <c r="F22" s="32" t="inlineStr">
        <is>
          <t>Light Olive</t>
        </is>
      </c>
      <c r="G22" s="60" t="n">
        <v>69.98999999999999</v>
      </c>
      <c r="H22" s="32" t="inlineStr">
        <is>
          <t>Helium 10 Xray, 2026-10-13</t>
        </is>
      </c>
      <c r="I22" s="61" t="n">
        <v>69.98999999999999</v>
      </c>
      <c r="J22" s="62" t="inlineStr">
        <is>
          <t>2026-03-30</t>
        </is>
      </c>
      <c r="K22" s="33" t="n"/>
      <c r="L22" s="63" t="n"/>
      <c r="M22" s="64" t="n">
        <v>5</v>
      </c>
      <c r="N22" s="32" t="inlineStr">
        <is>
          <t>Active</t>
        </is>
      </c>
      <c r="O22" s="32" t="n"/>
      <c r="P22" s="65" t="n">
        <v>4.5</v>
      </c>
      <c r="Q22" s="64" t="n">
        <v>320</v>
      </c>
      <c r="R22" s="64" t="n">
        <v>252421</v>
      </c>
      <c r="S22" s="64" t="n">
        <v>0.589</v>
      </c>
      <c r="T22" s="32" t="n"/>
    </row>
    <row r="23" ht="62" customHeight="1">
      <c r="A23" s="10">
        <f>_xlfn.IMAGE("https://m.media-amazon.com/images/I/81gNwuW4tEL.jpg")</f>
        <v/>
      </c>
      <c r="B23" s="32" t="inlineStr">
        <is>
          <t>B0DDTZ92JW</t>
        </is>
      </c>
      <c r="C23" s="32" t="inlineStr">
        <is>
          <t>SS-BAMBOO-WHITE-KING-6PCS</t>
        </is>
      </c>
      <c r="D23" s="32" t="inlineStr">
        <is>
          <t>SLEEP SANCTUARY 100% Viscose Derived from Bamboo Sheets King Size, 6 Pc Set</t>
        </is>
      </c>
      <c r="E23" s="32" t="inlineStr">
        <is>
          <t>King</t>
        </is>
      </c>
      <c r="F23" s="32" t="inlineStr">
        <is>
          <t>White</t>
        </is>
      </c>
      <c r="G23" s="60" t="n">
        <v>99.98999999999999</v>
      </c>
      <c r="H23" s="32" t="inlineStr">
        <is>
          <t>Data Dive, 2026-10-12</t>
        </is>
      </c>
      <c r="I23" s="61" t="n">
        <v>69.98999999999999</v>
      </c>
      <c r="J23" s="62" t="inlineStr">
        <is>
          <t>2026-03-30</t>
        </is>
      </c>
      <c r="K23" s="33" t="n">
        <v>17.11</v>
      </c>
      <c r="L23" s="63" t="n">
        <v>0.2444634947849693</v>
      </c>
      <c r="M23" s="64" t="n">
        <v>5</v>
      </c>
      <c r="N23" s="32" t="inlineStr">
        <is>
          <t>Inactive</t>
        </is>
      </c>
      <c r="O23" s="32" t="n"/>
      <c r="P23" s="65" t="n"/>
      <c r="Q23" s="64" t="n"/>
      <c r="R23" s="64" t="n"/>
      <c r="S23" s="64" t="n"/>
      <c r="T23" s="32" t="n"/>
    </row>
    <row r="24" ht="62" customHeight="1">
      <c r="A24" s="10">
        <f>_xlfn.IMAGE("https://m.media-amazon.com/images/I/81mJdrNJffL.jpg")</f>
        <v/>
      </c>
      <c r="B24" s="32" t="inlineStr">
        <is>
          <t>B0DDTYXN15</t>
        </is>
      </c>
      <c r="C24" s="32" t="inlineStr">
        <is>
          <t>SS-BAMBOO-OLIVE-QUEEN-6PCS</t>
        </is>
      </c>
      <c r="D24" s="32" t="inlineStr">
        <is>
          <t>SLEEP SANCTUARY 100% Viscose Derived from Bamboo Sheets Queen Size 6 Pc Set</t>
        </is>
      </c>
      <c r="E24" s="32" t="inlineStr">
        <is>
          <t>Queen</t>
        </is>
      </c>
      <c r="F24" s="32" t="inlineStr">
        <is>
          <t>Olive</t>
        </is>
      </c>
      <c r="G24" s="60" t="n">
        <v>64.98999999999999</v>
      </c>
      <c r="H24" s="32" t="inlineStr">
        <is>
          <t>Helium 10 Xray, 2026-10-13</t>
        </is>
      </c>
      <c r="I24" s="61" t="n">
        <v>64.98999999999999</v>
      </c>
      <c r="J24" s="62" t="inlineStr">
        <is>
          <t>2026-03-30</t>
        </is>
      </c>
      <c r="K24" s="33" t="n">
        <v>15.58</v>
      </c>
      <c r="L24" s="63" t="n">
        <v>0.2397291891060163</v>
      </c>
      <c r="M24" s="64" t="n">
        <v>5</v>
      </c>
      <c r="N24" s="32" t="inlineStr">
        <is>
          <t>Active</t>
        </is>
      </c>
      <c r="O24" s="32" t="inlineStr">
        <is>
          <t>Yes (28%)</t>
        </is>
      </c>
      <c r="P24" s="65" t="n">
        <v>4.5</v>
      </c>
      <c r="Q24" s="64" t="n">
        <v>320</v>
      </c>
      <c r="R24" s="64" t="n">
        <v>252421</v>
      </c>
      <c r="S24" s="64" t="n">
        <v>0.7991</v>
      </c>
      <c r="T24" s="32" t="n"/>
    </row>
    <row r="25" ht="62" customHeight="1">
      <c r="A25" s="10">
        <f>_xlfn.IMAGE("https://m.media-amazon.com/images/I/81RzJWI5XAL.jpg")</f>
        <v/>
      </c>
      <c r="B25" s="32" t="inlineStr">
        <is>
          <t>B0DDTZ7XW3</t>
        </is>
      </c>
      <c r="C25" s="32" t="inlineStr">
        <is>
          <t>SS-BAMBOO-MIDGREY-KING-6PCS</t>
        </is>
      </c>
      <c r="D25" s="32" t="inlineStr">
        <is>
          <t>SLEEP SANCTUARY 100% Viscose Derived from Bamboo Sheets King Size, 6 Pc Set</t>
        </is>
      </c>
      <c r="E25" s="32" t="inlineStr">
        <is>
          <t>King</t>
        </is>
      </c>
      <c r="F25" s="32" t="inlineStr">
        <is>
          <t>Midgrey</t>
        </is>
      </c>
      <c r="G25" s="60" t="n">
        <v>69.98999999999999</v>
      </c>
      <c r="H25" s="32" t="inlineStr">
        <is>
          <t>Helium 10 Xray, 2026-10-13</t>
        </is>
      </c>
      <c r="I25" s="61" t="n">
        <v>69.98999999999999</v>
      </c>
      <c r="J25" s="62" t="inlineStr">
        <is>
          <t>2026-03-30</t>
        </is>
      </c>
      <c r="K25" s="33" t="n">
        <v>18.10999999999999</v>
      </c>
      <c r="L25" s="63" t="n">
        <v>0.2587512501785968</v>
      </c>
      <c r="M25" s="64" t="n">
        <v>4</v>
      </c>
      <c r="N25" s="32" t="inlineStr">
        <is>
          <t>Active</t>
        </is>
      </c>
      <c r="O25" s="32" t="n"/>
      <c r="P25" s="65" t="n">
        <v>4.5</v>
      </c>
      <c r="Q25" s="64" t="n">
        <v>320</v>
      </c>
      <c r="R25" s="64" t="n">
        <v>252421</v>
      </c>
      <c r="S25" s="64" t="n">
        <v>1</v>
      </c>
      <c r="T25" s="32" t="n"/>
    </row>
    <row r="26" ht="62" customHeight="1">
      <c r="A26" s="10">
        <f>_xlfn.IMAGE("https://m.media-amazon.com/images/I/81Aq2f-TgXL.jpg")</f>
        <v/>
      </c>
      <c r="B26" s="32" t="inlineStr">
        <is>
          <t>B0DDTZ9ZW9</t>
        </is>
      </c>
      <c r="C26" s="32" t="inlineStr">
        <is>
          <t>SS-BAMBOO-CREME-FULL-6PCS</t>
        </is>
      </c>
      <c r="D26" s="32" t="inlineStr">
        <is>
          <t>SLEEP SANCTUARY 100% Viscose Derived from Bamboo Sheets Full Size, 6 Pc Set</t>
        </is>
      </c>
      <c r="E26" s="32" t="inlineStr">
        <is>
          <t>Full</t>
        </is>
      </c>
      <c r="F26" s="32" t="inlineStr">
        <is>
          <t>Creme</t>
        </is>
      </c>
      <c r="G26" s="60" t="n">
        <v>59.99</v>
      </c>
      <c r="H26" s="32" t="inlineStr">
        <is>
          <t>Helium 10 Xray, 2026-10-13</t>
        </is>
      </c>
      <c r="I26" s="61" t="n">
        <v>59.99</v>
      </c>
      <c r="J26" s="62" t="inlineStr">
        <is>
          <t>2026-03-30</t>
        </is>
      </c>
      <c r="K26" s="33" t="n">
        <v>13.31</v>
      </c>
      <c r="L26" s="63" t="n">
        <v>0.2218703117186198</v>
      </c>
      <c r="M26" s="64" t="n">
        <v>3</v>
      </c>
      <c r="N26" s="32" t="inlineStr">
        <is>
          <t>Active</t>
        </is>
      </c>
      <c r="O26" s="32" t="n"/>
      <c r="P26" s="65" t="n">
        <v>4.5</v>
      </c>
      <c r="Q26" s="64" t="n">
        <v>320</v>
      </c>
      <c r="R26" s="64" t="n">
        <v>252428</v>
      </c>
      <c r="S26" s="64" t="n">
        <v>1</v>
      </c>
      <c r="T26" s="32" t="n"/>
    </row>
    <row r="27" ht="62" customHeight="1">
      <c r="A27" s="10">
        <f>_xlfn.IMAGE("https://m.media-amazon.com/images/I/81-gFHGwlNL.jpg")</f>
        <v/>
      </c>
      <c r="B27" s="32" t="inlineStr">
        <is>
          <t>B0DDTY8HFR</t>
        </is>
      </c>
      <c r="C27" s="32" t="inlineStr">
        <is>
          <t>SS-BAMBOO-BLACK-CALIFKING-6PCS</t>
        </is>
      </c>
      <c r="D27" s="32" t="inlineStr">
        <is>
          <t>SLEEP SANCTUARY 100% Viscose Derived from Bamboo Sheets California King</t>
        </is>
      </c>
      <c r="E27" s="32" t="inlineStr">
        <is>
          <t>California King</t>
        </is>
      </c>
      <c r="F27" s="32" t="inlineStr">
        <is>
          <t>Black</t>
        </is>
      </c>
      <c r="G27" s="60" t="n">
        <v>69.98999999999999</v>
      </c>
      <c r="H27" s="32" t="inlineStr">
        <is>
          <t>Helium 10 Xray, 2026-10-13</t>
        </is>
      </c>
      <c r="I27" s="61" t="n">
        <v>69.98999999999999</v>
      </c>
      <c r="J27" s="62" t="inlineStr">
        <is>
          <t>2026-03-30</t>
        </is>
      </c>
      <c r="K27" s="33" t="n">
        <v>16.91999999999999</v>
      </c>
      <c r="L27" s="63" t="n">
        <v>0.24174882126018</v>
      </c>
      <c r="M27" s="64" t="n">
        <v>2</v>
      </c>
      <c r="N27" s="32" t="inlineStr">
        <is>
          <t>Active</t>
        </is>
      </c>
      <c r="O27" s="32" t="n"/>
      <c r="P27" s="65" t="n">
        <v>4.5</v>
      </c>
      <c r="Q27" s="64" t="n">
        <v>320</v>
      </c>
      <c r="R27" s="64" t="n">
        <v>252421</v>
      </c>
      <c r="S27" s="64" t="n">
        <v>0.6452</v>
      </c>
      <c r="T27" s="32" t="n"/>
    </row>
    <row r="28" ht="62" customHeight="1">
      <c r="A28" s="10">
        <f>_xlfn.IMAGE("https://m.media-amazon.com/images/I/81NZ-ZpZiVL.jpg")</f>
        <v/>
      </c>
      <c r="B28" s="32" t="inlineStr">
        <is>
          <t>B0DDTXJYV4</t>
        </is>
      </c>
      <c r="C28" s="32" t="inlineStr">
        <is>
          <t>SS-BAMBOO-NAVY-BLUE-FULL-6PCS</t>
        </is>
      </c>
      <c r="D28" s="32" t="inlineStr">
        <is>
          <t>SLEEP SANCTUARY 100% Viscose Derived from Bamboo Sheets Full Size, 6 Pc Set</t>
        </is>
      </c>
      <c r="E28" s="32" t="inlineStr">
        <is>
          <t>Full</t>
        </is>
      </c>
      <c r="F28" s="32" t="inlineStr">
        <is>
          <t>Navy Blue</t>
        </is>
      </c>
      <c r="G28" s="60" t="n">
        <v>59.99</v>
      </c>
      <c r="H28" s="32" t="inlineStr">
        <is>
          <t>Helium 10 Xray, 2026-10-13</t>
        </is>
      </c>
      <c r="I28" s="61" t="n">
        <v>59.99</v>
      </c>
      <c r="J28" s="62" t="inlineStr">
        <is>
          <t>2026-03-30</t>
        </is>
      </c>
      <c r="K28" s="33" t="n"/>
      <c r="L28" s="63" t="n"/>
      <c r="M28" s="64" t="n">
        <v>2</v>
      </c>
      <c r="N28" s="32" t="inlineStr">
        <is>
          <t>Active</t>
        </is>
      </c>
      <c r="O28" s="32" t="n"/>
      <c r="P28" s="65" t="n">
        <v>4.5</v>
      </c>
      <c r="Q28" s="64" t="n">
        <v>320</v>
      </c>
      <c r="R28" s="64" t="n">
        <v>252421</v>
      </c>
      <c r="S28" s="64" t="n">
        <v>2</v>
      </c>
      <c r="T28" s="32" t="n"/>
    </row>
    <row r="29" ht="62" customHeight="1">
      <c r="A29" s="10">
        <f>_xlfn.IMAGE("https://m.media-amazon.com/images/I/81rHI1QN6jL.jpg")</f>
        <v/>
      </c>
      <c r="B29" s="32" t="inlineStr">
        <is>
          <t>B0DDTX7FF7</t>
        </is>
      </c>
      <c r="C29" s="32" t="inlineStr">
        <is>
          <t>SS-BAMBOO-TAUPE-FULL-6PCS</t>
        </is>
      </c>
      <c r="D29" s="32" t="inlineStr">
        <is>
          <t>SLEEP SANCTUARY 100% Viscose Derived from Bamboo Sheets Full Size, 6 Pc Set</t>
        </is>
      </c>
      <c r="E29" s="32" t="inlineStr">
        <is>
          <t>Full</t>
        </is>
      </c>
      <c r="F29" s="32" t="inlineStr">
        <is>
          <t>Taupe</t>
        </is>
      </c>
      <c r="G29" s="60" t="n">
        <v>59.99</v>
      </c>
      <c r="H29" s="32" t="inlineStr">
        <is>
          <t>Helium 10 Xray, 2026-10-13</t>
        </is>
      </c>
      <c r="I29" s="61" t="n">
        <v>59.99</v>
      </c>
      <c r="J29" s="62" t="inlineStr">
        <is>
          <t>2026-03-30</t>
        </is>
      </c>
      <c r="K29" s="33" t="n">
        <v>13.37</v>
      </c>
      <c r="L29" s="63" t="n">
        <v>0.2228704784130689</v>
      </c>
      <c r="M29" s="64" t="n">
        <v>2</v>
      </c>
      <c r="N29" s="32" t="inlineStr">
        <is>
          <t>Active</t>
        </is>
      </c>
      <c r="O29" s="32" t="n"/>
      <c r="P29" s="65" t="n">
        <v>4.5</v>
      </c>
      <c r="Q29" s="64" t="n">
        <v>320</v>
      </c>
      <c r="R29" s="64" t="n">
        <v>252428</v>
      </c>
      <c r="S29" s="64" t="n">
        <v>2</v>
      </c>
      <c r="T29" s="32" t="n"/>
    </row>
    <row r="30" ht="62" customHeight="1">
      <c r="A30" s="10">
        <f>_xlfn.IMAGE("https://m.media-amazon.com/images/I/81J8TKpSqnL.jpg")</f>
        <v/>
      </c>
      <c r="B30" s="32" t="inlineStr">
        <is>
          <t>B0DDTXJJCS</t>
        </is>
      </c>
      <c r="C30" s="32" t="inlineStr">
        <is>
          <t>SS-BAMBOO-NAVY-BLUE-KING-6PCS</t>
        </is>
      </c>
      <c r="D30" s="32" t="inlineStr">
        <is>
          <t>SLEEP SANCTUARY 100% Viscose Derived from Bamboo Sheets King Size, 6 Pc Set</t>
        </is>
      </c>
      <c r="E30" s="32" t="inlineStr">
        <is>
          <t>King</t>
        </is>
      </c>
      <c r="F30" s="32" t="inlineStr">
        <is>
          <t>Navy Blue</t>
        </is>
      </c>
      <c r="G30" s="60" t="n">
        <v>69.98999999999999</v>
      </c>
      <c r="H30" s="32" t="inlineStr">
        <is>
          <t>SellerBoard listing price, 2026-10-14</t>
        </is>
      </c>
      <c r="I30" s="61" t="n">
        <v>69.98999999999999</v>
      </c>
      <c r="J30" s="62" t="inlineStr">
        <is>
          <t>2026-03-30</t>
        </is>
      </c>
      <c r="K30" s="33" t="n">
        <v>20.23</v>
      </c>
      <c r="L30" s="63" t="n">
        <v>0.2890412916130876</v>
      </c>
      <c r="M30" s="64" t="n">
        <v>2</v>
      </c>
      <c r="N30" s="32" t="inlineStr">
        <is>
          <t>Inactive</t>
        </is>
      </c>
      <c r="O30" s="32" t="n"/>
      <c r="P30" s="65" t="n"/>
      <c r="Q30" s="64" t="n"/>
      <c r="R30" s="64" t="n"/>
      <c r="S30" s="64" t="n"/>
      <c r="T30" s="32" t="n"/>
    </row>
    <row r="31" ht="62" customHeight="1">
      <c r="A31" s="10">
        <f>_xlfn.IMAGE("https://m.media-amazon.com/images/I/816FDcFUTdL.jpg")</f>
        <v/>
      </c>
      <c r="B31" s="32" t="inlineStr">
        <is>
          <t>B0DDTX2YF4</t>
        </is>
      </c>
      <c r="C31" s="32" t="inlineStr">
        <is>
          <t>SS-BAMBOO-LIGHT-BLUE-TWIN-4PCS</t>
        </is>
      </c>
      <c r="D31" s="32" t="inlineStr">
        <is>
          <t>SLEEP SANCTUARY 100% Viscose Derived from Bamboo Sheets Twin Size, 4 Pc Set</t>
        </is>
      </c>
      <c r="E31" s="32" t="inlineStr">
        <is>
          <t>Twin</t>
        </is>
      </c>
      <c r="F31" s="32" t="inlineStr">
        <is>
          <t>Light Blue</t>
        </is>
      </c>
      <c r="G31" s="60" t="n">
        <v>54.99</v>
      </c>
      <c r="H31" s="32" t="inlineStr">
        <is>
          <t>Helium 10 Xray, 2026-10-13</t>
        </is>
      </c>
      <c r="I31" s="61" t="n">
        <v>54.99</v>
      </c>
      <c r="J31" s="62" t="inlineStr">
        <is>
          <t>2026-03-30</t>
        </is>
      </c>
      <c r="K31" s="33" t="n">
        <v>18.52</v>
      </c>
      <c r="L31" s="63" t="n">
        <v>0.3367885070012729</v>
      </c>
      <c r="M31" s="64" t="n">
        <v>2</v>
      </c>
      <c r="N31" s="32" t="inlineStr">
        <is>
          <t>Active</t>
        </is>
      </c>
      <c r="O31" s="32" t="n"/>
      <c r="P31" s="65" t="n">
        <v>4.5</v>
      </c>
      <c r="Q31" s="64" t="n">
        <v>320</v>
      </c>
      <c r="R31" s="64" t="n">
        <v>252421</v>
      </c>
      <c r="S31" s="64" t="n">
        <v>3</v>
      </c>
      <c r="T31" s="32" t="n"/>
    </row>
    <row r="32" ht="62" customHeight="1">
      <c r="A32" s="10">
        <f>_xlfn.IMAGE("https://m.media-amazon.com/images/I/81m46CO0QIL.jpg")</f>
        <v/>
      </c>
      <c r="B32" s="32" t="inlineStr">
        <is>
          <t>B0DDTZD7T1</t>
        </is>
      </c>
      <c r="C32" s="32" t="inlineStr">
        <is>
          <t>SS-BAMBOO-LIGHT-PINK-TWIN-4PCS</t>
        </is>
      </c>
      <c r="D32" s="32" t="inlineStr">
        <is>
          <t>SLEEP SANCTUARY 100% Viscose Derived from Bamboo Sheets Twin Size, 4 Pc Set</t>
        </is>
      </c>
      <c r="E32" s="32" t="inlineStr">
        <is>
          <t>Twin</t>
        </is>
      </c>
      <c r="F32" s="32" t="inlineStr">
        <is>
          <t>Light Pink</t>
        </is>
      </c>
      <c r="G32" s="60" t="n">
        <v>54.99</v>
      </c>
      <c r="H32" s="32" t="inlineStr">
        <is>
          <t>SellerBoard listing price, 2026-10-14</t>
        </is>
      </c>
      <c r="I32" s="61" t="n">
        <v>59.99</v>
      </c>
      <c r="J32" s="62" t="inlineStr">
        <is>
          <t>2026-03-30</t>
        </is>
      </c>
      <c r="K32" s="33" t="n">
        <v>23.31</v>
      </c>
      <c r="L32" s="63" t="n">
        <v>0.3885647607934655</v>
      </c>
      <c r="M32" s="64" t="n">
        <v>2</v>
      </c>
      <c r="N32" s="32" t="inlineStr">
        <is>
          <t>Inactive</t>
        </is>
      </c>
      <c r="O32" s="32" t="n"/>
      <c r="P32" s="65" t="n"/>
      <c r="Q32" s="64" t="n"/>
      <c r="R32" s="64" t="n"/>
      <c r="S32" s="64" t="n"/>
      <c r="T32" s="32" t="n"/>
    </row>
    <row r="33" ht="62" customHeight="1">
      <c r="A33" s="10">
        <f>_xlfn.IMAGE("https://m.media-amazon.com/images/I/81m46CO0QIL.jpg")</f>
        <v/>
      </c>
      <c r="B33" s="32" t="inlineStr">
        <is>
          <t>B0DDTXV2V8</t>
        </is>
      </c>
      <c r="C33" s="32" t="inlineStr">
        <is>
          <t>SS-BAMBOO-LIGHT-PINK-CALIFKING-6PCS</t>
        </is>
      </c>
      <c r="D33" s="32" t="inlineStr">
        <is>
          <t>SLEEP SANCTUARY 100% Viscose Derived from Bamboo Sheets California King</t>
        </is>
      </c>
      <c r="E33" s="32" t="inlineStr">
        <is>
          <t>California King</t>
        </is>
      </c>
      <c r="F33" s="32" t="inlineStr">
        <is>
          <t>Light Pink</t>
        </is>
      </c>
      <c r="G33" s="60" t="n">
        <v>69.98999999999999</v>
      </c>
      <c r="H33" s="32" t="inlineStr">
        <is>
          <t>Helium 10 Xray, 2026-10-13</t>
        </is>
      </c>
      <c r="I33" s="61" t="n">
        <v>69.98999999999999</v>
      </c>
      <c r="J33" s="62" t="inlineStr">
        <is>
          <t>2026-03-30</t>
        </is>
      </c>
      <c r="K33" s="33" t="n"/>
      <c r="L33" s="63" t="n"/>
      <c r="M33" s="64" t="n">
        <v>1</v>
      </c>
      <c r="N33" s="32" t="inlineStr">
        <is>
          <t>Active</t>
        </is>
      </c>
      <c r="O33" s="32" t="n"/>
      <c r="P33" s="65" t="n">
        <v>4.5</v>
      </c>
      <c r="Q33" s="64" t="n">
        <v>320</v>
      </c>
      <c r="R33" s="64" t="n">
        <v>252421</v>
      </c>
      <c r="S33" s="64" t="n">
        <v>0.9129</v>
      </c>
      <c r="T33" s="32" t="n"/>
    </row>
    <row r="34" ht="62" customHeight="1">
      <c r="A34" s="10">
        <f>_xlfn.IMAGE("https://m.media-amazon.com/images/I/81OYgRHDGkL.jpg")</f>
        <v/>
      </c>
      <c r="B34" s="32" t="inlineStr">
        <is>
          <t>B0DDTXTR71</t>
        </is>
      </c>
      <c r="C34" s="32" t="inlineStr">
        <is>
          <t>SS-BAMBOO-PURPLE-CALIFKING-6PCS</t>
        </is>
      </c>
      <c r="D34" s="32" t="inlineStr">
        <is>
          <t>SLEEP SANCTUARY 100% Viscose Derived from Bamboo Sheets California King</t>
        </is>
      </c>
      <c r="E34" s="32" t="inlineStr">
        <is>
          <t>California King</t>
        </is>
      </c>
      <c r="F34" s="32" t="inlineStr">
        <is>
          <t>Purple</t>
        </is>
      </c>
      <c r="G34" s="60" t="n">
        <v>69.98999999999999</v>
      </c>
      <c r="H34" s="32" t="inlineStr">
        <is>
          <t>Helium 10 Xray, 2026-10-13</t>
        </is>
      </c>
      <c r="I34" s="61" t="n">
        <v>69.98999999999999</v>
      </c>
      <c r="J34" s="62" t="inlineStr">
        <is>
          <t>2026-03-30</t>
        </is>
      </c>
      <c r="K34" s="33" t="n">
        <v>14.09999999999999</v>
      </c>
      <c r="L34" s="63" t="n">
        <v>0.2014573510501499</v>
      </c>
      <c r="M34" s="64" t="n">
        <v>1</v>
      </c>
      <c r="N34" s="32" t="inlineStr">
        <is>
          <t>Active</t>
        </is>
      </c>
      <c r="O34" s="32" t="n"/>
      <c r="P34" s="65" t="n">
        <v>4.5</v>
      </c>
      <c r="Q34" s="64" t="n">
        <v>320</v>
      </c>
      <c r="R34" s="64" t="n">
        <v>252421</v>
      </c>
      <c r="S34" s="64" t="n">
        <v>0.6229</v>
      </c>
      <c r="T34" s="32" t="n"/>
    </row>
    <row r="35" ht="62" customHeight="1">
      <c r="A35" s="10">
        <f>_xlfn.IMAGE("https://m.media-amazon.com/images/I/81-gFHGwlNL.jpg")</f>
        <v/>
      </c>
      <c r="B35" s="32" t="inlineStr">
        <is>
          <t>B0DDTYX8VX</t>
        </is>
      </c>
      <c r="C35" s="32" t="inlineStr">
        <is>
          <t>SS-BAMBOO-BLACK-FULL-6PCS</t>
        </is>
      </c>
      <c r="D35" s="32" t="inlineStr">
        <is>
          <t>SLEEP SANCTUARY 100% Viscose Derived from Bamboo Sheets Full Size, 6 Pc Set</t>
        </is>
      </c>
      <c r="E35" s="32" t="inlineStr">
        <is>
          <t>Full</t>
        </is>
      </c>
      <c r="F35" s="32" t="inlineStr">
        <is>
          <t>Black</t>
        </is>
      </c>
      <c r="G35" s="60" t="n">
        <v>59.99</v>
      </c>
      <c r="H35" s="32" t="inlineStr">
        <is>
          <t>Helium 10 Xray, 2026-10-13</t>
        </is>
      </c>
      <c r="I35" s="61" t="n">
        <v>59.99</v>
      </c>
      <c r="J35" s="62" t="inlineStr">
        <is>
          <t>2026-03-30</t>
        </is>
      </c>
      <c r="K35" s="33" t="n">
        <v>12.99</v>
      </c>
      <c r="L35" s="63" t="n">
        <v>0.2165360893482248</v>
      </c>
      <c r="M35" s="64" t="n">
        <v>1</v>
      </c>
      <c r="N35" s="32" t="inlineStr">
        <is>
          <t>Active</t>
        </is>
      </c>
      <c r="O35" s="32" t="n"/>
      <c r="P35" s="65" t="n">
        <v>4.5</v>
      </c>
      <c r="Q35" s="64" t="n">
        <v>320</v>
      </c>
      <c r="R35" s="64" t="n">
        <v>252421</v>
      </c>
      <c r="S35" s="64" t="n">
        <v>2</v>
      </c>
      <c r="T35" s="32" t="n"/>
    </row>
    <row r="36" ht="62" customHeight="1">
      <c r="A36" s="10">
        <f>_xlfn.IMAGE("https://m.media-amazon.com/images/I/81-K98kycZL.jpg")</f>
        <v/>
      </c>
      <c r="B36" s="32" t="inlineStr">
        <is>
          <t>B0DDTYHW5S</t>
        </is>
      </c>
      <c r="C36" s="32" t="inlineStr">
        <is>
          <t>SS-BAMBOO-LIGHT-BLUE-FULL-6PCS</t>
        </is>
      </c>
      <c r="D36" s="32" t="inlineStr">
        <is>
          <t>SLEEP SANCTUARY 100% Viscose Derived from Bamboo Sheets Full Size, 6 Pc Set</t>
        </is>
      </c>
      <c r="E36" s="32" t="inlineStr">
        <is>
          <t>Full</t>
        </is>
      </c>
      <c r="F36" s="32" t="inlineStr">
        <is>
          <t>Light Blue</t>
        </is>
      </c>
      <c r="G36" s="60" t="n">
        <v>59.99</v>
      </c>
      <c r="H36" s="32" t="inlineStr">
        <is>
          <t>Helium 10 Xray, 2026-10-13</t>
        </is>
      </c>
      <c r="I36" s="61" t="n">
        <v>59.99</v>
      </c>
      <c r="J36" s="62" t="inlineStr">
        <is>
          <t>2026-03-30</t>
        </is>
      </c>
      <c r="K36" s="33" t="n"/>
      <c r="L36" s="63" t="n"/>
      <c r="M36" s="64" t="n">
        <v>1</v>
      </c>
      <c r="N36" s="32" t="inlineStr">
        <is>
          <t>Active</t>
        </is>
      </c>
      <c r="O36" s="32" t="n"/>
      <c r="P36" s="65" t="n">
        <v>4.5</v>
      </c>
      <c r="Q36" s="64" t="n">
        <v>320</v>
      </c>
      <c r="R36" s="64" t="n">
        <v>252421</v>
      </c>
      <c r="S36" s="64" t="n">
        <v>2</v>
      </c>
      <c r="T36" s="32" t="n"/>
    </row>
    <row r="37" ht="62" customHeight="1">
      <c r="A37" s="10">
        <f>_xlfn.IMAGE("https://m.media-amazon.com/images/I/81RzJWI5XAL.jpg")</f>
        <v/>
      </c>
      <c r="B37" s="32" t="inlineStr">
        <is>
          <t>B0DDTWSK28</t>
        </is>
      </c>
      <c r="C37" s="32" t="inlineStr">
        <is>
          <t>SS-BAMBOO-MIDGREY-FULL-6PCS</t>
        </is>
      </c>
      <c r="D37" s="32" t="inlineStr">
        <is>
          <t>SLEEP SANCTUARY 100% Viscose Derived from Bamboo Sheets Full Size, 6 Pc Set</t>
        </is>
      </c>
      <c r="E37" s="32" t="inlineStr">
        <is>
          <t>Full</t>
        </is>
      </c>
      <c r="F37" s="32" t="inlineStr">
        <is>
          <t>Midgrey</t>
        </is>
      </c>
      <c r="G37" s="60" t="n">
        <v>59.99</v>
      </c>
      <c r="H37" s="32" t="inlineStr">
        <is>
          <t>Helium 10 Xray, 2026-10-13</t>
        </is>
      </c>
      <c r="I37" s="61" t="n">
        <v>59.99</v>
      </c>
      <c r="J37" s="62" t="inlineStr">
        <is>
          <t>2026-03-30</t>
        </is>
      </c>
      <c r="K37" s="33" t="n">
        <v>13.27</v>
      </c>
      <c r="L37" s="63" t="n">
        <v>0.2212035339223204</v>
      </c>
      <c r="M37" s="64" t="n">
        <v>1</v>
      </c>
      <c r="N37" s="32" t="inlineStr">
        <is>
          <t>Active</t>
        </is>
      </c>
      <c r="O37" s="32" t="n"/>
      <c r="P37" s="65" t="n">
        <v>4.5</v>
      </c>
      <c r="Q37" s="64" t="n">
        <v>320</v>
      </c>
      <c r="R37" s="64" t="n">
        <v>252421</v>
      </c>
      <c r="S37" s="64" t="n">
        <v>1</v>
      </c>
      <c r="T37" s="32" t="n"/>
    </row>
    <row r="38" ht="62" customHeight="1">
      <c r="A38" s="10">
        <f>_xlfn.IMAGE("https://m.media-amazon.com/images/I/81mJdrNJffL.jpg")</f>
        <v/>
      </c>
      <c r="B38" s="32" t="inlineStr">
        <is>
          <t>B0DDTY6Y4Q</t>
        </is>
      </c>
      <c r="C38" s="32" t="inlineStr">
        <is>
          <t>SS-BAMBOO-OLIVE-FULL-6PCS</t>
        </is>
      </c>
      <c r="D38" s="32" t="inlineStr">
        <is>
          <t>SLEEP SANCTUARY 100% Viscose Derived from Bamboo Sheets Full Size, 6 Pc Set</t>
        </is>
      </c>
      <c r="E38" s="32" t="inlineStr">
        <is>
          <t>Full</t>
        </is>
      </c>
      <c r="F38" s="32" t="inlineStr">
        <is>
          <t>Olive</t>
        </is>
      </c>
      <c r="G38" s="60" t="n">
        <v>59.99</v>
      </c>
      <c r="H38" s="32" t="inlineStr">
        <is>
          <t>Helium 10 Xray, 2026-10-13</t>
        </is>
      </c>
      <c r="I38" s="61" t="n">
        <v>59.99</v>
      </c>
      <c r="J38" s="62" t="inlineStr">
        <is>
          <t>2026-03-30</t>
        </is>
      </c>
      <c r="K38" s="33" t="n">
        <v>13.27</v>
      </c>
      <c r="L38" s="63" t="n">
        <v>0.2212035339223204</v>
      </c>
      <c r="M38" s="64" t="n">
        <v>1</v>
      </c>
      <c r="N38" s="32" t="inlineStr">
        <is>
          <t>Active</t>
        </is>
      </c>
      <c r="O38" s="32" t="n"/>
      <c r="P38" s="65" t="n">
        <v>4.5</v>
      </c>
      <c r="Q38" s="64" t="n">
        <v>320</v>
      </c>
      <c r="R38" s="64" t="n">
        <v>252421</v>
      </c>
      <c r="S38" s="64" t="n">
        <v>1</v>
      </c>
      <c r="T38" s="32" t="n"/>
    </row>
    <row r="39" ht="62" customHeight="1">
      <c r="A39" s="10">
        <f>_xlfn.IMAGE("https://m.media-amazon.com/images/I/81ckcfUOuYL.jpg")</f>
        <v/>
      </c>
      <c r="B39" s="32" t="inlineStr">
        <is>
          <t>B0DDTZ1LKN</t>
        </is>
      </c>
      <c r="C39" s="32" t="inlineStr">
        <is>
          <t>SS-BAMBOO-CREME-KING-6PCS</t>
        </is>
      </c>
      <c r="D39" s="32" t="inlineStr">
        <is>
          <t>SLEEP SANCTUARY 100% Viscose Derived from Bamboo Sheets King Size, 6 Pc Set</t>
        </is>
      </c>
      <c r="E39" s="32" t="inlineStr">
        <is>
          <t>King</t>
        </is>
      </c>
      <c r="F39" s="32" t="inlineStr">
        <is>
          <t>Creme</t>
        </is>
      </c>
      <c r="G39" s="60" t="n">
        <v>69.98999999999999</v>
      </c>
      <c r="H39" s="32" t="inlineStr">
        <is>
          <t>SellerBoard listing price, 2026-10-14</t>
        </is>
      </c>
      <c r="I39" s="61" t="n">
        <v>69.98999999999999</v>
      </c>
      <c r="J39" s="62" t="inlineStr">
        <is>
          <t>2026-03-30</t>
        </is>
      </c>
      <c r="K39" s="33" t="n">
        <v>18.10999999999999</v>
      </c>
      <c r="L39" s="63" t="n">
        <v>0.2587512501785968</v>
      </c>
      <c r="M39" s="64" t="n">
        <v>1</v>
      </c>
      <c r="N39" s="32" t="inlineStr">
        <is>
          <t>Inactive</t>
        </is>
      </c>
      <c r="O39" s="32" t="n"/>
      <c r="P39" s="65" t="n"/>
      <c r="Q39" s="64" t="n"/>
      <c r="R39" s="64" t="n"/>
      <c r="S39" s="64" t="n"/>
      <c r="T39" s="32" t="n"/>
    </row>
    <row r="40" ht="62" customHeight="1">
      <c r="A40" s="10">
        <f>_xlfn.IMAGE("https://m.media-amazon.com/images/I/816FDcFUTdL.jpg")</f>
        <v/>
      </c>
      <c r="B40" s="32" t="inlineStr">
        <is>
          <t>B0DDV25KDZ</t>
        </is>
      </c>
      <c r="C40" s="32" t="inlineStr">
        <is>
          <t>SS-BAMBOO-LIGHT-BLUE-KING-6PCS</t>
        </is>
      </c>
      <c r="D40" s="32" t="inlineStr">
        <is>
          <t>SLEEP SANCTUARY 100% Viscose Derived from Bamboo Sheets King Size, 6 Pc Set</t>
        </is>
      </c>
      <c r="E40" s="32" t="inlineStr">
        <is>
          <t>King</t>
        </is>
      </c>
      <c r="F40" s="32" t="inlineStr">
        <is>
          <t>Light Blue</t>
        </is>
      </c>
      <c r="G40" s="60" t="n">
        <v>69.98999999999999</v>
      </c>
      <c r="H40" s="32" t="inlineStr">
        <is>
          <t>SellerBoard listing price, 2026-10-14</t>
        </is>
      </c>
      <c r="I40" s="61" t="n">
        <v>69.98999999999999</v>
      </c>
      <c r="J40" s="62" t="inlineStr">
        <is>
          <t>2026-03-30</t>
        </is>
      </c>
      <c r="K40" s="33" t="n">
        <v>18.83999999999999</v>
      </c>
      <c r="L40" s="63" t="n">
        <v>0.2691813116159451</v>
      </c>
      <c r="M40" s="64" t="n">
        <v>1</v>
      </c>
      <c r="N40" s="32" t="inlineStr">
        <is>
          <t>Inactive</t>
        </is>
      </c>
      <c r="O40" s="32" t="n"/>
      <c r="P40" s="65" t="n"/>
      <c r="Q40" s="64" t="n"/>
      <c r="R40" s="64" t="n"/>
      <c r="S40" s="64" t="n"/>
      <c r="T40" s="32" t="n"/>
    </row>
    <row r="41" ht="62" customHeight="1">
      <c r="A41" s="10">
        <f>_xlfn.IMAGE("https://m.media-amazon.com/images/I/81LhmKkL6uL.jpg")</f>
        <v/>
      </c>
      <c r="B41" s="32" t="inlineStr">
        <is>
          <t>B0DDTXLQCB</t>
        </is>
      </c>
      <c r="C41" s="32" t="inlineStr">
        <is>
          <t>SS-BAMBOO-LIGHT-OLIVE-QUEEN-6PCS</t>
        </is>
      </c>
      <c r="D41" s="32" t="inlineStr">
        <is>
          <t>SLEEP SANCTUARY 100% Viscose Derived from Bamboo Sheets Queen Size 6 Pc Set</t>
        </is>
      </c>
      <c r="E41" s="32" t="inlineStr">
        <is>
          <t>Queen</t>
        </is>
      </c>
      <c r="F41" s="32" t="inlineStr">
        <is>
          <t>Light Olive</t>
        </is>
      </c>
      <c r="G41" s="60" t="n">
        <v>71.98999999999999</v>
      </c>
      <c r="H41" s="32" t="inlineStr">
        <is>
          <t>Helium 10 Xray, 2026-10-13</t>
        </is>
      </c>
      <c r="I41" s="61" t="n">
        <v>64.98999999999999</v>
      </c>
      <c r="J41" s="62" t="inlineStr">
        <is>
          <t>2026-03-30</t>
        </is>
      </c>
      <c r="K41" s="33" t="n">
        <v>20.88</v>
      </c>
      <c r="L41" s="63" t="n">
        <v>0.3212801969533774</v>
      </c>
      <c r="M41" s="64" t="n">
        <v>1</v>
      </c>
      <c r="N41" s="32" t="inlineStr">
        <is>
          <t>Active</t>
        </is>
      </c>
      <c r="O41" s="32" t="n"/>
      <c r="P41" s="65" t="n">
        <v>4.5</v>
      </c>
      <c r="Q41" s="64" t="n">
        <v>320</v>
      </c>
      <c r="R41" s="64" t="n">
        <v>252421</v>
      </c>
      <c r="S41" s="64" t="n">
        <v>0.372</v>
      </c>
      <c r="T41" s="32" t="n"/>
    </row>
    <row r="42" ht="62" customHeight="1">
      <c r="A42" s="10">
        <f>_xlfn.IMAGE("https://m.media-amazon.com/images/I/81J8TKpSqnL.jpg")</f>
        <v/>
      </c>
      <c r="B42" s="32" t="inlineStr">
        <is>
          <t>B0DDTZ4C2J</t>
        </is>
      </c>
      <c r="C42" s="32" t="inlineStr">
        <is>
          <t>SS-BAMBOO-NAVY-BLUE-TWIN-4PCS</t>
        </is>
      </c>
      <c r="D42" s="32" t="inlineStr">
        <is>
          <t>SLEEP SANCTUARY 100% Viscose Derived from Bamboo Sheets Twin Size, 4 Pc Set</t>
        </is>
      </c>
      <c r="E42" s="32" t="inlineStr">
        <is>
          <t>Twin</t>
        </is>
      </c>
      <c r="F42" s="32" t="inlineStr">
        <is>
          <t>Navy Blue</t>
        </is>
      </c>
      <c r="G42" s="60" t="n">
        <v>54.99</v>
      </c>
      <c r="H42" s="32" t="inlineStr">
        <is>
          <t>Helium 10 Xray, 2026-10-13</t>
        </is>
      </c>
      <c r="I42" s="61" t="n">
        <v>54.99</v>
      </c>
      <c r="J42" s="62" t="inlineStr">
        <is>
          <t>2026-03-30</t>
        </is>
      </c>
      <c r="K42" s="33" t="n">
        <v>18.52</v>
      </c>
      <c r="L42" s="63" t="n">
        <v>0.3367885070012729</v>
      </c>
      <c r="M42" s="64" t="n">
        <v>1</v>
      </c>
      <c r="N42" s="32" t="inlineStr">
        <is>
          <t>Active</t>
        </is>
      </c>
      <c r="O42" s="32" t="n"/>
      <c r="P42" s="65" t="n">
        <v>4.5</v>
      </c>
      <c r="Q42" s="64" t="n">
        <v>320</v>
      </c>
      <c r="R42" s="64" t="n">
        <v>252421</v>
      </c>
      <c r="S42" s="64" t="n">
        <v>3</v>
      </c>
      <c r="T42" s="32" t="n"/>
    </row>
    <row r="43" ht="62" customHeight="1">
      <c r="A43" s="10">
        <f>_xlfn.IMAGE("https://m.media-amazon.com/images/I/81O1Qx5WReL.jpg")</f>
        <v/>
      </c>
      <c r="B43" s="32" t="inlineStr">
        <is>
          <t>B0DDTXNVYK</t>
        </is>
      </c>
      <c r="C43" s="32" t="inlineStr">
        <is>
          <t>SS-BAMBOO-BURGUNDY-CALIFKING-6PCS</t>
        </is>
      </c>
      <c r="D43" s="32" t="inlineStr">
        <is>
          <t>SLEEP SANCTUARY 100% Viscose Derived from Bamboo Sheets California King</t>
        </is>
      </c>
      <c r="E43" s="32" t="inlineStr">
        <is>
          <t>California King</t>
        </is>
      </c>
      <c r="F43" s="32" t="inlineStr">
        <is>
          <t>Burgundy</t>
        </is>
      </c>
      <c r="G43" s="60" t="n">
        <v>76.98999999999999</v>
      </c>
      <c r="H43" s="32" t="inlineStr">
        <is>
          <t>SellerBoard listing price, 2026-10-14</t>
        </is>
      </c>
      <c r="I43" s="61" t="n">
        <v>69.98999999999999</v>
      </c>
      <c r="J43" s="62" t="inlineStr">
        <is>
          <t>2026-03-30</t>
        </is>
      </c>
      <c r="K43" s="33" t="n">
        <v>16.91999999999999</v>
      </c>
      <c r="L43" s="63" t="n">
        <v>0.24174882126018</v>
      </c>
      <c r="M43" s="64" t="n"/>
      <c r="N43" s="32" t="inlineStr">
        <is>
          <t>Inactive</t>
        </is>
      </c>
      <c r="O43" s="32" t="n"/>
      <c r="P43" s="65" t="n"/>
      <c r="Q43" s="64" t="n"/>
      <c r="R43" s="64" t="n"/>
      <c r="S43" s="64" t="n"/>
      <c r="T43" s="32" t="n"/>
    </row>
    <row r="44" ht="62" customHeight="1">
      <c r="A44" s="10">
        <f>_xlfn.IMAGE("https://m.media-amazon.com/images/I/81ErpAIAdIL.jpg")</f>
        <v/>
      </c>
      <c r="B44" s="32" t="inlineStr">
        <is>
          <t>B0DDTWZT86</t>
        </is>
      </c>
      <c r="C44" s="32" t="inlineStr">
        <is>
          <t>SS-BAMBOO-CHARCOAL-CALIFKING-6PCS</t>
        </is>
      </c>
      <c r="D44" s="32" t="inlineStr">
        <is>
          <t>SLEEP SANCTUARY 100% Viscose Derived from Bamboo Sheets California King</t>
        </is>
      </c>
      <c r="E44" s="32" t="inlineStr">
        <is>
          <t>California King</t>
        </is>
      </c>
      <c r="F44" s="32" t="inlineStr">
        <is>
          <t>Charcoal</t>
        </is>
      </c>
      <c r="G44" s="60" t="n">
        <v>69.98999999999999</v>
      </c>
      <c r="H44" s="32" t="inlineStr">
        <is>
          <t>SellerBoard listing price, 2026-10-14</t>
        </is>
      </c>
      <c r="I44" s="61" t="n">
        <v>69.98999999999999</v>
      </c>
      <c r="J44" s="62" t="inlineStr">
        <is>
          <t>2026-03-30</t>
        </is>
      </c>
      <c r="K44" s="33" t="n">
        <v>16.91999999999999</v>
      </c>
      <c r="L44" s="63" t="n">
        <v>0.24174882126018</v>
      </c>
      <c r="M44" s="64" t="n"/>
      <c r="N44" s="32" t="inlineStr">
        <is>
          <t>Inactive</t>
        </is>
      </c>
      <c r="O44" s="32" t="n"/>
      <c r="P44" s="65" t="n"/>
      <c r="Q44" s="64" t="n"/>
      <c r="R44" s="64" t="n"/>
      <c r="S44" s="64" t="n"/>
      <c r="T44" s="32" t="n"/>
    </row>
    <row r="45" ht="62" customHeight="1">
      <c r="A45" s="10">
        <f>_xlfn.IMAGE("https://m.media-amazon.com/images/I/81ckcfUOuYL.jpg")</f>
        <v/>
      </c>
      <c r="B45" s="32" t="inlineStr">
        <is>
          <t>B0DDTZ2YH2</t>
        </is>
      </c>
      <c r="C45" s="32" t="inlineStr">
        <is>
          <t>SS-BAMBOO-CREME-CALIFKING-6PCS</t>
        </is>
      </c>
      <c r="D45" s="32" t="inlineStr">
        <is>
          <t>SLEEP SANCTUARY 100% Viscose Derived from Bamboo Sheets California King</t>
        </is>
      </c>
      <c r="E45" s="32" t="inlineStr">
        <is>
          <t>California King</t>
        </is>
      </c>
      <c r="F45" s="32" t="inlineStr">
        <is>
          <t>Creme</t>
        </is>
      </c>
      <c r="G45" s="60" t="n">
        <v>69.98999999999999</v>
      </c>
      <c r="H45" s="32" t="inlineStr">
        <is>
          <t>SellerBoard listing price, 2026-10-14</t>
        </is>
      </c>
      <c r="I45" s="61" t="n">
        <v>69.98999999999999</v>
      </c>
      <c r="J45" s="62" t="inlineStr">
        <is>
          <t>2026-03-28</t>
        </is>
      </c>
      <c r="K45" s="33" t="n">
        <v>16.91999999999999</v>
      </c>
      <c r="L45" s="63" t="n">
        <v>0.24174882126018</v>
      </c>
      <c r="M45" s="64" t="n"/>
      <c r="N45" s="32" t="inlineStr">
        <is>
          <t>Inactive</t>
        </is>
      </c>
      <c r="O45" s="32" t="n"/>
      <c r="P45" s="65" t="n"/>
      <c r="Q45" s="64" t="n"/>
      <c r="R45" s="64" t="n"/>
      <c r="S45" s="64" t="n"/>
      <c r="T45" s="32" t="n"/>
    </row>
    <row r="46" ht="62" customHeight="1">
      <c r="A46" s="10">
        <f>_xlfn.IMAGE("https://m.media-amazon.com/images/I/81PScXYeYiL.jpg")</f>
        <v/>
      </c>
      <c r="B46" s="32" t="inlineStr">
        <is>
          <t>B0DDTXZX13</t>
        </is>
      </c>
      <c r="C46" s="32" t="inlineStr">
        <is>
          <t>SS-BAMBOO-GREY-CALIFKING-6PCS</t>
        </is>
      </c>
      <c r="D46" s="32" t="inlineStr">
        <is>
          <t>SLEEP SANCTUARY 100% Viscose Derived from Bamboo Sheets California King</t>
        </is>
      </c>
      <c r="E46" s="32" t="inlineStr">
        <is>
          <t>California King</t>
        </is>
      </c>
      <c r="F46" s="32" t="inlineStr">
        <is>
          <t>Grey</t>
        </is>
      </c>
      <c r="G46" s="60" t="n">
        <v>69.98999999999999</v>
      </c>
      <c r="H46" s="32" t="inlineStr">
        <is>
          <t>SellerBoard listing price, 2026-10-14</t>
        </is>
      </c>
      <c r="I46" s="61" t="n">
        <v>69.98999999999999</v>
      </c>
      <c r="J46" s="62" t="inlineStr">
        <is>
          <t>2026-03-30</t>
        </is>
      </c>
      <c r="K46" s="33" t="n">
        <v>16.91999999999999</v>
      </c>
      <c r="L46" s="63" t="n">
        <v>0.24174882126018</v>
      </c>
      <c r="M46" s="64" t="n"/>
      <c r="N46" s="32" t="inlineStr">
        <is>
          <t>Inactive</t>
        </is>
      </c>
      <c r="O46" s="32" t="n"/>
      <c r="P46" s="65" t="n"/>
      <c r="Q46" s="64" t="n"/>
      <c r="R46" s="64" t="n"/>
      <c r="S46" s="64" t="n"/>
      <c r="T46" s="32" t="n"/>
    </row>
    <row r="47" ht="62" customHeight="1">
      <c r="A47" s="10">
        <f>_xlfn.IMAGE("https://m.media-amazon.com/images/I/816FDcFUTdL.jpg")</f>
        <v/>
      </c>
      <c r="B47" s="32" t="inlineStr">
        <is>
          <t>B0DDTYVFCL</t>
        </is>
      </c>
      <c r="C47" s="32" t="inlineStr">
        <is>
          <t>SS-BAMBOO-LIGHT-BLUE-CALIFKING-6PCS</t>
        </is>
      </c>
      <c r="D47" s="32" t="inlineStr">
        <is>
          <t>SLEEP SANCTUARY 100% Viscose Derived from Bamboo Sheets California King</t>
        </is>
      </c>
      <c r="E47" s="32" t="inlineStr">
        <is>
          <t>California King</t>
        </is>
      </c>
      <c r="F47" s="32" t="inlineStr">
        <is>
          <t>Light Blue</t>
        </is>
      </c>
      <c r="G47" s="60" t="n">
        <v>76.98999999999999</v>
      </c>
      <c r="H47" s="32" t="inlineStr">
        <is>
          <t>SellerBoard listing price, 2026-10-14</t>
        </is>
      </c>
      <c r="I47" s="61" t="n">
        <v>69.98999999999999</v>
      </c>
      <c r="J47" s="62" t="inlineStr">
        <is>
          <t>2026-03-30</t>
        </is>
      </c>
      <c r="K47" s="33" t="n">
        <v>18.88</v>
      </c>
      <c r="L47" s="63" t="n">
        <v>0.2697528218316902</v>
      </c>
      <c r="M47" s="64" t="n"/>
      <c r="N47" s="32" t="inlineStr">
        <is>
          <t>Inactive</t>
        </is>
      </c>
      <c r="O47" s="32" t="n"/>
      <c r="P47" s="65" t="n"/>
      <c r="Q47" s="64" t="n"/>
      <c r="R47" s="64" t="n"/>
      <c r="S47" s="64" t="n"/>
      <c r="T47" s="32" t="n"/>
    </row>
    <row r="48" ht="62" customHeight="1">
      <c r="A48" s="10">
        <f>_xlfn.IMAGE("https://m.media-amazon.com/images/I/81HYlJCAVCL.jpg")</f>
        <v/>
      </c>
      <c r="B48" s="32" t="inlineStr">
        <is>
          <t>B0DDTYRRKS</t>
        </is>
      </c>
      <c r="C48" s="32" t="inlineStr">
        <is>
          <t>SS-BAMBOO-LIGHT-GREY-CALIFKING-6PCS</t>
        </is>
      </c>
      <c r="D48" s="32" t="inlineStr">
        <is>
          <t>SLEEP SANCTUARY 100% Viscose Derived from Bamboo Sheets California King</t>
        </is>
      </c>
      <c r="E48" s="32" t="inlineStr">
        <is>
          <t>California King</t>
        </is>
      </c>
      <c r="F48" s="32" t="inlineStr">
        <is>
          <t>Light Grey</t>
        </is>
      </c>
      <c r="G48" s="60" t="n">
        <v>76.98999999999999</v>
      </c>
      <c r="H48" s="32" t="inlineStr">
        <is>
          <t>SellerBoard listing price, 2026-10-14</t>
        </is>
      </c>
      <c r="I48" s="61" t="n">
        <v>69.98999999999999</v>
      </c>
      <c r="J48" s="62" t="inlineStr">
        <is>
          <t>2026-03-30</t>
        </is>
      </c>
      <c r="K48" s="33" t="n">
        <v>18.88</v>
      </c>
      <c r="L48" s="63" t="n">
        <v>0.2697528218316902</v>
      </c>
      <c r="M48" s="64" t="n"/>
      <c r="N48" s="32" t="inlineStr">
        <is>
          <t>Inactive</t>
        </is>
      </c>
      <c r="O48" s="32" t="n"/>
      <c r="P48" s="65" t="n"/>
      <c r="Q48" s="64" t="n"/>
      <c r="R48" s="64" t="n"/>
      <c r="S48" s="64" t="n"/>
      <c r="T48" s="32" t="n"/>
    </row>
    <row r="49" ht="62" customHeight="1">
      <c r="A49" s="10">
        <f>_xlfn.IMAGE("https://m.media-amazon.com/images/I/81LhmKkL6uL.jpg")</f>
        <v/>
      </c>
      <c r="B49" s="32" t="inlineStr">
        <is>
          <t>B0DDTXFQ29</t>
        </is>
      </c>
      <c r="C49" s="32" t="inlineStr">
        <is>
          <t>SS-BAMBOO-LIGHT-OLIVE-CALIFKING-6PCS</t>
        </is>
      </c>
      <c r="D49" s="32" t="inlineStr">
        <is>
          <t>SLEEP SANCTUARY 100% Viscose Derived from Bamboo Sheets California King</t>
        </is>
      </c>
      <c r="E49" s="32" t="inlineStr">
        <is>
          <t>California King</t>
        </is>
      </c>
      <c r="F49" s="32" t="inlineStr">
        <is>
          <t>Light Olive</t>
        </is>
      </c>
      <c r="G49" s="60" t="n">
        <v>76.98999999999999</v>
      </c>
      <c r="H49" s="32" t="inlineStr">
        <is>
          <t>Helium 10 Xray, 2026-10-13</t>
        </is>
      </c>
      <c r="I49" s="61" t="n">
        <v>69.98999999999999</v>
      </c>
      <c r="J49" s="62" t="inlineStr">
        <is>
          <t>2026-03-30</t>
        </is>
      </c>
      <c r="K49" s="33" t="n"/>
      <c r="L49" s="63" t="n"/>
      <c r="M49" s="64" t="n">
        <v>0</v>
      </c>
      <c r="N49" s="32" t="inlineStr">
        <is>
          <t>Active</t>
        </is>
      </c>
      <c r="O49" s="32" t="n"/>
      <c r="P49" s="65" t="n">
        <v>4.5</v>
      </c>
      <c r="Q49" s="64" t="n">
        <v>320</v>
      </c>
      <c r="R49" s="64" t="n">
        <v>252428</v>
      </c>
      <c r="S49" s="64" t="n">
        <v>0.3475</v>
      </c>
      <c r="T49" s="32" t="n"/>
    </row>
    <row r="50" ht="62" customHeight="1">
      <c r="A50" s="10">
        <f>_xlfn.IMAGE("https://m.media-amazon.com/images/I/813SaO-0dfL.jpg")</f>
        <v/>
      </c>
      <c r="B50" s="32" t="inlineStr">
        <is>
          <t>B0DDTZ8TM1</t>
        </is>
      </c>
      <c r="C50" s="32" t="inlineStr">
        <is>
          <t>SS-BAMBOO-MIDGREY-CALIFKING-6PCS</t>
        </is>
      </c>
      <c r="D50" s="32" t="inlineStr">
        <is>
          <t>SLEEP SANCTUARY 100% Viscose Derived from Bamboo Sheets California King</t>
        </is>
      </c>
      <c r="E50" s="32" t="inlineStr">
        <is>
          <t>California King</t>
        </is>
      </c>
      <c r="F50" s="32" t="inlineStr">
        <is>
          <t>Midgrey</t>
        </is>
      </c>
      <c r="G50" s="60" t="n">
        <v>69.98999999999999</v>
      </c>
      <c r="H50" s="32" t="inlineStr">
        <is>
          <t>SellerBoard listing price, 2026-10-14</t>
        </is>
      </c>
      <c r="I50" s="61" t="n">
        <v>69.98999999999999</v>
      </c>
      <c r="J50" s="62" t="inlineStr">
        <is>
          <t>2026-03-30</t>
        </is>
      </c>
      <c r="K50" s="33" t="n">
        <v>16.91999999999999</v>
      </c>
      <c r="L50" s="63" t="n">
        <v>0.24174882126018</v>
      </c>
      <c r="M50" s="64" t="n"/>
      <c r="N50" s="32" t="inlineStr">
        <is>
          <t>Inactive</t>
        </is>
      </c>
      <c r="O50" s="32" t="n"/>
      <c r="P50" s="65" t="n"/>
      <c r="Q50" s="64" t="n"/>
      <c r="R50" s="64" t="n"/>
      <c r="S50" s="64" t="n"/>
      <c r="T50" s="32" t="n"/>
    </row>
    <row r="51" ht="62" customHeight="1">
      <c r="A51" s="10">
        <f>_xlfn.IMAGE("https://m.media-amazon.com/images/I/81J8TKpSqnL.jpg")</f>
        <v/>
      </c>
      <c r="B51" s="32" t="inlineStr">
        <is>
          <t>B0DDTZ65CP</t>
        </is>
      </c>
      <c r="C51" s="32" t="inlineStr">
        <is>
          <t>SS-BAMBOO-NAVY-BLUE-CALIFKING-6PCS</t>
        </is>
      </c>
      <c r="D51" s="32" t="inlineStr">
        <is>
          <t>SLEEP SANCTUARY 100% Viscose Derived from Bamboo Sheets California King</t>
        </is>
      </c>
      <c r="E51" s="32" t="inlineStr">
        <is>
          <t>California King</t>
        </is>
      </c>
      <c r="F51" s="32" t="inlineStr">
        <is>
          <t>Navy Blue</t>
        </is>
      </c>
      <c r="G51" s="60" t="n">
        <v>59.49</v>
      </c>
      <c r="H51" s="32" t="inlineStr">
        <is>
          <t>SellerBoard listing price, 2026-10-14</t>
        </is>
      </c>
      <c r="I51" s="61" t="n">
        <v>69.98999999999999</v>
      </c>
      <c r="J51" s="62" t="inlineStr">
        <is>
          <t>2026-03-30</t>
        </is>
      </c>
      <c r="K51" s="33" t="n">
        <v>18.88</v>
      </c>
      <c r="L51" s="63" t="n">
        <v>0.2697528218316902</v>
      </c>
      <c r="M51" s="64" t="n"/>
      <c r="N51" s="32" t="inlineStr">
        <is>
          <t>Inactive</t>
        </is>
      </c>
      <c r="O51" s="32" t="n"/>
      <c r="P51" s="65" t="n"/>
      <c r="Q51" s="64" t="n"/>
      <c r="R51" s="64" t="n"/>
      <c r="S51" s="64" t="n"/>
      <c r="T51" s="32" t="n"/>
    </row>
    <row r="52" ht="62" customHeight="1">
      <c r="A52" s="10">
        <f>_xlfn.IMAGE("https://m.media-amazon.com/images/I/814QsrCzWrL.jpg")</f>
        <v/>
      </c>
      <c r="B52" s="32" t="inlineStr">
        <is>
          <t>B0DDTZGP9X</t>
        </is>
      </c>
      <c r="C52" s="32" t="inlineStr">
        <is>
          <t>SS-BAMBOO-OLIVE-CALIFKING-6PCS</t>
        </is>
      </c>
      <c r="D52" s="32" t="inlineStr">
        <is>
          <t>SLEEP SANCTUARY 100% Viscose Derived from Bamboo Sheets California King</t>
        </is>
      </c>
      <c r="E52" s="32" t="inlineStr">
        <is>
          <t>California King</t>
        </is>
      </c>
      <c r="F52" s="32" t="inlineStr">
        <is>
          <t>Olive</t>
        </is>
      </c>
      <c r="G52" s="60" t="n">
        <v>69.98999999999999</v>
      </c>
      <c r="H52" s="32" t="inlineStr">
        <is>
          <t>Helium 10 Xray, 2026-10-13</t>
        </is>
      </c>
      <c r="I52" s="61" t="n">
        <v>69.98999999999999</v>
      </c>
      <c r="J52" s="62" t="inlineStr">
        <is>
          <t>2026-03-30</t>
        </is>
      </c>
      <c r="K52" s="33" t="n">
        <v>14.20999999999999</v>
      </c>
      <c r="L52" s="63" t="n">
        <v>0.203029004143449</v>
      </c>
      <c r="M52" s="64" t="n">
        <v>0</v>
      </c>
      <c r="N52" s="32" t="inlineStr">
        <is>
          <t>Active</t>
        </is>
      </c>
      <c r="O52" s="32" t="n"/>
      <c r="P52" s="65" t="n">
        <v>4.5</v>
      </c>
      <c r="Q52" s="64" t="n">
        <v>320</v>
      </c>
      <c r="R52" s="64" t="n">
        <v>252428</v>
      </c>
      <c r="S52" s="64" t="n">
        <v>0.6048</v>
      </c>
      <c r="T52" s="32" t="n"/>
    </row>
    <row r="53" ht="62" customHeight="1">
      <c r="A53" s="10">
        <f>_xlfn.IMAGE("https://m.media-amazon.com/images/I/81WXKFpyLHL.jpg")</f>
        <v/>
      </c>
      <c r="B53" s="32" t="inlineStr">
        <is>
          <t>B0DDTYS6CK</t>
        </is>
      </c>
      <c r="C53" s="32" t="inlineStr">
        <is>
          <t>SS-BAMBOO-SAGE-GREEN-CALIFKING-6PCS</t>
        </is>
      </c>
      <c r="D53" s="32" t="inlineStr">
        <is>
          <t>SLEEP SANCTUARY 100% Viscose Derived from Bamboo Sheets California King</t>
        </is>
      </c>
      <c r="E53" s="32" t="inlineStr">
        <is>
          <t>California King</t>
        </is>
      </c>
      <c r="F53" s="32" t="inlineStr">
        <is>
          <t>Sage Green</t>
        </is>
      </c>
      <c r="G53" s="60" t="n">
        <v>65.44</v>
      </c>
      <c r="H53" s="32" t="inlineStr">
        <is>
          <t>SellerBoard listing price, 2026-10-14</t>
        </is>
      </c>
      <c r="I53" s="61" t="n">
        <v>69.98999999999999</v>
      </c>
      <c r="J53" s="62" t="inlineStr">
        <is>
          <t>2026-03-30</t>
        </is>
      </c>
      <c r="K53" s="33" t="n">
        <v>20.54</v>
      </c>
      <c r="L53" s="63" t="n">
        <v>0.2934704957851121</v>
      </c>
      <c r="M53" s="64" t="n"/>
      <c r="N53" s="32" t="inlineStr">
        <is>
          <t>Inactive</t>
        </is>
      </c>
      <c r="O53" s="32" t="n"/>
      <c r="P53" s="65" t="n"/>
      <c r="Q53" s="64" t="n"/>
      <c r="R53" s="64" t="n"/>
      <c r="S53" s="64" t="n"/>
      <c r="T53" s="32" t="n"/>
    </row>
    <row r="54" ht="62" customHeight="1">
      <c r="A54" s="10">
        <f>_xlfn.IMAGE("https://m.media-amazon.com/images/I/81jP+dXApgL.jpg")</f>
        <v/>
      </c>
      <c r="B54" s="32" t="inlineStr">
        <is>
          <t>B0DDTYF7D3</t>
        </is>
      </c>
      <c r="C54" s="32" t="inlineStr">
        <is>
          <t>SS-BAMBOO-TAUPE-CALIFKING-6PCS</t>
        </is>
      </c>
      <c r="D54" s="32" t="inlineStr">
        <is>
          <t>SLEEP SANCTUARY 100% Viscose Derived from Bamboo Sheets California King</t>
        </is>
      </c>
      <c r="E54" s="32" t="inlineStr">
        <is>
          <t>California King</t>
        </is>
      </c>
      <c r="F54" s="32" t="inlineStr">
        <is>
          <t>Taupe</t>
        </is>
      </c>
      <c r="G54" s="60" t="n">
        <v>74.98999999999999</v>
      </c>
      <c r="H54" s="32" t="inlineStr">
        <is>
          <t>SellerBoard listing price, 2026-10-14</t>
        </is>
      </c>
      <c r="I54" s="33" t="n"/>
      <c r="J54" s="32" t="n"/>
      <c r="K54" s="33" t="n"/>
      <c r="L54" s="63" t="n"/>
      <c r="M54" s="64" t="n"/>
      <c r="N54" s="32" t="inlineStr">
        <is>
          <t>Inactive</t>
        </is>
      </c>
      <c r="O54" s="32" t="n"/>
      <c r="P54" s="65" t="n"/>
      <c r="Q54" s="64" t="n"/>
      <c r="R54" s="64" t="n"/>
      <c r="S54" s="64" t="n"/>
      <c r="T54" s="32" t="n"/>
    </row>
    <row r="55" ht="62" customHeight="1">
      <c r="A55" s="10">
        <f>_xlfn.IMAGE("https://m.media-amazon.com/images/I/81gNwuW4tEL.jpg")</f>
        <v/>
      </c>
      <c r="B55" s="32" t="inlineStr">
        <is>
          <t>B0DDTX22QM</t>
        </is>
      </c>
      <c r="C55" s="32" t="inlineStr">
        <is>
          <t>SS-BAMBOO-WHITE-CALIFKING-6PCS</t>
        </is>
      </c>
      <c r="D55" s="32" t="inlineStr">
        <is>
          <t>SLEEP SANCTUARY 100% Viscose Derived from Bamboo Sheets California King</t>
        </is>
      </c>
      <c r="E55" s="32" t="inlineStr">
        <is>
          <t>California King</t>
        </is>
      </c>
      <c r="F55" s="32" t="inlineStr">
        <is>
          <t>White</t>
        </is>
      </c>
      <c r="G55" s="60" t="n">
        <v>69.98999999999999</v>
      </c>
      <c r="H55" s="32" t="inlineStr">
        <is>
          <t>SellerBoard listing price, 2026-10-14</t>
        </is>
      </c>
      <c r="I55" s="61" t="n">
        <v>69.98999999999999</v>
      </c>
      <c r="J55" s="62" t="inlineStr">
        <is>
          <t>2026-03-30</t>
        </is>
      </c>
      <c r="K55" s="33" t="n">
        <v>17.87</v>
      </c>
      <c r="L55" s="63" t="n">
        <v>0.2553221888841263</v>
      </c>
      <c r="M55" s="64" t="n"/>
      <c r="N55" s="32" t="inlineStr">
        <is>
          <t>Inactive</t>
        </is>
      </c>
      <c r="O55" s="32" t="n"/>
      <c r="P55" s="65" t="n"/>
      <c r="Q55" s="64" t="n"/>
      <c r="R55" s="64" t="n"/>
      <c r="S55" s="64" t="n"/>
      <c r="T55" s="32" t="n"/>
    </row>
    <row r="56" ht="62" customHeight="1">
      <c r="A56" s="10">
        <f>_xlfn.IMAGE("https://m.media-amazon.com/images/I/81O1Qx5WReL.jpg")</f>
        <v/>
      </c>
      <c r="B56" s="32" t="inlineStr">
        <is>
          <t>B0DDTZ6W3S</t>
        </is>
      </c>
      <c r="C56" s="32" t="inlineStr">
        <is>
          <t>SS-BAMBOO-BURGUNDY-FULL-6PCS</t>
        </is>
      </c>
      <c r="D56" s="32" t="inlineStr">
        <is>
          <t>SLEEP SANCTUARY 100% Viscose Derived from Bamboo Sheets Full Size, 6 Pc Set</t>
        </is>
      </c>
      <c r="E56" s="32" t="inlineStr">
        <is>
          <t>Full</t>
        </is>
      </c>
      <c r="F56" s="32" t="inlineStr">
        <is>
          <t>Burgundy</t>
        </is>
      </c>
      <c r="G56" s="60" t="n">
        <v>66.98999999999999</v>
      </c>
      <c r="H56" s="32" t="inlineStr">
        <is>
          <t>SellerBoard listing price, 2026-10-14</t>
        </is>
      </c>
      <c r="I56" s="61" t="n">
        <v>59.99</v>
      </c>
      <c r="J56" s="62" t="inlineStr">
        <is>
          <t>2026-03-30</t>
        </is>
      </c>
      <c r="K56" s="33" t="n">
        <v>16.43</v>
      </c>
      <c r="L56" s="63" t="n">
        <v>0.2738789798299717</v>
      </c>
      <c r="M56" s="64" t="n"/>
      <c r="N56" s="32" t="inlineStr">
        <is>
          <t>Inactive</t>
        </is>
      </c>
      <c r="O56" s="32" t="n"/>
      <c r="P56" s="65" t="n"/>
      <c r="Q56" s="64" t="n"/>
      <c r="R56" s="64" t="n"/>
      <c r="S56" s="64" t="n"/>
      <c r="T56" s="32" t="n"/>
    </row>
    <row r="57" ht="62" customHeight="1">
      <c r="A57" s="10">
        <f>_xlfn.IMAGE("https://m.media-amazon.com/images/I/81FcxkIcVSL.jpg")</f>
        <v/>
      </c>
      <c r="B57" s="32" t="inlineStr">
        <is>
          <t>B0DDTZ27T7</t>
        </is>
      </c>
      <c r="C57" s="32" t="inlineStr">
        <is>
          <t>SS-BAMBOO-CHARCOAL-FULL-6PCS</t>
        </is>
      </c>
      <c r="D57" s="32" t="inlineStr">
        <is>
          <t>SLEEP SANCTUARY 100% Viscose Derived from Bamboo Sheets Full Size, 6 Pc Set</t>
        </is>
      </c>
      <c r="E57" s="32" t="inlineStr">
        <is>
          <t>Full</t>
        </is>
      </c>
      <c r="F57" s="32" t="inlineStr">
        <is>
          <t>Charcoal</t>
        </is>
      </c>
      <c r="G57" s="60" t="n">
        <v>66.98999999999999</v>
      </c>
      <c r="H57" s="32" t="inlineStr">
        <is>
          <t>Helium 10 Xray, 2026-10-13</t>
        </is>
      </c>
      <c r="I57" s="61" t="n">
        <v>59.99</v>
      </c>
      <c r="J57" s="62" t="inlineStr">
        <is>
          <t>2026-03-30</t>
        </is>
      </c>
      <c r="K57" s="33" t="n">
        <v>13.24</v>
      </c>
      <c r="L57" s="63" t="n">
        <v>0.2207034505750959</v>
      </c>
      <c r="M57" s="64" t="n">
        <v>0</v>
      </c>
      <c r="N57" s="32" t="inlineStr">
        <is>
          <t>Active</t>
        </is>
      </c>
      <c r="O57" s="32" t="n"/>
      <c r="P57" s="65" t="n">
        <v>4.5</v>
      </c>
      <c r="Q57" s="64" t="n">
        <v>320</v>
      </c>
      <c r="R57" s="64" t="n">
        <v>252421</v>
      </c>
      <c r="S57" s="64" t="n">
        <v>0.7622</v>
      </c>
      <c r="T57" s="32" t="n"/>
    </row>
    <row r="58" ht="62" customHeight="1">
      <c r="A58" s="10">
        <f>_xlfn.IMAGE("https://m.media-amazon.com/images/I/814jLt7UMxL.jpg")</f>
        <v/>
      </c>
      <c r="B58" s="32" t="inlineStr">
        <is>
          <t>B0DDTYWKG7</t>
        </is>
      </c>
      <c r="C58" s="32" t="inlineStr">
        <is>
          <t>SS-BAMBOO-GREY-FULL-6PCS</t>
        </is>
      </c>
      <c r="D58" s="32" t="inlineStr">
        <is>
          <t>SLEEP SANCTUARY 100% Viscose Derived from Bamboo Sheets Full Size, 6 Pc Set</t>
        </is>
      </c>
      <c r="E58" s="32" t="inlineStr">
        <is>
          <t>Full</t>
        </is>
      </c>
      <c r="F58" s="32" t="inlineStr">
        <is>
          <t>Grey</t>
        </is>
      </c>
      <c r="G58" s="60" t="n">
        <v>59.99</v>
      </c>
      <c r="H58" s="32" t="inlineStr">
        <is>
          <t>Helium 10 Xray, 2026-10-13</t>
        </is>
      </c>
      <c r="I58" s="61" t="n">
        <v>59.99</v>
      </c>
      <c r="J58" s="62" t="inlineStr">
        <is>
          <t>2026-03-30</t>
        </is>
      </c>
      <c r="K58" s="33" t="n">
        <v>13.3</v>
      </c>
      <c r="L58" s="63" t="n">
        <v>0.2217036172695449</v>
      </c>
      <c r="M58" s="64" t="n">
        <v>0</v>
      </c>
      <c r="N58" s="32" t="inlineStr">
        <is>
          <t>Active</t>
        </is>
      </c>
      <c r="O58" s="32" t="n"/>
      <c r="P58" s="65" t="n">
        <v>4.5</v>
      </c>
      <c r="Q58" s="64" t="n">
        <v>320</v>
      </c>
      <c r="R58" s="64" t="n">
        <v>252428</v>
      </c>
      <c r="S58" s="64" t="n">
        <v>1</v>
      </c>
      <c r="T58" s="32" t="n"/>
    </row>
    <row r="59" ht="62" customHeight="1">
      <c r="A59" s="10">
        <f>_xlfn.IMAGE("https://m.media-amazon.com/images/I/81EFLUe87PL.jpg")</f>
        <v/>
      </c>
      <c r="B59" s="32" t="inlineStr">
        <is>
          <t>B0DDTZB4RQ</t>
        </is>
      </c>
      <c r="C59" s="32" t="inlineStr">
        <is>
          <t>SS-BAMBOO-LIGHT-GREY-FULL-6PCS</t>
        </is>
      </c>
      <c r="D59" s="32" t="inlineStr">
        <is>
          <t>SLEEP SANCTUARY 100% Viscose Derived from Bamboo Sheets Full Size, 6 Pc Set</t>
        </is>
      </c>
      <c r="E59" s="32" t="inlineStr">
        <is>
          <t>Full</t>
        </is>
      </c>
      <c r="F59" s="32" t="inlineStr">
        <is>
          <t>Light Grey</t>
        </is>
      </c>
      <c r="G59" s="60" t="n">
        <v>59.99</v>
      </c>
      <c r="H59" s="32" t="inlineStr">
        <is>
          <t>Helium 10 Xray, 2026-10-13</t>
        </is>
      </c>
      <c r="I59" s="61" t="n">
        <v>59.99</v>
      </c>
      <c r="J59" s="62" t="inlineStr">
        <is>
          <t>2026-03-30</t>
        </is>
      </c>
      <c r="K59" s="33" t="n"/>
      <c r="L59" s="63" t="n"/>
      <c r="M59" s="64" t="n">
        <v>0</v>
      </c>
      <c r="N59" s="32" t="inlineStr">
        <is>
          <t>Active</t>
        </is>
      </c>
      <c r="O59" s="32" t="n"/>
      <c r="P59" s="65" t="n">
        <v>4.5</v>
      </c>
      <c r="Q59" s="64" t="n">
        <v>320</v>
      </c>
      <c r="R59" s="64" t="n">
        <v>252421</v>
      </c>
      <c r="S59" s="64" t="n">
        <v>1</v>
      </c>
      <c r="T59" s="32" t="n"/>
    </row>
    <row r="60" ht="62" customHeight="1">
      <c r="A60" s="10">
        <f>_xlfn.IMAGE("https://m.media-amazon.com/images/I/81LhmKkL6uL.jpg")</f>
        <v/>
      </c>
      <c r="B60" s="32" t="inlineStr">
        <is>
          <t>B0DDTZ2Z31</t>
        </is>
      </c>
      <c r="C60" s="32" t="inlineStr">
        <is>
          <t>SS-BAMBOO-LIGHT-OLIVE-FULL-6PCS</t>
        </is>
      </c>
      <c r="D60" s="32" t="inlineStr">
        <is>
          <t>SLEEP SANCTUARY 100% Viscose Derived from Bamboo Sheets Full Size, 6 Pc Set</t>
        </is>
      </c>
      <c r="E60" s="32" t="inlineStr">
        <is>
          <t>Full</t>
        </is>
      </c>
      <c r="F60" s="32" t="inlineStr">
        <is>
          <t>Light Olive</t>
        </is>
      </c>
      <c r="G60" s="60" t="n">
        <v>66.98999999999999</v>
      </c>
      <c r="H60" s="32" t="inlineStr">
        <is>
          <t>Helium 10 Xray, 2026-10-13</t>
        </is>
      </c>
      <c r="I60" s="61" t="n">
        <v>59.99</v>
      </c>
      <c r="J60" s="62" t="inlineStr">
        <is>
          <t>2026-03-30</t>
        </is>
      </c>
      <c r="K60" s="33" t="n"/>
      <c r="L60" s="63" t="n"/>
      <c r="M60" s="64" t="n">
        <v>0</v>
      </c>
      <c r="N60" s="32" t="inlineStr">
        <is>
          <t>Active</t>
        </is>
      </c>
      <c r="O60" s="32" t="n"/>
      <c r="P60" s="65" t="n">
        <v>4.5</v>
      </c>
      <c r="Q60" s="64" t="n">
        <v>320</v>
      </c>
      <c r="R60" s="64" t="n">
        <v>252421</v>
      </c>
      <c r="S60" s="64" t="n">
        <v>0.6412</v>
      </c>
      <c r="T60" s="32" t="n"/>
    </row>
    <row r="61" ht="62" customHeight="1">
      <c r="A61" s="10">
        <f>_xlfn.IMAGE("https://m.media-amazon.com/images/I/81m46CO0QIL.jpg")</f>
        <v/>
      </c>
      <c r="B61" s="32" t="inlineStr">
        <is>
          <t>B0DDTXRQM7</t>
        </is>
      </c>
      <c r="C61" s="32" t="inlineStr">
        <is>
          <t>SS-BAMBOO-LIGHT-PINK-FULL-6PCS</t>
        </is>
      </c>
      <c r="D61" s="32" t="inlineStr">
        <is>
          <t>SLEEP SANCTUARY 100% Viscose Derived from Bamboo Sheets Full Size, 6 Pc Set</t>
        </is>
      </c>
      <c r="E61" s="32" t="inlineStr">
        <is>
          <t>Full</t>
        </is>
      </c>
      <c r="F61" s="32" t="inlineStr">
        <is>
          <t>Light Pink</t>
        </is>
      </c>
      <c r="G61" s="60" t="n">
        <v>59.99</v>
      </c>
      <c r="H61" s="32" t="inlineStr">
        <is>
          <t>SellerBoard listing price, 2026-10-14</t>
        </is>
      </c>
      <c r="I61" s="61" t="n">
        <v>59.99</v>
      </c>
      <c r="J61" s="62" t="inlineStr">
        <is>
          <t>2026-03-30</t>
        </is>
      </c>
      <c r="K61" s="33" t="n">
        <v>17.54</v>
      </c>
      <c r="L61" s="63" t="n">
        <v>0.2923820636772795</v>
      </c>
      <c r="M61" s="64" t="n"/>
      <c r="N61" s="32" t="inlineStr">
        <is>
          <t>Inactive</t>
        </is>
      </c>
      <c r="O61" s="32" t="n"/>
      <c r="P61" s="65" t="n"/>
      <c r="Q61" s="64" t="n"/>
      <c r="R61" s="64" t="n"/>
      <c r="S61" s="64" t="n"/>
      <c r="T61" s="32" t="n"/>
    </row>
    <row r="62" ht="62" customHeight="1">
      <c r="A62" s="10">
        <f>_xlfn.IMAGE("https://m.media-amazon.com/images/I/81qAQB1aouL.jpg")</f>
        <v/>
      </c>
      <c r="B62" s="32" t="inlineStr">
        <is>
          <t>B0DDTXKT5F</t>
        </is>
      </c>
      <c r="C62" s="32" t="inlineStr">
        <is>
          <t>SS-BAMBOO-PURPLE-FULL-6PCS</t>
        </is>
      </c>
      <c r="D62" s="32" t="inlineStr">
        <is>
          <t>SLEEP SANCTUARY 100% Viscose Derived from Bamboo Sheets Full Size, 6 Pc Set</t>
        </is>
      </c>
      <c r="E62" s="32" t="inlineStr">
        <is>
          <t>Full</t>
        </is>
      </c>
      <c r="F62" s="32" t="inlineStr">
        <is>
          <t>Purple</t>
        </is>
      </c>
      <c r="G62" s="60" t="n">
        <v>59.99</v>
      </c>
      <c r="H62" s="32" t="inlineStr">
        <is>
          <t>SellerBoard listing price, 2026-10-14</t>
        </is>
      </c>
      <c r="I62" s="61" t="n">
        <v>59.99</v>
      </c>
      <c r="J62" s="62" t="inlineStr">
        <is>
          <t>2026-03-30</t>
        </is>
      </c>
      <c r="K62" s="33" t="n">
        <v>16.43</v>
      </c>
      <c r="L62" s="63" t="n">
        <v>0.2738789798299717</v>
      </c>
      <c r="M62" s="64" t="n"/>
      <c r="N62" s="32" t="inlineStr">
        <is>
          <t>Inactive</t>
        </is>
      </c>
      <c r="O62" s="32" t="n"/>
      <c r="P62" s="65" t="n"/>
      <c r="Q62" s="64" t="n"/>
      <c r="R62" s="64" t="n"/>
      <c r="S62" s="64" t="n"/>
      <c r="T62" s="32" t="n"/>
    </row>
    <row r="63" ht="62" customHeight="1">
      <c r="A63" s="10">
        <f>_xlfn.IMAGE("https://m.media-amazon.com/images/I/81lsX2JzvHL.jpg")</f>
        <v/>
      </c>
      <c r="B63" s="32" t="inlineStr">
        <is>
          <t>B0DDTZ34FW</t>
        </is>
      </c>
      <c r="C63" s="32" t="inlineStr">
        <is>
          <t>SS-BAMBOO-SAGE-GREEN-FULL-6PCS</t>
        </is>
      </c>
      <c r="D63" s="32" t="inlineStr">
        <is>
          <t>SLEEP SANCTUARY 100% Viscose Derived from Bamboo Sheets Full Size, 6 Pc Set</t>
        </is>
      </c>
      <c r="E63" s="32" t="inlineStr">
        <is>
          <t>Full</t>
        </is>
      </c>
      <c r="F63" s="32" t="inlineStr">
        <is>
          <t>Sage Green</t>
        </is>
      </c>
      <c r="G63" s="60" t="n">
        <v>59.99</v>
      </c>
      <c r="H63" s="32" t="inlineStr">
        <is>
          <t>Helium 10 Xray, 2026-10-13</t>
        </is>
      </c>
      <c r="I63" s="61" t="n">
        <v>59.99</v>
      </c>
      <c r="J63" s="62" t="inlineStr">
        <is>
          <t>2026-03-30</t>
        </is>
      </c>
      <c r="K63" s="33" t="n">
        <v>18.36</v>
      </c>
      <c r="L63" s="63" t="n">
        <v>0.3060510085014169</v>
      </c>
      <c r="M63" s="64" t="n">
        <v>0</v>
      </c>
      <c r="N63" s="32" t="inlineStr">
        <is>
          <t>Active</t>
        </is>
      </c>
      <c r="O63" s="32" t="n"/>
      <c r="P63" s="65" t="n">
        <v>4.5</v>
      </c>
      <c r="Q63" s="64" t="n">
        <v>320</v>
      </c>
      <c r="R63" s="64" t="n">
        <v>252421</v>
      </c>
      <c r="S63" s="64" t="n">
        <v>1</v>
      </c>
      <c r="T63" s="32" t="n"/>
    </row>
    <row r="64" ht="62" customHeight="1">
      <c r="A64" s="10">
        <f>_xlfn.IMAGE("https://m.media-amazon.com/images/I/81gNwuW4tEL.jpg")</f>
        <v/>
      </c>
      <c r="B64" s="32" t="inlineStr">
        <is>
          <t>B0DDTZG44H</t>
        </is>
      </c>
      <c r="C64" s="32" t="inlineStr">
        <is>
          <t>SS-BAMBOO-WHITE-FULL-6PCS</t>
        </is>
      </c>
      <c r="D64" s="32" t="inlineStr">
        <is>
          <t>SLEEP SANCTUARY 100% Viscose Derived from Bamboo Sheets Full Size, 6 Pc Set</t>
        </is>
      </c>
      <c r="E64" s="32" t="inlineStr">
        <is>
          <t>Full</t>
        </is>
      </c>
      <c r="F64" s="32" t="inlineStr">
        <is>
          <t>White</t>
        </is>
      </c>
      <c r="G64" s="60" t="n">
        <v>59.99</v>
      </c>
      <c r="H64" s="32" t="inlineStr">
        <is>
          <t>SellerBoard listing price, 2026-10-14</t>
        </is>
      </c>
      <c r="I64" s="61" t="n">
        <v>59.99</v>
      </c>
      <c r="J64" s="62" t="inlineStr">
        <is>
          <t>2026-03-30</t>
        </is>
      </c>
      <c r="K64" s="33" t="n">
        <v>16.03</v>
      </c>
      <c r="L64" s="63" t="n">
        <v>0.2672112018669778</v>
      </c>
      <c r="M64" s="64" t="n"/>
      <c r="N64" s="32" t="inlineStr">
        <is>
          <t>Inactive</t>
        </is>
      </c>
      <c r="O64" s="32" t="n"/>
      <c r="P64" s="65" t="n"/>
      <c r="Q64" s="64" t="n"/>
      <c r="R64" s="64" t="n"/>
      <c r="S64" s="64" t="n"/>
      <c r="T64" s="32" t="n"/>
    </row>
    <row r="65" ht="62" customHeight="1">
      <c r="A65" s="10">
        <f>_xlfn.IMAGE("https://m.media-amazon.com/images/I/81gNwuW4tEL.jpg")</f>
        <v/>
      </c>
      <c r="B65" s="32" t="inlineStr">
        <is>
          <t>B0DDTVZRYJ</t>
        </is>
      </c>
      <c r="C65" s="32" t="inlineStr">
        <is>
          <t>SS-BAMBOO-BLACK-KING-6PCS</t>
        </is>
      </c>
      <c r="D65" s="32" t="inlineStr">
        <is>
          <t>SLEEP SANCTUARY 100% Viscose Derived from Bamboo Sheets King Size, 6 Pc Set</t>
        </is>
      </c>
      <c r="E65" s="32" t="inlineStr">
        <is>
          <t>King</t>
        </is>
      </c>
      <c r="F65" s="32" t="inlineStr">
        <is>
          <t>Black</t>
        </is>
      </c>
      <c r="G65" s="60" t="n">
        <v>69.98999999999999</v>
      </c>
      <c r="H65" s="32" t="inlineStr">
        <is>
          <t>SellerBoard listing price, 2026-10-14</t>
        </is>
      </c>
      <c r="I65" s="61" t="n">
        <v>69.98999999999999</v>
      </c>
      <c r="J65" s="62" t="inlineStr">
        <is>
          <t>2026-03-24</t>
        </is>
      </c>
      <c r="K65" s="33" t="n">
        <v>13.88999999999999</v>
      </c>
      <c r="L65" s="63" t="n">
        <v>0.1984569224174881</v>
      </c>
      <c r="M65" s="64" t="n"/>
      <c r="N65" s="32" t="inlineStr">
        <is>
          <t>Inactive</t>
        </is>
      </c>
      <c r="O65" s="32" t="n"/>
      <c r="P65" s="65" t="n"/>
      <c r="Q65" s="64" t="n"/>
      <c r="R65" s="64" t="n"/>
      <c r="S65" s="64" t="n"/>
      <c r="T65" s="32" t="n"/>
    </row>
    <row r="66" ht="62" customHeight="1">
      <c r="A66" s="10">
        <f>_xlfn.IMAGE("https://m.media-amazon.com/images/I/81O1Qx5WReL.jpg")</f>
        <v/>
      </c>
      <c r="B66" s="32" t="inlineStr">
        <is>
          <t>B0DDTYGGJV</t>
        </is>
      </c>
      <c r="C66" s="32" t="inlineStr">
        <is>
          <t>SS-BAMBOO-BURGUNDY-KING-6PCS</t>
        </is>
      </c>
      <c r="D66" s="32" t="inlineStr">
        <is>
          <t>SLEEP SANCTUARY 100% Viscose Derived from Bamboo Sheets King Size, 6 Pc Set</t>
        </is>
      </c>
      <c r="E66" s="32" t="inlineStr">
        <is>
          <t>King</t>
        </is>
      </c>
      <c r="F66" s="32" t="inlineStr">
        <is>
          <t>Burgundy</t>
        </is>
      </c>
      <c r="G66" s="60" t="n">
        <v>69.98999999999999</v>
      </c>
      <c r="H66" s="32" t="inlineStr">
        <is>
          <t>SellerBoard listing price, 2026-10-14</t>
        </is>
      </c>
      <c r="I66" s="61" t="n">
        <v>69.98999999999999</v>
      </c>
      <c r="J66" s="62" t="inlineStr">
        <is>
          <t>2026-03-30</t>
        </is>
      </c>
      <c r="K66" s="33" t="n">
        <v>16.88</v>
      </c>
      <c r="L66" s="63" t="n">
        <v>0.2411773110444349</v>
      </c>
      <c r="M66" s="64" t="n"/>
      <c r="N66" s="32" t="inlineStr">
        <is>
          <t>Inactive</t>
        </is>
      </c>
      <c r="O66" s="32" t="n"/>
      <c r="P66" s="65" t="n"/>
      <c r="Q66" s="64" t="n"/>
      <c r="R66" s="64" t="n"/>
      <c r="S66" s="64" t="n"/>
      <c r="T66" s="32" t="n"/>
    </row>
    <row r="67" ht="62" customHeight="1">
      <c r="A67" s="10">
        <f>_xlfn.IMAGE("https://m.media-amazon.com/images/I/81ErpAIAdIL.jpg")</f>
        <v/>
      </c>
      <c r="B67" s="32" t="inlineStr">
        <is>
          <t>B0DDTY7F8M</t>
        </is>
      </c>
      <c r="C67" s="32" t="inlineStr">
        <is>
          <t>SS-BAMBOO-CHARCOAL-KING-6PCS</t>
        </is>
      </c>
      <c r="D67" s="32" t="inlineStr">
        <is>
          <t>SLEEP SANCTUARY 100% Viscose Derived from Bamboo Sheets King Size, 6 Pc Set</t>
        </is>
      </c>
      <c r="E67" s="32" t="inlineStr">
        <is>
          <t>King</t>
        </is>
      </c>
      <c r="F67" s="32" t="inlineStr">
        <is>
          <t>Charcoal</t>
        </is>
      </c>
      <c r="G67" s="60" t="n">
        <v>69.98999999999999</v>
      </c>
      <c r="H67" s="32" t="inlineStr">
        <is>
          <t>SellerBoard listing price, 2026-10-14</t>
        </is>
      </c>
      <c r="I67" s="61" t="n">
        <v>69.98999999999999</v>
      </c>
      <c r="J67" s="62" t="inlineStr">
        <is>
          <t>2026-03-30</t>
        </is>
      </c>
      <c r="K67" s="33" t="n">
        <v>16.88</v>
      </c>
      <c r="L67" s="63" t="n">
        <v>0.2411773110444349</v>
      </c>
      <c r="M67" s="64" t="n"/>
      <c r="N67" s="32" t="inlineStr">
        <is>
          <t>Inactive</t>
        </is>
      </c>
      <c r="O67" s="32" t="n"/>
      <c r="P67" s="65" t="n"/>
      <c r="Q67" s="64" t="n"/>
      <c r="R67" s="64" t="n"/>
      <c r="S67" s="64" t="n"/>
      <c r="T67" s="32" t="n"/>
    </row>
    <row r="68" ht="62" customHeight="1">
      <c r="A68" s="10">
        <f>_xlfn.IMAGE("https://m.media-amazon.com/images/I/81PScXYeYiL.jpg")</f>
        <v/>
      </c>
      <c r="B68" s="32" t="inlineStr">
        <is>
          <t>B0DDTWV24K</t>
        </is>
      </c>
      <c r="C68" s="32" t="inlineStr">
        <is>
          <t>SS-BAMBOO-GREY-KING-6PCS</t>
        </is>
      </c>
      <c r="D68" s="32" t="inlineStr">
        <is>
          <t>SLEEP SANCTUARY 100% Viscose Derived from Bamboo Sheets King Size, 6 Pc Set</t>
        </is>
      </c>
      <c r="E68" s="32" t="inlineStr">
        <is>
          <t>King</t>
        </is>
      </c>
      <c r="F68" s="32" t="inlineStr">
        <is>
          <t>Grey</t>
        </is>
      </c>
      <c r="G68" s="60" t="n">
        <v>69.98999999999999</v>
      </c>
      <c r="H68" s="32" t="inlineStr">
        <is>
          <t>SellerBoard listing price, 2026-10-14</t>
        </is>
      </c>
      <c r="I68" s="61" t="n">
        <v>69.98999999999999</v>
      </c>
      <c r="J68" s="62" t="inlineStr">
        <is>
          <t>2026-03-30</t>
        </is>
      </c>
      <c r="K68" s="33" t="n">
        <v>18.19</v>
      </c>
      <c r="L68" s="63" t="n">
        <v>0.2598942706100871</v>
      </c>
      <c r="M68" s="64" t="n"/>
      <c r="N68" s="32" t="inlineStr">
        <is>
          <t>Inactive</t>
        </is>
      </c>
      <c r="O68" s="32" t="n"/>
      <c r="P68" s="65" t="n"/>
      <c r="Q68" s="64" t="n"/>
      <c r="R68" s="64" t="n"/>
      <c r="S68" s="64" t="n"/>
      <c r="T68" s="32" t="n"/>
    </row>
    <row r="69" ht="62" customHeight="1">
      <c r="A69" s="10">
        <f>_xlfn.IMAGE("https://m.media-amazon.com/images/I/81m46CO0QIL.jpg")</f>
        <v/>
      </c>
      <c r="B69" s="32" t="inlineStr">
        <is>
          <t>B0DDTYD1RX</t>
        </is>
      </c>
      <c r="C69" s="32" t="inlineStr">
        <is>
          <t>SS-BAMBOO-LIGHT-PINK-KING-6PCS</t>
        </is>
      </c>
      <c r="D69" s="32" t="inlineStr">
        <is>
          <t>SLEEP SANCTUARY 100% Viscose Derived from Bamboo Sheets King Size, 6 Pc Set</t>
        </is>
      </c>
      <c r="E69" s="32" t="inlineStr">
        <is>
          <t>King</t>
        </is>
      </c>
      <c r="F69" s="32" t="inlineStr">
        <is>
          <t>Light Pink</t>
        </is>
      </c>
      <c r="G69" s="60" t="n">
        <v>69.98999999999999</v>
      </c>
      <c r="H69" s="32" t="inlineStr">
        <is>
          <t>SellerBoard listing price, 2026-10-14</t>
        </is>
      </c>
      <c r="I69" s="61" t="n">
        <v>69.98999999999999</v>
      </c>
      <c r="J69" s="62" t="inlineStr">
        <is>
          <t>2026-03-30</t>
        </is>
      </c>
      <c r="K69" s="33" t="n">
        <v>20.21999999999999</v>
      </c>
      <c r="L69" s="63" t="n">
        <v>0.2888984140591512</v>
      </c>
      <c r="M69" s="64" t="n"/>
      <c r="N69" s="32" t="inlineStr">
        <is>
          <t>Inactive</t>
        </is>
      </c>
      <c r="O69" s="32" t="n"/>
      <c r="P69" s="65" t="n"/>
      <c r="Q69" s="64" t="n"/>
      <c r="R69" s="64" t="n"/>
      <c r="S69" s="64" t="n"/>
      <c r="T69" s="32" t="n"/>
    </row>
    <row r="70" ht="62" customHeight="1">
      <c r="A70" s="10">
        <f>_xlfn.IMAGE("https://m.media-amazon.com/images/I/81qAQB1aouL.jpg")</f>
        <v/>
      </c>
      <c r="B70" s="32" t="inlineStr">
        <is>
          <t>B0DDV1G96X</t>
        </is>
      </c>
      <c r="C70" s="32" t="inlineStr">
        <is>
          <t>SS-BAMBOO-PURPLE-KING-6PCS</t>
        </is>
      </c>
      <c r="D70" s="32" t="inlineStr">
        <is>
          <t>SLEEP SANCTUARY 100% Viscose Derived from Bamboo Sheets King Size, 6 Pc Set</t>
        </is>
      </c>
      <c r="E70" s="32" t="inlineStr">
        <is>
          <t>King</t>
        </is>
      </c>
      <c r="F70" s="32" t="inlineStr">
        <is>
          <t>Purple</t>
        </is>
      </c>
      <c r="G70" s="60" t="n">
        <v>69.29000000000001</v>
      </c>
      <c r="H70" s="32" t="inlineStr">
        <is>
          <t>SellerBoard listing price, 2026-10-14</t>
        </is>
      </c>
      <c r="I70" s="61" t="n">
        <v>69.98999999999999</v>
      </c>
      <c r="J70" s="62" t="inlineStr">
        <is>
          <t>2026-03-30</t>
        </is>
      </c>
      <c r="K70" s="33" t="n">
        <v>18.10999999999999</v>
      </c>
      <c r="L70" s="63" t="n">
        <v>0.2587512501785968</v>
      </c>
      <c r="M70" s="64" t="n"/>
      <c r="N70" s="32" t="inlineStr">
        <is>
          <t>Inactive</t>
        </is>
      </c>
      <c r="O70" s="32" t="n"/>
      <c r="P70" s="65" t="n"/>
      <c r="Q70" s="64" t="n"/>
      <c r="R70" s="64" t="n"/>
      <c r="S70" s="64" t="n"/>
      <c r="T70" s="32" t="n"/>
    </row>
    <row r="71" ht="62" customHeight="1">
      <c r="A71" s="10">
        <f>_xlfn.IMAGE("https://m.media-amazon.com/images/I/81WXKFpyLHL.jpg")</f>
        <v/>
      </c>
      <c r="B71" s="32" t="inlineStr">
        <is>
          <t>B0DDTZ7Z4W</t>
        </is>
      </c>
      <c r="C71" s="32" t="inlineStr">
        <is>
          <t>SS-BAMBOO-SAGE-GREEN-KING-6PCS</t>
        </is>
      </c>
      <c r="D71" s="32" t="inlineStr">
        <is>
          <t>SLEEP SANCTUARY 100% Viscose Derived from Bamboo Sheets King Size, 6 Pc Set</t>
        </is>
      </c>
      <c r="E71" s="32" t="inlineStr">
        <is>
          <t>King</t>
        </is>
      </c>
      <c r="F71" s="32" t="inlineStr">
        <is>
          <t>Sage Green</t>
        </is>
      </c>
      <c r="G71" s="60" t="n">
        <v>69.98999999999999</v>
      </c>
      <c r="H71" s="32" t="inlineStr">
        <is>
          <t>SellerBoard listing price, 2026-10-14</t>
        </is>
      </c>
      <c r="I71" s="61" t="n">
        <v>64.98999999999999</v>
      </c>
      <c r="J71" s="62" t="inlineStr">
        <is>
          <t>2026-03-30</t>
        </is>
      </c>
      <c r="K71" s="33" t="n">
        <v>14.67</v>
      </c>
      <c r="L71" s="63" t="n">
        <v>0.2257270349284505</v>
      </c>
      <c r="M71" s="64" t="n"/>
      <c r="N71" s="32" t="inlineStr">
        <is>
          <t>Inactive</t>
        </is>
      </c>
      <c r="O71" s="32" t="n"/>
      <c r="P71" s="65" t="n"/>
      <c r="Q71" s="64" t="n"/>
      <c r="R71" s="64" t="n"/>
      <c r="S71" s="64" t="n"/>
      <c r="T71" s="32" t="n"/>
    </row>
    <row r="72" ht="62" customHeight="1">
      <c r="A72" s="10">
        <f>_xlfn.IMAGE("https://m.media-amazon.com/images/I/81gNwuW4tEL.jpg")</f>
        <v/>
      </c>
      <c r="B72" s="32" t="inlineStr">
        <is>
          <t>B0DDTXH82N</t>
        </is>
      </c>
      <c r="C72" s="32" t="inlineStr">
        <is>
          <t>SS-BAMBOO-BLACK-QUEEN-6PCS</t>
        </is>
      </c>
      <c r="D72" s="32" t="inlineStr">
        <is>
          <t>SLEEP SANCTUARY 100% Viscose Derived from Bamboo Sheets Queen Size 6 Pc Set</t>
        </is>
      </c>
      <c r="E72" s="32" t="inlineStr">
        <is>
          <t>Queen</t>
        </is>
      </c>
      <c r="F72" s="32" t="inlineStr">
        <is>
          <t>Black</t>
        </is>
      </c>
      <c r="G72" s="60" t="n">
        <v>64.98999999999999</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_xlfn.IMAGE("https://m.media-amazon.com/images/I/81O1Qx5WReL.jpg")</f>
        <v/>
      </c>
      <c r="B73" s="32" t="inlineStr">
        <is>
          <t>B0DDTX1L6C</t>
        </is>
      </c>
      <c r="C73" s="32" t="inlineStr">
        <is>
          <t>SS-BAMBOO-BURGUNDY-QUEEN-6PCS</t>
        </is>
      </c>
      <c r="D73" s="32" t="inlineStr">
        <is>
          <t>SLEEP SANCTUARY 100% Viscose Derived from Bamboo Sheets Queen Size 6 Pc Set</t>
        </is>
      </c>
      <c r="E73" s="32" t="inlineStr">
        <is>
          <t>Queen</t>
        </is>
      </c>
      <c r="F73" s="32" t="inlineStr">
        <is>
          <t>Burgundy</t>
        </is>
      </c>
      <c r="G73" s="60" t="n">
        <v>64.98999999999999</v>
      </c>
      <c r="H73" s="32" t="inlineStr">
        <is>
          <t>SellerBoard listing price, 2026-10-14</t>
        </is>
      </c>
      <c r="I73" s="61" t="n">
        <v>64.98999999999999</v>
      </c>
      <c r="J73" s="62" t="inlineStr">
        <is>
          <t>2026-03-02</t>
        </is>
      </c>
      <c r="K73" s="33" t="n">
        <v>19.41</v>
      </c>
      <c r="L73" s="63" t="n">
        <v>0.2986613325126942</v>
      </c>
      <c r="M73" s="64" t="n"/>
      <c r="N73" s="32" t="inlineStr">
        <is>
          <t>Inactive</t>
        </is>
      </c>
      <c r="O73" s="32" t="n"/>
      <c r="P73" s="65" t="n"/>
      <c r="Q73" s="64" t="n"/>
      <c r="R73" s="64" t="n"/>
      <c r="S73" s="64" t="n"/>
      <c r="T73" s="32" t="n"/>
    </row>
    <row r="74" ht="62" customHeight="1">
      <c r="A74" s="10">
        <f>_xlfn.IMAGE("https://m.media-amazon.com/images/I/81ErpAIAdIL.jpg")</f>
        <v/>
      </c>
      <c r="B74" s="32" t="inlineStr">
        <is>
          <t>B0DDTZ56BM</t>
        </is>
      </c>
      <c r="C74" s="32" t="inlineStr">
        <is>
          <t>SS-BAMBOO-CHARCOAL-QUEEN-6PCS</t>
        </is>
      </c>
      <c r="D74" s="32" t="inlineStr">
        <is>
          <t>SLEEP SANCTUARY 100% Viscose Derived from Bamboo Sheets Queen Size 6 Pc Set</t>
        </is>
      </c>
      <c r="E74" s="32" t="inlineStr">
        <is>
          <t>Queen</t>
        </is>
      </c>
      <c r="F74" s="32" t="inlineStr">
        <is>
          <t>Charcoal</t>
        </is>
      </c>
      <c r="G74" s="60" t="n">
        <v>64.98999999999999</v>
      </c>
      <c r="H74" s="32" t="inlineStr">
        <is>
          <t>SellerBoard listing price, 2026-10-14</t>
        </is>
      </c>
      <c r="I74" s="61" t="n">
        <v>64.98999999999999</v>
      </c>
      <c r="J74" s="62" t="inlineStr">
        <is>
          <t>2026-03-30</t>
        </is>
      </c>
      <c r="K74" s="33" t="n">
        <v>18.66999999999999</v>
      </c>
      <c r="L74" s="63" t="n">
        <v>0.287274965379289</v>
      </c>
      <c r="M74" s="64" t="n"/>
      <c r="N74" s="32" t="inlineStr">
        <is>
          <t>Inactive</t>
        </is>
      </c>
      <c r="O74" s="32" t="n"/>
      <c r="P74" s="65" t="n"/>
      <c r="Q74" s="64" t="n"/>
      <c r="R74" s="64" t="n"/>
      <c r="S74" s="64" t="n"/>
      <c r="T74" s="32" t="n"/>
    </row>
    <row r="75" ht="62" customHeight="1">
      <c r="A75" s="10">
        <f>_xlfn.IMAGE("https://m.media-amazon.com/images/I/81PScXYeYiL.jpg")</f>
        <v/>
      </c>
      <c r="B75" s="32" t="inlineStr">
        <is>
          <t>B0DDTYFDJX</t>
        </is>
      </c>
      <c r="C75" s="32" t="inlineStr">
        <is>
          <t>SS-BAMBOO-GREY-QUEEN-6PCS</t>
        </is>
      </c>
      <c r="D75" s="32" t="inlineStr">
        <is>
          <t>SLEEP SANCTUARY 100% Viscose Derived from Bamboo Sheets Queen Size 6 Pc Set</t>
        </is>
      </c>
      <c r="E75" s="32" t="inlineStr">
        <is>
          <t>Queen</t>
        </is>
      </c>
      <c r="F75" s="32" t="inlineStr">
        <is>
          <t>Grey</t>
        </is>
      </c>
      <c r="G75" s="60" t="n">
        <v>64.98999999999999</v>
      </c>
      <c r="H75" s="32" t="inlineStr">
        <is>
          <t>SellerBoard listing price, 2026-10-14</t>
        </is>
      </c>
      <c r="I75" s="61" t="n">
        <v>64.98999999999999</v>
      </c>
      <c r="J75" s="62" t="inlineStr">
        <is>
          <t>2026-03-20</t>
        </is>
      </c>
      <c r="K75" s="33" t="n">
        <v>19.26</v>
      </c>
      <c r="L75" s="63" t="n">
        <v>0.2963532851207878</v>
      </c>
      <c r="M75" s="64" t="n"/>
      <c r="N75" s="32" t="inlineStr">
        <is>
          <t>Inactive</t>
        </is>
      </c>
      <c r="O75" s="32" t="n"/>
      <c r="P75" s="65" t="n"/>
      <c r="Q75" s="64" t="n"/>
      <c r="R75" s="64" t="n"/>
      <c r="S75" s="64" t="n"/>
      <c r="T75" s="32" t="n"/>
    </row>
    <row r="76" ht="62" customHeight="1">
      <c r="A76" s="10">
        <f>_xlfn.IMAGE("https://m.media-amazon.com/images/I/81cNWDfMD9L.jpg")</f>
        <v/>
      </c>
      <c r="B76" s="32" t="inlineStr">
        <is>
          <t>B0DDV1B2T2</t>
        </is>
      </c>
      <c r="C76" s="32" t="inlineStr">
        <is>
          <t>SS-BAMBOO-LIGHT-BLUE-QUEEN-6PCS</t>
        </is>
      </c>
      <c r="D76" s="32" t="inlineStr">
        <is>
          <t>SLEEP SANCTUARY 100% Viscose Derived from Bamboo Sheets Queen Size 6pcs – BamBliss Luxury Cooling Sheets - Cloud Soft, 17" Deep Pocket, Ultra Durable Bed Set (Light Blue-01)</t>
        </is>
      </c>
      <c r="E76" s="32" t="inlineStr">
        <is>
          <t>Queen</t>
        </is>
      </c>
      <c r="F76" s="32" t="inlineStr">
        <is>
          <t>Light Blue</t>
        </is>
      </c>
      <c r="G76" s="60" t="n">
        <v>64.98999999999999</v>
      </c>
      <c r="H76" s="32" t="inlineStr">
        <is>
          <t>SellerBoard listing price, 2026-10-14</t>
        </is>
      </c>
      <c r="I76" s="61" t="n">
        <v>64.98999999999999</v>
      </c>
      <c r="J76" s="62" t="inlineStr">
        <is>
          <t>2026-03-30</t>
        </is>
      </c>
      <c r="K76" s="33" t="n">
        <v>19.98</v>
      </c>
      <c r="L76" s="63" t="n">
        <v>0.3074319126019388</v>
      </c>
      <c r="M76" s="64" t="n"/>
      <c r="N76" s="32" t="inlineStr">
        <is>
          <t>Inactive</t>
        </is>
      </c>
      <c r="O76" s="32" t="n"/>
      <c r="P76" s="65" t="n"/>
      <c r="Q76" s="64" t="n"/>
      <c r="R76" s="64" t="n"/>
      <c r="S76" s="64" t="n"/>
      <c r="T76" s="32" t="n"/>
    </row>
    <row r="77" ht="62" customHeight="1">
      <c r="A77" s="10">
        <f>_xlfn.IMAGE("https://m.media-amazon.com/images/I/816FDcFUTdL.jpg")</f>
        <v/>
      </c>
      <c r="B77" s="32" t="inlineStr">
        <is>
          <t>B0HD12VBH5</t>
        </is>
      </c>
      <c r="C77" s="32" t="inlineStr">
        <is>
          <t>SS-BAMBOO-LIGHT-BLUE-6PCS-QUEEN</t>
        </is>
      </c>
      <c r="D77" s="32" t="inlineStr">
        <is>
          <t>SLEEP SANCTUARY 100% Viscose Derived from Bamboo Sheets Queen Size 6 Pc Set</t>
        </is>
      </c>
      <c r="E77" s="32" t="inlineStr">
        <is>
          <t>Queen</t>
        </is>
      </c>
      <c r="F77" s="32" t="inlineStr">
        <is>
          <t>Light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_xlfn.IMAGE("https://m.media-amazon.com/images/I/81cNWDfMD9L.jpg")</f>
        <v/>
      </c>
      <c r="B78" s="32" t="inlineStr">
        <is>
          <t>B0DDV1B2T2</t>
        </is>
      </c>
      <c r="C78" s="32" t="inlineStr">
        <is>
          <t>SS-BAMBOO-LIGHT-BLUE-QUEEN-6PC</t>
        </is>
      </c>
      <c r="D78" s="32" t="inlineStr">
        <is>
          <t>SLEEP SANCTUARY 100% Viscose Derived from Bamboo Sheets Queen Size 6pcs – BamBliss Luxury Cooling Sheets - Cloud Soft, 17" Deep Pocket, Ultra Durable Bed Set (Light Blue-01)</t>
        </is>
      </c>
      <c r="E78" s="32" t="inlineStr">
        <is>
          <t>Queen</t>
        </is>
      </c>
      <c r="F78" s="32" t="inlineStr">
        <is>
          <t>Light Blue</t>
        </is>
      </c>
      <c r="G78" s="60" t="n">
        <v>64.98999999999999</v>
      </c>
      <c r="H78" s="32" t="inlineStr">
        <is>
          <t>SellerBoard listing price, 2026-10-14</t>
        </is>
      </c>
      <c r="I78" s="33" t="n"/>
      <c r="J78" s="32" t="n"/>
      <c r="K78" s="33" t="n"/>
      <c r="L78" s="63" t="n"/>
      <c r="M78" s="64" t="n"/>
      <c r="N78" s="32" t="inlineStr">
        <is>
          <t>Inactive</t>
        </is>
      </c>
      <c r="O78" s="32" t="n"/>
      <c r="P78" s="65" t="n"/>
      <c r="Q78" s="64" t="n"/>
      <c r="R78" s="64" t="n"/>
      <c r="S78" s="64" t="n"/>
      <c r="T78" s="32" t="n"/>
    </row>
    <row r="79" ht="62" customHeight="1">
      <c r="A79" s="10">
        <f>_xlfn.IMAGE("https://m.media-amazon.com/images/I/81HYlJCAVCL.jpg")</f>
        <v/>
      </c>
      <c r="B79" s="32" t="inlineStr">
        <is>
          <t>B0DDTVMMYW</t>
        </is>
      </c>
      <c r="C79" s="32" t="inlineStr">
        <is>
          <t>SS-BAMBOO-LIGHT-GREY-QUEEN-6PCS</t>
        </is>
      </c>
      <c r="D79" s="32" t="inlineStr">
        <is>
          <t>SLEEP SANCTUARY 100% Viscose Derived from Bamboo Sheets Queen Size 6 Pc Set</t>
        </is>
      </c>
      <c r="E79" s="32" t="inlineStr">
        <is>
          <t>Queen</t>
        </is>
      </c>
      <c r="F79" s="32" t="inlineStr">
        <is>
          <t>Light Grey</t>
        </is>
      </c>
      <c r="G79" s="60" t="n">
        <v>64.98999999999999</v>
      </c>
      <c r="H79" s="32" t="inlineStr">
        <is>
          <t>SellerBoard listing price, 2026-10-14</t>
        </is>
      </c>
      <c r="I79" s="61" t="n">
        <v>64.98999999999999</v>
      </c>
      <c r="J79" s="62" t="inlineStr">
        <is>
          <t>2026-03-30</t>
        </is>
      </c>
      <c r="K79" s="33" t="n">
        <v>20.8</v>
      </c>
      <c r="L79" s="63" t="n">
        <v>0.3200492383443606</v>
      </c>
      <c r="M79" s="64" t="n"/>
      <c r="N79" s="32" t="inlineStr">
        <is>
          <t>Inactive</t>
        </is>
      </c>
      <c r="O79" s="32" t="n"/>
      <c r="P79" s="65" t="n"/>
      <c r="Q79" s="64" t="n"/>
      <c r="R79" s="64" t="n"/>
      <c r="S79" s="64" t="n"/>
      <c r="T79" s="32" t="n"/>
    </row>
    <row r="80" ht="62" customHeight="1">
      <c r="A80" s="10">
        <f>_xlfn.IMAGE("https://m.media-amazon.com/images/I/81m46CO0QIL.jpg")</f>
        <v/>
      </c>
      <c r="B80" s="32" t="inlineStr">
        <is>
          <t>B0DDV1PKM6</t>
        </is>
      </c>
      <c r="C80" s="32" t="inlineStr">
        <is>
          <t>SS-BAMBOO-LIGHT-PINK-QUEEN-6PCS</t>
        </is>
      </c>
      <c r="D80" s="32" t="inlineStr">
        <is>
          <t>SLEEP SANCTUARY 100% Viscose Derived from Bamboo Sheets Queen Size 6 Pc Set</t>
        </is>
      </c>
      <c r="E80" s="32" t="inlineStr">
        <is>
          <t>Queen</t>
        </is>
      </c>
      <c r="F80" s="32" t="inlineStr">
        <is>
          <t>Light Pink</t>
        </is>
      </c>
      <c r="G80" s="60" t="n">
        <v>64.98999999999999</v>
      </c>
      <c r="H80" s="32" t="inlineStr">
        <is>
          <t>SellerBoard listing price, 2026-10-14</t>
        </is>
      </c>
      <c r="I80" s="61" t="n">
        <v>64.98999999999999</v>
      </c>
      <c r="J80" s="62" t="inlineStr">
        <is>
          <t>2026-03-30</t>
        </is>
      </c>
      <c r="K80" s="33" t="n">
        <v>20.8</v>
      </c>
      <c r="L80" s="63" t="n">
        <v>0.3200492383443606</v>
      </c>
      <c r="M80" s="64" t="n"/>
      <c r="N80" s="32" t="inlineStr">
        <is>
          <t>Inactive</t>
        </is>
      </c>
      <c r="O80" s="32" t="n"/>
      <c r="P80" s="65" t="n"/>
      <c r="Q80" s="64" t="n"/>
      <c r="R80" s="64" t="n"/>
      <c r="S80" s="64" t="n"/>
      <c r="T80" s="32" t="n"/>
    </row>
    <row r="81" ht="62" customHeight="1">
      <c r="A81" s="10">
        <f>_xlfn.IMAGE("https://m.media-amazon.com/images/I/813SaO-0dfL.jpg")</f>
        <v/>
      </c>
      <c r="B81" s="32" t="inlineStr">
        <is>
          <t>B0DDTYBVY6</t>
        </is>
      </c>
      <c r="C81" s="32" t="inlineStr">
        <is>
          <t>SS-BAMBOO-MIDGREY-QUEEN-6PCS</t>
        </is>
      </c>
      <c r="D81" s="32" t="inlineStr">
        <is>
          <t>SLEEP SANCTUARY 100% Viscose Derived from Bamboo Sheets Queen Size 6 Pc Set</t>
        </is>
      </c>
      <c r="E81" s="32" t="inlineStr">
        <is>
          <t>Queen</t>
        </is>
      </c>
      <c r="F81" s="32" t="inlineStr">
        <is>
          <t>Midgrey</t>
        </is>
      </c>
      <c r="G81" s="60" t="n">
        <v>64.98999999999999</v>
      </c>
      <c r="H81" s="32" t="inlineStr">
        <is>
          <t>SellerBoard listing price, 2026-10-14</t>
        </is>
      </c>
      <c r="I81" s="61" t="n">
        <v>64.98999999999999</v>
      </c>
      <c r="J81" s="62" t="inlineStr">
        <is>
          <t>2026-03-22</t>
        </is>
      </c>
      <c r="K81" s="33" t="n">
        <v>19.58</v>
      </c>
      <c r="L81" s="63" t="n">
        <v>0.3012771195568549</v>
      </c>
      <c r="M81" s="64" t="n"/>
      <c r="N81" s="32" t="inlineStr">
        <is>
          <t>Inactive</t>
        </is>
      </c>
      <c r="O81" s="32" t="n"/>
      <c r="P81" s="65" t="n"/>
      <c r="Q81" s="64" t="n"/>
      <c r="R81" s="64" t="n"/>
      <c r="S81" s="64" t="n"/>
      <c r="T81" s="32" t="n"/>
    </row>
    <row r="82" ht="62" customHeight="1">
      <c r="A82" s="10">
        <f>_xlfn.IMAGE("https://m.media-amazon.com/images/I/81J8TKpSqnL.jpg")</f>
        <v/>
      </c>
      <c r="B82" s="32" t="inlineStr">
        <is>
          <t>B0DDTZL244</t>
        </is>
      </c>
      <c r="C82" s="32" t="inlineStr">
        <is>
          <t>SS-BAMBOO-NAVY-BLUE-QUEEN-6PCS</t>
        </is>
      </c>
      <c r="D82" s="32" t="inlineStr">
        <is>
          <t>SLEEP SANCTUARY 100% Viscose Derived from Bamboo Sheets Queen Size 6 Pc Set</t>
        </is>
      </c>
      <c r="E82" s="32" t="inlineStr">
        <is>
          <t>Queen</t>
        </is>
      </c>
      <c r="F82" s="32" t="inlineStr">
        <is>
          <t>Navy Blue</t>
        </is>
      </c>
      <c r="G82" s="60" t="n">
        <v>64.98999999999999</v>
      </c>
      <c r="H82" s="32" t="inlineStr">
        <is>
          <t>SellerBoard listing price, 2026-10-14</t>
        </is>
      </c>
      <c r="I82" s="61" t="n">
        <v>64.98999999999999</v>
      </c>
      <c r="J82" s="62" t="inlineStr">
        <is>
          <t>2026-03-30</t>
        </is>
      </c>
      <c r="K82" s="33" t="n">
        <v>20.88</v>
      </c>
      <c r="L82" s="63" t="n">
        <v>0.3212801969533774</v>
      </c>
      <c r="M82" s="64" t="n"/>
      <c r="N82" s="32" t="inlineStr">
        <is>
          <t>Inactive</t>
        </is>
      </c>
      <c r="O82" s="32" t="n"/>
      <c r="P82" s="65" t="n"/>
      <c r="Q82" s="64" t="n"/>
      <c r="R82" s="64" t="n"/>
      <c r="S82" s="64" t="n"/>
      <c r="T82" s="32" t="n"/>
    </row>
    <row r="83" ht="62" customHeight="1">
      <c r="A83" s="10">
        <f>_xlfn.IMAGE("https://m.media-amazon.com/images/I/81qAQB1aouL.jpg")</f>
        <v/>
      </c>
      <c r="B83" s="32" t="inlineStr">
        <is>
          <t>B0DDTXHPMK</t>
        </is>
      </c>
      <c r="C83" s="32" t="inlineStr">
        <is>
          <t>SS-BAMBOO-PURPLE-QUEEN-6PCS</t>
        </is>
      </c>
      <c r="D83" s="32" t="inlineStr">
        <is>
          <t>SLEEP SANCTUARY 100% Viscose Derived from Bamboo Sheets Queen Size 6 Pc Set</t>
        </is>
      </c>
      <c r="E83" s="32" t="inlineStr">
        <is>
          <t>Queen</t>
        </is>
      </c>
      <c r="F83" s="32" t="inlineStr">
        <is>
          <t>Purple</t>
        </is>
      </c>
      <c r="G83" s="60" t="n">
        <v>64.98999999999999</v>
      </c>
      <c r="H83" s="32" t="inlineStr">
        <is>
          <t>SellerBoard listing price, 2026-10-14</t>
        </is>
      </c>
      <c r="I83" s="61" t="n">
        <v>64.98999999999999</v>
      </c>
      <c r="J83" s="62" t="inlineStr">
        <is>
          <t>2026-03-12</t>
        </is>
      </c>
      <c r="K83" s="33" t="n">
        <v>19.58</v>
      </c>
      <c r="L83" s="63" t="n">
        <v>0.3012771195568549</v>
      </c>
      <c r="M83" s="64" t="n"/>
      <c r="N83" s="32" t="inlineStr">
        <is>
          <t>Inactive</t>
        </is>
      </c>
      <c r="O83" s="32" t="n"/>
      <c r="P83" s="65" t="n"/>
      <c r="Q83" s="64" t="n"/>
      <c r="R83" s="64" t="n"/>
      <c r="S83" s="64" t="n"/>
      <c r="T83" s="32" t="n"/>
    </row>
    <row r="84" ht="62" customHeight="1">
      <c r="A84" s="10">
        <f>_xlfn.IMAGE("https://m.media-amazon.com/images/I/81WXKFpyLHL.jpg")</f>
        <v/>
      </c>
      <c r="B84" s="32" t="inlineStr">
        <is>
          <t>B0DDTYMBWR</t>
        </is>
      </c>
      <c r="C84" s="32" t="inlineStr">
        <is>
          <t>SS-BAMBOO-SAGE-GREEN-QUEEN-6PCS</t>
        </is>
      </c>
      <c r="D84" s="32" t="inlineStr">
        <is>
          <t>SLEEP SANCTUARY 100% Viscose Derived from Bamboo Sheets Queen Size 6 Pc Set</t>
        </is>
      </c>
      <c r="E84" s="32" t="inlineStr">
        <is>
          <t>Queen</t>
        </is>
      </c>
      <c r="F84" s="32" t="inlineStr">
        <is>
          <t>Sage Green</t>
        </is>
      </c>
      <c r="G84" s="60" t="n">
        <v>64.98999999999999</v>
      </c>
      <c r="H84" s="32" t="inlineStr">
        <is>
          <t>SellerBoard listing price, 2026-10-14</t>
        </is>
      </c>
      <c r="I84" s="61" t="n">
        <v>64.98999999999999</v>
      </c>
      <c r="J84" s="62" t="inlineStr">
        <is>
          <t>2026-03-30</t>
        </is>
      </c>
      <c r="K84" s="33" t="n">
        <v>21.52999999999999</v>
      </c>
      <c r="L84" s="63" t="n">
        <v>0.3312817356516387</v>
      </c>
      <c r="M84" s="64" t="n"/>
      <c r="N84" s="32" t="inlineStr">
        <is>
          <t>Inactive</t>
        </is>
      </c>
      <c r="O84" s="32" t="n"/>
      <c r="P84" s="65" t="n"/>
      <c r="Q84" s="64" t="n"/>
      <c r="R84" s="64" t="n"/>
      <c r="S84" s="64" t="n"/>
      <c r="T84" s="32" t="n"/>
    </row>
    <row r="85" ht="62" customHeight="1">
      <c r="A85" s="10">
        <f>_xlfn.IMAGE("https://m.media-amazon.com/images/I/81jP+dXApgL.jpg")</f>
        <v/>
      </c>
      <c r="B85" s="32" t="inlineStr">
        <is>
          <t>B0DDTXJJCN</t>
        </is>
      </c>
      <c r="C85" s="32" t="inlineStr">
        <is>
          <t>SS-BAMBOO-TAUPE-QUEEN-6PCS</t>
        </is>
      </c>
      <c r="D85" s="32" t="inlineStr">
        <is>
          <t>SLEEP SANCTUARY 100% Viscose Derived from Bamboo Sheets Queen Size 6 Pc Set</t>
        </is>
      </c>
      <c r="E85" s="32" t="inlineStr">
        <is>
          <t>Queen</t>
        </is>
      </c>
      <c r="F85" s="32" t="inlineStr">
        <is>
          <t>Taupe</t>
        </is>
      </c>
      <c r="G85" s="60" t="n">
        <v>64.98999999999999</v>
      </c>
      <c r="H85" s="32" t="inlineStr">
        <is>
          <t>SellerBoard listing price, 2026-10-14</t>
        </is>
      </c>
      <c r="I85" s="61" t="n">
        <v>64.98999999999999</v>
      </c>
      <c r="J85" s="62" t="inlineStr">
        <is>
          <t>2026-02-26</t>
        </is>
      </c>
      <c r="K85" s="33" t="n">
        <v>18.44</v>
      </c>
      <c r="L85" s="63" t="n">
        <v>0.2837359593783659</v>
      </c>
      <c r="M85" s="64" t="n"/>
      <c r="N85" s="32" t="inlineStr">
        <is>
          <t>Inactive</t>
        </is>
      </c>
      <c r="O85" s="32" t="n"/>
      <c r="P85" s="65" t="n"/>
      <c r="Q85" s="64" t="n"/>
      <c r="R85" s="64" t="n"/>
      <c r="S85" s="64" t="n"/>
      <c r="T85" s="32" t="n"/>
    </row>
    <row r="86" ht="62" customHeight="1">
      <c r="A86" s="10">
        <f>_xlfn.IMAGE("https://m.media-amazon.com/images/I/81gNwuW4tEL.jpg")</f>
        <v/>
      </c>
      <c r="B86" s="32" t="inlineStr">
        <is>
          <t>B0DDTY4QSP</t>
        </is>
      </c>
      <c r="C86" s="32" t="inlineStr">
        <is>
          <t>SS-BAMBOO-WHITE-QUEEN-6PCS</t>
        </is>
      </c>
      <c r="D86" s="32" t="inlineStr">
        <is>
          <t>SLEEP SANCTUARY 100% Viscose Derived from Bamboo Sheets Queen Size 6 Pc Set</t>
        </is>
      </c>
      <c r="E86" s="32" t="inlineStr">
        <is>
          <t>Queen</t>
        </is>
      </c>
      <c r="F86" s="32" t="inlineStr">
        <is>
          <t>White</t>
        </is>
      </c>
      <c r="G86" s="60" t="n">
        <v>64.98999999999999</v>
      </c>
      <c r="H86" s="32" t="inlineStr">
        <is>
          <t>SellerBoard listing price, 2026-10-14</t>
        </is>
      </c>
      <c r="I86" s="61" t="n">
        <v>64.98999999999999</v>
      </c>
      <c r="J86" s="62" t="inlineStr">
        <is>
          <t>2026-03-30</t>
        </is>
      </c>
      <c r="K86" s="33" t="n">
        <v>18.59</v>
      </c>
      <c r="L86" s="63" t="n">
        <v>0.2860440067702723</v>
      </c>
      <c r="M86" s="64" t="n"/>
      <c r="N86" s="32" t="inlineStr">
        <is>
          <t>Inactive</t>
        </is>
      </c>
      <c r="O86" s="32" t="n"/>
      <c r="P86" s="65" t="n"/>
      <c r="Q86" s="64" t="n"/>
      <c r="R86" s="64" t="n"/>
      <c r="S86" s="64" t="n"/>
      <c r="T86" s="32" t="n"/>
    </row>
    <row r="87" ht="62" customHeight="1">
      <c r="A87" s="10">
        <f>_xlfn.IMAGE("https://m.media-amazon.com/images/I/81ErpAIAdIL.jpg")</f>
        <v/>
      </c>
      <c r="B87" s="32" t="inlineStr">
        <is>
          <t>B0DDTY5RQX</t>
        </is>
      </c>
      <c r="C87" s="32" t="n"/>
      <c r="D87" s="32" t="inlineStr">
        <is>
          <t>SLEEP SANCTUARY 100% Viscose Derived from Bamboo Sheets Twin Size, 4 Pc Set</t>
        </is>
      </c>
      <c r="E87" s="32" t="inlineStr">
        <is>
          <t>Twin</t>
        </is>
      </c>
      <c r="F87" s="32" t="n"/>
      <c r="G87" s="60" t="n">
        <v>61.99</v>
      </c>
      <c r="H87" s="32" t="inlineStr">
        <is>
          <t>Helium 10 Xray, 2026-10-13</t>
        </is>
      </c>
      <c r="I87" s="33" t="n"/>
      <c r="J87" s="32" t="n"/>
      <c r="K87" s="33" t="n"/>
      <c r="L87" s="63" t="n"/>
      <c r="M87" s="64" t="n"/>
      <c r="N87" s="32" t="inlineStr">
        <is>
          <t>Active</t>
        </is>
      </c>
      <c r="O87" s="32" t="n"/>
      <c r="P87" s="65" t="n">
        <v>4.5</v>
      </c>
      <c r="Q87" s="64" t="n">
        <v>320</v>
      </c>
      <c r="R87" s="64" t="n">
        <v>252421</v>
      </c>
      <c r="S87" s="64" t="n">
        <v>0.8569</v>
      </c>
      <c r="T87" s="32" t="n"/>
    </row>
    <row r="88" ht="62" customHeight="1">
      <c r="A88" s="10">
        <f>_xlfn.IMAGE("https://m.media-amazon.com/images/I/81O1Qx5WReL.jpg")</f>
        <v/>
      </c>
      <c r="B88" s="32" t="inlineStr">
        <is>
          <t>B0DDV12K7H</t>
        </is>
      </c>
      <c r="C88" s="32" t="n"/>
      <c r="D88" s="32" t="inlineStr">
        <is>
          <t>SLEEP SANCTUARY 100% Viscose Derived from Bamboo Sheets Twin Size, 4 Pc Set</t>
        </is>
      </c>
      <c r="E88" s="32" t="inlineStr">
        <is>
          <t>Twin</t>
        </is>
      </c>
      <c r="F88" s="32" t="n"/>
      <c r="G88" s="60" t="n">
        <v>54.99</v>
      </c>
      <c r="H88" s="32" t="inlineStr">
        <is>
          <t>Helium 10 Xray, 2026-10-13</t>
        </is>
      </c>
      <c r="I88" s="33" t="n"/>
      <c r="J88" s="32" t="n"/>
      <c r="K88" s="33" t="n"/>
      <c r="L88" s="63" t="n"/>
      <c r="M88" s="64" t="n"/>
      <c r="N88" s="32" t="inlineStr">
        <is>
          <t>Active</t>
        </is>
      </c>
      <c r="O88" s="32" t="n"/>
      <c r="P88" s="65" t="n">
        <v>4.5</v>
      </c>
      <c r="Q88" s="64" t="n">
        <v>320</v>
      </c>
      <c r="R88" s="64" t="n">
        <v>252421</v>
      </c>
      <c r="S88" s="64" t="n">
        <v>3</v>
      </c>
      <c r="T88" s="32" t="n"/>
    </row>
    <row r="89" ht="62" customHeight="1">
      <c r="A89" s="10">
        <f>_xlfn.IMAGE("https://m.media-amazon.com/images/I/81ckcfUOuYL.jpg")</f>
        <v/>
      </c>
      <c r="B89" s="32" t="inlineStr">
        <is>
          <t>B0DDV13P1G</t>
        </is>
      </c>
      <c r="C89" s="32" t="n"/>
      <c r="D89" s="32" t="inlineStr">
        <is>
          <t>SLEEP SANCTUARY 100% Viscose Derived from Bamboo Sheets Twin Size, 4 Pc Set</t>
        </is>
      </c>
      <c r="E89" s="32" t="inlineStr">
        <is>
          <t>Twin</t>
        </is>
      </c>
      <c r="F89" s="32" t="n"/>
      <c r="G89" s="60" t="n">
        <v>61.99</v>
      </c>
      <c r="H89" s="32" t="inlineStr">
        <is>
          <t>Helium 10 Xray, 2026-10-13</t>
        </is>
      </c>
      <c r="I89" s="33" t="n"/>
      <c r="J89" s="32" t="n"/>
      <c r="K89" s="33" t="n"/>
      <c r="L89" s="63" t="n"/>
      <c r="M89" s="64" t="n"/>
      <c r="N89" s="32" t="inlineStr">
        <is>
          <t>Active</t>
        </is>
      </c>
      <c r="O89" s="32" t="n"/>
      <c r="P89" s="65" t="n">
        <v>4.5</v>
      </c>
      <c r="Q89" s="64" t="n">
        <v>320</v>
      </c>
      <c r="R89" s="64" t="n">
        <v>252428</v>
      </c>
      <c r="S89" s="64" t="n">
        <v>0.9066</v>
      </c>
      <c r="T89" s="32" t="n"/>
    </row>
    <row r="90" ht="62" customHeight="1">
      <c r="A90" s="10">
        <f>_xlfn.IMAGE("https://m.media-amazon.com/images/I/81gNwuW4tEL.jpg")</f>
        <v/>
      </c>
      <c r="B90" s="32" t="inlineStr">
        <is>
          <t>B0DDTWR1JB</t>
        </is>
      </c>
      <c r="C90" s="32" t="n"/>
      <c r="D90" s="32" t="inlineStr">
        <is>
          <t>SLEEP SANCTUARY 100% Viscose Derived from Bamboo Sheets Twin Size, 4 Pc Set</t>
        </is>
      </c>
      <c r="E90" s="32" t="inlineStr">
        <is>
          <t>Twin</t>
        </is>
      </c>
      <c r="F90" s="32" t="n"/>
      <c r="G90" s="60" t="n">
        <v>54.99</v>
      </c>
      <c r="H90" s="32" t="inlineStr">
        <is>
          <t>Helium 10 Xray, 2026-10-13</t>
        </is>
      </c>
      <c r="I90" s="33" t="n"/>
      <c r="J90" s="32" t="n"/>
      <c r="K90" s="33" t="n"/>
      <c r="L90" s="63" t="n"/>
      <c r="M90" s="64" t="n"/>
      <c r="N90" s="32" t="inlineStr">
        <is>
          <t>Active</t>
        </is>
      </c>
      <c r="O90" s="32" t="n"/>
      <c r="P90" s="65" t="n">
        <v>4.5</v>
      </c>
      <c r="Q90" s="64" t="n">
        <v>320</v>
      </c>
      <c r="R90" s="64" t="n">
        <v>252428</v>
      </c>
      <c r="S90" s="64" t="n">
        <v>3</v>
      </c>
      <c r="T90" s="32" t="n"/>
    </row>
    <row r="91" ht="62" customHeight="1">
      <c r="A91" s="10">
        <f>_xlfn.IMAGE("https://m.media-amazon.com/images/I/81PScXYeYiL.jpg")</f>
        <v/>
      </c>
      <c r="B91" s="32" t="inlineStr">
        <is>
          <t>B0DDV3BVSH</t>
        </is>
      </c>
      <c r="C91" s="32" t="inlineStr">
        <is>
          <t>SS-BAMBOO-GREY-TWIN-4PCS</t>
        </is>
      </c>
      <c r="D91" s="32" t="inlineStr">
        <is>
          <t>SLEEP SANCTUARY 100% Viscose Derived from Bamboo Sheets Twin Size, 4 Pc Set</t>
        </is>
      </c>
      <c r="E91" s="32" t="inlineStr">
        <is>
          <t>Twin</t>
        </is>
      </c>
      <c r="F91" s="32" t="inlineStr">
        <is>
          <t>Grey</t>
        </is>
      </c>
      <c r="G91" s="60" t="n">
        <v>61.99</v>
      </c>
      <c r="H91" s="32" t="inlineStr">
        <is>
          <t>Helium 10 Xray, 2026-10-13</t>
        </is>
      </c>
      <c r="I91" s="61" t="n">
        <v>54.99</v>
      </c>
      <c r="J91" s="62" t="inlineStr">
        <is>
          <t>2026-03-30</t>
        </is>
      </c>
      <c r="K91" s="33" t="n">
        <v>15.86</v>
      </c>
      <c r="L91" s="63" t="n">
        <v>0.2884160756501182</v>
      </c>
      <c r="M91" s="64" t="n">
        <v>0</v>
      </c>
      <c r="N91" s="32" t="inlineStr">
        <is>
          <t>Active</t>
        </is>
      </c>
      <c r="O91" s="32" t="n"/>
      <c r="P91" s="65" t="n">
        <v>4.5</v>
      </c>
      <c r="Q91" s="64" t="n">
        <v>320</v>
      </c>
      <c r="R91" s="64" t="n">
        <v>252421</v>
      </c>
      <c r="S91" s="64" t="n">
        <v>0.9165</v>
      </c>
      <c r="T91" s="32" t="n"/>
    </row>
    <row r="92" ht="62" customHeight="1">
      <c r="A92" s="10">
        <f>_xlfn.IMAGE("https://m.media-amazon.com/images/I/81HYlJCAVCL.jpg")</f>
        <v/>
      </c>
      <c r="B92" s="32" t="inlineStr">
        <is>
          <t>B0DDTY5FXV</t>
        </is>
      </c>
      <c r="C92" s="32" t="inlineStr">
        <is>
          <t>SS-BAMBOO-LIGHT-GREY-TWIN-4PCS</t>
        </is>
      </c>
      <c r="D92" s="32" t="inlineStr">
        <is>
          <t>SLEEP SANCTUARY 100% Viscose Derived from Bamboo Sheets Twin Size, 4 Pc Set</t>
        </is>
      </c>
      <c r="E92" s="32" t="inlineStr">
        <is>
          <t>Twin</t>
        </is>
      </c>
      <c r="F92" s="32" t="inlineStr">
        <is>
          <t>Light Grey</t>
        </is>
      </c>
      <c r="G92" s="60" t="n">
        <v>54.99</v>
      </c>
      <c r="H92" s="32" t="inlineStr">
        <is>
          <t>Helium 10 Xray, 2026-10-13</t>
        </is>
      </c>
      <c r="I92" s="61" t="n">
        <v>54.99</v>
      </c>
      <c r="J92" s="62" t="inlineStr">
        <is>
          <t>2026-03-30</t>
        </is>
      </c>
      <c r="K92" s="33" t="n">
        <v>18.52</v>
      </c>
      <c r="L92" s="63" t="n">
        <v>0.3367885070012729</v>
      </c>
      <c r="M92" s="64" t="n">
        <v>0</v>
      </c>
      <c r="N92" s="32" t="inlineStr">
        <is>
          <t>Active</t>
        </is>
      </c>
      <c r="O92" s="32" t="n"/>
      <c r="P92" s="65" t="n">
        <v>4.5</v>
      </c>
      <c r="Q92" s="64" t="n">
        <v>320</v>
      </c>
      <c r="R92" s="64" t="n">
        <v>252421</v>
      </c>
      <c r="S92" s="64" t="n">
        <v>2</v>
      </c>
      <c r="T92" s="32" t="n"/>
    </row>
    <row r="93" ht="62" customHeight="1">
      <c r="A93" s="10">
        <f>_xlfn.IMAGE("https://m.media-amazon.com/images/I/813KjW0jX8L.jpg")</f>
        <v/>
      </c>
      <c r="B93" s="32" t="inlineStr">
        <is>
          <t>B0DDTVSFDH</t>
        </is>
      </c>
      <c r="C93" s="32" t="inlineStr">
        <is>
          <t>SS-BAMBOO-LIGHT-OLIVE-TWIN-4PCS</t>
        </is>
      </c>
      <c r="D93" s="32" t="inlineStr">
        <is>
          <t>SLEEP SANCTUARY 100% Viscose Derived from Bamboo Sheets Twin Size, 4 Pc Set</t>
        </is>
      </c>
      <c r="E93" s="32" t="inlineStr">
        <is>
          <t>Twin</t>
        </is>
      </c>
      <c r="F93" s="32" t="inlineStr">
        <is>
          <t>Light Olive</t>
        </is>
      </c>
      <c r="G93" s="60" t="n">
        <v>54.99</v>
      </c>
      <c r="H93" s="32" t="inlineStr">
        <is>
          <t>Helium 10 Xray, 2026-10-13</t>
        </is>
      </c>
      <c r="I93" s="61" t="n">
        <v>59.99</v>
      </c>
      <c r="J93" s="62" t="inlineStr">
        <is>
          <t>2026-03-30</t>
        </is>
      </c>
      <c r="K93" s="33" t="n">
        <v>20.16</v>
      </c>
      <c r="L93" s="63" t="n">
        <v>0.3360560093348892</v>
      </c>
      <c r="M93" s="64" t="n">
        <v>0</v>
      </c>
      <c r="N93" s="32" t="inlineStr">
        <is>
          <t>Active</t>
        </is>
      </c>
      <c r="O93" s="32" t="n"/>
      <c r="P93" s="65" t="n">
        <v>4.5</v>
      </c>
      <c r="Q93" s="64" t="n">
        <v>320</v>
      </c>
      <c r="R93" s="64" t="n">
        <v>252421</v>
      </c>
      <c r="S93" s="64" t="n">
        <v>3</v>
      </c>
      <c r="T93" s="32" t="n"/>
    </row>
    <row r="94" ht="62" customHeight="1">
      <c r="A94" s="10">
        <f>_xlfn.IMAGE("https://m.media-amazon.com/images/I/813SaO-0dfL.jpg")</f>
        <v/>
      </c>
      <c r="B94" s="32" t="inlineStr">
        <is>
          <t>B0DDTZR3SH</t>
        </is>
      </c>
      <c r="C94" s="32" t="inlineStr">
        <is>
          <t>SS-BAMBOO-MIDGREY-TWIN-4PCS</t>
        </is>
      </c>
      <c r="D94" s="32" t="inlineStr">
        <is>
          <t>SLEEP SANCTUARY 100% Viscose Derived from Bamboo Sheets Twin Size, 4 Pc Set</t>
        </is>
      </c>
      <c r="E94" s="32" t="inlineStr">
        <is>
          <t>Twin</t>
        </is>
      </c>
      <c r="F94" s="32" t="inlineStr">
        <is>
          <t>Midgrey</t>
        </is>
      </c>
      <c r="G94" s="60" t="n">
        <v>61.99</v>
      </c>
      <c r="H94" s="32" t="inlineStr">
        <is>
          <t>Helium 10 Xray, 2026-10-13</t>
        </is>
      </c>
      <c r="I94" s="61" t="n">
        <v>54.99</v>
      </c>
      <c r="J94" s="62" t="inlineStr">
        <is>
          <t>2026-03-30</t>
        </is>
      </c>
      <c r="K94" s="33" t="n">
        <v>18.52</v>
      </c>
      <c r="L94" s="63" t="n">
        <v>0.3367885070012729</v>
      </c>
      <c r="M94" s="64" t="n">
        <v>0</v>
      </c>
      <c r="N94" s="32" t="inlineStr">
        <is>
          <t>Active</t>
        </is>
      </c>
      <c r="O94" s="32" t="n"/>
      <c r="P94" s="65" t="n">
        <v>4.5</v>
      </c>
      <c r="Q94" s="64" t="n">
        <v>320</v>
      </c>
      <c r="R94" s="64" t="n">
        <v>252428</v>
      </c>
      <c r="S94" s="64" t="n">
        <v>0.89</v>
      </c>
      <c r="T94" s="32" t="n"/>
    </row>
    <row r="95" ht="62" customHeight="1">
      <c r="A95" s="10">
        <f>_xlfn.IMAGE("https://m.media-amazon.com/images/I/81VqIAGm8uL.jpg")</f>
        <v/>
      </c>
      <c r="B95" s="32" t="inlineStr">
        <is>
          <t>B0DDTY7F93</t>
        </is>
      </c>
      <c r="C95" s="32" t="inlineStr">
        <is>
          <t>SS-BAMBOO-OLIVE-TWIN-4PCS</t>
        </is>
      </c>
      <c r="D95" s="32" t="inlineStr">
        <is>
          <t>SLEEP SANCTUARY 100% Viscose Derived from Bamboo Sheets Twin Size, 4 Pc Set</t>
        </is>
      </c>
      <c r="E95" s="32" t="inlineStr">
        <is>
          <t>Twin</t>
        </is>
      </c>
      <c r="F95" s="32" t="inlineStr">
        <is>
          <t>Olive</t>
        </is>
      </c>
      <c r="G95" s="60" t="n">
        <v>54.99</v>
      </c>
      <c r="H95" s="32" t="inlineStr">
        <is>
          <t>Helium 10 Xray, 2026-10-13</t>
        </is>
      </c>
      <c r="I95" s="61" t="n">
        <v>54.99</v>
      </c>
      <c r="J95" s="62" t="inlineStr">
        <is>
          <t>2026-03-30</t>
        </is>
      </c>
      <c r="K95" s="33" t="n">
        <v>18.52</v>
      </c>
      <c r="L95" s="63" t="n">
        <v>0.3367885070012729</v>
      </c>
      <c r="M95" s="64" t="n">
        <v>0</v>
      </c>
      <c r="N95" s="32" t="inlineStr">
        <is>
          <t>Active</t>
        </is>
      </c>
      <c r="O95" s="32" t="n"/>
      <c r="P95" s="65" t="n">
        <v>4.5</v>
      </c>
      <c r="Q95" s="64" t="n">
        <v>320</v>
      </c>
      <c r="R95" s="64" t="n">
        <v>252421</v>
      </c>
      <c r="S95" s="64" t="n">
        <v>2</v>
      </c>
      <c r="T95" s="32" t="n"/>
    </row>
    <row r="96" ht="62" customHeight="1">
      <c r="A96" s="10">
        <f>_xlfn.IMAGE("https://m.media-amazon.com/images/I/81qAQB1aouL.jpg")</f>
        <v/>
      </c>
      <c r="B96" s="32" t="inlineStr">
        <is>
          <t>B0DDTZJVSL</t>
        </is>
      </c>
      <c r="C96" s="32" t="inlineStr">
        <is>
          <t>SS-BAMBOO-PURPLE-TWIN-4PCS</t>
        </is>
      </c>
      <c r="D96" s="32" t="inlineStr">
        <is>
          <t>SLEEP SANCTUARY 100% Viscose Derived from Bamboo Sheets Twin Size, 4 Pc Set</t>
        </is>
      </c>
      <c r="E96" s="32" t="inlineStr">
        <is>
          <t>Twin</t>
        </is>
      </c>
      <c r="F96" s="32" t="inlineStr">
        <is>
          <t>Purple</t>
        </is>
      </c>
      <c r="G96" s="60" t="n">
        <v>54.99</v>
      </c>
      <c r="H96" s="32" t="inlineStr">
        <is>
          <t>Helium 10 Xray, 2026-10-13</t>
        </is>
      </c>
      <c r="I96" s="61" t="n">
        <v>54.99</v>
      </c>
      <c r="J96" s="62" t="inlineStr">
        <is>
          <t>2026-03-30</t>
        </is>
      </c>
      <c r="K96" s="33" t="n">
        <v>15.89</v>
      </c>
      <c r="L96" s="63" t="n">
        <v>0.2889616293871613</v>
      </c>
      <c r="M96" s="64" t="n">
        <v>0</v>
      </c>
      <c r="N96" s="32" t="inlineStr">
        <is>
          <t>Active</t>
        </is>
      </c>
      <c r="O96" s="32" t="n"/>
      <c r="P96" s="65" t="n">
        <v>4.5</v>
      </c>
      <c r="Q96" s="64" t="n">
        <v>320</v>
      </c>
      <c r="R96" s="64" t="n">
        <v>252428</v>
      </c>
      <c r="S96" s="64" t="n">
        <v>2</v>
      </c>
      <c r="T96" s="32" t="n"/>
    </row>
    <row r="97" ht="62" customHeight="1">
      <c r="A97" s="10">
        <f>_xlfn.IMAGE("https://m.media-amazon.com/images/I/81WXKFpyLHL.jpg")</f>
        <v/>
      </c>
      <c r="B97" s="32" t="inlineStr">
        <is>
          <t>B0DDTZLDHH</t>
        </is>
      </c>
      <c r="C97" s="32" t="inlineStr">
        <is>
          <t>SS-BAMBOO-SAGE-GREEN-TWIN-4PCS</t>
        </is>
      </c>
      <c r="D97" s="32" t="inlineStr">
        <is>
          <t>SLEEP SANCTUARY 100% Viscose Derived from Bamboo Sheets Twin Size, 4 Pc Set</t>
        </is>
      </c>
      <c r="E97" s="32" t="inlineStr">
        <is>
          <t>Twin</t>
        </is>
      </c>
      <c r="F97" s="32" t="inlineStr">
        <is>
          <t>Sage Green</t>
        </is>
      </c>
      <c r="G97" s="60" t="n">
        <v>54.99</v>
      </c>
      <c r="H97" s="32" t="inlineStr">
        <is>
          <t>Helium 10 Xray, 2026-10-13</t>
        </is>
      </c>
      <c r="I97" s="61" t="n">
        <v>59.99</v>
      </c>
      <c r="J97" s="62" t="inlineStr">
        <is>
          <t>2026-03-30</t>
        </is>
      </c>
      <c r="K97" s="33" t="n">
        <v>22.77</v>
      </c>
      <c r="L97" s="63" t="n">
        <v>0.3795632605434239</v>
      </c>
      <c r="M97" s="64" t="n">
        <v>0</v>
      </c>
      <c r="N97" s="32" t="inlineStr">
        <is>
          <t>Active</t>
        </is>
      </c>
      <c r="O97" s="32" t="n"/>
      <c r="P97" s="65" t="n">
        <v>4.5</v>
      </c>
      <c r="Q97" s="64" t="n">
        <v>320</v>
      </c>
      <c r="R97" s="64" t="n">
        <v>252428</v>
      </c>
      <c r="S97" s="64" t="n">
        <v>2</v>
      </c>
      <c r="T97" s="32" t="n"/>
    </row>
    <row r="98" ht="62" customHeight="1">
      <c r="A98" s="10">
        <f>_xlfn.IMAGE("https://m.media-amazon.com/images/I/81jP+dXApgL.jpg")</f>
        <v/>
      </c>
      <c r="B98" s="32" t="inlineStr">
        <is>
          <t>B0DDTYZ5R2</t>
        </is>
      </c>
      <c r="C98" s="32" t="inlineStr">
        <is>
          <t>SS-BAMBOO-TAUPE-TWIN-4PCS</t>
        </is>
      </c>
      <c r="D98" s="32" t="inlineStr">
        <is>
          <t>SLEEP SANCTUARY 100% Viscose Derived from Bamboo Sheets Twin Size, 4 Pc Set</t>
        </is>
      </c>
      <c r="E98" s="32" t="inlineStr">
        <is>
          <t>Twin</t>
        </is>
      </c>
      <c r="F98" s="32" t="inlineStr">
        <is>
          <t>Taupe</t>
        </is>
      </c>
      <c r="G98" s="60" t="n">
        <v>54.99</v>
      </c>
      <c r="H98" s="32" t="inlineStr">
        <is>
          <t>Helium 10 Xray, 2026-10-13</t>
        </is>
      </c>
      <c r="I98" s="61" t="n">
        <v>54.99</v>
      </c>
      <c r="J98" s="62" t="inlineStr">
        <is>
          <t>2026-03-30</t>
        </is>
      </c>
      <c r="K98" s="33" t="n">
        <v>18.52</v>
      </c>
      <c r="L98" s="63" t="n">
        <v>0.3367885070012729</v>
      </c>
      <c r="M98" s="64" t="n">
        <v>0</v>
      </c>
      <c r="N98" s="32" t="inlineStr">
        <is>
          <t>Active</t>
        </is>
      </c>
      <c r="O98" s="32" t="n"/>
      <c r="P98" s="65" t="n">
        <v>4.5</v>
      </c>
      <c r="Q98" s="64" t="n">
        <v>320</v>
      </c>
      <c r="R98" s="64" t="n">
        <v>252421</v>
      </c>
      <c r="S98" s="64" t="n">
        <v>3</v>
      </c>
      <c r="T98" s="32" t="n"/>
    </row>
    <row r="99" ht="62" customHeight="1">
      <c r="A99" s="10">
        <f>_xlfn.IMAGE("https://m.media-amazon.com/images/I/81gNwuW4tEL.jpg")</f>
        <v/>
      </c>
      <c r="B99" s="32" t="inlineStr">
        <is>
          <t>B0DDTZ2DRM</t>
        </is>
      </c>
      <c r="C99" s="32" t="inlineStr">
        <is>
          <t>SS-BAMBOO-WHITE-TWIN-4PCS</t>
        </is>
      </c>
      <c r="D99" s="32" t="inlineStr">
        <is>
          <t>SLEEP SANCTUARY 100% Viscose Derived from Bamboo Sheets Twin Size, 4 Pc Set</t>
        </is>
      </c>
      <c r="E99" s="32" t="inlineStr">
        <is>
          <t>Twin</t>
        </is>
      </c>
      <c r="F99" s="32" t="inlineStr">
        <is>
          <t>White</t>
        </is>
      </c>
      <c r="G99" s="60" t="n">
        <v>54.99</v>
      </c>
      <c r="H99" s="32" t="inlineStr">
        <is>
          <t>SellerBoard listing price, 2026-10-14</t>
        </is>
      </c>
      <c r="I99" s="61" t="n">
        <v>54.99</v>
      </c>
      <c r="J99" s="62" t="inlineStr">
        <is>
          <t>2026-03-30</t>
        </is>
      </c>
      <c r="K99" s="33" t="n">
        <v>18.52</v>
      </c>
      <c r="L99" s="63" t="n">
        <v>0.3367885070012729</v>
      </c>
      <c r="M99" s="64" t="n"/>
      <c r="N99" s="32" t="inlineStr">
        <is>
          <t>Inactive</t>
        </is>
      </c>
      <c r="O99" s="32" t="n"/>
      <c r="P99" s="65" t="n"/>
      <c r="Q99" s="64" t="n"/>
      <c r="R99" s="64" t="n"/>
      <c r="S99" s="64" t="n"/>
      <c r="T99" s="32" t="n"/>
    </row>
    <row r="101" ht="20" customHeight="1">
      <c r="A101" s="54" t="inlineStr">
        <is>
          <t>3 · OUR BFCM 2025 RESULT &amp; EVENT VISIBILITY</t>
        </is>
      </c>
    </row>
    <row r="102">
      <c r="A102" s="67" t="inlineStr">
        <is>
          <t>Window</t>
        </is>
      </c>
      <c r="B102" s="68" t="n"/>
      <c r="C102" s="69" t="n"/>
      <c r="D102" s="67" t="inlineStr">
        <is>
          <t>Ad spend</t>
        </is>
      </c>
      <c r="E102" s="67" t="inlineStr">
        <is>
          <t>Ad sales</t>
        </is>
      </c>
      <c r="F102" s="67" t="inlineStr">
        <is>
          <t>ACoS</t>
        </is>
      </c>
      <c r="G102" s="67" t="inlineStr">
        <is>
          <t>TACoS</t>
        </is>
      </c>
      <c r="H102" s="67" t="inlineStr">
        <is>
          <t>Total sales (derived)</t>
        </is>
      </c>
      <c r="J102" s="67" t="inlineStr">
        <is>
          <t>Ad orders</t>
        </is>
      </c>
      <c r="K102" s="67" t="inlineStr">
        <is>
          <t>CVR</t>
        </is>
      </c>
    </row>
    <row r="103">
      <c r="A103" s="70" t="inlineStr">
        <is>
          <t>Pre-event Oct 21 - Nov 19, 2025 (30d)</t>
        </is>
      </c>
      <c r="B103" s="68" t="n"/>
      <c r="C103" s="69" t="n"/>
      <c r="D103" s="71" t="n">
        <v>9894.259999999998</v>
      </c>
      <c r="E103" s="71" t="n">
        <v>17274.95</v>
      </c>
      <c r="F103" s="72" t="n">
        <v>57.3</v>
      </c>
      <c r="G103" s="72" t="n">
        <v>35.48896657152019</v>
      </c>
      <c r="H103" s="71" t="n">
        <v>27879.82</v>
      </c>
      <c r="J103" s="73" t="n">
        <v>248</v>
      </c>
      <c r="K103" s="74" t="n">
        <v>14.84</v>
      </c>
    </row>
    <row r="104">
      <c r="A104" s="70" t="inlineStr">
        <is>
          <t>BFCM week Nov 20 - Dec 1, 2025 (12d)</t>
        </is>
      </c>
      <c r="B104" s="68" t="n"/>
      <c r="C104" s="69" t="n"/>
      <c r="D104" s="71" t="n">
        <v>2505.4</v>
      </c>
      <c r="E104" s="71" t="n">
        <v>6125.46</v>
      </c>
      <c r="F104" s="72" t="n">
        <v>40.9</v>
      </c>
      <c r="G104" s="72" t="n">
        <v>18.70162054834399</v>
      </c>
      <c r="H104" s="71" t="n">
        <v>13396.7</v>
      </c>
      <c r="J104" s="73" t="n">
        <v>105</v>
      </c>
      <c r="K104" s="74" t="n">
        <v>20.43</v>
      </c>
    </row>
    <row r="105">
      <c r="A105" s="70" t="inlineStr">
        <is>
          <t>December 2 - 31, 2025 (30d)</t>
        </is>
      </c>
      <c r="B105" s="68" t="n"/>
      <c r="C105" s="69" t="n"/>
      <c r="D105" s="71" t="n">
        <v>15155.59</v>
      </c>
      <c r="E105" s="71" t="n">
        <v>38951.74000000001</v>
      </c>
      <c r="F105" s="72" t="n">
        <v>38.9</v>
      </c>
      <c r="G105" s="72" t="n">
        <v>24.00677517528382</v>
      </c>
      <c r="H105" s="71" t="n">
        <v>63130.47</v>
      </c>
      <c r="J105" s="73" t="n">
        <v>572</v>
      </c>
      <c r="K105" s="74" t="n">
        <v>19.56</v>
      </c>
    </row>
    <row r="107">
      <c r="A107" s="67" t="inlineStr">
        <is>
          <t>Actual sales (SellerBoard)</t>
        </is>
      </c>
      <c r="B107" s="68" t="n"/>
      <c r="C107" s="69" t="n"/>
      <c r="D107" s="67" t="inlineStr">
        <is>
          <t>Sales</t>
        </is>
      </c>
      <c r="E107" s="67" t="inlineStr">
        <is>
          <t>Units</t>
        </is>
      </c>
      <c r="F107" s="67" t="inlineStr">
        <is>
          <t>Organic units</t>
        </is>
      </c>
      <c r="G107" s="67" t="inlineStr">
        <is>
          <t>Ad units</t>
        </is>
      </c>
      <c r="H107" s="67" t="inlineStr">
        <is>
          <t>Ad cost</t>
        </is>
      </c>
      <c r="J107" s="67" t="inlineStr">
        <is>
          <t>TACoS (actual)</t>
        </is>
      </c>
      <c r="K107" s="67" t="inlineStr">
        <is>
          <t>Sessions</t>
        </is>
      </c>
      <c r="L107" s="67" t="inlineStr">
        <is>
          <t>Unit session %</t>
        </is>
      </c>
      <c r="M107" s="67" t="inlineStr">
        <is>
          <t>Avg price</t>
        </is>
      </c>
      <c r="N107" s="67" t="inlineStr">
        <is>
          <t>Refunds</t>
        </is>
      </c>
    </row>
    <row r="108">
      <c r="A108" s="70" t="inlineStr">
        <is>
          <t>Pre-event Oct 21 - Nov 19, 2025 (30d)</t>
        </is>
      </c>
      <c r="B108" s="68" t="n"/>
      <c r="C108" s="69" t="n"/>
      <c r="D108" s="71" t="n">
        <v>27879.82</v>
      </c>
      <c r="E108" s="73" t="n">
        <v>423</v>
      </c>
      <c r="F108" s="73" t="n">
        <v>376</v>
      </c>
      <c r="G108" s="73" t="n">
        <v>47</v>
      </c>
      <c r="H108" s="71" t="n">
        <v>9894.26</v>
      </c>
      <c r="J108" s="75" t="n">
        <v>0.3548896657152019</v>
      </c>
      <c r="K108" s="73" t="n">
        <v>6527</v>
      </c>
      <c r="L108" s="75" t="n">
        <v>0.06480772177110464</v>
      </c>
      <c r="M108" s="76" t="n">
        <v>65.90973995271868</v>
      </c>
      <c r="N108" s="73" t="n">
        <v>40</v>
      </c>
    </row>
    <row r="109">
      <c r="A109" s="70" t="inlineStr">
        <is>
          <t>BFCM week Nov 20 - Dec 1, 2025 (12d)</t>
        </is>
      </c>
      <c r="B109" s="68" t="n"/>
      <c r="C109" s="69" t="n"/>
      <c r="D109" s="71" t="n">
        <v>13396.7</v>
      </c>
      <c r="E109" s="73" t="n">
        <v>231</v>
      </c>
      <c r="F109" s="73" t="n">
        <v>213</v>
      </c>
      <c r="G109" s="73" t="n">
        <v>18</v>
      </c>
      <c r="H109" s="71" t="n">
        <v>2505.46</v>
      </c>
      <c r="J109" s="75" t="n">
        <v>0.1870206841983474</v>
      </c>
      <c r="K109" s="73" t="n">
        <v>2834</v>
      </c>
      <c r="L109" s="75" t="n">
        <v>0.08151023288637967</v>
      </c>
      <c r="M109" s="76" t="n">
        <v>57.9943722943723</v>
      </c>
      <c r="N109" s="73" t="n">
        <v>7</v>
      </c>
    </row>
    <row r="110">
      <c r="A110" s="70" t="inlineStr">
        <is>
          <t>December 2 - 31, 2025 (30d)</t>
        </is>
      </c>
      <c r="B110" s="68" t="n"/>
      <c r="C110" s="69" t="n"/>
      <c r="D110" s="71" t="n">
        <v>63405.42</v>
      </c>
      <c r="E110" s="73" t="n">
        <v>963</v>
      </c>
      <c r="F110" s="73" t="n">
        <v>869</v>
      </c>
      <c r="G110" s="73" t="n">
        <v>94</v>
      </c>
      <c r="H110" s="71" t="n">
        <v>15155.59</v>
      </c>
      <c r="J110" s="75" t="n">
        <v>0.2390267267372411</v>
      </c>
      <c r="K110" s="73" t="n">
        <v>11372</v>
      </c>
      <c r="L110" s="75" t="n">
        <v>0.08468167428772423</v>
      </c>
      <c r="M110" s="76" t="n">
        <v>65.84155763239875</v>
      </c>
      <c r="N110" s="73" t="n">
        <v>51</v>
      </c>
    </row>
    <row r="111">
      <c r="A111" s="59" t="inlineStr">
        <is>
          <t>SellerBoard, Ecotero account, Amazon parent B0HBWXDWJ5 plus any of this product's child ASINs SellerBoard lists on their own, UTC days. Lift above uses these actual sales (1.20x; the ad-spend estimate was 1.20x).</t>
        </is>
      </c>
    </row>
    <row r="112" ht="18" customHeight="1">
      <c r="A112" s="77" t="inlineStr">
        <is>
          <t>Deals Nov 1 - Dec 5, 2025: no record returned by the DataHub promotions feed. Unknown, not proof that no deal ran.</t>
        </is>
      </c>
    </row>
    <row r="113" ht="30" customHeight="1">
      <c r="A113" s="105" t="inlineStr">
        <is>
          <t>Prime Exclusive Discount seen in Keepa, BFCM 2025 (not in the DataHub deal feed): B0DDTVMMYW $51.99 11-28 to 12-03; B0DDTVZRYJ $55.99 11-28 to 11-30; B0DDTWSK28 $47.99 11-28 to 12-03; B0DDTYDHVB $55.99 11-28 to 12-02. Keepa observation only - campaign, scheduled dates and discount depth not confirmed.</t>
        </is>
      </c>
    </row>
    <row r="114" ht="26" customHeight="1">
      <c r="A114" s="77" t="inlineStr">
        <is>
          <t>Stock in BFCM week 2025 (FBA inventory snapshots, child-ASIN level, revision 2): 0 of 80 variations hit zero FBA stock on at least one observed day; weighted by today's sales mix that is ~0.0% of variation-days lost. Snapshots missing: US Nov 26-27 and Dec 1 (Cyber Monday); CA Nov 24, 29-30.</t>
        </is>
      </c>
    </row>
    <row r="115">
      <c r="A115" s="59" t="inlineStr">
        <is>
          <t>Command Center visibility for our best child B0DDTYDHVB: organic score 0.5 before BFCM 2025 → 1.0 in BFCM week; Prime Day 2026 31.2 → 6.2; Aug-Sep 2026 45.3.</t>
        </is>
      </c>
    </row>
    <row r="117" ht="20" customHeight="1">
      <c r="A117" s="54" t="inlineStr">
        <is>
          <t>4 · COMPETITOR LANDSCAPE (30 mapped)</t>
        </is>
      </c>
    </row>
    <row r="118">
      <c r="A118" s="59" t="inlineStr">
        <is>
          <t>Sorted by tier, then estimated weekly units. Green = Command Center price/sales; blue = Data Dive listing; purple = Command Center search strategy (ASINsight); yellow = fill from Keepa / page check.</t>
        </is>
      </c>
    </row>
    <row r="119">
      <c r="A119" s="78" t="inlineStr">
        <is>
          <t>COMPETITOR</t>
        </is>
      </c>
      <c r="I119" s="79" t="inlineStr">
        <is>
          <t>LISTING - Data Dive</t>
        </is>
      </c>
      <c r="J119" s="80" t="inlineStr">
        <is>
          <t>SEARCH STRATEGY - Command Center ASINsight</t>
        </is>
      </c>
      <c r="K119" s="81" t="inlineStr">
        <is>
          <t>PRICE &amp; SALES - Command Center snapshot (date per row)</t>
        </is>
      </c>
      <c r="X119" s="79" t="inlineStr">
        <is>
          <t>LISTING - Data Dive</t>
        </is>
      </c>
      <c r="AA119" s="80" t="inlineStr">
        <is>
          <t>SEARCH STRATEGY - Command Center ASINsight</t>
        </is>
      </c>
      <c r="AR119" s="82" t="inlineStr">
        <is>
          <t>STR NOW - Amazon page check (Oct 13, P1 + P2)</t>
        </is>
      </c>
      <c r="AY119" s="83" t="inlineStr">
        <is>
          <t>BFCM 2025 - Keepa (P1 filled; yellow = not pulled yet)</t>
        </is>
      </c>
    </row>
    <row r="120" ht="48" customHeight="1">
      <c r="A120" s="22" t="inlineStr">
        <is>
          <t>Image</t>
        </is>
      </c>
      <c r="B120" s="22" t="inlineStr">
        <is>
          <t>Brand</t>
        </is>
      </c>
      <c r="C120" s="22" t="inlineStr">
        <is>
          <t>Product title</t>
        </is>
      </c>
      <c r="D120" s="22" t="inlineStr">
        <is>
          <t>Tier</t>
        </is>
      </c>
      <c r="E120" s="22" t="inlineStr">
        <is>
          <t>Parent ASIN</t>
        </is>
      </c>
      <c r="F120" s="22" t="inlineStr">
        <is>
          <t>Tracked child ASIN</t>
        </is>
      </c>
      <c r="G120" s="22" t="inlineStr">
        <is>
          <t>Size (title)</t>
        </is>
      </c>
      <c r="H120" s="22" t="inlineStr">
        <is>
          <t>Colour (title)</t>
        </is>
      </c>
      <c r="I120" s="22" t="inlineStr">
        <is>
          <t>Variations</t>
        </is>
      </c>
      <c r="J120" s="22" t="inlineStr">
        <is>
          <t>Hero child ASINs (share of their visibility)</t>
        </is>
      </c>
      <c r="K120" s="22" t="inlineStr">
        <is>
          <t>Price ($)</t>
        </is>
      </c>
      <c r="L120" s="22" t="inlineStr">
        <is>
          <t>List Price ($)</t>
        </is>
      </c>
      <c r="M120" s="22" t="inlineStr">
        <is>
          <t>List Price % over</t>
        </is>
      </c>
      <c r="N120" s="22" t="inlineStr">
        <is>
          <t>STR band</t>
        </is>
      </c>
      <c r="O120" s="22" t="inlineStr">
        <is>
          <t>Our price, same size ($)</t>
        </is>
      </c>
      <c r="P120" s="22" t="inlineStr">
        <is>
          <t>Their price vs ours</t>
        </is>
      </c>
      <c r="Q120" s="22" t="inlineStr">
        <is>
          <t>Comparison basis</t>
        </is>
      </c>
      <c r="R120" s="22" t="inlineStr">
        <is>
          <t>BSR</t>
        </is>
      </c>
      <c r="S120" s="22" t="inlineStr">
        <is>
          <t>Est weekly units</t>
        </is>
      </c>
      <c r="T120" s="22" t="inlineStr">
        <is>
          <t>Est monthly revenue ($)</t>
        </is>
      </c>
      <c r="U120" s="22" t="inlineStr">
        <is>
          <t>Rating</t>
        </is>
      </c>
      <c r="V120" s="22" t="inlineStr">
        <is>
          <t>Reviews</t>
        </is>
      </c>
      <c r="W120" s="22" t="inlineStr">
        <is>
          <t>Snapshot date</t>
        </is>
      </c>
      <c r="X120" s="22" t="inlineStr">
        <is>
          <t>Listed</t>
        </is>
      </c>
      <c r="Y120" s="22" t="inlineStr">
        <is>
          <t>Fulfil.</t>
        </is>
      </c>
      <c r="Z120" s="22" t="inlineStr">
        <is>
          <t>Seller country</t>
        </is>
      </c>
      <c r="AA120" s="22" t="inlineStr">
        <is>
          <t>ASINsight 7d traffic</t>
        </is>
      </c>
      <c r="AB120" s="22" t="inlineStr">
        <is>
          <t>Keywords ranked</t>
        </is>
      </c>
      <c r="AC120" s="22" t="inlineStr">
        <is>
          <t>Organic share of traffic</t>
        </is>
      </c>
      <c r="AD120" s="22" t="inlineStr">
        <is>
          <t>Ad share of traffic</t>
        </is>
      </c>
      <c r="AE120" s="22" t="inlineStr">
        <is>
          <t>Top keyword</t>
        </is>
      </c>
      <c r="AF120" s="22" t="inlineStr">
        <is>
          <t>SP reach</t>
        </is>
      </c>
      <c r="AG120" s="22" t="inlineStr">
        <is>
          <t>SB reach</t>
        </is>
      </c>
      <c r="AH120" s="22" t="inlineStr">
        <is>
          <t>SB video reach</t>
        </is>
      </c>
      <c r="AI120" s="22" t="inlineStr">
        <is>
          <t>Amazon's Choice reach</t>
        </is>
      </c>
      <c r="AJ120" s="22" t="inlineStr">
        <is>
          <t>Shared keywords</t>
        </is>
      </c>
      <c r="AK120" s="22" t="inlineStr">
        <is>
          <t>We win</t>
        </is>
      </c>
      <c r="AL120" s="22" t="inlineStr">
        <is>
          <t>We lose</t>
        </is>
      </c>
      <c r="AM120" s="22" t="inlineStr">
        <is>
          <t>Their keywords we miss</t>
        </is>
      </c>
      <c r="AN120" s="22" t="inlineStr">
        <is>
          <t>KWs they advertise, we don't</t>
        </is>
      </c>
      <c r="AO120" s="22" t="inlineStr">
        <is>
          <t>KWs they out-advertise us</t>
        </is>
      </c>
      <c r="AP120" s="22" t="inlineStr">
        <is>
          <t>Prime Day 2026 organic vis lift</t>
        </is>
      </c>
      <c r="AQ120" s="22" t="inlineStr">
        <is>
          <t>Organic trend (Aug-Sep vs Q2)</t>
        </is>
      </c>
      <c r="AR120" s="22" t="inlineStr">
        <is>
          <t>STR showing now? (Y/N)</t>
        </is>
      </c>
      <c r="AS120" s="22" t="inlineStr">
        <is>
          <t>STR label</t>
        </is>
      </c>
      <c r="AT120" s="22" t="inlineStr">
        <is>
          <t>Strikethrough price ($)</t>
        </is>
      </c>
      <c r="AU120" s="22" t="inlineStr">
        <is>
          <t>Page price at check ($)</t>
        </is>
      </c>
      <c r="AV120" s="22" t="inlineStr">
        <is>
          <t>Deal / coupon now</t>
        </is>
      </c>
      <c r="AW120" s="22" t="inlineStr">
        <is>
          <t>Orderable now (Y/N)</t>
        </is>
      </c>
      <c r="AX120" s="22" t="inlineStr">
        <is>
          <t>Checked (ET)</t>
        </is>
      </c>
      <c r="AY120" s="22" t="inlineStr">
        <is>
          <t>BFCM 2025 deal type</t>
        </is>
      </c>
      <c r="AZ120" s="22" t="inlineStr">
        <is>
          <t>BFCM 2025 deal dates</t>
        </is>
      </c>
      <c r="BA120" s="22" t="inlineStr">
        <is>
          <t>Pre-event price ($)</t>
        </is>
      </c>
      <c r="BB120" s="22" t="inlineStr">
        <is>
          <t>BFCM 2025 low ($)</t>
        </is>
      </c>
      <c r="BC120" s="22" t="inlineStr">
        <is>
          <t>BFCM 2025 discount</t>
        </is>
      </c>
      <c r="BD120" s="22" t="inlineStr">
        <is>
          <t>BSR pre-event</t>
        </is>
      </c>
      <c r="BE120" s="22" t="inlineStr">
        <is>
          <t>BSR BFCM wk</t>
        </is>
      </c>
      <c r="BF120" s="22" t="inlineStr">
        <is>
          <t>BSR lift (x)</t>
        </is>
      </c>
      <c r="BG120" s="22" t="inlineStr">
        <is>
          <t>OOS in BFCM? (Y/N)</t>
        </is>
      </c>
      <c r="BH120" s="22" t="inlineStr">
        <is>
          <t>Notes</t>
        </is>
      </c>
    </row>
    <row r="121" ht="62" customHeight="1">
      <c r="A121" s="10">
        <f>_xlfn.IMAGE("https://images-na.ssl-images-amazon.com/images/I/91dfner9BkL.jpg")</f>
        <v/>
      </c>
      <c r="B121" s="84" t="inlineStr">
        <is>
          <t>Pure Bamboo</t>
        </is>
      </c>
      <c r="C121" s="32" t="inlineStr">
        <is>
          <t>Pure Bamboo King Sheets, Genuine 100% Organic Viscose Derived from Bamboo Bed Sheet Set, Luxuriously Soft &amp; Cooling, Double Stitching, 2 Year Quality Promise (King, Ivory)</t>
        </is>
      </c>
      <c r="D121" s="84" t="inlineStr">
        <is>
          <t>Aspirational</t>
        </is>
      </c>
      <c r="E121" s="84" t="inlineStr">
        <is>
          <t>B0CZQ52MTQ</t>
        </is>
      </c>
      <c r="F121" s="84" t="inlineStr">
        <is>
          <t>B07DZTQ4JC</t>
        </is>
      </c>
      <c r="G121" s="84" t="inlineStr">
        <is>
          <t>King</t>
        </is>
      </c>
      <c r="H121" s="84" t="inlineStr">
        <is>
          <t>Ivory</t>
        </is>
      </c>
      <c r="I121" s="85" t="n">
        <v>181</v>
      </c>
      <c r="J121" s="32" t="inlineStr">
        <is>
          <t>B07MZ4GKZH (30%), B079RXWGSD (12%), B07DZTQ4JC (11%), B074CHDX7V (10%), B07DZMB498 (5%)</t>
        </is>
      </c>
      <c r="K121" s="86" t="n">
        <v>109.99</v>
      </c>
      <c r="L121" s="86" t="n"/>
      <c r="M121" s="87">
        <f>IF(AND(ISNUMBER(L121),ISNUMBER(K121),N(K121)&gt;0),L121/K121-1,"")</f>
        <v/>
      </c>
      <c r="N121" s="88">
        <f>IF(M121="","No List Price",IF(M121&lt;=0,"At/below price",IF(M121&lt;=0.12,"&lt;=12% STR zone",IF(M121&lt;=0.25,"12-25%","&gt;25% over"))))</f>
        <v/>
      </c>
      <c r="O121" s="86" t="n">
        <v>69.98999999999999</v>
      </c>
      <c r="P121" s="89">
        <f>IF(AND(ISNUMBER(K121),ISNUMBER(O121),N(O121)&gt;0),K121/O121-1,"")</f>
        <v/>
      </c>
      <c r="Q121" s="32" t="inlineStr">
        <is>
          <t>Same size (King). Ours live: Helium 10 Xray, 2026-10-13; 16 children</t>
        </is>
      </c>
      <c r="R121" s="85" t="n">
        <v>304</v>
      </c>
      <c r="S121" s="85" t="n">
        <v>809</v>
      </c>
      <c r="T121" s="90">
        <f>IF(AND(ISNUMBER(K121),ISNUMBER(S121)),K121*S121*52/12,"")</f>
        <v/>
      </c>
      <c r="U121" s="91" t="n">
        <v>4.5</v>
      </c>
      <c r="V121" s="85" t="n">
        <v>21927</v>
      </c>
      <c r="W121" s="92" t="n">
        <v>46307</v>
      </c>
      <c r="X121" s="92" t="n">
        <v>43281</v>
      </c>
      <c r="Y121" s="84" t="inlineStr">
        <is>
          <t>FBA</t>
        </is>
      </c>
      <c r="Z121" s="84" t="inlineStr">
        <is>
          <t>US</t>
        </is>
      </c>
      <c r="AA121" s="85" t="n">
        <v>2565055</v>
      </c>
      <c r="AB121" s="85" t="n">
        <v>8283</v>
      </c>
      <c r="AC121" s="93" t="n">
        <v>0.4648594811807159</v>
      </c>
      <c r="AD121" s="93" t="n">
        <v>0.5351407059497737</v>
      </c>
      <c r="AE121" s="32" t="inlineStr">
        <is>
          <t>bamboo sheets</t>
        </is>
      </c>
      <c r="AF121" s="93" t="n">
        <v>0.8806310196077667</v>
      </c>
      <c r="AG121" s="93" t="n">
        <v>0.8210506207469236</v>
      </c>
      <c r="AH121" s="93" t="n">
        <v>0.8831019217911507</v>
      </c>
      <c r="AI121" s="93" t="n">
        <v>0.2663467255088098</v>
      </c>
      <c r="AJ121" s="85" t="n">
        <v>435</v>
      </c>
      <c r="AK121" s="85" t="n">
        <v>14</v>
      </c>
      <c r="AL121" s="85" t="n">
        <v>407</v>
      </c>
      <c r="AM121" s="85" t="n">
        <v>7848</v>
      </c>
      <c r="AN121" s="85" t="n">
        <v>3784</v>
      </c>
      <c r="AO121" s="85" t="n">
        <v>10</v>
      </c>
      <c r="AP121" s="94" t="n">
        <v>1.180104147961932</v>
      </c>
      <c r="AQ121" s="89" t="n">
        <v>1.570823710546574</v>
      </c>
      <c r="AR121" s="95" t="inlineStr">
        <is>
          <t>N</t>
        </is>
      </c>
      <c r="AS121" s="95" t="inlineStr">
        <is>
          <t>none</t>
        </is>
      </c>
      <c r="AT121" s="101" t="n"/>
      <c r="AU121" s="96" t="n">
        <v>109.99</v>
      </c>
      <c r="AV121" s="95" t="inlineStr">
        <is>
          <t>none</t>
        </is>
      </c>
      <c r="AW121" s="95" t="inlineStr">
        <is>
          <t>Y</t>
        </is>
      </c>
      <c r="AX121" s="95" t="inlineStr">
        <is>
          <t>2026-10-13 12:11:16</t>
        </is>
      </c>
      <c r="AY121" s="97" t="inlineStr">
        <is>
          <t>None</t>
        </is>
      </c>
      <c r="AZ121" s="102" t="n"/>
      <c r="BA121" s="98" t="n">
        <v>109.99</v>
      </c>
      <c r="BB121" s="98" t="n">
        <v>109.99</v>
      </c>
      <c r="BC121" s="87">
        <f>IF(AND(ISNUMBER(BA121),ISNUMBER(BB121),N(BA121)&gt;0),1-BB121/BA121,"")</f>
        <v/>
      </c>
      <c r="BD121" s="99" t="n">
        <v>287</v>
      </c>
      <c r="BE121" s="99" t="n">
        <v>598</v>
      </c>
      <c r="BF121" s="100">
        <f>IF(AND(ISNUMBER(BD121),ISNUMBER(BE121),N(BE121)&gt;0),BD121/BE121,"")</f>
        <v/>
      </c>
      <c r="BG121" s="97" t="inlineStr">
        <is>
          <t>N</t>
        </is>
      </c>
      <c r="BH121" s="97" t="inlineStr">
        <is>
          <t>List Price $139.99/$149.99</t>
        </is>
      </c>
    </row>
    <row r="122" ht="62" customHeight="1">
      <c r="A122" s="10">
        <f>_xlfn.IMAGE("https://images-na.ssl-images-amazon.com/images/I/71oEhkRYQ+L.jpg")</f>
        <v/>
      </c>
      <c r="B122" s="84" t="inlineStr">
        <is>
          <t>Hotel Sheets Direct</t>
        </is>
      </c>
      <c r="C122" s="32" t="inlineStr">
        <is>
          <t>Hotel Sheets Direct 4 Piece Bed Sheet Set Queen Size, 100% Viscose Derived from Bamboo Sheets Set with 2 Pillowcases, Cooling &amp; Breathable Luxury Bedding, Moisture-Wicking &amp; Silky Soft Texture, White</t>
        </is>
      </c>
      <c r="D122" s="84" t="inlineStr">
        <is>
          <t>Aspirational</t>
        </is>
      </c>
      <c r="E122" s="84" t="inlineStr">
        <is>
          <t>B0G5N99X9R</t>
        </is>
      </c>
      <c r="F122" s="84" t="inlineStr">
        <is>
          <t>B01N9L2O9P</t>
        </is>
      </c>
      <c r="G122" s="84" t="inlineStr">
        <is>
          <t>Queen</t>
        </is>
      </c>
      <c r="H122" s="84" t="inlineStr">
        <is>
          <t>White</t>
        </is>
      </c>
      <c r="I122" s="85" t="n">
        <v>61</v>
      </c>
      <c r="J122" s="32" t="inlineStr">
        <is>
          <t>B01N9L2O9P (30%), B01N0UB2GO (20%), B072WD91XH (10%), B072WV76WK (6%), B07RJBYJ9L (5%)</t>
        </is>
      </c>
      <c r="K122" s="86" t="n">
        <v>79.98999999999999</v>
      </c>
      <c r="L122" s="86" t="n"/>
      <c r="M122" s="87">
        <f>IF(AND(ISNUMBER(L122),ISNUMBER(K122),N(K122)&gt;0),L122/K122-1,"")</f>
        <v/>
      </c>
      <c r="N122" s="88">
        <f>IF(M122="","No List Price",IF(M122&lt;=0,"At/below price",IF(M122&lt;=0.12,"&lt;=12% STR zone",IF(M122&lt;=0.25,"12-25%","&gt;25% over"))))</f>
        <v/>
      </c>
      <c r="O122" s="86" t="n">
        <v>64.98999999999999</v>
      </c>
      <c r="P122" s="89">
        <f>IF(AND(ISNUMBER(K122),ISNUMBER(O122),N(O122)&gt;0),K122/O122-1,"")</f>
        <v/>
      </c>
      <c r="Q122" s="32" t="inlineStr">
        <is>
          <t>Same size (Queen). Ours live: SellerBoard listing price, 2026-10-14; 17 children</t>
        </is>
      </c>
      <c r="R122" s="85" t="n">
        <v>2984</v>
      </c>
      <c r="S122" s="85" t="n">
        <v>347</v>
      </c>
      <c r="T122" s="90">
        <f>IF(AND(ISNUMBER(K122),ISNUMBER(S122)),K122*S122*52/12,"")</f>
        <v/>
      </c>
      <c r="U122" s="91" t="n">
        <v>4.4</v>
      </c>
      <c r="V122" s="85" t="n">
        <v>37179</v>
      </c>
      <c r="W122" s="92" t="n">
        <v>46307</v>
      </c>
      <c r="X122" s="92" t="n">
        <v>42729</v>
      </c>
      <c r="Y122" s="84" t="inlineStr">
        <is>
          <t>FBA</t>
        </is>
      </c>
      <c r="Z122" s="84" t="inlineStr">
        <is>
          <t>US</t>
        </is>
      </c>
      <c r="AA122" s="85" t="n">
        <v>451969</v>
      </c>
      <c r="AB122" s="85" t="n">
        <v>4094</v>
      </c>
      <c r="AC122" s="93" t="n">
        <v>0.6071584272372669</v>
      </c>
      <c r="AD122" s="93" t="n">
        <v>0.3928415727627336</v>
      </c>
      <c r="AE122" s="32" t="inlineStr">
        <is>
          <t>hotel</t>
        </is>
      </c>
      <c r="AF122" s="93" t="n">
        <v>0.9036371963563873</v>
      </c>
      <c r="AG122" s="93" t="n">
        <v>0.4767871247806819</v>
      </c>
      <c r="AH122" s="93" t="n">
        <v>0.1264024745059949</v>
      </c>
      <c r="AI122" s="93" t="n">
        <v>0.3227168234989568</v>
      </c>
      <c r="AJ122" s="85" t="n">
        <v>412</v>
      </c>
      <c r="AK122" s="85" t="n">
        <v>27</v>
      </c>
      <c r="AL122" s="85" t="n">
        <v>355</v>
      </c>
      <c r="AM122" s="85" t="n">
        <v>3682</v>
      </c>
      <c r="AN122" s="85" t="n">
        <v>948</v>
      </c>
      <c r="AO122" s="85" t="n">
        <v>3</v>
      </c>
      <c r="AP122" s="94" t="n">
        <v>1.799620493358634</v>
      </c>
      <c r="AQ122" s="89" t="n">
        <v>0.004829621679635077</v>
      </c>
      <c r="AR122" s="95" t="inlineStr">
        <is>
          <t>N</t>
        </is>
      </c>
      <c r="AS122" s="95" t="inlineStr">
        <is>
          <t>none</t>
        </is>
      </c>
      <c r="AT122" s="101" t="n"/>
      <c r="AU122" s="96" t="n">
        <v>79.98999999999999</v>
      </c>
      <c r="AV122" s="95" t="inlineStr">
        <is>
          <t>none</t>
        </is>
      </c>
      <c r="AW122" s="95" t="inlineStr">
        <is>
          <t>Y</t>
        </is>
      </c>
      <c r="AX122" s="95" t="inlineStr">
        <is>
          <t>2026-10-13 12:10:54</t>
        </is>
      </c>
      <c r="AY122" s="97" t="inlineStr">
        <is>
          <t>Price cut only</t>
        </is>
      </c>
      <c r="AZ122" s="97" t="inlineStr">
        <is>
          <t>11-20 to 12-01</t>
        </is>
      </c>
      <c r="BA122" s="98" t="n">
        <v>72.98999999999999</v>
      </c>
      <c r="BB122" s="98" t="n">
        <v>57.99</v>
      </c>
      <c r="BC122" s="87">
        <f>IF(AND(ISNUMBER(BA122),ISNUMBER(BB122),N(BA122)&gt;0),1-BB122/BA122,"")</f>
        <v/>
      </c>
      <c r="BD122" s="99" t="n">
        <v>3871</v>
      </c>
      <c r="BE122" s="99" t="n">
        <v>1703</v>
      </c>
      <c r="BF122" s="100">
        <f>IF(AND(ISNUMBER(BD122),ISNUMBER(BE122),N(BE122)&gt;0),BD122/BE122,"")</f>
        <v/>
      </c>
      <c r="BG122" s="97" t="inlineStr">
        <is>
          <t>N</t>
        </is>
      </c>
      <c r="BH122" s="97" t="inlineStr">
        <is>
          <t>Lightning Deal 11-07 to 11-11; Coupon 20% (11-12 to 12-02); List Price $72.99</t>
        </is>
      </c>
    </row>
    <row r="123" ht="62" customHeight="1">
      <c r="A123" s="39" t="inlineStr">
        <is>
          <t>IMAGE MISSING</t>
        </is>
      </c>
      <c r="B123" s="84" t="inlineStr">
        <is>
          <t>BAMPURE</t>
        </is>
      </c>
      <c r="C123" s="32" t="inlineStr">
        <is>
          <t>Bamboo Sheets</t>
        </is>
      </c>
      <c r="D123" s="84" t="inlineStr">
        <is>
          <t>Aspirational</t>
        </is>
      </c>
      <c r="E123" s="84" t="inlineStr">
        <is>
          <t>B0FH2WGKJV</t>
        </is>
      </c>
      <c r="F123" s="84" t="inlineStr">
        <is>
          <t>B07XC2KVM7</t>
        </is>
      </c>
      <c r="G123" s="84" t="n"/>
      <c r="H123" s="84" t="n"/>
      <c r="I123" s="85" t="n"/>
      <c r="J123" s="32" t="inlineStr"/>
      <c r="K123" s="86" t="n">
        <v>37.99</v>
      </c>
      <c r="L123" s="86" t="n"/>
      <c r="M123" s="87">
        <f>IF(AND(ISNUMBER(L123),ISNUMBER(K123),N(K123)&gt;0),L123/K123-1,"")</f>
        <v/>
      </c>
      <c r="N123" s="88">
        <f>IF(M123="","No List Price",IF(M123&lt;=0,"At/below price",IF(M123&lt;=0.12,"&lt;=12% STR zone",IF(M123&lt;=0.25,"12-25%","&gt;25% over"))))</f>
        <v/>
      </c>
      <c r="O123" s="86" t="n">
        <v>64.98999999999999</v>
      </c>
      <c r="P123" s="89">
        <f>IF(AND(ISNUMBER(K123),ISNUMBER(O123),N(O123)&gt;0),K123/O123-1,"")</f>
        <v/>
      </c>
      <c r="Q123" s="32" t="inlineStr">
        <is>
          <t>Size not stated - vs our Queen. Ours live: SellerBoard listing price, 2026-10-14; 17 children</t>
        </is>
      </c>
      <c r="R123" s="85" t="n">
        <v>2541068</v>
      </c>
      <c r="S123" s="85" t="n">
        <v>5</v>
      </c>
      <c r="T123" s="90">
        <f>IF(AND(ISNUMBER(K123),ISNUMBER(S123)),K123*S123*52/12,"")</f>
        <v/>
      </c>
      <c r="U123" s="91" t="n">
        <v>4.4</v>
      </c>
      <c r="V123" s="85" t="n">
        <v>30</v>
      </c>
      <c r="W123" s="92" t="n">
        <v>46307</v>
      </c>
      <c r="X123" s="92" t="n"/>
      <c r="Y123" s="84" t="n"/>
      <c r="Z123" s="84" t="n"/>
      <c r="AA123" s="85" t="n"/>
      <c r="AB123" s="85" t="n"/>
      <c r="AC123" s="93" t="n"/>
      <c r="AD123" s="93" t="n"/>
      <c r="AE123" s="32" t="n"/>
      <c r="AF123" s="93" t="n"/>
      <c r="AG123" s="93" t="n"/>
      <c r="AH123" s="93" t="n"/>
      <c r="AI123" s="93" t="n"/>
      <c r="AJ123" s="85" t="n"/>
      <c r="AK123" s="85" t="n"/>
      <c r="AL123" s="85" t="n"/>
      <c r="AM123" s="85" t="n"/>
      <c r="AN123" s="85" t="n"/>
      <c r="AO123" s="85" t="n"/>
      <c r="AP123" s="94" t="n"/>
      <c r="AQ123" s="89" t="n"/>
      <c r="AR123" s="95" t="inlineStr">
        <is>
          <t>N</t>
        </is>
      </c>
      <c r="AS123" s="95" t="inlineStr">
        <is>
          <t>none</t>
        </is>
      </c>
      <c r="AT123" s="101" t="n"/>
      <c r="AU123" s="101" t="n"/>
      <c r="AV123" s="95" t="inlineStr">
        <is>
          <t>none</t>
        </is>
      </c>
      <c r="AW123" s="95" t="inlineStr">
        <is>
          <t>N</t>
        </is>
      </c>
      <c r="AX123" s="95" t="inlineStr">
        <is>
          <t>2026-10-13 12:10:15</t>
        </is>
      </c>
      <c r="AY123" s="97" t="inlineStr">
        <is>
          <t>None</t>
        </is>
      </c>
      <c r="AZ123" s="102" t="n"/>
      <c r="BA123" s="98" t="n">
        <v>69.98999999999999</v>
      </c>
      <c r="BB123" s="98" t="n">
        <v>69.98999999999999</v>
      </c>
      <c r="BC123" s="87">
        <f>IF(AND(ISNUMBER(BA123),ISNUMBER(BB123),N(BA123)&gt;0),1-BB123/BA123,"")</f>
        <v/>
      </c>
      <c r="BD123" s="99" t="n">
        <v>31768</v>
      </c>
      <c r="BE123" s="99" t="n">
        <v>27950</v>
      </c>
      <c r="BF123" s="100">
        <f>IF(AND(ISNUMBER(BD123),ISNUMBER(BE123),N(BE123)&gt;0),BD123/BE123,"")</f>
        <v/>
      </c>
      <c r="BG123" s="97" t="inlineStr">
        <is>
          <t>N</t>
        </is>
      </c>
      <c r="BH123" s="97" t="inlineStr">
        <is>
          <t>List Price $69.99</t>
        </is>
      </c>
    </row>
    <row r="124" ht="62" customHeight="1">
      <c r="A124" s="39" t="inlineStr">
        <is>
          <t>IMAGE MISSING</t>
        </is>
      </c>
      <c r="B124" s="84" t="inlineStr">
        <is>
          <t>BC BELLA COTERIE</t>
        </is>
      </c>
      <c r="C124" s="32" t="inlineStr">
        <is>
          <t>4 Piece Bamboo Sheet Set</t>
        </is>
      </c>
      <c r="D124" s="84" t="inlineStr">
        <is>
          <t>Aspirational</t>
        </is>
      </c>
      <c r="E124" s="84" t="inlineStr">
        <is>
          <t>B0GKBNZ8TC</t>
        </is>
      </c>
      <c r="F124" s="84" t="inlineStr">
        <is>
          <t>B0G674ZDTV</t>
        </is>
      </c>
      <c r="G124" s="84" t="n"/>
      <c r="H124" s="84" t="n"/>
      <c r="I124" s="85" t="n"/>
      <c r="J124" s="32" t="inlineStr"/>
      <c r="K124" s="86" t="n">
        <v>129.99</v>
      </c>
      <c r="L124" s="86" t="n"/>
      <c r="M124" s="87">
        <f>IF(AND(ISNUMBER(L124),ISNUMBER(K124),N(K124)&gt;0),L124/K124-1,"")</f>
        <v/>
      </c>
      <c r="N124" s="88">
        <f>IF(M124="","No List Price",IF(M124&lt;=0,"At/below price",IF(M124&lt;=0.12,"&lt;=12% STR zone",IF(M124&lt;=0.25,"12-25%","&gt;25% over"))))</f>
        <v/>
      </c>
      <c r="O124" s="86" t="n">
        <v>64.98999999999999</v>
      </c>
      <c r="P124" s="89">
        <f>IF(AND(ISNUMBER(K124),ISNUMBER(O124),N(O124)&gt;0),K124/O124-1,"")</f>
        <v/>
      </c>
      <c r="Q124" s="32" t="inlineStr">
        <is>
          <t>Size not stated - vs our Queen. Ours live: SellerBoard listing price, 2026-10-14; 17 children</t>
        </is>
      </c>
      <c r="R124" s="85" t="n">
        <v>1577</v>
      </c>
      <c r="S124" s="85" t="n">
        <v>5</v>
      </c>
      <c r="T124" s="90">
        <f>IF(AND(ISNUMBER(K124),ISNUMBER(S124)),K124*S124*52/12,"")</f>
        <v/>
      </c>
      <c r="U124" s="91" t="n">
        <v>4.4</v>
      </c>
      <c r="V124" s="85" t="n">
        <v>5652</v>
      </c>
      <c r="W124" s="92" t="n">
        <v>46223</v>
      </c>
      <c r="X124" s="92" t="n"/>
      <c r="Y124" s="84" t="n"/>
      <c r="Z124" s="84" t="n"/>
      <c r="AA124" s="85" t="n"/>
      <c r="AB124" s="85" t="n"/>
      <c r="AC124" s="93" t="n"/>
      <c r="AD124" s="93" t="n"/>
      <c r="AE124" s="32" t="n"/>
      <c r="AF124" s="93" t="n"/>
      <c r="AG124" s="93" t="n"/>
      <c r="AH124" s="93" t="n"/>
      <c r="AI124" s="93" t="n"/>
      <c r="AJ124" s="85" t="n"/>
      <c r="AK124" s="85" t="n"/>
      <c r="AL124" s="85" t="n"/>
      <c r="AM124" s="85" t="n"/>
      <c r="AN124" s="85" t="n"/>
      <c r="AO124" s="85" t="n"/>
      <c r="AP124" s="94" t="n"/>
      <c r="AQ124" s="89" t="n"/>
      <c r="AR124" s="95" t="inlineStr">
        <is>
          <t>N</t>
        </is>
      </c>
      <c r="AS124" s="95" t="inlineStr">
        <is>
          <t>none</t>
        </is>
      </c>
      <c r="AT124" s="101" t="n"/>
      <c r="AU124" s="96" t="n">
        <v>159.99</v>
      </c>
      <c r="AV124" s="95" t="inlineStr">
        <is>
          <t>none</t>
        </is>
      </c>
      <c r="AW124" s="95" t="inlineStr">
        <is>
          <t>Y</t>
        </is>
      </c>
      <c r="AX124" s="95" t="inlineStr">
        <is>
          <t>2026-10-13 12:10:21</t>
        </is>
      </c>
      <c r="AY124" s="97" t="inlineStr">
        <is>
          <t>Not live in 2025</t>
        </is>
      </c>
      <c r="AZ124" s="102" t="n"/>
      <c r="BA124" s="101" t="n"/>
      <c r="BB124" s="101" t="n"/>
      <c r="BC124" s="87">
        <f>IF(AND(ISNUMBER(BA124),ISNUMBER(BB124),N(BA124)&gt;0),1-BB124/BA124,"")</f>
        <v/>
      </c>
      <c r="BD124" s="103" t="n"/>
      <c r="BE124" s="103" t="n"/>
      <c r="BF124" s="100">
        <f>IF(AND(ISNUMBER(BD124),ISNUMBER(BE124),N(BE124)&gt;0),BD124/BE124,"")</f>
        <v/>
      </c>
      <c r="BG124" s="102" t="n"/>
      <c r="BH124" s="102" t="n"/>
    </row>
    <row r="125" ht="62" customHeight="1">
      <c r="A125" s="10">
        <f>_xlfn.IMAGE("https://images-na.ssl-images-amazon.com/images/I/61-LBYlR5KL.jpg")</f>
        <v/>
      </c>
      <c r="B125" s="84" t="inlineStr">
        <is>
          <t>KRIMANO</t>
        </is>
      </c>
      <c r="C125" s="32" t="inlineStr">
        <is>
          <t>KRIMANO Bamboo Viscose Sheet Set King Size, Cooling Sheets Bed Set</t>
        </is>
      </c>
      <c r="D125" s="84" t="inlineStr">
        <is>
          <t>Beatable</t>
        </is>
      </c>
      <c r="E125" s="84" t="inlineStr">
        <is>
          <t>B0FT7L9RSX</t>
        </is>
      </c>
      <c r="F125" s="84" t="inlineStr">
        <is>
          <t>B0FT7LZ2CD</t>
        </is>
      </c>
      <c r="G125" s="84" t="inlineStr">
        <is>
          <t>King</t>
        </is>
      </c>
      <c r="H125" s="84" t="n"/>
      <c r="I125" s="85" t="n">
        <v>43</v>
      </c>
      <c r="J125" s="32" t="inlineStr">
        <is>
          <t>B0FT7LV7PP (47%), B0FT7LZ2CD (42%)</t>
        </is>
      </c>
      <c r="K125" s="86" t="n">
        <v>84.98999999999999</v>
      </c>
      <c r="L125" s="86" t="n"/>
      <c r="M125" s="87">
        <f>IF(AND(ISNUMBER(L125),ISNUMBER(K125),N(K125)&gt;0),L125/K125-1,"")</f>
        <v/>
      </c>
      <c r="N125" s="88">
        <f>IF(M125="","No List Price",IF(M125&lt;=0,"At/below price",IF(M125&lt;=0.12,"&lt;=12% STR zone",IF(M125&lt;=0.25,"12-25%","&gt;25% over"))))</f>
        <v/>
      </c>
      <c r="O125" s="86" t="n">
        <v>69.98999999999999</v>
      </c>
      <c r="P125" s="89">
        <f>IF(AND(ISNUMBER(K125),ISNUMBER(O125),N(O125)&gt;0),K125/O125-1,"")</f>
        <v/>
      </c>
      <c r="Q125" s="32" t="inlineStr">
        <is>
          <t>Same size (King). Ours live: Helium 10 Xray, 2026-10-13; 16 children</t>
        </is>
      </c>
      <c r="R125" s="85" t="n">
        <v>5664</v>
      </c>
      <c r="S125" s="85" t="n">
        <v>185</v>
      </c>
      <c r="T125" s="90">
        <f>IF(AND(ISNUMBER(K125),ISNUMBER(S125)),K125*S125*52/12,"")</f>
        <v/>
      </c>
      <c r="U125" s="91" t="n">
        <v>4.5</v>
      </c>
      <c r="V125" s="85" t="n">
        <v>263</v>
      </c>
      <c r="W125" s="92" t="n">
        <v>46307</v>
      </c>
      <c r="X125" s="92" t="n">
        <v>45944</v>
      </c>
      <c r="Y125" s="84" t="inlineStr">
        <is>
          <t>FBA</t>
        </is>
      </c>
      <c r="Z125" s="84" t="inlineStr">
        <is>
          <t>HK</t>
        </is>
      </c>
      <c r="AA125" s="85" t="n">
        <v>334819</v>
      </c>
      <c r="AB125" s="85" t="n">
        <v>2638</v>
      </c>
      <c r="AC125" s="93" t="n">
        <v>0.6137371774003271</v>
      </c>
      <c r="AD125" s="93" t="n">
        <v>0.3862628512718813</v>
      </c>
      <c r="AE125" s="32" t="inlineStr">
        <is>
          <t>bamboo sheets</t>
        </is>
      </c>
      <c r="AF125" s="93" t="n">
        <v>0.9348573408319122</v>
      </c>
      <c r="AG125" s="93" t="n">
        <v>0.3304382367786775</v>
      </c>
      <c r="AH125" s="93" t="n"/>
      <c r="AI125" s="93" t="n">
        <v>0.007908750698138397</v>
      </c>
      <c r="AJ125" s="85" t="n">
        <v>417</v>
      </c>
      <c r="AK125" s="85" t="n">
        <v>16</v>
      </c>
      <c r="AL125" s="85" t="n">
        <v>323</v>
      </c>
      <c r="AM125" s="85" t="n">
        <v>2221</v>
      </c>
      <c r="AN125" s="85" t="n">
        <v>491</v>
      </c>
      <c r="AO125" s="85" t="n">
        <v>8</v>
      </c>
      <c r="AP125" s="94" t="n">
        <v>1.312468450277638</v>
      </c>
      <c r="AQ125" s="89" t="n">
        <v>0.2565502183406114</v>
      </c>
      <c r="AR125" s="95" t="inlineStr">
        <is>
          <t>N</t>
        </is>
      </c>
      <c r="AS125" s="95" t="inlineStr">
        <is>
          <t>none</t>
        </is>
      </c>
      <c r="AT125" s="101" t="n"/>
      <c r="AU125" s="96" t="n">
        <v>84.98999999999999</v>
      </c>
      <c r="AV125" s="95" t="inlineStr">
        <is>
          <t>none</t>
        </is>
      </c>
      <c r="AW125" s="95" t="inlineStr">
        <is>
          <t>Y</t>
        </is>
      </c>
      <c r="AX125" s="95" t="inlineStr">
        <is>
          <t>2026-10-13 12:11:00</t>
        </is>
      </c>
      <c r="AY125" s="97" t="inlineStr">
        <is>
          <t>None</t>
        </is>
      </c>
      <c r="AZ125" s="102" t="n"/>
      <c r="BA125" s="98" t="n">
        <v>72.98999999999999</v>
      </c>
      <c r="BB125" s="98" t="n">
        <v>72.98999999999999</v>
      </c>
      <c r="BC125" s="87">
        <f>IF(AND(ISNUMBER(BA125),ISNUMBER(BB125),N(BA125)&gt;0),1-BB125/BA125,"")</f>
        <v/>
      </c>
      <c r="BD125" s="99" t="n">
        <v>1190634</v>
      </c>
      <c r="BE125" s="99" t="n">
        <v>628461</v>
      </c>
      <c r="BF125" s="100">
        <f>IF(AND(ISNUMBER(BD125),ISNUMBER(BE125),N(BE125)&gt;0),BD125/BE125,"")</f>
        <v/>
      </c>
      <c r="BG125" s="97" t="inlineStr">
        <is>
          <t>N</t>
        </is>
      </c>
      <c r="BH125" s="97" t="inlineStr">
        <is>
          <t>List Price $94.89</t>
        </is>
      </c>
    </row>
    <row r="126" ht="62" customHeight="1">
      <c r="A126" s="10">
        <f>_xlfn.IMAGE("https://images-na.ssl-images-amazon.com/images/I/81svKInu7aL.jpg")</f>
        <v/>
      </c>
      <c r="B126" s="84" t="inlineStr">
        <is>
          <t>Bambaw</t>
        </is>
      </c>
      <c r="C126" s="32" t="inlineStr">
        <is>
          <t>Bambaw 100% Viscose Derived from Bamboo Sheets Queen Size Set – 4pcs Cooling Sheet Set, Super Soft Sheets Queen Size, Luxury Bed Sheets, Deep Pocket Fits Up to 16'' Mattresses (Charcoal)</t>
        </is>
      </c>
      <c r="D126" s="84" t="inlineStr">
        <is>
          <t>Beatable</t>
        </is>
      </c>
      <c r="E126" s="84" t="inlineStr">
        <is>
          <t>B07K6SYX8L</t>
        </is>
      </c>
      <c r="F126" s="84" t="inlineStr">
        <is>
          <t>B0DR99Q37Y</t>
        </is>
      </c>
      <c r="G126" s="84" t="inlineStr">
        <is>
          <t>Queen</t>
        </is>
      </c>
      <c r="H126" s="84" t="inlineStr">
        <is>
          <t>Charcoal</t>
        </is>
      </c>
      <c r="I126" s="85" t="n">
        <v>104</v>
      </c>
      <c r="J126" s="32" t="inlineStr">
        <is>
          <t>B0DR99Q37Y (55%), B0DR98VW37 (10%), B0F2J1742T (7%), B0DR98HVG3 (5%), B0H3BQSQ1X (5%)</t>
        </is>
      </c>
      <c r="K126" s="86" t="n">
        <v>89.98999999999999</v>
      </c>
      <c r="L126" s="86" t="n"/>
      <c r="M126" s="87">
        <f>IF(AND(ISNUMBER(L126),ISNUMBER(K126),N(K126)&gt;0),L126/K126-1,"")</f>
        <v/>
      </c>
      <c r="N126" s="88">
        <f>IF(M126="","No List Price",IF(M126&lt;=0,"At/below price",IF(M126&lt;=0.12,"&lt;=12% STR zone",IF(M126&lt;=0.25,"12-25%","&gt;25% over"))))</f>
        <v/>
      </c>
      <c r="O126" s="86" t="n">
        <v>64.98999999999999</v>
      </c>
      <c r="P126" s="89">
        <f>IF(AND(ISNUMBER(K126),ISNUMBER(O126),N(O126)&gt;0),K126/O126-1,"")</f>
        <v/>
      </c>
      <c r="Q126" s="32" t="inlineStr">
        <is>
          <t>Same size (Queen). Ours live: SellerBoard listing price, 2026-10-14; 17 children</t>
        </is>
      </c>
      <c r="R126" s="85" t="n">
        <v>6971</v>
      </c>
      <c r="S126" s="85" t="n">
        <v>104</v>
      </c>
      <c r="T126" s="90">
        <f>IF(AND(ISNUMBER(K126),ISNUMBER(S126)),K126*S126*52/12,"")</f>
        <v/>
      </c>
      <c r="U126" s="91" t="n">
        <v>4.3</v>
      </c>
      <c r="V126" s="85" t="n">
        <v>2766</v>
      </c>
      <c r="W126" s="92" t="n">
        <v>46307</v>
      </c>
      <c r="X126" s="92" t="n">
        <v>45649</v>
      </c>
      <c r="Y126" s="84" t="inlineStr">
        <is>
          <t>FBA</t>
        </is>
      </c>
      <c r="Z126" s="84" t="inlineStr">
        <is>
          <t>BE</t>
        </is>
      </c>
      <c r="AA126" s="85" t="n">
        <v>407949</v>
      </c>
      <c r="AB126" s="85" t="n">
        <v>2137</v>
      </c>
      <c r="AC126" s="93" t="n">
        <v>0.5037485506766772</v>
      </c>
      <c r="AD126" s="93" t="n">
        <v>0.4962515277645003</v>
      </c>
      <c r="AE126" s="32" t="inlineStr">
        <is>
          <t>bamboo sheets</t>
        </is>
      </c>
      <c r="AF126" s="93" t="n">
        <v>0.8267479513370544</v>
      </c>
      <c r="AG126" s="93" t="n">
        <v>0.000431426477329274</v>
      </c>
      <c r="AH126" s="93" t="n">
        <v>0.3636508485129268</v>
      </c>
      <c r="AI126" s="93" t="n">
        <v>0.003414642516589083</v>
      </c>
      <c r="AJ126" s="85" t="n">
        <v>400</v>
      </c>
      <c r="AK126" s="85" t="n">
        <v>25</v>
      </c>
      <c r="AL126" s="85" t="n">
        <v>350</v>
      </c>
      <c r="AM126" s="85" t="n">
        <v>1737</v>
      </c>
      <c r="AN126" s="85" t="n">
        <v>594</v>
      </c>
      <c r="AO126" s="85" t="n">
        <v>6</v>
      </c>
      <c r="AP126" s="94" t="n">
        <v>1.374474053295933</v>
      </c>
      <c r="AQ126" s="89" t="n">
        <v>1.381825760733639</v>
      </c>
      <c r="AR126" s="95" t="inlineStr">
        <is>
          <t>N</t>
        </is>
      </c>
      <c r="AS126" s="95" t="inlineStr">
        <is>
          <t>none</t>
        </is>
      </c>
      <c r="AT126" s="101" t="n"/>
      <c r="AU126" s="96" t="n">
        <v>89.98999999999999</v>
      </c>
      <c r="AV126" s="95" t="inlineStr">
        <is>
          <t>none</t>
        </is>
      </c>
      <c r="AW126" s="95" t="inlineStr">
        <is>
          <t>Y</t>
        </is>
      </c>
      <c r="AX126" s="95" t="inlineStr">
        <is>
          <t>2026-10-13 12:10:28</t>
        </is>
      </c>
      <c r="AY126" s="97" t="inlineStr">
        <is>
          <t>None</t>
        </is>
      </c>
      <c r="AZ126" s="102" t="n"/>
      <c r="BA126" s="98" t="n">
        <v>89.98999999999999</v>
      </c>
      <c r="BB126" s="98" t="n">
        <v>89.98999999999999</v>
      </c>
      <c r="BC126" s="87">
        <f>IF(AND(ISNUMBER(BA126),ISNUMBER(BB126),N(BA126)&gt;0),1-BB126/BA126,"")</f>
        <v/>
      </c>
      <c r="BD126" s="99" t="n">
        <v>12712</v>
      </c>
      <c r="BE126" s="99" t="n">
        <v>10881</v>
      </c>
      <c r="BF126" s="100">
        <f>IF(AND(ISNUMBER(BD126),ISNUMBER(BE126),N(BE126)&gt;0),BD126/BE126,"")</f>
        <v/>
      </c>
      <c r="BG126" s="97" t="inlineStr">
        <is>
          <t>N</t>
        </is>
      </c>
      <c r="BH126" s="97" t="inlineStr">
        <is>
          <t>List Price $103.45</t>
        </is>
      </c>
    </row>
    <row r="127" ht="62" customHeight="1">
      <c r="A127" s="10">
        <f>_xlfn.IMAGE("https://images-na.ssl-images-amazon.com/images/I/81suQgVR0GL.jpg")</f>
        <v/>
      </c>
      <c r="B127" s="84" t="inlineStr">
        <is>
          <t>Bedsure</t>
        </is>
      </c>
      <c r="C127" s="32" t="inlineStr">
        <is>
          <t>Bedsure PureWoven Organically Grown Bamboo Viscose Queen Sheet Set, 4PCS</t>
        </is>
      </c>
      <c r="D127" s="84" t="inlineStr">
        <is>
          <t>Beatable</t>
        </is>
      </c>
      <c r="E127" s="84" t="inlineStr">
        <is>
          <t>B0FB8XS4D1</t>
        </is>
      </c>
      <c r="F127" s="84" t="inlineStr">
        <is>
          <t>B0FB8XR43Q</t>
        </is>
      </c>
      <c r="G127" s="84" t="inlineStr">
        <is>
          <t>Queen</t>
        </is>
      </c>
      <c r="H127" s="84" t="n"/>
      <c r="I127" s="85" t="n">
        <v>39</v>
      </c>
      <c r="J127" s="32" t="inlineStr">
        <is>
          <t>B0FB8XR43Q (31%), B0FB8ZTD7M (18%), B0GLN6VP9Y (11%), B0FB8YV6C7 (10%), B0FB8Z4GGW (10%)</t>
        </is>
      </c>
      <c r="K127" s="86" t="n">
        <v>89.98999999999999</v>
      </c>
      <c r="L127" s="86" t="n">
        <v>119.99</v>
      </c>
      <c r="M127" s="87">
        <f>IF(AND(ISNUMBER(L127),ISNUMBER(K127),N(K127)&gt;0),L127/K127-1,"")</f>
        <v/>
      </c>
      <c r="N127" s="88">
        <f>IF(M127="","No List Price",IF(M127&lt;=0,"At/below price",IF(M127&lt;=0.12,"&lt;=12% STR zone",IF(M127&lt;=0.25,"12-25%","&gt;25% over"))))</f>
        <v/>
      </c>
      <c r="O127" s="86" t="n">
        <v>64.98999999999999</v>
      </c>
      <c r="P127" s="89">
        <f>IF(AND(ISNUMBER(K127),ISNUMBER(O127),N(O127)&gt;0),K127/O127-1,"")</f>
        <v/>
      </c>
      <c r="Q127" s="32" t="inlineStr">
        <is>
          <t>Same size (Queen). Ours live: SellerBoard listing price, 2026-10-14; 17 children</t>
        </is>
      </c>
      <c r="R127" s="85" t="n">
        <v>8938</v>
      </c>
      <c r="S127" s="85" t="n">
        <v>104</v>
      </c>
      <c r="T127" s="90">
        <f>IF(AND(ISNUMBER(K127),ISNUMBER(S127)),K127*S127*52/12,"")</f>
        <v/>
      </c>
      <c r="U127" s="91" t="n">
        <v>4.5</v>
      </c>
      <c r="V127" s="85" t="n">
        <v>588</v>
      </c>
      <c r="W127" s="92" t="n">
        <v>46307</v>
      </c>
      <c r="X127" s="92" t="n">
        <v>45936</v>
      </c>
      <c r="Y127" s="84" t="inlineStr">
        <is>
          <t>FBA</t>
        </is>
      </c>
      <c r="Z127" s="84" t="inlineStr">
        <is>
          <t>US</t>
        </is>
      </c>
      <c r="AA127" s="85" t="n">
        <v>840292</v>
      </c>
      <c r="AB127" s="85" t="n">
        <v>3961</v>
      </c>
      <c r="AC127" s="93" t="n">
        <v>0.1404099194089678</v>
      </c>
      <c r="AD127" s="93" t="n">
        <v>0.8595901834124341</v>
      </c>
      <c r="AE127" s="32" t="inlineStr">
        <is>
          <t>bamboo sheets</t>
        </is>
      </c>
      <c r="AF127" s="93" t="n">
        <v>0.9284082199997143</v>
      </c>
      <c r="AG127" s="93" t="n">
        <v>0.9843340172225845</v>
      </c>
      <c r="AH127" s="93" t="n">
        <v>0.5269953777972419</v>
      </c>
      <c r="AI127" s="93" t="n">
        <v>0.000478405125837209</v>
      </c>
      <c r="AJ127" s="85" t="n">
        <v>418</v>
      </c>
      <c r="AK127" s="85" t="n">
        <v>21</v>
      </c>
      <c r="AL127" s="85" t="n">
        <v>375</v>
      </c>
      <c r="AM127" s="85" t="n">
        <v>3543</v>
      </c>
      <c r="AN127" s="85" t="n">
        <v>2450</v>
      </c>
      <c r="AO127" s="85" t="n">
        <v>14</v>
      </c>
      <c r="AP127" s="94" t="n">
        <v>1.764832022873481</v>
      </c>
      <c r="AQ127" s="89" t="n">
        <v>-0.09047044632086854</v>
      </c>
      <c r="AR127" s="95" t="inlineStr">
        <is>
          <t>Y</t>
        </is>
      </c>
      <c r="AS127" s="95" t="inlineStr">
        <is>
          <t>List Price</t>
        </is>
      </c>
      <c r="AT127" s="96" t="n">
        <v>119.99</v>
      </c>
      <c r="AU127" s="96" t="n">
        <v>89.98999999999999</v>
      </c>
      <c r="AV127" s="95" t="inlineStr">
        <is>
          <t>none</t>
        </is>
      </c>
      <c r="AW127" s="95" t="inlineStr">
        <is>
          <t>Y</t>
        </is>
      </c>
      <c r="AX127" s="95" t="inlineStr">
        <is>
          <t>2026-10-13 12:10:38</t>
        </is>
      </c>
      <c r="AY127" s="97" t="inlineStr">
        <is>
          <t>Prime Exclusive Discount</t>
        </is>
      </c>
      <c r="AZ127" s="97" t="inlineStr">
        <is>
          <t>11-10 to 12-05</t>
        </is>
      </c>
      <c r="BA127" s="98" t="n">
        <v>99.98999999999999</v>
      </c>
      <c r="BB127" s="98" t="n">
        <v>72.64</v>
      </c>
      <c r="BC127" s="87">
        <f>IF(AND(ISNUMBER(BA127),ISNUMBER(BB127),N(BA127)&gt;0),1-BB127/BA127,"")</f>
        <v/>
      </c>
      <c r="BD127" s="99" t="n">
        <v>53160</v>
      </c>
      <c r="BE127" s="99" t="n">
        <v>53782</v>
      </c>
      <c r="BF127" s="100">
        <f>IF(AND(ISNUMBER(BD127),ISNUMBER(BE127),N(BE127)&gt;0),BD127/BE127,"")</f>
        <v/>
      </c>
      <c r="BG127" s="97" t="inlineStr">
        <is>
          <t>N</t>
        </is>
      </c>
      <c r="BH127" s="97" t="inlineStr">
        <is>
          <t>Prime Exclusive already running before BFCM week; List Price $114.99</t>
        </is>
      </c>
    </row>
    <row r="128" ht="62" customHeight="1">
      <c r="A128" s="10">
        <f>_xlfn.IMAGE("https://images-na.ssl-images-amazon.com/images/I/71sqxa1EquL.jpg")</f>
        <v/>
      </c>
      <c r="B128" s="84" t="inlineStr">
        <is>
          <t>SONORO KATE</t>
        </is>
      </c>
      <c r="C128" s="32" t="inlineStr">
        <is>
          <t>Bamboo Sheets</t>
        </is>
      </c>
      <c r="D128" s="84" t="inlineStr">
        <is>
          <t>Beatable</t>
        </is>
      </c>
      <c r="E128" s="84" t="inlineStr">
        <is>
          <t>B0F4852T9V</t>
        </is>
      </c>
      <c r="F128" s="84" t="inlineStr">
        <is>
          <t>B0F4873G4H</t>
        </is>
      </c>
      <c r="G128" s="84" t="n"/>
      <c r="H128" s="84" t="n"/>
      <c r="I128" s="85" t="n">
        <v>33</v>
      </c>
      <c r="J128" s="32" t="inlineStr">
        <is>
          <t>B0F486MGJ1 (46%), B0F4873G4H (45%)</t>
        </is>
      </c>
      <c r="K128" s="86" t="n">
        <v>79.98999999999999</v>
      </c>
      <c r="L128" s="86" t="n"/>
      <c r="M128" s="87">
        <f>IF(AND(ISNUMBER(L128),ISNUMBER(K128),N(K128)&gt;0),L128/K128-1,"")</f>
        <v/>
      </c>
      <c r="N128" s="88">
        <f>IF(M128="","No List Price",IF(M128&lt;=0,"At/below price",IF(M128&lt;=0.12,"&lt;=12% STR zone",IF(M128&lt;=0.25,"12-25%","&gt;25% over"))))</f>
        <v/>
      </c>
      <c r="O128" s="86" t="n">
        <v>64.98999999999999</v>
      </c>
      <c r="P128" s="89">
        <f>IF(AND(ISNUMBER(K128),ISNUMBER(O128),N(O128)&gt;0),K128/O128-1,"")</f>
        <v/>
      </c>
      <c r="Q128" s="32" t="inlineStr">
        <is>
          <t>Size not stated - vs our Queen. Ours live: SellerBoard listing price, 2026-10-14; 17 children</t>
        </is>
      </c>
      <c r="R128" s="85" t="n">
        <v>7961</v>
      </c>
      <c r="S128" s="85" t="n">
        <v>104</v>
      </c>
      <c r="T128" s="90">
        <f>IF(AND(ISNUMBER(K128),ISNUMBER(S128)),K128*S128*52/12,"")</f>
        <v/>
      </c>
      <c r="U128" s="91" t="n">
        <v>4.5</v>
      </c>
      <c r="V128" s="85" t="n">
        <v>3776</v>
      </c>
      <c r="W128" s="92" t="n">
        <v>46307</v>
      </c>
      <c r="X128" s="92" t="n"/>
      <c r="Y128" s="84" t="n"/>
      <c r="Z128" s="84" t="n"/>
      <c r="AA128" s="85" t="n">
        <v>185157</v>
      </c>
      <c r="AB128" s="85" t="n">
        <v>1447</v>
      </c>
      <c r="AC128" s="93" t="n">
        <v>0.9776013545261586</v>
      </c>
      <c r="AD128" s="93" t="n">
        <v>0.02239928493116653</v>
      </c>
      <c r="AE128" s="32" t="inlineStr">
        <is>
          <t>bamboo sheets</t>
        </is>
      </c>
      <c r="AF128" s="93" t="n">
        <v>0.4342476924987983</v>
      </c>
      <c r="AG128" s="93" t="n"/>
      <c r="AH128" s="93" t="n"/>
      <c r="AI128" s="93" t="n">
        <v>0.1639959601851402</v>
      </c>
      <c r="AJ128" s="85" t="n">
        <v>332</v>
      </c>
      <c r="AK128" s="85" t="n">
        <v>22</v>
      </c>
      <c r="AL128" s="85" t="n">
        <v>293</v>
      </c>
      <c r="AM128" s="85" t="n">
        <v>1115</v>
      </c>
      <c r="AN128" s="85" t="n">
        <v>123</v>
      </c>
      <c r="AO128" s="85" t="n">
        <v>0</v>
      </c>
      <c r="AP128" s="94" t="n">
        <v>1.314808539478143</v>
      </c>
      <c r="AQ128" s="89" t="n">
        <v>0.6186540731995278</v>
      </c>
      <c r="AR128" s="95" t="inlineStr">
        <is>
          <t>N</t>
        </is>
      </c>
      <c r="AS128" s="95" t="inlineStr">
        <is>
          <t>none</t>
        </is>
      </c>
      <c r="AT128" s="101" t="n"/>
      <c r="AU128" s="96" t="n">
        <v>79.98999999999999</v>
      </c>
      <c r="AV128" s="95" t="inlineStr">
        <is>
          <t>coupon $5</t>
        </is>
      </c>
      <c r="AW128" s="95" t="inlineStr">
        <is>
          <t>Y</t>
        </is>
      </c>
      <c r="AX128" s="95" t="inlineStr">
        <is>
          <t>2026-10-13 12:11:19</t>
        </is>
      </c>
      <c r="AY128" s="97" t="inlineStr">
        <is>
          <t>Prime Exclusive Discount</t>
        </is>
      </c>
      <c r="AZ128" s="97" t="inlineStr">
        <is>
          <t>11-20 to 12-01</t>
        </is>
      </c>
      <c r="BA128" s="98" t="n">
        <v>79.98999999999999</v>
      </c>
      <c r="BB128" s="98" t="n">
        <v>63.99</v>
      </c>
      <c r="BC128" s="87">
        <f>IF(AND(ISNUMBER(BA128),ISNUMBER(BB128),N(BA128)&gt;0),1-BB128/BA128,"")</f>
        <v/>
      </c>
      <c r="BD128" s="99" t="n">
        <v>36662</v>
      </c>
      <c r="BE128" s="99" t="n">
        <v>23612</v>
      </c>
      <c r="BF128" s="100">
        <f>IF(AND(ISNUMBER(BD128),ISNUMBER(BE128),N(BE128)&gt;0),BD128/BE128,"")</f>
        <v/>
      </c>
      <c r="BG128" s="97" t="inlineStr">
        <is>
          <t>N</t>
        </is>
      </c>
      <c r="BH128" s="97" t="inlineStr">
        <is>
          <t>Coupon 15% (11-06 to 11-19); List Price $79.99</t>
        </is>
      </c>
    </row>
    <row r="129" ht="62" customHeight="1">
      <c r="A129" s="10">
        <f>_xlfn.IMAGE("https://images-na.ssl-images-amazon.com/images/I/71Pl57-j67L.jpg")</f>
        <v/>
      </c>
      <c r="B129" s="84" t="inlineStr">
        <is>
          <t>BC BELLA COTERIE</t>
        </is>
      </c>
      <c r="C129" s="32" t="inlineStr">
        <is>
          <t>Bella Coterie Luxury Bamboo Viscose King Size Sheet Set</t>
        </is>
      </c>
      <c r="D129" s="84" t="inlineStr">
        <is>
          <t>Beatable</t>
        </is>
      </c>
      <c r="E129" s="84" t="inlineStr">
        <is>
          <t>B0H29V113N</t>
        </is>
      </c>
      <c r="F129" s="84" t="inlineStr">
        <is>
          <t>B08L86VLZB</t>
        </is>
      </c>
      <c r="G129" s="84" t="inlineStr">
        <is>
          <t>King</t>
        </is>
      </c>
      <c r="H129" s="84" t="n"/>
      <c r="I129" s="85" t="n">
        <v>258</v>
      </c>
      <c r="J129" s="32" t="inlineStr">
        <is>
          <t>B0C979FD5Z (12%), B09JTQMF5C (11%), B08L86VLZB (6%), B08L85SV5Z (5%), B09JV1NG9R (4%)</t>
        </is>
      </c>
      <c r="K129" s="86" t="n">
        <v>134.99</v>
      </c>
      <c r="L129" s="86" t="n"/>
      <c r="M129" s="87">
        <f>IF(AND(ISNUMBER(L129),ISNUMBER(K129),N(K129)&gt;0),L129/K129-1,"")</f>
        <v/>
      </c>
      <c r="N129" s="88">
        <f>IF(M129="","No List Price",IF(M129&lt;=0,"At/below price",IF(M129&lt;=0.12,"&lt;=12% STR zone",IF(M129&lt;=0.25,"12-25%","&gt;25% over"))))</f>
        <v/>
      </c>
      <c r="O129" s="86" t="n">
        <v>69.98999999999999</v>
      </c>
      <c r="P129" s="89">
        <f>IF(AND(ISNUMBER(K129),ISNUMBER(O129),N(O129)&gt;0),K129/O129-1,"")</f>
        <v/>
      </c>
      <c r="Q129" s="32" t="inlineStr">
        <is>
          <t>Same size (King). Ours live: Helium 10 Xray, 2026-10-13; 16 children</t>
        </is>
      </c>
      <c r="R129" s="85" t="n">
        <v>1358</v>
      </c>
      <c r="S129" s="85" t="n">
        <v>92</v>
      </c>
      <c r="T129" s="90">
        <f>IF(AND(ISNUMBER(K129),ISNUMBER(S129)),K129*S129*52/12,"")</f>
        <v/>
      </c>
      <c r="U129" s="91" t="n">
        <v>4.4</v>
      </c>
      <c r="V129" s="85" t="n">
        <v>5871</v>
      </c>
      <c r="W129" s="92" t="n">
        <v>46307</v>
      </c>
      <c r="X129" s="92" t="n">
        <v>44154</v>
      </c>
      <c r="Y129" s="84" t="inlineStr">
        <is>
          <t>FBA</t>
        </is>
      </c>
      <c r="Z129" s="84" t="inlineStr">
        <is>
          <t>US</t>
        </is>
      </c>
      <c r="AA129" s="85" t="n">
        <v>591713</v>
      </c>
      <c r="AB129" s="85" t="n">
        <v>5504</v>
      </c>
      <c r="AC129" s="93" t="n">
        <v>0.3622702587234016</v>
      </c>
      <c r="AD129" s="93" t="n">
        <v>0.6377298332130611</v>
      </c>
      <c r="AE129" s="32" t="inlineStr">
        <is>
          <t>bamboo sheets</t>
        </is>
      </c>
      <c r="AF129" s="93" t="n">
        <v>0.9808184035165697</v>
      </c>
      <c r="AG129" s="93" t="n">
        <v>0.5730548424658576</v>
      </c>
      <c r="AH129" s="93" t="n">
        <v>0.5581810776508206</v>
      </c>
      <c r="AI129" s="93" t="n">
        <v>0.03836488297536136</v>
      </c>
      <c r="AJ129" s="85" t="n">
        <v>439</v>
      </c>
      <c r="AK129" s="85" t="n">
        <v>21</v>
      </c>
      <c r="AL129" s="85" t="n">
        <v>390</v>
      </c>
      <c r="AM129" s="85" t="n">
        <v>5065</v>
      </c>
      <c r="AN129" s="85" t="n">
        <v>2437</v>
      </c>
      <c r="AO129" s="85" t="n">
        <v>11</v>
      </c>
      <c r="AP129" s="94" t="n">
        <v>1.778087279480037</v>
      </c>
      <c r="AQ129" s="89" t="n">
        <v>0.3772549019607843</v>
      </c>
      <c r="AR129" s="95" t="inlineStr">
        <is>
          <t>N</t>
        </is>
      </c>
      <c r="AS129" s="95" t="inlineStr">
        <is>
          <t>none</t>
        </is>
      </c>
      <c r="AT129" s="101" t="n"/>
      <c r="AU129" s="96" t="n">
        <v>169.99</v>
      </c>
      <c r="AV129" s="95" t="inlineStr">
        <is>
          <t>none</t>
        </is>
      </c>
      <c r="AW129" s="95" t="inlineStr">
        <is>
          <t>Y</t>
        </is>
      </c>
      <c r="AX129" s="95" t="inlineStr">
        <is>
          <t>2026-10-13 12:14:18</t>
        </is>
      </c>
      <c r="AY129" s="97" t="inlineStr">
        <is>
          <t>Price cut only</t>
        </is>
      </c>
      <c r="AZ129" s="97" t="inlineStr">
        <is>
          <t>11-20 to 12-01</t>
        </is>
      </c>
      <c r="BA129" s="98" t="n">
        <v>134.99</v>
      </c>
      <c r="BB129" s="98" t="n">
        <v>110.5</v>
      </c>
      <c r="BC129" s="87">
        <f>IF(AND(ISNUMBER(BA129),ISNUMBER(BB129),N(BA129)&gt;0),1-BB129/BA129,"")</f>
        <v/>
      </c>
      <c r="BD129" s="99" t="n">
        <v>3072</v>
      </c>
      <c r="BE129" s="99" t="n">
        <v>1155</v>
      </c>
      <c r="BF129" s="100">
        <f>IF(AND(ISNUMBER(BD129),ISNUMBER(BE129),N(BE129)&gt;0),BD129/BE129,"")</f>
        <v/>
      </c>
      <c r="BG129" s="97" t="inlineStr">
        <is>
          <t>N</t>
        </is>
      </c>
      <c r="BH129" s="97" t="inlineStr">
        <is>
          <t>Coupon 20.00 USD (12-03 to 12-05); List Price $169.99</t>
        </is>
      </c>
    </row>
    <row r="130" ht="62" customHeight="1">
      <c r="A130" s="10">
        <f>_xlfn.IMAGE("https://images-na.ssl-images-amazon.com/images/I/61fbapIObwL.jpg")</f>
        <v/>
      </c>
      <c r="B130" s="84" t="inlineStr">
        <is>
          <t>BAMPURE</t>
        </is>
      </c>
      <c r="C130" s="32" t="inlineStr">
        <is>
          <t>BAMPURE 100% Rayon from Bamboo Sheets King Size - 4pc Cooling King Sheets</t>
        </is>
      </c>
      <c r="D130" s="84" t="inlineStr">
        <is>
          <t>Beatable</t>
        </is>
      </c>
      <c r="E130" s="84" t="inlineStr">
        <is>
          <t>B0HC778XB4</t>
        </is>
      </c>
      <c r="F130" s="84" t="inlineStr">
        <is>
          <t>B07XFP6BY2</t>
        </is>
      </c>
      <c r="G130" s="84" t="inlineStr">
        <is>
          <t>King</t>
        </is>
      </c>
      <c r="H130" s="84" t="n"/>
      <c r="I130" s="85" t="n">
        <v>40</v>
      </c>
      <c r="J130" s="32" t="inlineStr">
        <is>
          <t>B07XBJY2JR (65%), B07XFP6BY2 (21%)</t>
        </is>
      </c>
      <c r="K130" s="86" t="n">
        <v>67.98</v>
      </c>
      <c r="L130" s="86" t="n">
        <v>99.98999999999999</v>
      </c>
      <c r="M130" s="87">
        <f>IF(AND(ISNUMBER(L130),ISNUMBER(K130),N(K130)&gt;0),L130/K130-1,"")</f>
        <v/>
      </c>
      <c r="N130" s="88">
        <f>IF(M130="","No List Price",IF(M130&lt;=0,"At/below price",IF(M130&lt;=0.12,"&lt;=12% STR zone",IF(M130&lt;=0.25,"12-25%","&gt;25% over"))))</f>
        <v/>
      </c>
      <c r="O130" s="86" t="n">
        <v>69.98999999999999</v>
      </c>
      <c r="P130" s="89">
        <f>IF(AND(ISNUMBER(K130),ISNUMBER(O130),N(O130)&gt;0),K130/O130-1,"")</f>
        <v/>
      </c>
      <c r="Q130" s="32" t="inlineStr">
        <is>
          <t>Same size (King). Ours live: Helium 10 Xray, 2026-10-13; 16 children</t>
        </is>
      </c>
      <c r="R130" s="85" t="n">
        <v>14479</v>
      </c>
      <c r="S130" s="85" t="n">
        <v>81</v>
      </c>
      <c r="T130" s="90">
        <f>IF(AND(ISNUMBER(K130),ISNUMBER(S130)),K130*S130*52/12,"")</f>
        <v/>
      </c>
      <c r="U130" s="91" t="n">
        <v>4.4</v>
      </c>
      <c r="V130" s="85" t="n">
        <v>4095</v>
      </c>
      <c r="W130" s="92" t="n">
        <v>46307</v>
      </c>
      <c r="X130" s="92" t="n">
        <v>43776</v>
      </c>
      <c r="Y130" s="84" t="inlineStr">
        <is>
          <t>FBA</t>
        </is>
      </c>
      <c r="Z130" s="84" t="inlineStr">
        <is>
          <t>US</t>
        </is>
      </c>
      <c r="AA130" s="85" t="n">
        <v>67699</v>
      </c>
      <c r="AB130" s="85" t="n">
        <v>1687</v>
      </c>
      <c r="AC130" s="93" t="n">
        <v>0.8589487052984534</v>
      </c>
      <c r="AD130" s="93" t="n">
        <v>0.1410512947015465</v>
      </c>
      <c r="AE130" s="32" t="inlineStr">
        <is>
          <t>bamboo sheets</t>
        </is>
      </c>
      <c r="AF130" s="93" t="n">
        <v>0.9117121375500377</v>
      </c>
      <c r="AG130" s="93" t="n"/>
      <c r="AH130" s="93" t="n"/>
      <c r="AI130" s="93" t="n"/>
      <c r="AJ130" s="85" t="n">
        <v>376</v>
      </c>
      <c r="AK130" s="85" t="n">
        <v>55</v>
      </c>
      <c r="AL130" s="85" t="n">
        <v>265</v>
      </c>
      <c r="AM130" s="85" t="n">
        <v>1311</v>
      </c>
      <c r="AN130" s="85" t="n">
        <v>294</v>
      </c>
      <c r="AO130" s="85" t="n">
        <v>1</v>
      </c>
      <c r="AP130" s="94" t="n">
        <v>1.016706443914081</v>
      </c>
      <c r="AQ130" s="89" t="n">
        <v>-0.2868217054263565</v>
      </c>
      <c r="AR130" s="95" t="inlineStr">
        <is>
          <t>Y</t>
        </is>
      </c>
      <c r="AS130" s="95" t="inlineStr">
        <is>
          <t>List Price</t>
        </is>
      </c>
      <c r="AT130" s="96" t="n">
        <v>99.98999999999999</v>
      </c>
      <c r="AU130" s="96" t="n">
        <v>67.98</v>
      </c>
      <c r="AV130" s="95" t="inlineStr">
        <is>
          <t>Limited time deal</t>
        </is>
      </c>
      <c r="AW130" s="95" t="inlineStr">
        <is>
          <t>Y</t>
        </is>
      </c>
      <c r="AX130" s="95" t="inlineStr">
        <is>
          <t>2026-10-13 12:10:12</t>
        </is>
      </c>
      <c r="AY130" s="97" t="inlineStr">
        <is>
          <t>Prime Exclusive Discount</t>
        </is>
      </c>
      <c r="AZ130" s="97" t="inlineStr">
        <is>
          <t>11-22 to 12-01</t>
        </is>
      </c>
      <c r="BA130" s="98" t="n">
        <v>84.98999999999999</v>
      </c>
      <c r="BB130" s="98" t="n">
        <v>79.98999999999999</v>
      </c>
      <c r="BC130" s="87">
        <f>IF(AND(ISNUMBER(BA130),ISNUMBER(BB130),N(BA130)&gt;0),1-BB130/BA130,"")</f>
        <v/>
      </c>
      <c r="BD130" s="99" t="n">
        <v>31768</v>
      </c>
      <c r="BE130" s="99" t="n">
        <v>27833</v>
      </c>
      <c r="BF130" s="100">
        <f>IF(AND(ISNUMBER(BD130),ISNUMBER(BE130),N(BE130)&gt;0),BD130/BE130,"")</f>
        <v/>
      </c>
      <c r="BG130" s="97" t="inlineStr">
        <is>
          <t>N</t>
        </is>
      </c>
      <c r="BH130" s="97" t="inlineStr">
        <is>
          <t>Coupon 5.00 USD (11-01 to 11-04); Buy Box RAISED in BFCM week (median $99.99 vs $84.99 before); List Price $99.99</t>
        </is>
      </c>
    </row>
    <row r="131" ht="62" customHeight="1">
      <c r="A131" s="10">
        <f>_xlfn.IMAGE("https://images-na.ssl-images-amazon.com/images/I/71HeTCWM4hL.jpg")</f>
        <v/>
      </c>
      <c r="B131" s="84" t="inlineStr">
        <is>
          <t>SONORO KATE</t>
        </is>
      </c>
      <c r="C131" s="32" t="inlineStr">
        <is>
          <t>SONORO KATE 100% Viscose Derived from Bamboo_Sheets Queen Size,4PC</t>
        </is>
      </c>
      <c r="D131" s="84" t="inlineStr">
        <is>
          <t>Beatable</t>
        </is>
      </c>
      <c r="E131" s="84" t="inlineStr">
        <is>
          <t>B0F29FQLFD</t>
        </is>
      </c>
      <c r="F131" s="84" t="inlineStr">
        <is>
          <t>B0F29F1JM5</t>
        </is>
      </c>
      <c r="G131" s="84" t="inlineStr">
        <is>
          <t>Queen</t>
        </is>
      </c>
      <c r="H131" s="84" t="n"/>
      <c r="I131" s="85" t="n">
        <v>42</v>
      </c>
      <c r="J131" s="32" t="inlineStr">
        <is>
          <t>B0F29F1JM5 (71%), B0F29HFNNS (19%)</t>
        </is>
      </c>
      <c r="K131" s="86" t="n">
        <v>59.99</v>
      </c>
      <c r="L131" s="86" t="n"/>
      <c r="M131" s="87">
        <f>IF(AND(ISNUMBER(L131),ISNUMBER(K131),N(K131)&gt;0),L131/K131-1,"")</f>
        <v/>
      </c>
      <c r="N131" s="88">
        <f>IF(M131="","No List Price",IF(M131&lt;=0,"At/below price",IF(M131&lt;=0.12,"&lt;=12% STR zone",IF(M131&lt;=0.25,"12-25%","&gt;25% over"))))</f>
        <v/>
      </c>
      <c r="O131" s="86" t="n">
        <v>64.98999999999999</v>
      </c>
      <c r="P131" s="89">
        <f>IF(AND(ISNUMBER(K131),ISNUMBER(O131),N(O131)&gt;0),K131/O131-1,"")</f>
        <v/>
      </c>
      <c r="Q131" s="32" t="inlineStr">
        <is>
          <t>Same size (Queen). Ours live: SellerBoard listing price, 2026-10-14; 17 children</t>
        </is>
      </c>
      <c r="R131" s="85" t="n">
        <v>23979</v>
      </c>
      <c r="S131" s="85" t="n">
        <v>81</v>
      </c>
      <c r="T131" s="90">
        <f>IF(AND(ISNUMBER(K131),ISNUMBER(S131)),K131*S131*52/12,"")</f>
        <v/>
      </c>
      <c r="U131" s="91" t="n">
        <v>4.5</v>
      </c>
      <c r="V131" s="85" t="n">
        <v>3911</v>
      </c>
      <c r="W131" s="92" t="n">
        <v>46307</v>
      </c>
      <c r="X131" s="92" t="n">
        <v>45740</v>
      </c>
      <c r="Y131" s="84" t="inlineStr">
        <is>
          <t>FBA</t>
        </is>
      </c>
      <c r="Z131" s="84" t="inlineStr">
        <is>
          <t>CN</t>
        </is>
      </c>
      <c r="AA131" s="85" t="n">
        <v>114504</v>
      </c>
      <c r="AB131" s="85" t="n">
        <v>947</v>
      </c>
      <c r="AC131" s="93" t="n">
        <v>0.8792897182631171</v>
      </c>
      <c r="AD131" s="93" t="n">
        <v>0.1207102817368825</v>
      </c>
      <c r="AE131" s="32" t="inlineStr">
        <is>
          <t>bamboo sheets</t>
        </is>
      </c>
      <c r="AF131" s="93" t="n">
        <v>0.3106878362327953</v>
      </c>
      <c r="AG131" s="93" t="n"/>
      <c r="AH131" s="93" t="n"/>
      <c r="AI131" s="93" t="n">
        <v>0.03587647593097185</v>
      </c>
      <c r="AJ131" s="85" t="n">
        <v>327</v>
      </c>
      <c r="AK131" s="85" t="n">
        <v>22</v>
      </c>
      <c r="AL131" s="85" t="n">
        <v>286</v>
      </c>
      <c r="AM131" s="85" t="n">
        <v>620</v>
      </c>
      <c r="AN131" s="85" t="n">
        <v>88</v>
      </c>
      <c r="AO131" s="85" t="n">
        <v>0</v>
      </c>
      <c r="AP131" s="94" t="n">
        <v>1.095271210013908</v>
      </c>
      <c r="AQ131" s="89" t="n">
        <v>-0.1040240897892143</v>
      </c>
      <c r="AR131" s="95" t="inlineStr">
        <is>
          <t>N</t>
        </is>
      </c>
      <c r="AS131" s="95" t="inlineStr">
        <is>
          <t>none</t>
        </is>
      </c>
      <c r="AT131" s="101" t="n"/>
      <c r="AU131" s="96" t="n">
        <v>59.99</v>
      </c>
      <c r="AV131" s="95" t="inlineStr">
        <is>
          <t>coupon 15%</t>
        </is>
      </c>
      <c r="AW131" s="95" t="inlineStr">
        <is>
          <t>Y</t>
        </is>
      </c>
      <c r="AX131" s="95" t="inlineStr">
        <is>
          <t>2026-10-13 12:11:22</t>
        </is>
      </c>
      <c r="AY131" s="97" t="inlineStr">
        <is>
          <t>Prime Exclusive Discount</t>
        </is>
      </c>
      <c r="AZ131" s="97" t="inlineStr">
        <is>
          <t>11-20 to 12-01</t>
        </is>
      </c>
      <c r="BA131" s="98" t="n">
        <v>59.99</v>
      </c>
      <c r="BB131" s="98" t="n">
        <v>47.99</v>
      </c>
      <c r="BC131" s="87">
        <f>IF(AND(ISNUMBER(BA131),ISNUMBER(BB131),N(BA131)&gt;0),1-BB131/BA131,"")</f>
        <v/>
      </c>
      <c r="BD131" s="99" t="n">
        <v>22774</v>
      </c>
      <c r="BE131" s="99" t="n">
        <v>19002</v>
      </c>
      <c r="BF131" s="100">
        <f>IF(AND(ISNUMBER(BD131),ISNUMBER(BE131),N(BE131)&gt;0),BD131/BE131,"")</f>
        <v/>
      </c>
      <c r="BG131" s="97" t="inlineStr">
        <is>
          <t>N</t>
        </is>
      </c>
      <c r="BH131" s="97" t="inlineStr">
        <is>
          <t>Coupon 10% (11-04 to 12-05); List Price $59.99</t>
        </is>
      </c>
    </row>
    <row r="132" ht="62" customHeight="1">
      <c r="A132" s="10">
        <f>_xlfn.IMAGE("https://images-na.ssl-images-amazon.com/images/I/710aWpCd4AL.jpg")</f>
        <v/>
      </c>
      <c r="B132" s="84" t="inlineStr">
        <is>
          <t>DOZ by SIJO</t>
        </is>
      </c>
      <c r="C132" s="32" t="inlineStr">
        <is>
          <t>Bamboo Sheets</t>
        </is>
      </c>
      <c r="D132" s="84" t="inlineStr">
        <is>
          <t>Beatable</t>
        </is>
      </c>
      <c r="E132" s="84" t="inlineStr">
        <is>
          <t>B0DCZGYVZ9</t>
        </is>
      </c>
      <c r="F132" s="84" t="inlineStr">
        <is>
          <t>B0F24TRXCZ</t>
        </is>
      </c>
      <c r="G132" s="84" t="n"/>
      <c r="H132" s="84" t="n"/>
      <c r="I132" s="85" t="n">
        <v>131</v>
      </c>
      <c r="J132" s="32" t="inlineStr">
        <is>
          <t>B0B8JLLT45 (39%), B0B8JK78HR (6%), B0CS36MKM9 (5%), B0BRWD6PRK (4%), B0B9T44SJV (4%)</t>
        </is>
      </c>
      <c r="K132" s="86" t="n">
        <v>55</v>
      </c>
      <c r="L132" s="86" t="n"/>
      <c r="M132" s="87">
        <f>IF(AND(ISNUMBER(L132),ISNUMBER(K132),N(K132)&gt;0),L132/K132-1,"")</f>
        <v/>
      </c>
      <c r="N132" s="88">
        <f>IF(M132="","No List Price",IF(M132&lt;=0,"At/below price",IF(M132&lt;=0.12,"&lt;=12% STR zone",IF(M132&lt;=0.25,"12-25%","&gt;25% over"))))</f>
        <v/>
      </c>
      <c r="O132" s="86" t="n">
        <v>64.98999999999999</v>
      </c>
      <c r="P132" s="89">
        <f>IF(AND(ISNUMBER(K132),ISNUMBER(O132),N(O132)&gt;0),K132/O132-1,"")</f>
        <v/>
      </c>
      <c r="Q132" s="32" t="inlineStr">
        <is>
          <t>Size not stated - vs our Queen. Ours live: SellerBoard listing price, 2026-10-14; 17 children</t>
        </is>
      </c>
      <c r="R132" s="85" t="n">
        <v>4051</v>
      </c>
      <c r="S132" s="85" t="n">
        <v>35</v>
      </c>
      <c r="T132" s="90">
        <f>IF(AND(ISNUMBER(K132),ISNUMBER(S132)),K132*S132*52/12,"")</f>
        <v/>
      </c>
      <c r="U132" s="91" t="n">
        <v>4.4</v>
      </c>
      <c r="V132" s="85" t="n">
        <v>1909</v>
      </c>
      <c r="W132" s="92" t="n">
        <v>46307</v>
      </c>
      <c r="X132" s="92" t="n"/>
      <c r="Y132" s="84" t="n"/>
      <c r="Z132" s="84" t="n"/>
      <c r="AA132" s="85" t="n">
        <v>171534</v>
      </c>
      <c r="AB132" s="85" t="n">
        <v>2682</v>
      </c>
      <c r="AC132" s="93" t="n">
        <v>0.5544749851341424</v>
      </c>
      <c r="AD132" s="93" t="n">
        <v>0.4455250335210511</v>
      </c>
      <c r="AE132" s="32" t="inlineStr">
        <is>
          <t>bamboo sheets</t>
        </is>
      </c>
      <c r="AF132" s="93" t="n">
        <v>0.8981426422750008</v>
      </c>
      <c r="AG132" s="93" t="n">
        <v>0.06748516329124256</v>
      </c>
      <c r="AH132" s="93" t="n">
        <v>0.2462310678932456</v>
      </c>
      <c r="AI132" s="93" t="n">
        <v>0.0526193057936036</v>
      </c>
      <c r="AJ132" s="85" t="n">
        <v>401</v>
      </c>
      <c r="AK132" s="85" t="n">
        <v>33</v>
      </c>
      <c r="AL132" s="85" t="n">
        <v>341</v>
      </c>
      <c r="AM132" s="85" t="n">
        <v>2281</v>
      </c>
      <c r="AN132" s="85" t="n">
        <v>820</v>
      </c>
      <c r="AO132" s="85" t="n">
        <v>5</v>
      </c>
      <c r="AP132" s="94" t="n"/>
      <c r="AQ132" s="89" t="n"/>
      <c r="AR132" s="95" t="inlineStr">
        <is>
          <t>N</t>
        </is>
      </c>
      <c r="AS132" s="95" t="inlineStr">
        <is>
          <t>none</t>
        </is>
      </c>
      <c r="AT132" s="101" t="n"/>
      <c r="AU132" s="96" t="n">
        <v>55</v>
      </c>
      <c r="AV132" s="95" t="inlineStr">
        <is>
          <t>none</t>
        </is>
      </c>
      <c r="AW132" s="95" t="inlineStr">
        <is>
          <t>Y</t>
        </is>
      </c>
      <c r="AX132" s="95" t="inlineStr">
        <is>
          <t>2026-10-13 12:10:45</t>
        </is>
      </c>
      <c r="AY132" s="97" t="inlineStr">
        <is>
          <t>None</t>
        </is>
      </c>
      <c r="AZ132" s="102" t="n"/>
      <c r="BA132" s="98" t="n">
        <v>55</v>
      </c>
      <c r="BB132" s="98" t="n">
        <v>55</v>
      </c>
      <c r="BC132" s="87">
        <f>IF(AND(ISNUMBER(BA132),ISNUMBER(BB132),N(BA132)&gt;0),1-BB132/BA132,"")</f>
        <v/>
      </c>
      <c r="BD132" s="99" t="n">
        <v>3634538</v>
      </c>
      <c r="BE132" s="99" t="n">
        <v>3088925</v>
      </c>
      <c r="BF132" s="100">
        <f>IF(AND(ISNUMBER(BD132),ISNUMBER(BE132),N(BE132)&gt;0),BD132/BE132,"")</f>
        <v/>
      </c>
      <c r="BG132" s="97" t="inlineStr">
        <is>
          <t>N</t>
        </is>
      </c>
      <c r="BH132" s="97" t="inlineStr">
        <is>
          <t>List Price $55.00</t>
        </is>
      </c>
    </row>
    <row r="133" ht="62" customHeight="1">
      <c r="A133" s="39" t="inlineStr">
        <is>
          <t>IMAGE MISSING</t>
        </is>
      </c>
      <c r="B133" s="84" t="inlineStr">
        <is>
          <t>AiAngu</t>
        </is>
      </c>
      <c r="C133" s="32" t="inlineStr">
        <is>
          <t>Bamboo Sheets</t>
        </is>
      </c>
      <c r="D133" s="84" t="inlineStr">
        <is>
          <t>Poor</t>
        </is>
      </c>
      <c r="E133" s="84" t="inlineStr">
        <is>
          <t>B0H3KP6R9B</t>
        </is>
      </c>
      <c r="F133" s="84" t="inlineStr">
        <is>
          <t>B0GX15Y7TT</t>
        </is>
      </c>
      <c r="G133" s="84" t="n"/>
      <c r="H133" s="84" t="n"/>
      <c r="I133" s="85" t="n"/>
      <c r="J133" s="32" t="inlineStr"/>
      <c r="K133" s="86" t="n">
        <v>74.98999999999999</v>
      </c>
      <c r="L133" s="86" t="n">
        <v>79.98999999999999</v>
      </c>
      <c r="M133" s="87">
        <f>IF(AND(ISNUMBER(L133),ISNUMBER(K133),N(K133)&gt;0),L133/K133-1,"")</f>
        <v/>
      </c>
      <c r="N133" s="88">
        <f>IF(M133="","No List Price",IF(M133&lt;=0,"At/below price",IF(M133&lt;=0.12,"&lt;=12% STR zone",IF(M133&lt;=0.25,"12-25%","&gt;25% over"))))</f>
        <v/>
      </c>
      <c r="O133" s="86" t="n">
        <v>64.98999999999999</v>
      </c>
      <c r="P133" s="89">
        <f>IF(AND(ISNUMBER(K133),ISNUMBER(O133),N(O133)&gt;0),K133/O133-1,"")</f>
        <v/>
      </c>
      <c r="Q133" s="32" t="inlineStr">
        <is>
          <t>Size not stated - vs our Queen. Ours live: SellerBoard listing price, 2026-10-14; 17 children</t>
        </is>
      </c>
      <c r="R133" s="85" t="n">
        <v>39296</v>
      </c>
      <c r="S133" s="85" t="n">
        <v>81</v>
      </c>
      <c r="T133" s="90">
        <f>IF(AND(ISNUMBER(K133),ISNUMBER(S133)),K133*S133*52/12,"")</f>
        <v/>
      </c>
      <c r="U133" s="91" t="n">
        <v>4.6</v>
      </c>
      <c r="V133" s="85" t="n">
        <v>121</v>
      </c>
      <c r="W133" s="92" t="n">
        <v>46307</v>
      </c>
      <c r="X133" s="92" t="n"/>
      <c r="Y133" s="84" t="n"/>
      <c r="Z133" s="84" t="n"/>
      <c r="AA133" s="85" t="n"/>
      <c r="AB133" s="85" t="n"/>
      <c r="AC133" s="93" t="n"/>
      <c r="AD133" s="93" t="n"/>
      <c r="AE133" s="32" t="n"/>
      <c r="AF133" s="93" t="n"/>
      <c r="AG133" s="93" t="n"/>
      <c r="AH133" s="93" t="n"/>
      <c r="AI133" s="93" t="n"/>
      <c r="AJ133" s="85" t="n"/>
      <c r="AK133" s="85" t="n"/>
      <c r="AL133" s="85" t="n"/>
      <c r="AM133" s="85" t="n"/>
      <c r="AN133" s="85" t="n"/>
      <c r="AO133" s="85" t="n"/>
      <c r="AP133" s="94" t="n"/>
      <c r="AQ133" s="89" t="n"/>
      <c r="AR133" s="95" t="inlineStr">
        <is>
          <t>Y</t>
        </is>
      </c>
      <c r="AS133" s="95" t="inlineStr">
        <is>
          <t>List Price</t>
        </is>
      </c>
      <c r="AT133" s="96" t="n">
        <v>79.98999999999999</v>
      </c>
      <c r="AU133" s="96" t="n">
        <v>74.98999999999999</v>
      </c>
      <c r="AV133" s="95" t="inlineStr">
        <is>
          <t>coupon 25%</t>
        </is>
      </c>
      <c r="AW133" s="95" t="inlineStr">
        <is>
          <t>Y</t>
        </is>
      </c>
      <c r="AX133" s="95" t="inlineStr">
        <is>
          <t>2026-10-13 23:35:32</t>
        </is>
      </c>
      <c r="AY133" s="97" t="inlineStr">
        <is>
          <t>Not live in 2025</t>
        </is>
      </c>
      <c r="AZ133" s="102" t="n"/>
      <c r="BA133" s="101" t="n"/>
      <c r="BB133" s="101" t="n"/>
      <c r="BC133" s="87">
        <f>IF(AND(ISNUMBER(BA133),ISNUMBER(BB133),N(BA133)&gt;0),1-BB133/BA133,"")</f>
        <v/>
      </c>
      <c r="BD133" s="103" t="n"/>
      <c r="BE133" s="103" t="n"/>
      <c r="BF133" s="100">
        <f>IF(AND(ISNUMBER(BD133),ISNUMBER(BE133),N(BE133)&gt;0),BD133/BE133,"")</f>
        <v/>
      </c>
      <c r="BG133" s="102" t="n"/>
      <c r="BH133" s="102" t="n"/>
    </row>
    <row r="134" ht="62" customHeight="1">
      <c r="A134" s="10">
        <f>_xlfn.IMAGE("https://images-na.ssl-images-amazon.com/images/I/71Kvq1YdGJL.jpg")</f>
        <v/>
      </c>
      <c r="B134" s="84" t="inlineStr">
        <is>
          <t>Cariloha</t>
        </is>
      </c>
      <c r="C134" s="32" t="inlineStr">
        <is>
          <t>Cariloha Aloha Soft Bamboo Viscose Sheet Set - Natural - Queen</t>
        </is>
      </c>
      <c r="D134" s="84" t="inlineStr">
        <is>
          <t>Poor</t>
        </is>
      </c>
      <c r="E134" s="84" t="inlineStr">
        <is>
          <t>B0F89K7BXJ</t>
        </is>
      </c>
      <c r="F134" s="84" t="inlineStr">
        <is>
          <t>B0DJV1K332</t>
        </is>
      </c>
      <c r="G134" s="84" t="inlineStr">
        <is>
          <t>Queen</t>
        </is>
      </c>
      <c r="H134" s="84" t="n"/>
      <c r="I134" s="85" t="n">
        <v>35</v>
      </c>
      <c r="J134" s="32" t="inlineStr"/>
      <c r="K134" s="86" t="n">
        <v>107.1</v>
      </c>
      <c r="L134" s="86" t="n"/>
      <c r="M134" s="87">
        <f>IF(AND(ISNUMBER(L134),ISNUMBER(K134),N(K134)&gt;0),L134/K134-1,"")</f>
        <v/>
      </c>
      <c r="N134" s="88">
        <f>IF(M134="","No List Price",IF(M134&lt;=0,"At/below price",IF(M134&lt;=0.12,"&lt;=12% STR zone",IF(M134&lt;=0.25,"12-25%","&gt;25% over"))))</f>
        <v/>
      </c>
      <c r="O134" s="86" t="n">
        <v>64.98999999999999</v>
      </c>
      <c r="P134" s="89">
        <f>IF(AND(ISNUMBER(K134),ISNUMBER(O134),N(O134)&gt;0),K134/O134-1,"")</f>
        <v/>
      </c>
      <c r="Q134" s="32" t="inlineStr">
        <is>
          <t>Same size (Queen). Ours live: SellerBoard listing price, 2026-10-14; 17 children</t>
        </is>
      </c>
      <c r="R134" s="85" t="n">
        <v>15882</v>
      </c>
      <c r="S134" s="85" t="n">
        <v>81</v>
      </c>
      <c r="T134" s="90">
        <f>IF(AND(ISNUMBER(K134),ISNUMBER(S134)),K134*S134*52/12,"")</f>
        <v/>
      </c>
      <c r="U134" s="91" t="n">
        <v>4.4</v>
      </c>
      <c r="V134" s="85" t="n">
        <v>426</v>
      </c>
      <c r="W134" s="92" t="n">
        <v>46307</v>
      </c>
      <c r="X134" s="92" t="n">
        <v>45575</v>
      </c>
      <c r="Y134" s="84" t="inlineStr">
        <is>
          <t>FBA</t>
        </is>
      </c>
      <c r="Z134" s="84" t="inlineStr">
        <is>
          <t>US</t>
        </is>
      </c>
      <c r="AA134" s="85" t="n"/>
      <c r="AB134" s="85" t="n"/>
      <c r="AC134" s="93" t="n"/>
      <c r="AD134" s="93" t="n"/>
      <c r="AE134" s="32" t="n"/>
      <c r="AF134" s="93" t="n"/>
      <c r="AG134" s="93" t="n"/>
      <c r="AH134" s="93" t="n"/>
      <c r="AI134" s="93" t="n"/>
      <c r="AJ134" s="85" t="n"/>
      <c r="AK134" s="85" t="n"/>
      <c r="AL134" s="85" t="n"/>
      <c r="AM134" s="85" t="n"/>
      <c r="AN134" s="85" t="n"/>
      <c r="AO134" s="85" t="n"/>
      <c r="AP134" s="94" t="n"/>
      <c r="AQ134" s="89" t="n"/>
      <c r="AR134" s="95" t="inlineStr">
        <is>
          <t>Y</t>
        </is>
      </c>
      <c r="AS134" s="95" t="inlineStr">
        <is>
          <t>List Price</t>
        </is>
      </c>
      <c r="AT134" s="96" t="n">
        <v>119</v>
      </c>
      <c r="AU134" s="96" t="n">
        <v>107.1</v>
      </c>
      <c r="AV134" s="95" t="inlineStr">
        <is>
          <t>none</t>
        </is>
      </c>
      <c r="AW134" s="95" t="inlineStr">
        <is>
          <t>Y</t>
        </is>
      </c>
      <c r="AX134" s="95" t="inlineStr">
        <is>
          <t>2026-10-13 23:35:56</t>
        </is>
      </c>
      <c r="AY134" s="97" t="inlineStr">
        <is>
          <t>Prime Exclusive Discount</t>
        </is>
      </c>
      <c r="AZ134" s="97" t="inlineStr">
        <is>
          <t>11-23 to 11-30</t>
        </is>
      </c>
      <c r="BA134" s="98" t="n">
        <v>119</v>
      </c>
      <c r="BB134" s="98" t="n">
        <v>71.40000000000001</v>
      </c>
      <c r="BC134" s="87">
        <f>IF(AND(ISNUMBER(BA134),ISNUMBER(BB134),N(BA134)&gt;0),1-BB134/BA134,"")</f>
        <v/>
      </c>
      <c r="BD134" s="99" t="n">
        <v>52063</v>
      </c>
      <c r="BE134" s="99" t="n">
        <v>37342</v>
      </c>
      <c r="BF134" s="100">
        <f>IF(AND(ISNUMBER(BD134),ISNUMBER(BE134),N(BE134)&gt;0),BD134/BE134,"")</f>
        <v/>
      </c>
      <c r="BG134" s="97" t="inlineStr">
        <is>
          <t>N</t>
        </is>
      </c>
      <c r="BH134" s="97" t="inlineStr">
        <is>
          <t>Coupon 20%, 30% (11-01 to 12-05); List Price $119.00</t>
        </is>
      </c>
    </row>
    <row r="135" ht="62" customHeight="1">
      <c r="A135" s="10">
        <f>_xlfn.IMAGE("https://images-na.ssl-images-amazon.com/images/I/81fSDKgL-SL.jpg")</f>
        <v/>
      </c>
      <c r="B135" s="84" t="inlineStr">
        <is>
          <t>ACCURATEX</t>
        </is>
      </c>
      <c r="C135" s="32" t="inlineStr">
        <is>
          <t>ACCURATEX Cooling Sheets for Hot Sleepers, King Size, Grey</t>
        </is>
      </c>
      <c r="D135" s="84" t="inlineStr">
        <is>
          <t>Poor</t>
        </is>
      </c>
      <c r="E135" s="84" t="inlineStr">
        <is>
          <t>B0GMGSMLQ1</t>
        </is>
      </c>
      <c r="F135" s="84" t="inlineStr">
        <is>
          <t>B09PYB9C45</t>
        </is>
      </c>
      <c r="G135" s="84" t="inlineStr">
        <is>
          <t>King</t>
        </is>
      </c>
      <c r="H135" s="84" t="inlineStr">
        <is>
          <t>Grey</t>
        </is>
      </c>
      <c r="I135" s="85" t="n">
        <v>51</v>
      </c>
      <c r="J135" s="32" t="inlineStr"/>
      <c r="K135" s="86" t="n">
        <v>69.98999999999999</v>
      </c>
      <c r="L135" s="86" t="n"/>
      <c r="M135" s="87">
        <f>IF(AND(ISNUMBER(L135),ISNUMBER(K135),N(K135)&gt;0),L135/K135-1,"")</f>
        <v/>
      </c>
      <c r="N135" s="88">
        <f>IF(M135="","No List Price",IF(M135&lt;=0,"At/below price",IF(M135&lt;=0.12,"&lt;=12% STR zone",IF(M135&lt;=0.25,"12-25%","&gt;25% over"))))</f>
        <v/>
      </c>
      <c r="O135" s="86" t="n">
        <v>69.98999999999999</v>
      </c>
      <c r="P135" s="89">
        <f>IF(AND(ISNUMBER(K135),ISNUMBER(O135),N(O135)&gt;0),K135/O135-1,"")</f>
        <v/>
      </c>
      <c r="Q135" s="32" t="inlineStr">
        <is>
          <t>Same size (King). Ours live: Helium 10 Xray, 2026-10-13; 16 children</t>
        </is>
      </c>
      <c r="R135" s="85" t="n">
        <v>33423</v>
      </c>
      <c r="S135" s="85" t="n">
        <v>35</v>
      </c>
      <c r="T135" s="90">
        <f>IF(AND(ISNUMBER(K135),ISNUMBER(S135)),K135*S135*52/12,"")</f>
        <v/>
      </c>
      <c r="U135" s="91" t="n">
        <v>4.4</v>
      </c>
      <c r="V135" s="85" t="n">
        <v>1040</v>
      </c>
      <c r="W135" s="92" t="n">
        <v>46307</v>
      </c>
      <c r="X135" s="92" t="n">
        <v>44681</v>
      </c>
      <c r="Y135" s="84" t="inlineStr">
        <is>
          <t>FBA</t>
        </is>
      </c>
      <c r="Z135" s="84" t="inlineStr">
        <is>
          <t>CN</t>
        </is>
      </c>
      <c r="AA135" s="85" t="n"/>
      <c r="AB135" s="85" t="n"/>
      <c r="AC135" s="93" t="n"/>
      <c r="AD135" s="93" t="n"/>
      <c r="AE135" s="32" t="n"/>
      <c r="AF135" s="93" t="n"/>
      <c r="AG135" s="93" t="n"/>
      <c r="AH135" s="93" t="n"/>
      <c r="AI135" s="93" t="n"/>
      <c r="AJ135" s="85" t="n"/>
      <c r="AK135" s="85" t="n"/>
      <c r="AL135" s="85" t="n"/>
      <c r="AM135" s="85" t="n"/>
      <c r="AN135" s="85" t="n"/>
      <c r="AO135" s="85" t="n"/>
      <c r="AP135" s="94" t="n"/>
      <c r="AQ135" s="89" t="n"/>
      <c r="AR135" s="95" t="inlineStr">
        <is>
          <t>N</t>
        </is>
      </c>
      <c r="AS135" s="95" t="inlineStr">
        <is>
          <t>none</t>
        </is>
      </c>
      <c r="AT135" s="101" t="n"/>
      <c r="AU135" s="96" t="n">
        <v>69.98999999999999</v>
      </c>
      <c r="AV135" s="95" t="inlineStr">
        <is>
          <t>none</t>
        </is>
      </c>
      <c r="AW135" s="95" t="inlineStr">
        <is>
          <t>Y</t>
        </is>
      </c>
      <c r="AX135" s="95" t="inlineStr">
        <is>
          <t>2026-10-13 23:35:28</t>
        </is>
      </c>
      <c r="AY135" s="97" t="inlineStr">
        <is>
          <t>Prime Exclusive Discount</t>
        </is>
      </c>
      <c r="AZ135" s="97" t="inlineStr">
        <is>
          <t>11-26 to 12-01</t>
        </is>
      </c>
      <c r="BA135" s="98" t="n">
        <v>59.49</v>
      </c>
      <c r="BB135" s="98" t="n">
        <v>59.49</v>
      </c>
      <c r="BC135" s="87">
        <f>IF(AND(ISNUMBER(BA135),ISNUMBER(BB135),N(BA135)&gt;0),1-BB135/BA135,"")</f>
        <v/>
      </c>
      <c r="BD135" s="99" t="n">
        <v>33899</v>
      </c>
      <c r="BE135" s="99" t="n">
        <v>51988</v>
      </c>
      <c r="BF135" s="100">
        <f>IF(AND(ISNUMBER(BD135),ISNUMBER(BE135),N(BE135)&gt;0),BD135/BE135,"")</f>
        <v/>
      </c>
      <c r="BG135" s="97" t="inlineStr">
        <is>
          <t>N</t>
        </is>
      </c>
      <c r="BH135" s="97" t="inlineStr">
        <is>
          <t>Lightning Deal 11-13 to 11-13; Buy Box RAISED in BFCM week (median $74.99 vs $69.99 before); List Price $74.99</t>
        </is>
      </c>
    </row>
    <row r="136" ht="62" customHeight="1">
      <c r="A136" s="10">
        <f>_xlfn.IMAGE("https://images-na.ssl-images-amazon.com/images/I/61NbNWE+BJL.jpg")</f>
        <v/>
      </c>
      <c r="B136" s="84" t="inlineStr">
        <is>
          <t>Cozy Earth</t>
        </is>
      </c>
      <c r="C136" s="32" t="inlineStr">
        <is>
          <t>Cozy Earth Luxury Bed Sheet Set, 100% Viscose from Bamboo Fabric</t>
        </is>
      </c>
      <c r="D136" s="84" t="inlineStr">
        <is>
          <t>Poor</t>
        </is>
      </c>
      <c r="E136" s="84" t="inlineStr">
        <is>
          <t>B0DSQ9V4ML</t>
        </is>
      </c>
      <c r="F136" s="84" t="inlineStr">
        <is>
          <t>B0F22JR4S8</t>
        </is>
      </c>
      <c r="G136" s="84" t="n"/>
      <c r="H136" s="84" t="n"/>
      <c r="I136" s="85" t="n">
        <v>54</v>
      </c>
      <c r="J136" s="32" t="inlineStr"/>
      <c r="K136" s="86" t="n">
        <v>328</v>
      </c>
      <c r="L136" s="86" t="n"/>
      <c r="M136" s="87">
        <f>IF(AND(ISNUMBER(L136),ISNUMBER(K136),N(K136)&gt;0),L136/K136-1,"")</f>
        <v/>
      </c>
      <c r="N136" s="88">
        <f>IF(M136="","No List Price",IF(M136&lt;=0,"At/below price",IF(M136&lt;=0.12,"&lt;=12% STR zone",IF(M136&lt;=0.25,"12-25%","&gt;25% over"))))</f>
        <v/>
      </c>
      <c r="O136" s="86" t="n">
        <v>64.98999999999999</v>
      </c>
      <c r="P136" s="89">
        <f>IF(AND(ISNUMBER(K136),ISNUMBER(O136),N(O136)&gt;0),K136/O136-1,"")</f>
        <v/>
      </c>
      <c r="Q136" s="32" t="inlineStr">
        <is>
          <t>Size not stated - vs our Queen. Ours live: SellerBoard listing price, 2026-10-14; 17 children</t>
        </is>
      </c>
      <c r="R136" s="85" t="n">
        <v>45709</v>
      </c>
      <c r="S136" s="85" t="n">
        <v>35</v>
      </c>
      <c r="T136" s="90">
        <f>IF(AND(ISNUMBER(K136),ISNUMBER(S136)),K136*S136*52/12,"")</f>
        <v/>
      </c>
      <c r="U136" s="91" t="n">
        <v>3.9</v>
      </c>
      <c r="V136" s="85" t="n">
        <v>425</v>
      </c>
      <c r="W136" s="92" t="n">
        <v>46307</v>
      </c>
      <c r="X136" s="92" t="n">
        <v>41624</v>
      </c>
      <c r="Y136" s="84" t="inlineStr">
        <is>
          <t>FBA</t>
        </is>
      </c>
      <c r="Z136" s="84" t="inlineStr">
        <is>
          <t>US</t>
        </is>
      </c>
      <c r="AA136" s="85" t="n"/>
      <c r="AB136" s="85" t="n"/>
      <c r="AC136" s="93" t="n"/>
      <c r="AD136" s="93" t="n"/>
      <c r="AE136" s="32" t="n"/>
      <c r="AF136" s="93" t="n"/>
      <c r="AG136" s="93" t="n"/>
      <c r="AH136" s="93" t="n"/>
      <c r="AI136" s="93" t="n"/>
      <c r="AJ136" s="85" t="n"/>
      <c r="AK136" s="85" t="n"/>
      <c r="AL136" s="85" t="n"/>
      <c r="AM136" s="85" t="n"/>
      <c r="AN136" s="85" t="n"/>
      <c r="AO136" s="85" t="n"/>
      <c r="AP136" s="94" t="n"/>
      <c r="AQ136" s="89" t="n"/>
      <c r="AR136" s="95" t="inlineStr">
        <is>
          <t>N</t>
        </is>
      </c>
      <c r="AS136" s="95" t="inlineStr">
        <is>
          <t>none</t>
        </is>
      </c>
      <c r="AT136" s="101" t="n"/>
      <c r="AU136" s="96" t="n">
        <v>328</v>
      </c>
      <c r="AV136" s="95" t="inlineStr">
        <is>
          <t>none</t>
        </is>
      </c>
      <c r="AW136" s="95" t="inlineStr">
        <is>
          <t>Y</t>
        </is>
      </c>
      <c r="AX136" s="95" t="inlineStr">
        <is>
          <t>2026-10-13 23:36:06</t>
        </is>
      </c>
      <c r="AY136" s="97" t="inlineStr">
        <is>
          <t>Prime Exclusive Discount</t>
        </is>
      </c>
      <c r="AZ136" s="97" t="inlineStr">
        <is>
          <t>11-27 to 12-01</t>
        </is>
      </c>
      <c r="BA136" s="98" t="n">
        <v>262.4</v>
      </c>
      <c r="BB136" s="98" t="n">
        <v>229.6</v>
      </c>
      <c r="BC136" s="87">
        <f>IF(AND(ISNUMBER(BA136),ISNUMBER(BB136),N(BA136)&gt;0),1-BB136/BA136,"")</f>
        <v/>
      </c>
      <c r="BD136" s="99" t="n">
        <v>51830</v>
      </c>
      <c r="BE136" s="99" t="n">
        <v>28404</v>
      </c>
      <c r="BF136" s="100">
        <f>IF(AND(ISNUMBER(BD136),ISNUMBER(BE136),N(BE136)&gt;0),BD136/BE136,"")</f>
        <v/>
      </c>
      <c r="BG136" s="97" t="inlineStr">
        <is>
          <t>N</t>
        </is>
      </c>
      <c r="BH136" s="97" t="inlineStr">
        <is>
          <t>List Price $328.00</t>
        </is>
      </c>
    </row>
    <row r="137" ht="62" customHeight="1">
      <c r="A137" s="10">
        <f>_xlfn.IMAGE("https://images-na.ssl-images-amazon.com/images/I/61iqSV9TaLL.jpg")</f>
        <v/>
      </c>
      <c r="B137" s="84" t="inlineStr">
        <is>
          <t>DREAMCARE</t>
        </is>
      </c>
      <c r="C137" s="32" t="inlineStr">
        <is>
          <t>DREAMCARE 100% Rayon Bamboo Sheets King Size - 4pc Cooling Sheets King Size</t>
        </is>
      </c>
      <c r="D137" s="84" t="inlineStr">
        <is>
          <t>Poor</t>
        </is>
      </c>
      <c r="E137" s="84" t="inlineStr">
        <is>
          <t>B0DVZFLVMG</t>
        </is>
      </c>
      <c r="F137" s="84" t="inlineStr">
        <is>
          <t>B0CF2MND41</t>
        </is>
      </c>
      <c r="G137" s="84" t="inlineStr">
        <is>
          <t>King</t>
        </is>
      </c>
      <c r="H137" s="84" t="n"/>
      <c r="I137" s="85" t="n">
        <v>30</v>
      </c>
      <c r="J137" s="32" t="inlineStr"/>
      <c r="K137" s="86" t="n">
        <v>46.74</v>
      </c>
      <c r="L137" s="86" t="n">
        <v>59.99</v>
      </c>
      <c r="M137" s="87">
        <f>IF(AND(ISNUMBER(L137),ISNUMBER(K137),N(K137)&gt;0),L137/K137-1,"")</f>
        <v/>
      </c>
      <c r="N137" s="88">
        <f>IF(M137="","No List Price",IF(M137&lt;=0,"At/below price",IF(M137&lt;=0.12,"&lt;=12% STR zone",IF(M137&lt;=0.25,"12-25%","&gt;25% over"))))</f>
        <v/>
      </c>
      <c r="O137" s="86" t="n">
        <v>69.98999999999999</v>
      </c>
      <c r="P137" s="89">
        <f>IF(AND(ISNUMBER(K137),ISNUMBER(O137),N(O137)&gt;0),K137/O137-1,"")</f>
        <v/>
      </c>
      <c r="Q137" s="32" t="inlineStr">
        <is>
          <t>Same size (King). Ours live: Helium 10 Xray, 2026-10-13; 16 children</t>
        </is>
      </c>
      <c r="R137" s="85" t="n">
        <v>37217</v>
      </c>
      <c r="S137" s="85" t="n">
        <v>35</v>
      </c>
      <c r="T137" s="90">
        <f>IF(AND(ISNUMBER(K137),ISNUMBER(S137)),K137*S137*52/12,"")</f>
        <v/>
      </c>
      <c r="U137" s="91" t="n">
        <v>4.5</v>
      </c>
      <c r="V137" s="85" t="n">
        <v>2261</v>
      </c>
      <c r="W137" s="92" t="n">
        <v>46307</v>
      </c>
      <c r="X137" s="92" t="n">
        <v>45146</v>
      </c>
      <c r="Y137" s="84" t="inlineStr">
        <is>
          <t>FBA</t>
        </is>
      </c>
      <c r="Z137" s="84" t="inlineStr">
        <is>
          <t>US</t>
        </is>
      </c>
      <c r="AA137" s="85" t="n"/>
      <c r="AB137" s="85" t="n"/>
      <c r="AC137" s="93" t="n"/>
      <c r="AD137" s="93" t="n"/>
      <c r="AE137" s="32" t="n"/>
      <c r="AF137" s="93" t="n"/>
      <c r="AG137" s="93" t="n"/>
      <c r="AH137" s="93" t="n"/>
      <c r="AI137" s="93" t="n"/>
      <c r="AJ137" s="85" t="n"/>
      <c r="AK137" s="85" t="n"/>
      <c r="AL137" s="85" t="n"/>
      <c r="AM137" s="85" t="n"/>
      <c r="AN137" s="85" t="n"/>
      <c r="AO137" s="85" t="n"/>
      <c r="AP137" s="94" t="n"/>
      <c r="AQ137" s="89" t="n"/>
      <c r="AR137" s="95" t="inlineStr">
        <is>
          <t>Y</t>
        </is>
      </c>
      <c r="AS137" s="95" t="inlineStr">
        <is>
          <t>List Price</t>
        </is>
      </c>
      <c r="AT137" s="96" t="n">
        <v>59.99</v>
      </c>
      <c r="AU137" s="96" t="n">
        <v>46.74</v>
      </c>
      <c r="AV137" s="95" t="inlineStr">
        <is>
          <t>Limited time deal</t>
        </is>
      </c>
      <c r="AW137" s="95" t="inlineStr">
        <is>
          <t>Y</t>
        </is>
      </c>
      <c r="AX137" s="95" t="inlineStr">
        <is>
          <t>2026-10-13 23:36:12</t>
        </is>
      </c>
      <c r="AY137" s="97" t="inlineStr">
        <is>
          <t>Prime Exclusive Discount</t>
        </is>
      </c>
      <c r="AZ137" s="97" t="inlineStr">
        <is>
          <t>11-22 to 12-01</t>
        </is>
      </c>
      <c r="BA137" s="98" t="n">
        <v>58.99</v>
      </c>
      <c r="BB137" s="98" t="n">
        <v>49.99</v>
      </c>
      <c r="BC137" s="87">
        <f>IF(AND(ISNUMBER(BA137),ISNUMBER(BB137),N(BA137)&gt;0),1-BB137/BA137,"")</f>
        <v/>
      </c>
      <c r="BD137" s="99" t="n">
        <v>209915</v>
      </c>
      <c r="BE137" s="99" t="n">
        <v>169120</v>
      </c>
      <c r="BF137" s="100">
        <f>IF(AND(ISNUMBER(BD137),ISNUMBER(BE137),N(BE137)&gt;0),BD137/BE137,"")</f>
        <v/>
      </c>
      <c r="BG137" s="97" t="inlineStr">
        <is>
          <t>N</t>
        </is>
      </c>
      <c r="BH137" s="97" t="inlineStr">
        <is>
          <t>Buy Box RAISED in BFCM week (median $62.88 vs $58.99 before); List Price $58.99</t>
        </is>
      </c>
    </row>
    <row r="138" ht="62" customHeight="1">
      <c r="A138" s="10">
        <f>_xlfn.IMAGE("https://images-na.ssl-images-amazon.com/images/I/81noqNc+ZjL.jpg")</f>
        <v/>
      </c>
      <c r="B138" s="84" t="inlineStr">
        <is>
          <t>HOT SLEEPER SHEETS</t>
        </is>
      </c>
      <c r="C138" s="32" t="inlineStr">
        <is>
          <t>Cooling Sheets Set Queen Size, Viscose Derived from Bamboo for Hot Sleepers | Deep Pocket Up to 16 Inch | Silky Soft &amp; Breathable Bedding - 4PC (Queen, Navy)</t>
        </is>
      </c>
      <c r="D138" s="84" t="inlineStr">
        <is>
          <t>Poor</t>
        </is>
      </c>
      <c r="E138" s="84" t="inlineStr">
        <is>
          <t>B0DM3GDCTR</t>
        </is>
      </c>
      <c r="F138" s="84" t="inlineStr">
        <is>
          <t>B0D3XQM7DL</t>
        </is>
      </c>
      <c r="G138" s="84" t="inlineStr">
        <is>
          <t>Queen</t>
        </is>
      </c>
      <c r="H138" s="84" t="inlineStr">
        <is>
          <t>Navy</t>
        </is>
      </c>
      <c r="I138" s="85" t="n">
        <v>74</v>
      </c>
      <c r="J138" s="32" t="inlineStr"/>
      <c r="K138" s="86" t="n">
        <v>51.29</v>
      </c>
      <c r="L138" s="86" t="n">
        <v>62.99</v>
      </c>
      <c r="M138" s="87">
        <f>IF(AND(ISNUMBER(L138),ISNUMBER(K138),N(K138)&gt;0),L138/K138-1,"")</f>
        <v/>
      </c>
      <c r="N138" s="88">
        <f>IF(M138="","No List Price",IF(M138&lt;=0,"At/below price",IF(M138&lt;=0.12,"&lt;=12% STR zone",IF(M138&lt;=0.25,"12-25%","&gt;25% over"))))</f>
        <v/>
      </c>
      <c r="O138" s="86" t="n">
        <v>64.98999999999999</v>
      </c>
      <c r="P138" s="89">
        <f>IF(AND(ISNUMBER(K138),ISNUMBER(O138),N(O138)&gt;0),K138/O138-1,"")</f>
        <v/>
      </c>
      <c r="Q138" s="32" t="inlineStr">
        <is>
          <t>Same size (Queen). Ours live: SellerBoard listing price, 2026-10-14; 17 children</t>
        </is>
      </c>
      <c r="R138" s="85" t="n">
        <v>33959</v>
      </c>
      <c r="S138" s="85" t="n">
        <v>35</v>
      </c>
      <c r="T138" s="90">
        <f>IF(AND(ISNUMBER(K138),ISNUMBER(S138)),K138*S138*52/12,"")</f>
        <v/>
      </c>
      <c r="U138" s="91" t="n">
        <v>4.4</v>
      </c>
      <c r="V138" s="85" t="n">
        <v>674</v>
      </c>
      <c r="W138" s="92" t="n">
        <v>46307</v>
      </c>
      <c r="X138" s="92" t="n">
        <v>45423</v>
      </c>
      <c r="Y138" s="84" t="inlineStr">
        <is>
          <t>FBA</t>
        </is>
      </c>
      <c r="Z138" s="84" t="inlineStr">
        <is>
          <t>CN</t>
        </is>
      </c>
      <c r="AA138" s="85" t="n"/>
      <c r="AB138" s="85" t="n"/>
      <c r="AC138" s="93" t="n"/>
      <c r="AD138" s="93" t="n"/>
      <c r="AE138" s="32" t="n"/>
      <c r="AF138" s="93" t="n"/>
      <c r="AG138" s="93" t="n"/>
      <c r="AH138" s="93" t="n"/>
      <c r="AI138" s="93" t="n"/>
      <c r="AJ138" s="85" t="n"/>
      <c r="AK138" s="85" t="n"/>
      <c r="AL138" s="85" t="n"/>
      <c r="AM138" s="85" t="n"/>
      <c r="AN138" s="85" t="n"/>
      <c r="AO138" s="85" t="n"/>
      <c r="AP138" s="94" t="n"/>
      <c r="AQ138" s="89" t="n"/>
      <c r="AR138" s="95" t="inlineStr">
        <is>
          <t>Y</t>
        </is>
      </c>
      <c r="AS138" s="95" t="inlineStr">
        <is>
          <t>Typical price</t>
        </is>
      </c>
      <c r="AT138" s="96" t="n">
        <v>62.99</v>
      </c>
      <c r="AU138" s="96" t="n">
        <v>51.29</v>
      </c>
      <c r="AV138" s="95" t="inlineStr">
        <is>
          <t>Limited time deal</t>
        </is>
      </c>
      <c r="AW138" s="95" t="inlineStr">
        <is>
          <t>Y</t>
        </is>
      </c>
      <c r="AX138" s="95" t="inlineStr">
        <is>
          <t>2026-10-13 23:36:21</t>
        </is>
      </c>
      <c r="AY138" s="97" t="inlineStr">
        <is>
          <t>Price cut only</t>
        </is>
      </c>
      <c r="AZ138" s="97" t="inlineStr">
        <is>
          <t>11-20 to 12-01</t>
        </is>
      </c>
      <c r="BA138" s="98" t="n">
        <v>62.99</v>
      </c>
      <c r="BB138" s="98" t="n">
        <v>45.89</v>
      </c>
      <c r="BC138" s="87">
        <f>IF(AND(ISNUMBER(BA138),ISNUMBER(BB138),N(BA138)&gt;0),1-BB138/BA138,"")</f>
        <v/>
      </c>
      <c r="BD138" s="99" t="n">
        <v>44317</v>
      </c>
      <c r="BE138" s="99" t="n">
        <v>18465</v>
      </c>
      <c r="BF138" s="100">
        <f>IF(AND(ISNUMBER(BD138),ISNUMBER(BE138),N(BE138)&gt;0),BD138/BE138,"")</f>
        <v/>
      </c>
      <c r="BG138" s="97" t="inlineStr">
        <is>
          <t>N</t>
        </is>
      </c>
      <c r="BH138" s="97" t="inlineStr">
        <is>
          <t>List Price $107.98</t>
        </is>
      </c>
    </row>
    <row r="139" ht="62" customHeight="1">
      <c r="A139" s="10">
        <f>_xlfn.IMAGE("https://images-na.ssl-images-amazon.com/images/I/71+O+E9PlaL.jpg")</f>
        <v/>
      </c>
      <c r="B139" s="84" t="inlineStr">
        <is>
          <t>Shilucheng</t>
        </is>
      </c>
      <c r="C139" s="32" t="inlineStr">
        <is>
          <t>Shilucheng 100% Viscose Derived from Bamboo_ Sheets Queen Size 4pcs</t>
        </is>
      </c>
      <c r="D139" s="84" t="inlineStr">
        <is>
          <t>Poor</t>
        </is>
      </c>
      <c r="E139" s="84" t="inlineStr">
        <is>
          <t>B09PYKYCCF</t>
        </is>
      </c>
      <c r="F139" s="84" t="inlineStr">
        <is>
          <t>B09PYKYCCF</t>
        </is>
      </c>
      <c r="G139" s="84" t="inlineStr">
        <is>
          <t>Queen</t>
        </is>
      </c>
      <c r="H139" s="84" t="n"/>
      <c r="I139" s="85" t="n">
        <v>79</v>
      </c>
      <c r="J139" s="32" t="inlineStr"/>
      <c r="K139" s="86" t="n">
        <v>46.66</v>
      </c>
      <c r="L139" s="86" t="n">
        <v>54.9</v>
      </c>
      <c r="M139" s="87">
        <f>IF(AND(ISNUMBER(L139),ISNUMBER(K139),N(K139)&gt;0),L139/K139-1,"")</f>
        <v/>
      </c>
      <c r="N139" s="88">
        <f>IF(M139="","No List Price",IF(M139&lt;=0,"At/below price",IF(M139&lt;=0.12,"&lt;=12% STR zone",IF(M139&lt;=0.25,"12-25%","&gt;25% over"))))</f>
        <v/>
      </c>
      <c r="O139" s="86" t="n">
        <v>64.98999999999999</v>
      </c>
      <c r="P139" s="89">
        <f>IF(AND(ISNUMBER(K139),ISNUMBER(O139),N(O139)&gt;0),K139/O139-1,"")</f>
        <v/>
      </c>
      <c r="Q139" s="32" t="inlineStr">
        <is>
          <t>Same size (Queen). Ours live: SellerBoard listing price, 2026-10-14; 17 children</t>
        </is>
      </c>
      <c r="R139" s="85" t="n">
        <v>26043</v>
      </c>
      <c r="S139" s="85" t="n">
        <v>35</v>
      </c>
      <c r="T139" s="90">
        <f>IF(AND(ISNUMBER(K139),ISNUMBER(S139)),K139*S139*52/12,"")</f>
        <v/>
      </c>
      <c r="U139" s="91" t="n">
        <v>4.4</v>
      </c>
      <c r="V139" s="85" t="n">
        <v>6629</v>
      </c>
      <c r="W139" s="92" t="n">
        <v>46307</v>
      </c>
      <c r="X139" s="92" t="n">
        <v>44652</v>
      </c>
      <c r="Y139" s="84" t="inlineStr">
        <is>
          <t>FBA</t>
        </is>
      </c>
      <c r="Z139" s="84" t="inlineStr">
        <is>
          <t>CN</t>
        </is>
      </c>
      <c r="AA139" s="85" t="n"/>
      <c r="AB139" s="85" t="n"/>
      <c r="AC139" s="93" t="n"/>
      <c r="AD139" s="93" t="n"/>
      <c r="AE139" s="32" t="n"/>
      <c r="AF139" s="93" t="n"/>
      <c r="AG139" s="93" t="n"/>
      <c r="AH139" s="93" t="n"/>
      <c r="AI139" s="93" t="n"/>
      <c r="AJ139" s="85" t="n"/>
      <c r="AK139" s="85" t="n"/>
      <c r="AL139" s="85" t="n"/>
      <c r="AM139" s="85" t="n"/>
      <c r="AN139" s="85" t="n"/>
      <c r="AO139" s="85" t="n"/>
      <c r="AP139" s="94" t="n"/>
      <c r="AQ139" s="89" t="n">
        <v>-0.9774436090225564</v>
      </c>
      <c r="AR139" s="95" t="inlineStr">
        <is>
          <t>Y</t>
        </is>
      </c>
      <c r="AS139" s="95" t="inlineStr">
        <is>
          <t>List Price</t>
        </is>
      </c>
      <c r="AT139" s="96" t="n">
        <v>54.9</v>
      </c>
      <c r="AU139" s="96" t="n">
        <v>46.66</v>
      </c>
      <c r="AV139" s="95" t="inlineStr">
        <is>
          <t>Limited time deal</t>
        </is>
      </c>
      <c r="AW139" s="95" t="inlineStr">
        <is>
          <t>Y</t>
        </is>
      </c>
      <c r="AX139" s="95" t="inlineStr">
        <is>
          <t>2026-10-13 23:36:49</t>
        </is>
      </c>
      <c r="AY139" s="97" t="inlineStr">
        <is>
          <t>Prime Exclusive Discount</t>
        </is>
      </c>
      <c r="AZ139" s="97" t="inlineStr">
        <is>
          <t>11-23 to 12-01</t>
        </is>
      </c>
      <c r="BA139" s="98" t="n">
        <v>54.9</v>
      </c>
      <c r="BB139" s="98" t="n">
        <v>46.64</v>
      </c>
      <c r="BC139" s="87">
        <f>IF(AND(ISNUMBER(BA139),ISNUMBER(BB139),N(BA139)&gt;0),1-BB139/BA139,"")</f>
        <v/>
      </c>
      <c r="BD139" s="99" t="n">
        <v>15970</v>
      </c>
      <c r="BE139" s="99" t="n">
        <v>18592</v>
      </c>
      <c r="BF139" s="100">
        <f>IF(AND(ISNUMBER(BD139),ISNUMBER(BE139),N(BE139)&gt;0),BD139/BE139,"")</f>
        <v/>
      </c>
      <c r="BG139" s="97" t="inlineStr">
        <is>
          <t>N</t>
        </is>
      </c>
      <c r="BH139" s="97" t="inlineStr">
        <is>
          <t>Buy Box RAISED in BFCM week (median $58.30 vs $54.90 before); List Price $59.90</t>
        </is>
      </c>
    </row>
    <row r="140" ht="62" customHeight="1">
      <c r="A140" s="39" t="inlineStr">
        <is>
          <t>IMAGE MISSING</t>
        </is>
      </c>
      <c r="B140" s="84" t="inlineStr">
        <is>
          <t>Bamtek</t>
        </is>
      </c>
      <c r="C140" s="32" t="inlineStr">
        <is>
          <t>Viscose Bamboo Sheets Queen Size 4PC Set - Cooling Bedding for Hot Sleepers with</t>
        </is>
      </c>
      <c r="D140" s="84" t="inlineStr">
        <is>
          <t>Poor</t>
        </is>
      </c>
      <c r="E140" s="84" t="inlineStr">
        <is>
          <t>B0CZHCZQZ3</t>
        </is>
      </c>
      <c r="F140" s="84" t="inlineStr">
        <is>
          <t>B09TQ6ZVKZ</t>
        </is>
      </c>
      <c r="G140" s="84" t="inlineStr">
        <is>
          <t>Queen</t>
        </is>
      </c>
      <c r="H140" s="84" t="n"/>
      <c r="I140" s="85" t="n"/>
      <c r="J140" s="32" t="inlineStr"/>
      <c r="K140" s="86" t="n">
        <v>94.98999999999999</v>
      </c>
      <c r="L140" s="86" t="n"/>
      <c r="M140" s="87">
        <f>IF(AND(ISNUMBER(L140),ISNUMBER(K140),N(K140)&gt;0),L140/K140-1,"")</f>
        <v/>
      </c>
      <c r="N140" s="88">
        <f>IF(M140="","No List Price",IF(M140&lt;=0,"At/below price",IF(M140&lt;=0.12,"&lt;=12% STR zone",IF(M140&lt;=0.25,"12-25%","&gt;25% over"))))</f>
        <v/>
      </c>
      <c r="O140" s="86" t="n">
        <v>64.98999999999999</v>
      </c>
      <c r="P140" s="89">
        <f>IF(AND(ISNUMBER(K140),ISNUMBER(O140),N(O140)&gt;0),K140/O140-1,"")</f>
        <v/>
      </c>
      <c r="Q140" s="32" t="inlineStr">
        <is>
          <t>Same size (Queen). Ours live: SellerBoard listing price, 2026-10-14; 17 children</t>
        </is>
      </c>
      <c r="R140" s="85" t="n">
        <v>79376</v>
      </c>
      <c r="S140" s="85" t="n">
        <v>18</v>
      </c>
      <c r="T140" s="90">
        <f>IF(AND(ISNUMBER(K140),ISNUMBER(S140)),K140*S140*52/12,"")</f>
        <v/>
      </c>
      <c r="U140" s="91" t="n">
        <v>4.4</v>
      </c>
      <c r="V140" s="85" t="n">
        <v>641</v>
      </c>
      <c r="W140" s="92" t="n">
        <v>46307</v>
      </c>
      <c r="X140" s="92" t="n"/>
      <c r="Y140" s="84" t="n"/>
      <c r="Z140" s="84" t="n"/>
      <c r="AA140" s="85" t="n"/>
      <c r="AB140" s="85" t="n"/>
      <c r="AC140" s="93" t="n"/>
      <c r="AD140" s="93" t="n"/>
      <c r="AE140" s="32" t="n"/>
      <c r="AF140" s="93" t="n"/>
      <c r="AG140" s="93" t="n"/>
      <c r="AH140" s="93" t="n"/>
      <c r="AI140" s="93" t="n"/>
      <c r="AJ140" s="85" t="n"/>
      <c r="AK140" s="85" t="n"/>
      <c r="AL140" s="85" t="n"/>
      <c r="AM140" s="85" t="n"/>
      <c r="AN140" s="85" t="n"/>
      <c r="AO140" s="85" t="n"/>
      <c r="AP140" s="94" t="n"/>
      <c r="AQ140" s="89" t="n"/>
      <c r="AR140" s="95" t="inlineStr">
        <is>
          <t>N</t>
        </is>
      </c>
      <c r="AS140" s="95" t="inlineStr">
        <is>
          <t>none</t>
        </is>
      </c>
      <c r="AT140" s="101" t="n"/>
      <c r="AU140" s="96" t="n">
        <v>94.98999999999999</v>
      </c>
      <c r="AV140" s="95" t="inlineStr">
        <is>
          <t>none</t>
        </is>
      </c>
      <c r="AW140" s="95" t="inlineStr">
        <is>
          <t>Y</t>
        </is>
      </c>
      <c r="AX140" s="95" t="inlineStr">
        <is>
          <t>2026-10-13 23:35:47</t>
        </is>
      </c>
      <c r="AY140" s="97" t="inlineStr">
        <is>
          <t>Prime Exclusive Discount</t>
        </is>
      </c>
      <c r="AZ140" s="97" t="inlineStr">
        <is>
          <t>11-24 to 12-01</t>
        </is>
      </c>
      <c r="BA140" s="98" t="n">
        <v>104.99</v>
      </c>
      <c r="BB140" s="98" t="n">
        <v>83.98999999999999</v>
      </c>
      <c r="BC140" s="87">
        <f>IF(AND(ISNUMBER(BA140),ISNUMBER(BB140),N(BA140)&gt;0),1-BB140/BA140,"")</f>
        <v/>
      </c>
      <c r="BD140" s="99" t="n">
        <v>99218</v>
      </c>
      <c r="BE140" s="99" t="n">
        <v>70530</v>
      </c>
      <c r="BF140" s="100">
        <f>IF(AND(ISNUMBER(BD140),ISNUMBER(BE140),N(BE140)&gt;0),BD140/BE140,"")</f>
        <v/>
      </c>
      <c r="BG140" s="97" t="inlineStr">
        <is>
          <t>N</t>
        </is>
      </c>
      <c r="BH140" s="97" t="inlineStr">
        <is>
          <t>Coupon 40.00 USD (11-01 to 11-10); List Price $129.99</t>
        </is>
      </c>
    </row>
    <row r="141" ht="62" customHeight="1">
      <c r="A141" s="10">
        <f>_xlfn.IMAGE("https://images-na.ssl-images-amazon.com/images/I/61imzycbiwL.jpg")</f>
        <v/>
      </c>
      <c r="B141" s="84" t="inlineStr">
        <is>
          <t>JSD</t>
        </is>
      </c>
      <c r="C141" s="32" t="inlineStr">
        <is>
          <t>JSD Sage Green 100% Viscose Derived from Bamboo Cooling Sheet Set Queen</t>
        </is>
      </c>
      <c r="D141" s="84" t="inlineStr">
        <is>
          <t>Poor</t>
        </is>
      </c>
      <c r="E141" s="84" t="inlineStr">
        <is>
          <t>B0DTY15N29</t>
        </is>
      </c>
      <c r="F141" s="84" t="inlineStr">
        <is>
          <t>B0DSZTLBV1</t>
        </is>
      </c>
      <c r="G141" s="84" t="inlineStr">
        <is>
          <t>Queen</t>
        </is>
      </c>
      <c r="H141" s="84" t="inlineStr">
        <is>
          <t>Green</t>
        </is>
      </c>
      <c r="I141" s="85" t="n">
        <v>32</v>
      </c>
      <c r="J141" s="32" t="inlineStr"/>
      <c r="K141" s="86" t="n">
        <v>56.99</v>
      </c>
      <c r="L141" s="86" t="n"/>
      <c r="M141" s="87">
        <f>IF(AND(ISNUMBER(L141),ISNUMBER(K141),N(K141)&gt;0),L141/K141-1,"")</f>
        <v/>
      </c>
      <c r="N141" s="88">
        <f>IF(M141="","No List Price",IF(M141&lt;=0,"At/below price",IF(M141&lt;=0.12,"&lt;=12% STR zone",IF(M141&lt;=0.25,"12-25%","&gt;25% over"))))</f>
        <v/>
      </c>
      <c r="O141" s="86" t="n">
        <v>64.98999999999999</v>
      </c>
      <c r="P141" s="89">
        <f>IF(AND(ISNUMBER(K141),ISNUMBER(O141),N(O141)&gt;0),K141/O141-1,"")</f>
        <v/>
      </c>
      <c r="Q141" s="32" t="inlineStr">
        <is>
          <t>Same size (Queen). Ours live: SellerBoard listing price, 2026-10-14; 17 children</t>
        </is>
      </c>
      <c r="R141" s="85" t="n">
        <v>76312</v>
      </c>
      <c r="S141" s="85" t="n">
        <v>18</v>
      </c>
      <c r="T141" s="90">
        <f>IF(AND(ISNUMBER(K141),ISNUMBER(S141)),K141*S141*52/12,"")</f>
        <v/>
      </c>
      <c r="U141" s="91" t="n">
        <v>4.3</v>
      </c>
      <c r="V141" s="85" t="n">
        <v>281</v>
      </c>
      <c r="W141" s="92" t="n">
        <v>46307</v>
      </c>
      <c r="X141" s="92" t="n">
        <v>45671</v>
      </c>
      <c r="Y141" s="84" t="inlineStr">
        <is>
          <t>FBA</t>
        </is>
      </c>
      <c r="Z141" s="84" t="inlineStr">
        <is>
          <t>CN</t>
        </is>
      </c>
      <c r="AA141" s="85" t="n"/>
      <c r="AB141" s="85" t="n"/>
      <c r="AC141" s="93" t="n"/>
      <c r="AD141" s="93" t="n"/>
      <c r="AE141" s="32" t="n"/>
      <c r="AF141" s="93" t="n"/>
      <c r="AG141" s="93" t="n"/>
      <c r="AH141" s="93" t="n"/>
      <c r="AI141" s="93" t="n"/>
      <c r="AJ141" s="85" t="n"/>
      <c r="AK141" s="85" t="n"/>
      <c r="AL141" s="85" t="n"/>
      <c r="AM141" s="85" t="n"/>
      <c r="AN141" s="85" t="n"/>
      <c r="AO141" s="85" t="n"/>
      <c r="AP141" s="94" t="n"/>
      <c r="AQ141" s="89" t="n"/>
      <c r="AR141" s="95" t="inlineStr">
        <is>
          <t>N</t>
        </is>
      </c>
      <c r="AS141" s="95" t="inlineStr">
        <is>
          <t>none</t>
        </is>
      </c>
      <c r="AT141" s="101" t="n"/>
      <c r="AU141" s="96" t="n">
        <v>56.99</v>
      </c>
      <c r="AV141" s="95" t="inlineStr">
        <is>
          <t>none</t>
        </is>
      </c>
      <c r="AW141" s="95" t="inlineStr">
        <is>
          <t>Y</t>
        </is>
      </c>
      <c r="AX141" s="95" t="inlineStr">
        <is>
          <t>2026-10-13 23:36:24</t>
        </is>
      </c>
      <c r="AY141" s="97" t="inlineStr">
        <is>
          <t>None</t>
        </is>
      </c>
      <c r="AZ141" s="102" t="n"/>
      <c r="BA141" s="98" t="n">
        <v>56.99</v>
      </c>
      <c r="BB141" s="98" t="n">
        <v>56.99</v>
      </c>
      <c r="BC141" s="87">
        <f>IF(AND(ISNUMBER(BA141),ISNUMBER(BB141),N(BA141)&gt;0),1-BB141/BA141,"")</f>
        <v/>
      </c>
      <c r="BD141" s="99" t="n">
        <v>97969</v>
      </c>
      <c r="BE141" s="99" t="n">
        <v>108941</v>
      </c>
      <c r="BF141" s="100">
        <f>IF(AND(ISNUMBER(BD141),ISNUMBER(BE141),N(BE141)&gt;0),BD141/BE141,"")</f>
        <v/>
      </c>
      <c r="BG141" s="97" t="inlineStr">
        <is>
          <t>N</t>
        </is>
      </c>
      <c r="BH141" s="97" t="inlineStr">
        <is>
          <t>Coupon 5% (11-01 to 11-17); List Price $74.99</t>
        </is>
      </c>
    </row>
    <row r="142" ht="62" customHeight="1">
      <c r="A142" s="10">
        <f>_xlfn.IMAGE("https://images-na.ssl-images-amazon.com/images/I/71zrq2AtnUL.jpg")</f>
        <v/>
      </c>
      <c r="B142" s="84" t="inlineStr">
        <is>
          <t>Kickoff Home</t>
        </is>
      </c>
      <c r="C142" s="32" t="inlineStr">
        <is>
          <t>Bamboo Sheets</t>
        </is>
      </c>
      <c r="D142" s="84" t="inlineStr">
        <is>
          <t>Poor</t>
        </is>
      </c>
      <c r="E142" s="84" t="inlineStr">
        <is>
          <t>B0D4KS4MVX</t>
        </is>
      </c>
      <c r="F142" s="84" t="inlineStr">
        <is>
          <t>B0CHN5ZPFH</t>
        </is>
      </c>
      <c r="G142" s="84" t="n"/>
      <c r="H142" s="84" t="n"/>
      <c r="I142" s="85" t="n">
        <v>106</v>
      </c>
      <c r="J142" s="32" t="inlineStr">
        <is>
          <t>B0CHN5ZPFH (27%), B0CHN6N986 (11%), B0G84K7MZQ (9%), B0G84MQQX4 (8%), B0CHN4BSZP (5%)</t>
        </is>
      </c>
      <c r="K142" s="86" t="n">
        <v>76.98999999999999</v>
      </c>
      <c r="L142" s="86" t="n">
        <v>84.98999999999999</v>
      </c>
      <c r="M142" s="87">
        <f>IF(AND(ISNUMBER(L142),ISNUMBER(K142),N(K142)&gt;0),L142/K142-1,"")</f>
        <v/>
      </c>
      <c r="N142" s="88">
        <f>IF(M142="","No List Price",IF(M142&lt;=0,"At/below price",IF(M142&lt;=0.12,"&lt;=12% STR zone",IF(M142&lt;=0.25,"12-25%","&gt;25% over"))))</f>
        <v/>
      </c>
      <c r="O142" s="86" t="n">
        <v>64.98999999999999</v>
      </c>
      <c r="P142" s="89">
        <f>IF(AND(ISNUMBER(K142),ISNUMBER(O142),N(O142)&gt;0),K142/O142-1,"")</f>
        <v/>
      </c>
      <c r="Q142" s="32" t="inlineStr">
        <is>
          <t>Size not stated - vs our Queen. Ours live: SellerBoard listing price, 2026-10-14; 17 children</t>
        </is>
      </c>
      <c r="R142" s="85" t="n">
        <v>23579</v>
      </c>
      <c r="S142" s="85" t="n">
        <v>18</v>
      </c>
      <c r="T142" s="90">
        <f>IF(AND(ISNUMBER(K142),ISNUMBER(S142)),K142*S142*52/12,"")</f>
        <v/>
      </c>
      <c r="U142" s="91" t="n">
        <v>4.6</v>
      </c>
      <c r="V142" s="85" t="n">
        <v>688</v>
      </c>
      <c r="W142" s="92" t="n">
        <v>46307</v>
      </c>
      <c r="X142" s="92" t="n"/>
      <c r="Y142" s="84" t="n"/>
      <c r="Z142" s="84" t="n"/>
      <c r="AA142" s="85" t="n">
        <v>58169</v>
      </c>
      <c r="AB142" s="85" t="n">
        <v>1164</v>
      </c>
      <c r="AC142" s="93" t="n">
        <v>0.8765498702057799</v>
      </c>
      <c r="AD142" s="93" t="n">
        <v>0.12345023981846</v>
      </c>
      <c r="AE142" s="32" t="inlineStr">
        <is>
          <t>bamboo sheets</t>
        </is>
      </c>
      <c r="AF142" s="93" t="n">
        <v>0.6749987106534409</v>
      </c>
      <c r="AG142" s="93" t="n"/>
      <c r="AH142" s="93" t="n">
        <v>0.08715982739947395</v>
      </c>
      <c r="AI142" s="93" t="n">
        <v>0.0003782083240213859</v>
      </c>
      <c r="AJ142" s="85" t="n">
        <v>341</v>
      </c>
      <c r="AK142" s="85" t="n">
        <v>54</v>
      </c>
      <c r="AL142" s="85" t="n">
        <v>236</v>
      </c>
      <c r="AM142" s="85" t="n">
        <v>823</v>
      </c>
      <c r="AN142" s="85" t="n">
        <v>117</v>
      </c>
      <c r="AO142" s="85" t="n">
        <v>1</v>
      </c>
      <c r="AP142" s="94" t="n"/>
      <c r="AQ142" s="89" t="n"/>
      <c r="AR142" s="95" t="inlineStr">
        <is>
          <t>N</t>
        </is>
      </c>
      <c r="AS142" s="95" t="inlineStr">
        <is>
          <t>none</t>
        </is>
      </c>
      <c r="AT142" s="101" t="n"/>
      <c r="AU142" s="96" t="n">
        <v>86.98999999999999</v>
      </c>
      <c r="AV142" s="95" t="inlineStr">
        <is>
          <t>none</t>
        </is>
      </c>
      <c r="AW142" s="95" t="inlineStr">
        <is>
          <t>Y</t>
        </is>
      </c>
      <c r="AX142" s="95" t="inlineStr">
        <is>
          <t>2026-10-13 23:36:30</t>
        </is>
      </c>
      <c r="AY142" s="97" t="inlineStr">
        <is>
          <t>Price cut only</t>
        </is>
      </c>
      <c r="AZ142" s="97" t="inlineStr">
        <is>
          <t>11-21 to 12-01</t>
        </is>
      </c>
      <c r="BA142" s="98" t="n">
        <v>118.99</v>
      </c>
      <c r="BB142" s="98" t="n">
        <v>79.13</v>
      </c>
      <c r="BC142" s="87">
        <f>IF(AND(ISNUMBER(BA142),ISNUMBER(BB142),N(BA142)&gt;0),1-BB142/BA142,"")</f>
        <v/>
      </c>
      <c r="BD142" s="99" t="n">
        <v>70541</v>
      </c>
      <c r="BE142" s="99" t="n">
        <v>28546</v>
      </c>
      <c r="BF142" s="100">
        <f>IF(AND(ISNUMBER(BD142),ISNUMBER(BE142),N(BE142)&gt;0),BD142/BE142,"")</f>
        <v/>
      </c>
      <c r="BG142" s="97" t="inlineStr">
        <is>
          <t>N</t>
        </is>
      </c>
      <c r="BH142" s="97" t="inlineStr">
        <is>
          <t>Coupon 25% (11-01 to 11-05); List Price $124.99</t>
        </is>
      </c>
    </row>
    <row r="143" ht="62" customHeight="1">
      <c r="A143" s="39" t="inlineStr">
        <is>
          <t>IMAGE MISSING</t>
        </is>
      </c>
      <c r="B143" s="84" t="inlineStr">
        <is>
          <t>LB Luxury Bamboo Market</t>
        </is>
      </c>
      <c r="C143" s="32" t="inlineStr">
        <is>
          <t>Bamboo Sheets</t>
        </is>
      </c>
      <c r="D143" s="84" t="inlineStr">
        <is>
          <t>Poor</t>
        </is>
      </c>
      <c r="E143" s="84" t="inlineStr">
        <is>
          <t>B0D1HWHDL2</t>
        </is>
      </c>
      <c r="F143" s="84" t="inlineStr">
        <is>
          <t>B0CH7N9WVC</t>
        </is>
      </c>
      <c r="G143" s="84" t="n"/>
      <c r="H143" s="84" t="n"/>
      <c r="I143" s="85" t="n"/>
      <c r="J143" s="32" t="inlineStr"/>
      <c r="K143" s="86" t="n">
        <v>129.94</v>
      </c>
      <c r="L143" s="86" t="n"/>
      <c r="M143" s="87">
        <f>IF(AND(ISNUMBER(L143),ISNUMBER(K143),N(K143)&gt;0),L143/K143-1,"")</f>
        <v/>
      </c>
      <c r="N143" s="88">
        <f>IF(M143="","No List Price",IF(M143&lt;=0,"At/below price",IF(M143&lt;=0.12,"&lt;=12% STR zone",IF(M143&lt;=0.25,"12-25%","&gt;25% over"))))</f>
        <v/>
      </c>
      <c r="O143" s="86" t="n">
        <v>64.98999999999999</v>
      </c>
      <c r="P143" s="89">
        <f>IF(AND(ISNUMBER(K143),ISNUMBER(O143),N(O143)&gt;0),K143/O143-1,"")</f>
        <v/>
      </c>
      <c r="Q143" s="32" t="inlineStr">
        <is>
          <t>Size not stated - vs our Queen. Ours live: SellerBoard listing price, 2026-10-14; 17 children</t>
        </is>
      </c>
      <c r="R143" s="85" t="n">
        <v>47800</v>
      </c>
      <c r="S143" s="85" t="n">
        <v>18</v>
      </c>
      <c r="T143" s="90">
        <f>IF(AND(ISNUMBER(K143),ISNUMBER(S143)),K143*S143*52/12,"")</f>
        <v/>
      </c>
      <c r="U143" s="91" t="n">
        <v>4.5</v>
      </c>
      <c r="V143" s="85" t="n">
        <v>517</v>
      </c>
      <c r="W143" s="92" t="n">
        <v>46307</v>
      </c>
      <c r="X143" s="92" t="n"/>
      <c r="Y143" s="84" t="n"/>
      <c r="Z143" s="84" t="n"/>
      <c r="AA143" s="85" t="n"/>
      <c r="AB143" s="85" t="n"/>
      <c r="AC143" s="93" t="n"/>
      <c r="AD143" s="93" t="n"/>
      <c r="AE143" s="32" t="n"/>
      <c r="AF143" s="93" t="n"/>
      <c r="AG143" s="93" t="n"/>
      <c r="AH143" s="93" t="n"/>
      <c r="AI143" s="93" t="n"/>
      <c r="AJ143" s="85" t="n"/>
      <c r="AK143" s="85" t="n"/>
      <c r="AL143" s="85" t="n"/>
      <c r="AM143" s="85" t="n"/>
      <c r="AN143" s="85" t="n"/>
      <c r="AO143" s="85" t="n"/>
      <c r="AP143" s="94" t="n"/>
      <c r="AQ143" s="89" t="n"/>
      <c r="AR143" s="95" t="inlineStr">
        <is>
          <t>N</t>
        </is>
      </c>
      <c r="AS143" s="95" t="inlineStr">
        <is>
          <t>none</t>
        </is>
      </c>
      <c r="AT143" s="101" t="n"/>
      <c r="AU143" s="96" t="n">
        <v>129.94</v>
      </c>
      <c r="AV143" s="95" t="inlineStr">
        <is>
          <t>none</t>
        </is>
      </c>
      <c r="AW143" s="95" t="inlineStr">
        <is>
          <t>Y</t>
        </is>
      </c>
      <c r="AX143" s="95" t="inlineStr">
        <is>
          <t>2026-10-13 23:36:34</t>
        </is>
      </c>
      <c r="AY143" s="97" t="inlineStr">
        <is>
          <t>Prime Exclusive Discount</t>
        </is>
      </c>
      <c r="AZ143" s="97" t="inlineStr">
        <is>
          <t>11-26 to 12-01</t>
        </is>
      </c>
      <c r="BA143" s="98" t="n">
        <v>119.94</v>
      </c>
      <c r="BB143" s="98" t="n">
        <v>103.95</v>
      </c>
      <c r="BC143" s="87">
        <f>IF(AND(ISNUMBER(BA143),ISNUMBER(BB143),N(BA143)&gt;0),1-BB143/BA143,"")</f>
        <v/>
      </c>
      <c r="BD143" s="99" t="n">
        <v>73868</v>
      </c>
      <c r="BE143" s="99" t="n">
        <v>96746</v>
      </c>
      <c r="BF143" s="100">
        <f>IF(AND(ISNUMBER(BD143),ISNUMBER(BE143),N(BE143)&gt;0),BD143/BE143,"")</f>
        <v/>
      </c>
      <c r="BG143" s="97" t="inlineStr">
        <is>
          <t>N</t>
        </is>
      </c>
      <c r="BH143" s="97" t="inlineStr">
        <is>
          <t>List Price $159.94</t>
        </is>
      </c>
    </row>
    <row r="144" ht="62" customHeight="1">
      <c r="A144" s="10">
        <f>_xlfn.IMAGE("https://images-na.ssl-images-amazon.com/images/I/71NxE1i+4jL.jpg")</f>
        <v/>
      </c>
      <c r="B144" s="84" t="inlineStr">
        <is>
          <t>Shilucheng</t>
        </is>
      </c>
      <c r="C144" s="32" t="inlineStr">
        <is>
          <t>Shilucheng 100% Viscose Derived from Bamboo_Sheets, Extra Deep Pocket</t>
        </is>
      </c>
      <c r="D144" s="84" t="inlineStr">
        <is>
          <t>Poor</t>
        </is>
      </c>
      <c r="E144" s="84" t="inlineStr">
        <is>
          <t>B0F2TBWTZR</t>
        </is>
      </c>
      <c r="F144" s="84" t="inlineStr">
        <is>
          <t>B0F2TBWTZR</t>
        </is>
      </c>
      <c r="G144" s="84" t="n"/>
      <c r="H144" s="84" t="n"/>
      <c r="I144" s="85" t="n">
        <v>32</v>
      </c>
      <c r="J144" s="32" t="inlineStr"/>
      <c r="K144" s="86" t="n">
        <v>69.98999999999999</v>
      </c>
      <c r="L144" s="86" t="n">
        <v>84.98999999999999</v>
      </c>
      <c r="M144" s="87">
        <f>IF(AND(ISNUMBER(L144),ISNUMBER(K144),N(K144)&gt;0),L144/K144-1,"")</f>
        <v/>
      </c>
      <c r="N144" s="88">
        <f>IF(M144="","No List Price",IF(M144&lt;=0,"At/below price",IF(M144&lt;=0.12,"&lt;=12% STR zone",IF(M144&lt;=0.25,"12-25%","&gt;25% over"))))</f>
        <v/>
      </c>
      <c r="O144" s="86" t="n">
        <v>64.98999999999999</v>
      </c>
      <c r="P144" s="89">
        <f>IF(AND(ISNUMBER(K144),ISNUMBER(O144),N(O144)&gt;0),K144/O144-1,"")</f>
        <v/>
      </c>
      <c r="Q144" s="32" t="inlineStr">
        <is>
          <t>Size not stated - vs our Queen. Ours live: SellerBoard listing price, 2026-10-14; 17 children</t>
        </is>
      </c>
      <c r="R144" s="85" t="n">
        <v>39194</v>
      </c>
      <c r="S144" s="85" t="n">
        <v>18</v>
      </c>
      <c r="T144" s="90">
        <f>IF(AND(ISNUMBER(K144),ISNUMBER(S144)),K144*S144*52/12,"")</f>
        <v/>
      </c>
      <c r="U144" s="91" t="n">
        <v>4.5</v>
      </c>
      <c r="V144" s="85" t="n">
        <v>1639</v>
      </c>
      <c r="W144" s="92" t="n">
        <v>46307</v>
      </c>
      <c r="X144" s="92" t="n">
        <v>45744</v>
      </c>
      <c r="Y144" s="84" t="inlineStr">
        <is>
          <t>FBA</t>
        </is>
      </c>
      <c r="Z144" s="84" t="inlineStr">
        <is>
          <t>CN</t>
        </is>
      </c>
      <c r="AA144" s="85" t="n"/>
      <c r="AB144" s="85" t="n"/>
      <c r="AC144" s="93" t="n"/>
      <c r="AD144" s="93" t="n"/>
      <c r="AE144" s="32" t="n"/>
      <c r="AF144" s="93" t="n"/>
      <c r="AG144" s="93" t="n"/>
      <c r="AH144" s="93" t="n"/>
      <c r="AI144" s="93" t="n"/>
      <c r="AJ144" s="85" t="n"/>
      <c r="AK144" s="85" t="n"/>
      <c r="AL144" s="85" t="n"/>
      <c r="AM144" s="85" t="n"/>
      <c r="AN144" s="85" t="n"/>
      <c r="AO144" s="85" t="n"/>
      <c r="AP144" s="94" t="n"/>
      <c r="AQ144" s="89" t="n">
        <v>-0.9655172413793104</v>
      </c>
      <c r="AR144" s="95" t="inlineStr">
        <is>
          <t>Y</t>
        </is>
      </c>
      <c r="AS144" s="95" t="inlineStr">
        <is>
          <t>List Price</t>
        </is>
      </c>
      <c r="AT144" s="96" t="n">
        <v>84.98999999999999</v>
      </c>
      <c r="AU144" s="96" t="n">
        <v>69.98999999999999</v>
      </c>
      <c r="AV144" s="95" t="inlineStr">
        <is>
          <t>Limited time deal</t>
        </is>
      </c>
      <c r="AW144" s="95" t="inlineStr">
        <is>
          <t>Y</t>
        </is>
      </c>
      <c r="AX144" s="95" t="inlineStr">
        <is>
          <t>2026-10-13 23:36:52</t>
        </is>
      </c>
      <c r="AY144" s="97" t="inlineStr">
        <is>
          <t>Prime Exclusive Discount</t>
        </is>
      </c>
      <c r="AZ144" s="97" t="inlineStr">
        <is>
          <t>11-21 to 12-01</t>
        </is>
      </c>
      <c r="BA144" s="98" t="n">
        <v>84.98999999999999</v>
      </c>
      <c r="BB144" s="98" t="n">
        <v>64.59</v>
      </c>
      <c r="BC144" s="87">
        <f>IF(AND(ISNUMBER(BA144),ISNUMBER(BB144),N(BA144)&gt;0),1-BB144/BA144,"")</f>
        <v/>
      </c>
      <c r="BD144" s="99" t="n">
        <v>28104</v>
      </c>
      <c r="BE144" s="99" t="n">
        <v>38474</v>
      </c>
      <c r="BF144" s="100">
        <f>IF(AND(ISNUMBER(BD144),ISNUMBER(BE144),N(BE144)&gt;0),BD144/BE144,"")</f>
        <v/>
      </c>
      <c r="BG144" s="97" t="inlineStr">
        <is>
          <t>N</t>
        </is>
      </c>
      <c r="BH144" s="97" t="inlineStr">
        <is>
          <t>Coupon 20% (11-02 to 11-12); List Price $84.99</t>
        </is>
      </c>
    </row>
    <row r="145" ht="62" customHeight="1">
      <c r="A145" s="39" t="inlineStr">
        <is>
          <t>IMAGE MISSING</t>
        </is>
      </c>
      <c r="B145" s="84" t="inlineStr">
        <is>
          <t>Bamboo Bay</t>
        </is>
      </c>
      <c r="C145" s="32" t="inlineStr">
        <is>
          <t>Bamboo Sheets</t>
        </is>
      </c>
      <c r="D145" s="84" t="inlineStr">
        <is>
          <t>Poor</t>
        </is>
      </c>
      <c r="E145" s="84" t="inlineStr">
        <is>
          <t>B0DLF1SWJ5</t>
        </is>
      </c>
      <c r="F145" s="84" t="inlineStr">
        <is>
          <t>B07TBHLZJM</t>
        </is>
      </c>
      <c r="G145" s="84" t="n"/>
      <c r="H145" s="84" t="n"/>
      <c r="I145" s="85" t="n"/>
      <c r="J145" s="32" t="inlineStr"/>
      <c r="K145" s="86" t="n">
        <v>79.98</v>
      </c>
      <c r="L145" s="86" t="n"/>
      <c r="M145" s="87">
        <f>IF(AND(ISNUMBER(L145),ISNUMBER(K145),N(K145)&gt;0),L145/K145-1,"")</f>
        <v/>
      </c>
      <c r="N145" s="88">
        <f>IF(M145="","No List Price",IF(M145&lt;=0,"At/below price",IF(M145&lt;=0.12,"&lt;=12% STR zone",IF(M145&lt;=0.25,"12-25%","&gt;25% over"))))</f>
        <v/>
      </c>
      <c r="O145" s="86" t="n">
        <v>64.98999999999999</v>
      </c>
      <c r="P145" s="89">
        <f>IF(AND(ISNUMBER(K145),ISNUMBER(O145),N(O145)&gt;0),K145/O145-1,"")</f>
        <v/>
      </c>
      <c r="Q145" s="32" t="inlineStr">
        <is>
          <t>Size not stated - vs our Queen. Ours live: SellerBoard listing price, 2026-10-14; 17 children</t>
        </is>
      </c>
      <c r="R145" s="85" t="n">
        <v>131083</v>
      </c>
      <c r="S145" s="85" t="n">
        <v>5</v>
      </c>
      <c r="T145" s="90">
        <f>IF(AND(ISNUMBER(K145),ISNUMBER(S145)),K145*S145*52/12,"")</f>
        <v/>
      </c>
      <c r="U145" s="91" t="n">
        <v>4.5</v>
      </c>
      <c r="V145" s="85" t="n">
        <v>2691</v>
      </c>
      <c r="W145" s="92" t="n">
        <v>46307</v>
      </c>
      <c r="X145" s="92" t="n"/>
      <c r="Y145" s="84" t="n"/>
      <c r="Z145" s="84" t="n"/>
      <c r="AA145" s="85" t="n"/>
      <c r="AB145" s="85" t="n"/>
      <c r="AC145" s="93" t="n"/>
      <c r="AD145" s="93" t="n"/>
      <c r="AE145" s="32" t="n"/>
      <c r="AF145" s="93" t="n"/>
      <c r="AG145" s="93" t="n"/>
      <c r="AH145" s="93" t="n"/>
      <c r="AI145" s="93" t="n"/>
      <c r="AJ145" s="85" t="n"/>
      <c r="AK145" s="85" t="n"/>
      <c r="AL145" s="85" t="n"/>
      <c r="AM145" s="85" t="n"/>
      <c r="AN145" s="85" t="n"/>
      <c r="AO145" s="85" t="n"/>
      <c r="AP145" s="94" t="n"/>
      <c r="AQ145" s="89" t="n"/>
      <c r="AR145" s="95" t="inlineStr">
        <is>
          <t>N</t>
        </is>
      </c>
      <c r="AS145" s="95" t="inlineStr">
        <is>
          <t>none</t>
        </is>
      </c>
      <c r="AT145" s="101" t="n"/>
      <c r="AU145" s="96" t="n">
        <v>79.98</v>
      </c>
      <c r="AV145" s="95" t="inlineStr">
        <is>
          <t>none</t>
        </is>
      </c>
      <c r="AW145" s="95" t="inlineStr">
        <is>
          <t>Y</t>
        </is>
      </c>
      <c r="AX145" s="95" t="inlineStr">
        <is>
          <t>2026-10-13 23:35:44</t>
        </is>
      </c>
      <c r="AY145" s="97" t="inlineStr">
        <is>
          <t>None</t>
        </is>
      </c>
      <c r="AZ145" s="102" t="n"/>
      <c r="BA145" s="98" t="n">
        <v>86.98999999999999</v>
      </c>
      <c r="BB145" s="98" t="n">
        <v>93.48</v>
      </c>
      <c r="BC145" s="87">
        <f>IF(AND(ISNUMBER(BA145),ISNUMBER(BB145),N(BA145)&gt;0),1-BB145/BA145,"")</f>
        <v/>
      </c>
      <c r="BD145" s="99" t="n">
        <v>43439</v>
      </c>
      <c r="BE145" s="99" t="n">
        <v>53047</v>
      </c>
      <c r="BF145" s="100">
        <f>IF(AND(ISNUMBER(BD145),ISNUMBER(BE145),N(BE145)&gt;0),BD145/BE145,"")</f>
        <v/>
      </c>
      <c r="BG145" s="97" t="inlineStr">
        <is>
          <t>N</t>
        </is>
      </c>
      <c r="BH145" s="97" t="inlineStr">
        <is>
          <t>Buy Box RAISED in BFCM week (median $109.98 vs $86.99 before); List Price $129.98</t>
        </is>
      </c>
    </row>
    <row r="146" ht="62" customHeight="1">
      <c r="A146" s="39" t="inlineStr">
        <is>
          <t>IMAGE MISSING</t>
        </is>
      </c>
      <c r="B146" s="84" t="inlineStr">
        <is>
          <t>LBRO2M</t>
        </is>
      </c>
      <c r="C146" s="32" t="inlineStr">
        <is>
          <t>LBRO2M Cooling Bed Sheet 100% Viscose Derived from Bamboo Sheet Set Queen Size 6</t>
        </is>
      </c>
      <c r="D146" s="84" t="inlineStr">
        <is>
          <t>Poor</t>
        </is>
      </c>
      <c r="E146" s="84" t="inlineStr">
        <is>
          <t>B0F9FK3L6J</t>
        </is>
      </c>
      <c r="F146" s="84" t="inlineStr">
        <is>
          <t>B0F9FK7SMW</t>
        </is>
      </c>
      <c r="G146" s="84" t="inlineStr">
        <is>
          <t>Queen</t>
        </is>
      </c>
      <c r="H146" s="84" t="n"/>
      <c r="I146" s="85" t="n"/>
      <c r="J146" s="32" t="inlineStr"/>
      <c r="K146" s="86" t="n">
        <v>94.98999999999999</v>
      </c>
      <c r="L146" s="86" t="n"/>
      <c r="M146" s="87">
        <f>IF(AND(ISNUMBER(L146),ISNUMBER(K146),N(K146)&gt;0),L146/K146-1,"")</f>
        <v/>
      </c>
      <c r="N146" s="88">
        <f>IF(M146="","No List Price",IF(M146&lt;=0,"At/below price",IF(M146&lt;=0.12,"&lt;=12% STR zone",IF(M146&lt;=0.25,"12-25%","&gt;25% over"))))</f>
        <v/>
      </c>
      <c r="O146" s="86" t="n">
        <v>64.98999999999999</v>
      </c>
      <c r="P146" s="89">
        <f>IF(AND(ISNUMBER(K146),ISNUMBER(O146),N(O146)&gt;0),K146/O146-1,"")</f>
        <v/>
      </c>
      <c r="Q146" s="32" t="inlineStr">
        <is>
          <t>Same size (Queen). Ours live: SellerBoard listing price, 2026-10-14; 17 children</t>
        </is>
      </c>
      <c r="R146" s="85" t="n">
        <v>1003118</v>
      </c>
      <c r="S146" s="85" t="n">
        <v>5</v>
      </c>
      <c r="T146" s="90">
        <f>IF(AND(ISNUMBER(K146),ISNUMBER(S146)),K146*S146*52/12,"")</f>
        <v/>
      </c>
      <c r="U146" s="91" t="n">
        <v>4.4</v>
      </c>
      <c r="V146" s="85" t="n">
        <v>18</v>
      </c>
      <c r="W146" s="92" t="n">
        <v>46307</v>
      </c>
      <c r="X146" s="92" t="n"/>
      <c r="Y146" s="84" t="n"/>
      <c r="Z146" s="84" t="n"/>
      <c r="AA146" s="85" t="n"/>
      <c r="AB146" s="85" t="n"/>
      <c r="AC146" s="93" t="n"/>
      <c r="AD146" s="93" t="n"/>
      <c r="AE146" s="32" t="n"/>
      <c r="AF146" s="93" t="n"/>
      <c r="AG146" s="93" t="n"/>
      <c r="AH146" s="93" t="n"/>
      <c r="AI146" s="93" t="n"/>
      <c r="AJ146" s="85" t="n"/>
      <c r="AK146" s="85" t="n"/>
      <c r="AL146" s="85" t="n"/>
      <c r="AM146" s="85" t="n"/>
      <c r="AN146" s="85" t="n"/>
      <c r="AO146" s="85" t="n"/>
      <c r="AP146" s="94" t="n"/>
      <c r="AQ146" s="89" t="n"/>
      <c r="AR146" s="95" t="inlineStr">
        <is>
          <t>N</t>
        </is>
      </c>
      <c r="AS146" s="95" t="inlineStr">
        <is>
          <t>none</t>
        </is>
      </c>
      <c r="AT146" s="101" t="n"/>
      <c r="AU146" s="101" t="n"/>
      <c r="AV146" s="95" t="inlineStr">
        <is>
          <t>none</t>
        </is>
      </c>
      <c r="AW146" s="95" t="inlineStr">
        <is>
          <t>N</t>
        </is>
      </c>
      <c r="AX146" s="95" t="inlineStr">
        <is>
          <t>2026-10-13 23:36:36</t>
        </is>
      </c>
      <c r="AY146" s="97" t="inlineStr">
        <is>
          <t>Prime Exclusive Discount</t>
        </is>
      </c>
      <c r="AZ146" s="97" t="inlineStr">
        <is>
          <t>11-22 to 12-01</t>
        </is>
      </c>
      <c r="BA146" s="98" t="n">
        <v>95.98999999999999</v>
      </c>
      <c r="BB146" s="98" t="n">
        <v>67.19</v>
      </c>
      <c r="BC146" s="87">
        <f>IF(AND(ISNUMBER(BA146),ISNUMBER(BB146),N(BA146)&gt;0),1-BB146/BA146,"")</f>
        <v/>
      </c>
      <c r="BD146" s="99" t="n">
        <v>114176</v>
      </c>
      <c r="BE146" s="99" t="n">
        <v>68746</v>
      </c>
      <c r="BF146" s="100">
        <f>IF(AND(ISNUMBER(BD146),ISNUMBER(BE146),N(BE146)&gt;0),BD146/BE146,"")</f>
        <v/>
      </c>
      <c r="BG146" s="97" t="inlineStr">
        <is>
          <t>N</t>
        </is>
      </c>
      <c r="BH146" s="97" t="inlineStr">
        <is>
          <t>Lightning Deal 11-01 to 11-01; List Price $179.97</t>
        </is>
      </c>
    </row>
    <row r="147" ht="62" customHeight="1">
      <c r="A147" s="10">
        <f>_xlfn.IMAGE("https://images-na.ssl-images-amazon.com/images/I/71gw0WpuNuL.jpg")</f>
        <v/>
      </c>
      <c r="B147" s="84" t="inlineStr">
        <is>
          <t>TWK</t>
        </is>
      </c>
      <c r="C147" s="32" t="inlineStr">
        <is>
          <t>TWK Luxury Sheet Set, Genuine 100% Organic Viscose Derived from Bamboo, Cooling &amp; Breathable, Silky Soft, Bedding Sheets &amp; Pillowcases (Mist Gray, King)</t>
        </is>
      </c>
      <c r="D147" s="84" t="inlineStr">
        <is>
          <t>Poor</t>
        </is>
      </c>
      <c r="E147" s="84" t="inlineStr">
        <is>
          <t>B0DYT2QWLC</t>
        </is>
      </c>
      <c r="F147" s="84" t="inlineStr">
        <is>
          <t>B0DYT2QWLC</t>
        </is>
      </c>
      <c r="G147" s="84" t="inlineStr">
        <is>
          <t>King</t>
        </is>
      </c>
      <c r="H147" s="84" t="inlineStr">
        <is>
          <t>Mist Gray</t>
        </is>
      </c>
      <c r="I147" s="85" t="n">
        <v>1</v>
      </c>
      <c r="J147" s="32" t="inlineStr"/>
      <c r="K147" s="86" t="n">
        <v>109.99</v>
      </c>
      <c r="L147" s="86" t="n"/>
      <c r="M147" s="87">
        <f>IF(AND(ISNUMBER(L147),ISNUMBER(K147),N(K147)&gt;0),L147/K147-1,"")</f>
        <v/>
      </c>
      <c r="N147" s="88">
        <f>IF(M147="","No List Price",IF(M147&lt;=0,"At/below price",IF(M147&lt;=0.12,"&lt;=12% STR zone",IF(M147&lt;=0.25,"12-25%","&gt;25% over"))))</f>
        <v/>
      </c>
      <c r="O147" s="86" t="n">
        <v>69.98999999999999</v>
      </c>
      <c r="P147" s="89">
        <f>IF(AND(ISNUMBER(K147),ISNUMBER(O147),N(O147)&gt;0),K147/O147-1,"")</f>
        <v/>
      </c>
      <c r="Q147" s="32" t="inlineStr">
        <is>
          <t>Same size (King). Ours live: Helium 10 Xray, 2026-10-13; 16 children</t>
        </is>
      </c>
      <c r="R147" s="85" t="n">
        <v>1506045</v>
      </c>
      <c r="S147" s="85" t="n">
        <v>5</v>
      </c>
      <c r="T147" s="90">
        <f>IF(AND(ISNUMBER(K147),ISNUMBER(S147)),K147*S147*52/12,"")</f>
        <v/>
      </c>
      <c r="U147" s="91" t="n">
        <v>4.5</v>
      </c>
      <c r="V147" s="85" t="n">
        <v>39</v>
      </c>
      <c r="W147" s="92" t="n">
        <v>46307</v>
      </c>
      <c r="X147" s="92" t="n">
        <v>45716</v>
      </c>
      <c r="Y147" s="84" t="inlineStr">
        <is>
          <t>FBM</t>
        </is>
      </c>
      <c r="Z147" s="84" t="inlineStr">
        <is>
          <t>N/A</t>
        </is>
      </c>
      <c r="AA147" s="85" t="n"/>
      <c r="AB147" s="85" t="n"/>
      <c r="AC147" s="93" t="n"/>
      <c r="AD147" s="93" t="n"/>
      <c r="AE147" s="32" t="n"/>
      <c r="AF147" s="93" t="n"/>
      <c r="AG147" s="93" t="n"/>
      <c r="AH147" s="93" t="n"/>
      <c r="AI147" s="93" t="n"/>
      <c r="AJ147" s="85" t="n"/>
      <c r="AK147" s="85" t="n"/>
      <c r="AL147" s="85" t="n"/>
      <c r="AM147" s="85" t="n"/>
      <c r="AN147" s="85" t="n"/>
      <c r="AO147" s="85" t="n"/>
      <c r="AP147" s="94" t="n"/>
      <c r="AQ147" s="89" t="n"/>
      <c r="AR147" s="95" t="inlineStr">
        <is>
          <t>N</t>
        </is>
      </c>
      <c r="AS147" s="95" t="inlineStr">
        <is>
          <t>none</t>
        </is>
      </c>
      <c r="AT147" s="101" t="n"/>
      <c r="AU147" s="101" t="n"/>
      <c r="AV147" s="95" t="inlineStr">
        <is>
          <t>none</t>
        </is>
      </c>
      <c r="AW147" s="95" t="inlineStr">
        <is>
          <t>N</t>
        </is>
      </c>
      <c r="AX147" s="95" t="inlineStr">
        <is>
          <t>2026-10-13 23:37:00</t>
        </is>
      </c>
      <c r="AY147" s="97" t="inlineStr">
        <is>
          <t>Coupon only</t>
        </is>
      </c>
      <c r="AZ147" s="97" t="inlineStr">
        <is>
          <t>11-20 to 12-05</t>
        </is>
      </c>
      <c r="BA147" s="98" t="n">
        <v>69</v>
      </c>
      <c r="BB147" s="98" t="n">
        <v>74</v>
      </c>
      <c r="BC147" s="87">
        <f>IF(AND(ISNUMBER(BA147),ISNUMBER(BB147),N(BA147)&gt;0),1-BB147/BA147,"")</f>
        <v/>
      </c>
      <c r="BD147" s="99" t="n">
        <v>46533</v>
      </c>
      <c r="BE147" s="99" t="n">
        <v>67944</v>
      </c>
      <c r="BF147" s="100">
        <f>IF(AND(ISNUMBER(BD147),ISNUMBER(BE147),N(BE147)&gt;0),BD147/BE147,"")</f>
        <v/>
      </c>
      <c r="BG147" s="97" t="inlineStr">
        <is>
          <t>N</t>
        </is>
      </c>
      <c r="BH147" s="97" t="inlineStr">
        <is>
          <t>Coupon 30%; Buy Box RAISED in BFCM week (median $79.00 vs $69.00 before); List Price $69.00</t>
        </is>
      </c>
    </row>
    <row r="148" ht="62" customHeight="1">
      <c r="A148" s="10">
        <f>_xlfn.IMAGE("https://images-na.ssl-images-amazon.com/images/I/71YlZk0Q9-L.jpg")</f>
        <v/>
      </c>
      <c r="B148" s="84" t="inlineStr">
        <is>
          <t>TWK</t>
        </is>
      </c>
      <c r="C148" s="32" t="inlineStr">
        <is>
          <t>TWK Luxury Sheet Set, Genuine 100% Viscose Derived from Bamboo, Cooling &amp; Breathable, Silky Soft, Bedding Sheets &amp; Pillowcases (White, King(78 * 80 * 15))</t>
        </is>
      </c>
      <c r="D148" s="84" t="inlineStr">
        <is>
          <t>Poor</t>
        </is>
      </c>
      <c r="E148" s="84" t="inlineStr">
        <is>
          <t>B0GVP3B7LS</t>
        </is>
      </c>
      <c r="F148" s="84" t="inlineStr">
        <is>
          <t>B0GVP3B7LS</t>
        </is>
      </c>
      <c r="G148" s="84" t="inlineStr">
        <is>
          <t>King</t>
        </is>
      </c>
      <c r="H148" s="84" t="inlineStr">
        <is>
          <t>White</t>
        </is>
      </c>
      <c r="I148" s="85" t="n">
        <v>1</v>
      </c>
      <c r="J148" s="32" t="inlineStr"/>
      <c r="K148" s="86" t="n">
        <v>46.74</v>
      </c>
      <c r="L148" s="86" t="n"/>
      <c r="M148" s="87">
        <f>IF(AND(ISNUMBER(L148),ISNUMBER(K148),N(K148)&gt;0),L148/K148-1,"")</f>
        <v/>
      </c>
      <c r="N148" s="88">
        <f>IF(M148="","No List Price",IF(M148&lt;=0,"At/below price",IF(M148&lt;=0.12,"&lt;=12% STR zone",IF(M148&lt;=0.25,"12-25%","&gt;25% over"))))</f>
        <v/>
      </c>
      <c r="O148" s="86" t="n">
        <v>69.98999999999999</v>
      </c>
      <c r="P148" s="89">
        <f>IF(AND(ISNUMBER(K148),ISNUMBER(O148),N(O148)&gt;0),K148/O148-1,"")</f>
        <v/>
      </c>
      <c r="Q148" s="32" t="inlineStr">
        <is>
          <t>Same size (King). Ours live: Helium 10 Xray, 2026-10-13; 16 children</t>
        </is>
      </c>
      <c r="R148" s="85" t="n">
        <v>2065761</v>
      </c>
      <c r="S148" s="85" t="n">
        <v>5</v>
      </c>
      <c r="T148" s="90">
        <f>IF(AND(ISNUMBER(K148),ISNUMBER(S148)),K148*S148*52/12,"")</f>
        <v/>
      </c>
      <c r="U148" s="91" t="n">
        <v>4.5</v>
      </c>
      <c r="V148" s="85" t="n">
        <v>11</v>
      </c>
      <c r="W148" s="92" t="n">
        <v>46307</v>
      </c>
      <c r="X148" s="92" t="n">
        <v>46078</v>
      </c>
      <c r="Y148" s="84" t="inlineStr">
        <is>
          <t>FBM</t>
        </is>
      </c>
      <c r="Z148" s="84" t="inlineStr">
        <is>
          <t>N/A</t>
        </is>
      </c>
      <c r="AA148" s="85" t="n"/>
      <c r="AB148" s="85" t="n"/>
      <c r="AC148" s="93" t="n"/>
      <c r="AD148" s="93" t="n"/>
      <c r="AE148" s="32" t="n"/>
      <c r="AF148" s="93" t="n"/>
      <c r="AG148" s="93" t="n"/>
      <c r="AH148" s="93" t="n"/>
      <c r="AI148" s="93" t="n"/>
      <c r="AJ148" s="85" t="n"/>
      <c r="AK148" s="85" t="n"/>
      <c r="AL148" s="85" t="n"/>
      <c r="AM148" s="85" t="n"/>
      <c r="AN148" s="85" t="n"/>
      <c r="AO148" s="85" t="n"/>
      <c r="AP148" s="94" t="n"/>
      <c r="AQ148" s="89" t="n"/>
      <c r="AR148" s="95" t="inlineStr">
        <is>
          <t>N</t>
        </is>
      </c>
      <c r="AS148" s="95" t="inlineStr">
        <is>
          <t>none</t>
        </is>
      </c>
      <c r="AT148" s="101" t="n"/>
      <c r="AU148" s="101" t="n"/>
      <c r="AV148" s="95" t="inlineStr">
        <is>
          <t>none</t>
        </is>
      </c>
      <c r="AW148" s="95" t="inlineStr">
        <is>
          <t>N</t>
        </is>
      </c>
      <c r="AX148" s="95" t="inlineStr">
        <is>
          <t>2026-10-13 23:36:57</t>
        </is>
      </c>
      <c r="AY148" s="97" t="inlineStr">
        <is>
          <t>Not live in 2025</t>
        </is>
      </c>
      <c r="AZ148" s="102" t="n"/>
      <c r="BA148" s="101" t="n"/>
      <c r="BB148" s="101" t="n"/>
      <c r="BC148" s="87">
        <f>IF(AND(ISNUMBER(BA148),ISNUMBER(BB148),N(BA148)&gt;0),1-BB148/BA148,"")</f>
        <v/>
      </c>
      <c r="BD148" s="103" t="n"/>
      <c r="BE148" s="103" t="n"/>
      <c r="BF148" s="100">
        <f>IF(AND(ISNUMBER(BD148),ISNUMBER(BE148),N(BE148)&gt;0),BD148/BE148,"")</f>
        <v/>
      </c>
      <c r="BG148" s="102" t="n"/>
      <c r="BH148" s="102" t="n"/>
    </row>
    <row r="149" ht="62" customHeight="1">
      <c r="A149" s="39" t="inlineStr">
        <is>
          <t>IMAGE MISSING</t>
        </is>
      </c>
      <c r="B149" s="84" t="inlineStr">
        <is>
          <t>TWK</t>
        </is>
      </c>
      <c r="C149" s="32" t="inlineStr">
        <is>
          <t>4 Piece Bamboo Sheet Set</t>
        </is>
      </c>
      <c r="D149" s="84" t="inlineStr">
        <is>
          <t>Poor</t>
        </is>
      </c>
      <c r="E149" s="84" t="inlineStr">
        <is>
          <t>B0GKFHP6L6</t>
        </is>
      </c>
      <c r="F149" s="84" t="inlineStr">
        <is>
          <t>B0GW7H7RHY</t>
        </is>
      </c>
      <c r="G149" s="84" t="n"/>
      <c r="H149" s="84" t="n"/>
      <c r="I149" s="85" t="n"/>
      <c r="J149" s="32" t="inlineStr"/>
      <c r="K149" s="86" t="n">
        <v>109.99</v>
      </c>
      <c r="L149" s="86" t="n"/>
      <c r="M149" s="87">
        <f>IF(AND(ISNUMBER(L149),ISNUMBER(K149),N(K149)&gt;0),L149/K149-1,"")</f>
        <v/>
      </c>
      <c r="N149" s="88">
        <f>IF(M149="","No List Price",IF(M149&lt;=0,"At/below price",IF(M149&lt;=0.12,"&lt;=12% STR zone",IF(M149&lt;=0.25,"12-25%","&gt;25% over"))))</f>
        <v/>
      </c>
      <c r="O149" s="86" t="n">
        <v>64.98999999999999</v>
      </c>
      <c r="P149" s="89">
        <f>IF(AND(ISNUMBER(K149),ISNUMBER(O149),N(O149)&gt;0),K149/O149-1,"")</f>
        <v/>
      </c>
      <c r="Q149" s="32" t="inlineStr">
        <is>
          <t>Size not stated - vs our Queen. Ours live: SellerBoard listing price, 2026-10-14; 17 children</t>
        </is>
      </c>
      <c r="R149" s="85" t="n">
        <v>4355899</v>
      </c>
      <c r="S149" s="85" t="n">
        <v>5</v>
      </c>
      <c r="T149" s="90">
        <f>IF(AND(ISNUMBER(K149),ISNUMBER(S149)),K149*S149*52/12,"")</f>
        <v/>
      </c>
      <c r="U149" s="91" t="n">
        <v>4.5</v>
      </c>
      <c r="V149" s="85" t="n">
        <v>2</v>
      </c>
      <c r="W149" s="92" t="n">
        <v>46307</v>
      </c>
      <c r="X149" s="92" t="n"/>
      <c r="Y149" s="84" t="n"/>
      <c r="Z149" s="84" t="n"/>
      <c r="AA149" s="85" t="n"/>
      <c r="AB149" s="85" t="n"/>
      <c r="AC149" s="93" t="n"/>
      <c r="AD149" s="93" t="n"/>
      <c r="AE149" s="32" t="n"/>
      <c r="AF149" s="93" t="n"/>
      <c r="AG149" s="93" t="n"/>
      <c r="AH149" s="93" t="n"/>
      <c r="AI149" s="93" t="n"/>
      <c r="AJ149" s="85" t="n"/>
      <c r="AK149" s="85" t="n"/>
      <c r="AL149" s="85" t="n"/>
      <c r="AM149" s="85" t="n"/>
      <c r="AN149" s="85" t="n"/>
      <c r="AO149" s="85" t="n"/>
      <c r="AP149" s="94" t="n"/>
      <c r="AQ149" s="89" t="n"/>
      <c r="AR149" s="95" t="inlineStr">
        <is>
          <t>N</t>
        </is>
      </c>
      <c r="AS149" s="95" t="inlineStr">
        <is>
          <t>none</t>
        </is>
      </c>
      <c r="AT149" s="101" t="n"/>
      <c r="AU149" s="101" t="n"/>
      <c r="AV149" s="95" t="inlineStr">
        <is>
          <t>none</t>
        </is>
      </c>
      <c r="AW149" s="95" t="inlineStr">
        <is>
          <t>N</t>
        </is>
      </c>
      <c r="AX149" s="95" t="inlineStr">
        <is>
          <t>2026-10-13 23:37:03</t>
        </is>
      </c>
      <c r="AY149" s="97" t="inlineStr">
        <is>
          <t>Not live in 2025</t>
        </is>
      </c>
      <c r="AZ149" s="102" t="n"/>
      <c r="BA149" s="101" t="n"/>
      <c r="BB149" s="101" t="n"/>
      <c r="BC149" s="87">
        <f>IF(AND(ISNUMBER(BA149),ISNUMBER(BB149),N(BA149)&gt;0),1-BB149/BA149,"")</f>
        <v/>
      </c>
      <c r="BD149" s="103" t="n"/>
      <c r="BE149" s="103" t="n"/>
      <c r="BF149" s="100">
        <f>IF(AND(ISNUMBER(BD149),ISNUMBER(BE149),N(BE149)&gt;0),BD149/BE149,"")</f>
        <v/>
      </c>
      <c r="BG149" s="102" t="n"/>
      <c r="BH149" s="102" t="n"/>
    </row>
    <row r="150" ht="62" customHeight="1">
      <c r="A150" s="39" t="inlineStr">
        <is>
          <t>IMAGE MISSING</t>
        </is>
      </c>
      <c r="B150" s="84" t="inlineStr">
        <is>
          <t>Vesta</t>
        </is>
      </c>
      <c r="C150" s="32" t="inlineStr">
        <is>
          <t>Vesta Sheet Set – Soft, Breathable &amp; Cooling, 100% Viscose Derived from Bamboo,</t>
        </is>
      </c>
      <c r="D150" s="84" t="inlineStr">
        <is>
          <t>Poor</t>
        </is>
      </c>
      <c r="E150" s="84" t="inlineStr">
        <is>
          <t>B0CZRJY68B</t>
        </is>
      </c>
      <c r="F150" s="84" t="inlineStr">
        <is>
          <t>B0DM214YG3</t>
        </is>
      </c>
      <c r="G150" s="84" t="n"/>
      <c r="H150" s="84" t="n"/>
      <c r="I150" s="85" t="n"/>
      <c r="J150" s="32" t="inlineStr"/>
      <c r="K150" s="86" t="n">
        <v>174.3</v>
      </c>
      <c r="L150" s="86" t="n"/>
      <c r="M150" s="87">
        <f>IF(AND(ISNUMBER(L150),ISNUMBER(K150),N(K150)&gt;0),L150/K150-1,"")</f>
        <v/>
      </c>
      <c r="N150" s="88">
        <f>IF(M150="","No List Price",IF(M150&lt;=0,"At/below price",IF(M150&lt;=0.12,"&lt;=12% STR zone",IF(M150&lt;=0.25,"12-25%","&gt;25% over"))))</f>
        <v/>
      </c>
      <c r="O150" s="86" t="n">
        <v>64.98999999999999</v>
      </c>
      <c r="P150" s="89">
        <f>IF(AND(ISNUMBER(K150),ISNUMBER(O150),N(O150)&gt;0),K150/O150-1,"")</f>
        <v/>
      </c>
      <c r="Q150" s="32" t="inlineStr">
        <is>
          <t>Size not stated - vs our Queen. Ours live: SellerBoard listing price, 2026-10-14; 17 children</t>
        </is>
      </c>
      <c r="R150" s="85" t="n">
        <v>591414</v>
      </c>
      <c r="S150" s="85" t="n">
        <v>5</v>
      </c>
      <c r="T150" s="90">
        <f>IF(AND(ISNUMBER(K150),ISNUMBER(S150)),K150*S150*52/12,"")</f>
        <v/>
      </c>
      <c r="U150" s="91" t="n">
        <v>4.3</v>
      </c>
      <c r="V150" s="85" t="n">
        <v>35</v>
      </c>
      <c r="W150" s="92" t="n">
        <v>46307</v>
      </c>
      <c r="X150" s="92" t="n"/>
      <c r="Y150" s="84" t="n"/>
      <c r="Z150" s="84" t="n"/>
      <c r="AA150" s="85" t="n"/>
      <c r="AB150" s="85" t="n"/>
      <c r="AC150" s="93" t="n"/>
      <c r="AD150" s="93" t="n"/>
      <c r="AE150" s="32" t="n"/>
      <c r="AF150" s="93" t="n"/>
      <c r="AG150" s="93" t="n"/>
      <c r="AH150" s="93" t="n"/>
      <c r="AI150" s="93" t="n"/>
      <c r="AJ150" s="85" t="n"/>
      <c r="AK150" s="85" t="n"/>
      <c r="AL150" s="85" t="n"/>
      <c r="AM150" s="85" t="n"/>
      <c r="AN150" s="85" t="n"/>
      <c r="AO150" s="85" t="n"/>
      <c r="AP150" s="94" t="n"/>
      <c r="AQ150" s="89" t="n"/>
      <c r="AR150" s="95" t="inlineStr">
        <is>
          <t>N</t>
        </is>
      </c>
      <c r="AS150" s="95" t="inlineStr">
        <is>
          <t>none</t>
        </is>
      </c>
      <c r="AT150" s="101" t="n"/>
      <c r="AU150" s="96" t="n">
        <v>174.3</v>
      </c>
      <c r="AV150" s="95" t="inlineStr">
        <is>
          <t>none</t>
        </is>
      </c>
      <c r="AW150" s="95" t="inlineStr">
        <is>
          <t>Y</t>
        </is>
      </c>
      <c r="AX150" s="95" t="inlineStr">
        <is>
          <t>2026-10-13 23:37:06</t>
        </is>
      </c>
      <c r="AY150" s="97" t="inlineStr">
        <is>
          <t>None</t>
        </is>
      </c>
      <c r="AZ150" s="102" t="n"/>
      <c r="BA150" s="98" t="n">
        <v>174.3</v>
      </c>
      <c r="BB150" s="98" t="n">
        <v>174.3</v>
      </c>
      <c r="BC150" s="87">
        <f>IF(AND(ISNUMBER(BA150),ISNUMBER(BB150),N(BA150)&gt;0),1-BB150/BA150,"")</f>
        <v/>
      </c>
      <c r="BD150" s="99" t="n">
        <v>1047082</v>
      </c>
      <c r="BE150" s="99" t="n">
        <v>909398</v>
      </c>
      <c r="BF150" s="100">
        <f>IF(AND(ISNUMBER(BD150),ISNUMBER(BE150),N(BE150)&gt;0),BD150/BE150,"")</f>
        <v/>
      </c>
      <c r="BG150" s="97" t="inlineStr">
        <is>
          <t>N</t>
        </is>
      </c>
      <c r="BH150" s="97" t="inlineStr">
        <is>
          <t>List Price $174.30</t>
        </is>
      </c>
    </row>
    <row r="152" ht="20" customHeight="1">
      <c r="A152" s="54" t="inlineStr">
        <is>
          <t>5 · WHAT THIS MEANS FOR BFCM</t>
        </is>
      </c>
    </row>
    <row r="153" ht="30" customHeight="1">
      <c r="A153" s="104" t="inlineStr">
        <is>
          <t>•  Who sells most: Pure Bamboo ~809/wk at $109.99; Hotel Sheets Direct ~347/wk at $79.99; KRIMANO ~185/wk at $84.99; Bambaw ~104/wk at $89.99; Bedsure ~104/wk at $89.99 (List $119.99, +33%). Tracked rivals ~2,409 units/wk; we sell ~23/wk (0.9% of the tracked set).</t>
        </is>
      </c>
    </row>
    <row r="154" ht="18" customHeight="1">
      <c r="A154" s="104" t="inlineStr">
        <is>
          <t>•  Strikethrough: 8 of 30 rivals set a List Price above price; 2 within 12%: AiAngu +7%, Kickoff Home +10%.</t>
        </is>
      </c>
    </row>
    <row r="155" ht="30" customHeight="1">
      <c r="A155" s="104" t="inlineStr">
        <is>
          <t>•  Price: 9 of 30 rivals sit below our price today (same size where the title states one). Cheapest strong rivals: BAMPURE $37.99, DOZ by SIJO $55.00, SONORO KATE $59.99, BAMPURE $67.98.</t>
        </is>
      </c>
    </row>
    <row r="156" ht="30" customHeight="1">
      <c r="A156" s="104" t="inlineStr">
        <is>
          <t>•  Strikethrough on the page today (Oct 13 check): 8 of 30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7" ht="30" customHeight="1">
      <c r="A157" s="104" t="inlineStr">
        <is>
          <t>•  Search: we lose most shared keywords to Pure Bamboo (we win 14, lose 407), BC BELLA COTERIE (we win 21, lose 390), Bedsure (we win 21, lose 375). Biggest ad gaps (they advertise where we don't or harder): Pure Bamboo 3,784 + 10 KWs, Bedsure 2,450 + 14 KWs, BC BELLA COTERIE 2,437 + 11 KWs.</t>
        </is>
      </c>
    </row>
    <row r="158" ht="30" customHeight="1">
      <c r="A158" s="104" t="inlineStr">
        <is>
          <t>•  Brand ads: Pure Bamboo (SB 82%, SBV 88%), Bedsure (SB 98%, SBV 53%), BC BELLA COTERIE (SB 57%, SBV 56%) hold Sponsored Brands / video on most of their traffic - the plan has our SB, SBV and display live by Nov 1.</t>
        </is>
      </c>
    </row>
    <row r="159" ht="18" customHeight="1">
      <c r="A159" s="104" t="inlineStr">
        <is>
          <t>•  Our BFCM 2025: 1.20x daily sales in BFCM week vs the 30 days before; TACoS 18.7% vs 35.5% before; December 2.27x.</t>
        </is>
      </c>
    </row>
    <row r="160" ht="18" customHeight="1">
      <c r="A160" s="104" t="inlineStr">
        <is>
          <t>•  Prime Day 2026: our organic visibility 0.20x vs rivals' median 1.31x (n=9) - rivals gained more event visibility than we did.</t>
        </is>
      </c>
    </row>
    <row r="161" ht="30" customHeight="1">
      <c r="A161" s="104" t="inlineStr">
        <is>
          <t>•  BFCM 2025, 26 rivals with Keepa history: Prime Exclusive Discount 13, None 8, Price cut only 4, Coupon only 1. Median depth vs their Nov 1-19 price 14%; median BSR lift 1.17x. 6 raised their Buy Box in BFCM week, so their deal looked deeper than it was.</t>
        </is>
      </c>
    </row>
  </sheetData>
  <autoFilter ref="B120:BH150"/>
  <mergeCells count="72">
    <mergeCell ref="A15:BH15"/>
    <mergeCell ref="A108:C108"/>
    <mergeCell ref="A157:BH157"/>
    <mergeCell ref="L5:Q5"/>
    <mergeCell ref="AY119:BH119"/>
    <mergeCell ref="A1:BH1"/>
    <mergeCell ref="Q11:T11"/>
    <mergeCell ref="L8:Q8"/>
    <mergeCell ref="A105:C105"/>
    <mergeCell ref="A161:BH161"/>
    <mergeCell ref="L4:Q4"/>
    <mergeCell ref="D7:I7"/>
    <mergeCell ref="A13:D13"/>
    <mergeCell ref="A104:C104"/>
    <mergeCell ref="A119:H119"/>
    <mergeCell ref="I13:L13"/>
    <mergeCell ref="A153:BH153"/>
    <mergeCell ref="A16:BH16"/>
    <mergeCell ref="AR119:AX119"/>
    <mergeCell ref="D4:I4"/>
    <mergeCell ref="L10:Q10"/>
    <mergeCell ref="E12:H12"/>
    <mergeCell ref="Q13:T13"/>
    <mergeCell ref="D9:I9"/>
    <mergeCell ref="A118:BH118"/>
    <mergeCell ref="U12:X12"/>
    <mergeCell ref="L9:Q9"/>
    <mergeCell ref="Q12:T12"/>
    <mergeCell ref="A158:BH158"/>
    <mergeCell ref="A11:D11"/>
    <mergeCell ref="A109:C109"/>
    <mergeCell ref="I11:L11"/>
    <mergeCell ref="A3:BH3"/>
    <mergeCell ref="L6:Q6"/>
    <mergeCell ref="D8:I8"/>
    <mergeCell ref="A4:B9"/>
    <mergeCell ref="A101:BH101"/>
    <mergeCell ref="T6:Y6"/>
    <mergeCell ref="A154:BH154"/>
    <mergeCell ref="A113:BH113"/>
    <mergeCell ref="A102:C102"/>
    <mergeCell ref="AA119:AQ119"/>
    <mergeCell ref="A160:BH160"/>
    <mergeCell ref="D5:I5"/>
    <mergeCell ref="M11:P11"/>
    <mergeCell ref="U11:X11"/>
    <mergeCell ref="A159:BH159"/>
    <mergeCell ref="A156:BH156"/>
    <mergeCell ref="E13:H13"/>
    <mergeCell ref="D10:I10"/>
    <mergeCell ref="L7:Q7"/>
    <mergeCell ref="T5:Y5"/>
    <mergeCell ref="A107:C107"/>
    <mergeCell ref="K119:W119"/>
    <mergeCell ref="A103:C103"/>
    <mergeCell ref="A152:BH152"/>
    <mergeCell ref="A12:D12"/>
    <mergeCell ref="M13:P13"/>
    <mergeCell ref="A110:C110"/>
    <mergeCell ref="A112:BH112"/>
    <mergeCell ref="I12:L12"/>
    <mergeCell ref="U13:X13"/>
    <mergeCell ref="A115:BH115"/>
    <mergeCell ref="A117:BH117"/>
    <mergeCell ref="X119:Z119"/>
    <mergeCell ref="M12:P12"/>
    <mergeCell ref="A111:BH111"/>
    <mergeCell ref="T4:Y4"/>
    <mergeCell ref="A155:BH155"/>
    <mergeCell ref="D6:I6"/>
    <mergeCell ref="E11:H11"/>
    <mergeCell ref="A114:BH114"/>
  </mergeCells>
  <conditionalFormatting sqref="N121:N150">
    <cfRule type="expression" priority="1" dxfId="1">
      <formula>N121="&lt;=12% STR zone"</formula>
    </cfRule>
  </conditionalFormatting>
  <conditionalFormatting sqref="W121:W150">
    <cfRule type="expression" priority="2" dxfId="0">
      <formula>AND(ISNUMBER(W121),W121&lt;DATE(2026,10,6))</formula>
    </cfRule>
  </conditionalFormatting>
  <conditionalFormatting sqref="Q121:Q150">
    <cfRule type="expression" priority="3" dxfId="0">
      <formula>ISNUMBER(SEARCH("STALE",Q121))</formula>
    </cfRule>
  </conditionalFormatting>
  <conditionalFormatting sqref="P121:P150">
    <cfRule type="expression" priority="4" dxfId="0">
      <formula>AND(ISNUMBER(P121),P121&lt;0)</formula>
    </cfRule>
  </conditionalFormatting>
  <dataValidations count="3">
    <dataValidation sqref="AR121:AR150 BG121:BG150" showDropDown="0" showInputMessage="0" showErrorMessage="0" allowBlank="1" type="list">
      <formula1>"Y,N"</formula1>
    </dataValidation>
    <dataValidation sqref="AS121:AS150" showDropDown="0" showInputMessage="0" showErrorMessage="0" allowBlank="1" type="list">
      <formula1>"List Price,Typical price,Was price,None"</formula1>
    </dataValidation>
    <dataValidation sqref="AY121:AY15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BH15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Sheets 4 Piece  ·  Amazon.com (US)  ·  Bamboo  ·  BFCM role: Not launched yet  ·  Scope: Not launched</t>
        </is>
      </c>
    </row>
    <row r="2">
      <c r="A2" s="53" t="inlineStr">
        <is>
          <t>← Dashboard</t>
        </is>
      </c>
      <c r="C2" s="106" t="inlineStr">
        <is>
          <t>NOT LAUNCHED YET (confirmed Oct 14, 2026): no live price, rating or sales expected; excluded from the gap counts on Data Check.</t>
        </is>
      </c>
    </row>
    <row r="3" ht="20" customHeight="1">
      <c r="A3" s="54" t="inlineStr">
        <is>
          <t>1 · OUR PRODUCT</t>
        </is>
      </c>
    </row>
    <row r="4" ht="34" customHeight="1">
      <c r="A4" s="10">
        <f>_xlfn.IMAGE("https://m.media-amazon.com/images/I/81ukKa0CsPL._AC_SL1500_.jpg")</f>
        <v/>
      </c>
      <c r="C4" s="11" t="inlineStr">
        <is>
          <t>Title</t>
        </is>
      </c>
      <c r="D4" s="12" t="inlineStr">
        <is>
          <t>SLEEP SANCTUARY 100% Viscose Derived from Bamboo Sheets Twin Size, 4 Pc Set</t>
        </is>
      </c>
      <c r="K4" s="11" t="inlineStr">
        <is>
          <t>Sizes</t>
        </is>
      </c>
      <c r="L4" s="55" t="inlineStr">
        <is>
          <t>California King, Full, King, Queen, Twin</t>
        </is>
      </c>
      <c r="S4" s="11" t="inlineStr">
        <is>
          <t>Break-even ACoS</t>
        </is>
      </c>
      <c r="T4" s="55" t="inlineStr">
        <is>
          <t>29%</t>
        </is>
      </c>
    </row>
    <row r="5" ht="22" customHeight="1">
      <c r="C5" s="11" t="inlineStr">
        <is>
          <t>Brand</t>
        </is>
      </c>
      <c r="D5" s="55" t="inlineStr">
        <is>
          <t>Sleephoria</t>
        </is>
      </c>
      <c r="K5" s="11" t="inlineStr">
        <is>
          <t>Colours</t>
        </is>
      </c>
      <c r="L5" s="55" t="inlineStr">
        <is>
          <t>Black, Burgundy, Charcoal, Creme, Grey, Light Blue, Light Grey, Light Olive, Light Pink, Midgrey, Navy Blue, Olive, Purple, Sage Green, Taupe, White</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$61.99 (Helium 10 Xray, 2026-10-13)</t>
        </is>
      </c>
      <c r="S6" s="11" t="inlineStr">
        <is>
          <t>Command Center product ASIN</t>
        </is>
      </c>
      <c r="T6" s="55" t="inlineStr">
        <is>
          <t>B0DDTRVWNR (one of our child ASINs, not the Amazon parent)</t>
        </is>
      </c>
    </row>
    <row r="7" ht="22" customHeight="1">
      <c r="C7" s="11" t="inlineStr">
        <is>
          <t>Parent ASIN (Amazon)</t>
        </is>
      </c>
      <c r="D7" s="55" t="inlineStr">
        <is>
          <t>B0F54RNQPT</t>
        </is>
      </c>
      <c r="K7" s="11" t="inlineStr">
        <is>
          <t>Rating / reviews now</t>
        </is>
      </c>
      <c r="L7" s="55" t="inlineStr">
        <is>
          <t>4.5 / 320 (Helium 10 Xray, 2026-10-13)</t>
        </is>
      </c>
    </row>
    <row r="8" ht="22" customHeight="1">
      <c r="C8" s="11" t="inlineStr">
        <is>
          <t>Best-selling child ASIN</t>
        </is>
      </c>
      <c r="D8" s="55" t="inlineStr">
        <is>
          <t>B0DDTY5RQX</t>
        </is>
      </c>
      <c r="K8" s="11" t="inlineStr">
        <is>
          <t>Live prices held</t>
        </is>
      </c>
      <c r="L8" s="55" t="inlineStr">
        <is>
          <t>4 of 84 variations</t>
        </is>
      </c>
    </row>
    <row r="9" ht="22" customHeight="1">
      <c r="C9" s="11" t="inlineStr">
        <is>
          <t>Stage</t>
        </is>
      </c>
      <c r="D9" s="55" t="inlineStr">
        <is>
          <t>Production</t>
        </is>
      </c>
      <c r="K9" s="11" t="inlineStr">
        <is>
          <t>Blended price (Command Center)</t>
        </is>
      </c>
      <c r="L9" s="55" t="inlineStr">
        <is>
          <t>$54.99 - fee feed as of 2026-03-30, STALE</t>
        </is>
      </c>
    </row>
    <row r="10">
      <c r="C10" s="11" t="inlineStr">
        <is>
          <t>Total variations (SKUs)</t>
        </is>
      </c>
      <c r="D10" s="55" t="n">
        <v>84</v>
      </c>
      <c r="K10" s="11" t="inlineStr">
        <is>
          <t>Contribution / unit</t>
        </is>
      </c>
      <c r="L10" s="55" t="inlineStr">
        <is>
          <t>$15.91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28</t>
        </is>
      </c>
      <c r="Q12" s="57" t="inlineStr">
        <is>
          <t>4</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(84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_xlfn.IMAGE("https://m.media-amazon.com/images/I/81ErpAIAdIL.jpg")</f>
        <v/>
      </c>
      <c r="B18" s="32" t="inlineStr">
        <is>
          <t>B0DDTY5RQX</t>
        </is>
      </c>
      <c r="C18" s="32" t="inlineStr">
        <is>
          <t>SS-BAMBOO-CHARCOAL-TWIN-4PCS</t>
        </is>
      </c>
      <c r="D18" s="32" t="inlineStr">
        <is>
          <t>SLEEP SANCTUARY 100% Viscose Derived from Bamboo Sheets Twin Size, 4 Pc Set</t>
        </is>
      </c>
      <c r="E18" s="32" t="inlineStr">
        <is>
          <t>Twin</t>
        </is>
      </c>
      <c r="F18" s="32" t="inlineStr">
        <is>
          <t>Charcoal</t>
        </is>
      </c>
      <c r="G18" s="60" t="n">
        <v>61.99</v>
      </c>
      <c r="H18" s="32" t="inlineStr">
        <is>
          <t>Helium 10 Xray, 2026-10-13</t>
        </is>
      </c>
      <c r="I18" s="61" t="n">
        <v>54.99</v>
      </c>
      <c r="J18" s="62" t="inlineStr">
        <is>
          <t>2026-03-30</t>
        </is>
      </c>
      <c r="K18" s="33" t="n">
        <v>15.91</v>
      </c>
      <c r="L18" s="63" t="n">
        <v>0.2893253318785234</v>
      </c>
      <c r="M18" s="64" t="n">
        <v>2</v>
      </c>
      <c r="N18" s="32" t="inlineStr">
        <is>
          <t>Active</t>
        </is>
      </c>
      <c r="O18" s="32" t="n"/>
      <c r="P18" s="65" t="n">
        <v>4.5</v>
      </c>
      <c r="Q18" s="64" t="n">
        <v>320</v>
      </c>
      <c r="R18" s="64" t="n">
        <v>252421</v>
      </c>
      <c r="S18" s="64" t="n">
        <v>0.8569</v>
      </c>
      <c r="T18" s="32" t="n"/>
    </row>
    <row r="19" ht="62" customHeight="1">
      <c r="A19" s="10">
        <f>_xlfn.IMAGE("https://m.media-amazon.com/images/I/71+FTZ6Q2KL.jpg")</f>
        <v/>
      </c>
      <c r="B19" s="32" t="inlineStr">
        <is>
          <t>B0DDTRVWNR</t>
        </is>
      </c>
      <c r="C19" s="32" t="inlineStr">
        <is>
          <t>SS-BAMBOO-BLACK-CALIFKING-4PCS</t>
        </is>
      </c>
      <c r="D19" s="32" t="inlineStr">
        <is>
          <t>SLEEP SANCTUARY 100% Organic Viscose Derived from Bamboo Sheets Cal King Size 4pcs - Ultra Soft &amp; Luxury Cooling, 17" Deep Pocket, Perfect for Hot Sleepers - King Bed Sheets (Black)</t>
        </is>
      </c>
      <c r="E19" s="32" t="inlineStr">
        <is>
          <t>California King</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10">
        <f>_xlfn.IMAGE("https://m.media-amazon.com/images/I/71BuSYnrHNL.jpg")</f>
        <v/>
      </c>
      <c r="B20" s="32" t="inlineStr">
        <is>
          <t>B0DDTWPGDJ</t>
        </is>
      </c>
      <c r="C20" s="32" t="inlineStr">
        <is>
          <t>SS-BAMBOO-BURGUNDY-CALIFKING-4PCS</t>
        </is>
      </c>
      <c r="D20" s="32" t="inlineStr">
        <is>
          <t>SLEEP SANCTUARY 100% Organic Viscose Derived from Bamboo Sheets Cal King Size 4pcs - Ultra Soft &amp; Luxuriously Cooling, 17" Deep Pocket, Perfect for Hot Sleepers - King Bed Sheets (Burgundy)</t>
        </is>
      </c>
      <c r="E20" s="32" t="inlineStr">
        <is>
          <t>California King</t>
        </is>
      </c>
      <c r="F20" s="32" t="inlineStr">
        <is>
          <t>Burgundy</t>
        </is>
      </c>
      <c r="G20" s="33" t="n"/>
      <c r="H20" s="32" t="n"/>
      <c r="I20" s="33" t="n"/>
      <c r="J20" s="32" t="n"/>
      <c r="K20" s="33" t="n"/>
      <c r="L20" s="63" t="n"/>
      <c r="M20" s="64" t="n"/>
      <c r="N20" s="32" t="inlineStr">
        <is>
          <t>Inactive</t>
        </is>
      </c>
      <c r="O20" s="32" t="n"/>
      <c r="P20" s="65" t="n"/>
      <c r="Q20" s="64" t="n"/>
      <c r="R20" s="64" t="n"/>
      <c r="S20" s="64" t="n"/>
      <c r="T20" s="32" t="n"/>
    </row>
    <row r="21" ht="62" customHeight="1">
      <c r="A21" s="10">
        <f>_xlfn.IMAGE("https://m.media-amazon.com/images/I/71+zNdSenUL.jpg")</f>
        <v/>
      </c>
      <c r="B21" s="32" t="inlineStr">
        <is>
          <t>B0DDTQ7TZN</t>
        </is>
      </c>
      <c r="C21" s="32" t="inlineStr">
        <is>
          <t>SS-BAMBOO-CHARCOAL-CALIFKING-4PCS</t>
        </is>
      </c>
      <c r="D21" s="32" t="inlineStr">
        <is>
          <t>SLEEP SANCTUARY 100% Organic Viscose Derived from Bamboo Sheets Cal King Size 4pcs - Ultra Soft &amp; Luxuriously Cooling, 17" Deep Pocket, Perfect for Hot Sleepers - King Bed Sheets (Charcoal)</t>
        </is>
      </c>
      <c r="E21" s="32" t="inlineStr">
        <is>
          <t>California King</t>
        </is>
      </c>
      <c r="F21" s="32" t="inlineStr">
        <is>
          <t>Charcoal</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_xlfn.IMAGE("https://m.media-amazon.com/images/I/71nRaHeuOvL.jpg")</f>
        <v/>
      </c>
      <c r="B22" s="32" t="inlineStr">
        <is>
          <t>B0DDTT2J8H</t>
        </is>
      </c>
      <c r="C22" s="32" t="inlineStr">
        <is>
          <t>SS-BAMBOO-CREME-CALIFKING-4PCS</t>
        </is>
      </c>
      <c r="D22" s="32" t="inlineStr">
        <is>
          <t>SLEEP SANCTUARY 100% Organic Viscose Derived from Bamboo Sheets Cal King Size 4pcs - Ultra Soft &amp; Luxuriously Cooling, 17" Deep Pocket, Perfect for Hot Sleepers - King Bed Sheets (Creme)</t>
        </is>
      </c>
      <c r="E22" s="32" t="inlineStr">
        <is>
          <t>California King</t>
        </is>
      </c>
      <c r="F22" s="32" t="inlineStr">
        <is>
          <t>Creme</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_xlfn.IMAGE("https://m.media-amazon.com/images/I/71k06vLMLsL.jpg")</f>
        <v/>
      </c>
      <c r="B23" s="32" t="inlineStr">
        <is>
          <t>B0DDTVGBFP</t>
        </is>
      </c>
      <c r="C23" s="32" t="inlineStr">
        <is>
          <t>SS-BAMBOO-GREY-CALIFKING-4PCS</t>
        </is>
      </c>
      <c r="D23" s="32" t="inlineStr">
        <is>
          <t>SLEEP SANCTUARY 100% Organic Viscose Derived from Bamboo Sheets Cal King Size 4pcs - Ultra Soft &amp; Luxuriously Cooling, 17" Deep Pocket, Perfect for Hot Sleepers - King Bed Sheets (Grey)</t>
        </is>
      </c>
      <c r="E23" s="32" t="inlineStr">
        <is>
          <t>California King</t>
        </is>
      </c>
      <c r="F23" s="32" t="inlineStr">
        <is>
          <t>Grey</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_xlfn.IMAGE("https://m.media-amazon.com/images/I/71pWInfUglL.jpg")</f>
        <v/>
      </c>
      <c r="B24" s="32" t="inlineStr">
        <is>
          <t>B0DDTR5SVW</t>
        </is>
      </c>
      <c r="C24" s="32" t="inlineStr">
        <is>
          <t>SS-BAMBOO-LIGHT-BLUE-CALIFKING-4PCS</t>
        </is>
      </c>
      <c r="D24" s="32" t="inlineStr">
        <is>
          <t>SLEEP SANCTUARY 100% Organic Viscose Derived from Bamboo Sheets Cal King Size 4pcs - Ultra Soft &amp; Luxuriously Cooling, 17" Deep Pocket, Perfect for Hot Sleepers - King Bed Sheets (Light Blue)</t>
        </is>
      </c>
      <c r="E24" s="32" t="inlineStr">
        <is>
          <t>California King</t>
        </is>
      </c>
      <c r="F24" s="32" t="inlineStr">
        <is>
          <t>Light Blue</t>
        </is>
      </c>
      <c r="G24" s="33" t="n"/>
      <c r="H24" s="32" t="n"/>
      <c r="I24" s="33" t="n"/>
      <c r="J24" s="32" t="n"/>
      <c r="K24" s="33" t="n"/>
      <c r="L24" s="63" t="n"/>
      <c r="M24" s="64" t="n"/>
      <c r="N24" s="32" t="inlineStr">
        <is>
          <t>Inactive</t>
        </is>
      </c>
      <c r="O24" s="32" t="n"/>
      <c r="P24" s="65" t="n"/>
      <c r="Q24" s="64" t="n"/>
      <c r="R24" s="64" t="n"/>
      <c r="S24" s="64" t="n"/>
      <c r="T24" s="32" t="n"/>
    </row>
    <row r="25" ht="62" customHeight="1">
      <c r="A25" s="10">
        <f>_xlfn.IMAGE("https://m.media-amazon.com/images/I/71eMJfROqVL.jpg")</f>
        <v/>
      </c>
      <c r="B25" s="32" t="inlineStr">
        <is>
          <t>B0DDTRYN82</t>
        </is>
      </c>
      <c r="C25" s="32" t="inlineStr">
        <is>
          <t>SS-BAMBOO-LIGHT-GREY-CALIFKING-4PCS</t>
        </is>
      </c>
      <c r="D25" s="32" t="inlineStr">
        <is>
          <t>SLEEP SANCTUARY 100% Organic Viscose Derived from Bamboo Sheets Cal King Size 4pcs - Ultra Soft &amp; Luxuriously Cooling, 17" Deep Pocket,Perfect for Hot Sleepers - King Bed Sheets (Light Grey)</t>
        </is>
      </c>
      <c r="E25" s="32" t="inlineStr">
        <is>
          <t>California King</t>
        </is>
      </c>
      <c r="F25" s="32" t="inlineStr">
        <is>
          <t>Light Grey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_xlfn.IMAGE("https://m.media-amazon.com/images/I/71U5cTo5I9L.jpg")</f>
        <v/>
      </c>
      <c r="B26" s="32" t="inlineStr">
        <is>
          <t>B0DDTS12L2</t>
        </is>
      </c>
      <c r="C26" s="32" t="inlineStr">
        <is>
          <t>SS-BAMBOO-LIGHT-OLIVE-CALIFKING-4PCS</t>
        </is>
      </c>
      <c r="D26" s="32" t="inlineStr">
        <is>
          <t>SLEEP SANCTUARY 100% Organic Viscose Derived from Bamboo Sheets Cal King Size 4pcs - Ultra Soft &amp; Luxuriously Cooling,17" Deep Pocket,Perfect for Hot Sleepers - King Bed Sheets (Light Olive)</t>
        </is>
      </c>
      <c r="E26" s="32" t="inlineStr">
        <is>
          <t>California King</t>
        </is>
      </c>
      <c r="F26" s="32" t="inlineStr">
        <is>
          <t>Light Olive</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_xlfn.IMAGE("https://m.media-amazon.com/images/I/71ci1kRa35L.jpg")</f>
        <v/>
      </c>
      <c r="B27" s="32" t="inlineStr">
        <is>
          <t>B0DDTR9JN7</t>
        </is>
      </c>
      <c r="C27" s="32" t="inlineStr">
        <is>
          <t>SS-BAMBOO-LIGHT-PINK-CALIFKING-4PCS</t>
        </is>
      </c>
      <c r="D27" s="32" t="inlineStr">
        <is>
          <t>SLEEP SANCTUARY 100% Organic Viscose Derived from Bamboo Sheets Cal King Size 4pcs - Ultra Soft &amp; Luxuriously Cooling, 17" Deep Pocket,Perfect for Hot Sleepers - King Bed Sheets (Light Pink)</t>
        </is>
      </c>
      <c r="E27" s="32" t="inlineStr">
        <is>
          <t>California King</t>
        </is>
      </c>
      <c r="F27" s="32" t="inlineStr">
        <is>
          <t>Light Pink</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_xlfn.IMAGE("https://m.media-amazon.com/images/I/71OPRQ64ryL.jpg")</f>
        <v/>
      </c>
      <c r="B28" s="32" t="inlineStr">
        <is>
          <t>B0DDTS2WPM</t>
        </is>
      </c>
      <c r="C28" s="32" t="inlineStr">
        <is>
          <t>SS-BAMBOO-MIDGREY-CALIFKING-4PCS</t>
        </is>
      </c>
      <c r="D28" s="32" t="inlineStr">
        <is>
          <t>SLEEP SANCTUARY 100% Organic Viscose Derived from Bamboo Sheets Cal King Size 4pcs - Ultra Soft &amp; Luxuriously Cooling, 17" Deep Pocket, Perfect for Hot Sleepers - King Bed Sheets (Midgrey)</t>
        </is>
      </c>
      <c r="E28" s="32" t="inlineStr">
        <is>
          <t>California King</t>
        </is>
      </c>
      <c r="F28" s="32" t="inlineStr">
        <is>
          <t>Midgrey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_xlfn.IMAGE("https://m.media-amazon.com/images/I/71GpRh9MZIL.jpg")</f>
        <v/>
      </c>
      <c r="B29" s="32" t="inlineStr">
        <is>
          <t>B0DDTSVFYF</t>
        </is>
      </c>
      <c r="C29" s="32" t="inlineStr">
        <is>
          <t>SS-BAMBOO-NAVY-BLUE-CALIFKING-4PCS</t>
        </is>
      </c>
      <c r="D29" s="32" t="inlineStr">
        <is>
          <t>SLEEP SANCTUARY 100% Organic Viscose Derived from Bamboo Sheets Cal King Size 4pcs - Ultra Soft &amp; Luxuriously Cooling, 17" Deep Pocket,Perfect for Hot Sleepers - King Bed Sheets (Navy Blue)</t>
        </is>
      </c>
      <c r="E29" s="32" t="inlineStr">
        <is>
          <t>California King</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_xlfn.IMAGE("https://m.media-amazon.com/images/I/71g3UenTI2L.jpg")</f>
        <v/>
      </c>
      <c r="B30" s="32" t="inlineStr">
        <is>
          <t>B0DDTTPQRC</t>
        </is>
      </c>
      <c r="C30" s="32" t="inlineStr">
        <is>
          <t>SS-BAMBOO-OLIVE-CALIFKING-4PCS</t>
        </is>
      </c>
      <c r="D30" s="32" t="inlineStr">
        <is>
          <t>SLEEP SANCTUARY 100% Organic Viscose Derived from Bamboo Sheets Cal King Size 4pcs - Ultra Soft &amp; Luxuriously Cooling, 17" Deep Pocket, Perfect for Hot Sleepers - King Bed Sheets (Olive)</t>
        </is>
      </c>
      <c r="E30" s="32" t="inlineStr">
        <is>
          <t>California King</t>
        </is>
      </c>
      <c r="F30" s="32" t="inlineStr">
        <is>
          <t>Olive</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_xlfn.IMAGE("https://m.media-amazon.com/images/I/711EIufga2L.jpg")</f>
        <v/>
      </c>
      <c r="B31" s="32" t="inlineStr">
        <is>
          <t>B0DDTRKDDT</t>
        </is>
      </c>
      <c r="C31" s="32" t="inlineStr">
        <is>
          <t>SS-BAMBOO-PURPLE-CALIFKING-4PCS</t>
        </is>
      </c>
      <c r="D31" s="32" t="inlineStr">
        <is>
          <t>SLEEP SANCTUARY 100% Organic Viscose Derived from Bamboo Sheets Cal King Size 4pcs - Ultra Soft &amp; Luxuriously Cooling, 17" Deep Pocket, Perfect for Hot Sleepers - King Bed Sheets (Purple)</t>
        </is>
      </c>
      <c r="E31" s="32" t="inlineStr">
        <is>
          <t>California King</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10">
        <f>_xlfn.IMAGE("https://m.media-amazon.com/images/I/71NJ4arwSJL.jpg")</f>
        <v/>
      </c>
      <c r="B32" s="32" t="inlineStr">
        <is>
          <t>B0DDTS48BJ</t>
        </is>
      </c>
      <c r="C32" s="32" t="inlineStr">
        <is>
          <t>SS-BAMBOO-SAGE-GREEN-CALIFKING-4PCS</t>
        </is>
      </c>
      <c r="D32" s="32" t="inlineStr">
        <is>
          <t>SLEEP SANCTUARY 100% Organic Viscose Derived from Bamboo Sheets Cal King Size 4pcs - Ultra Soft &amp; Luxuriously Cooling, 17" Deep Pocket,Perfect for Hot Sleepers - King Bed Sheets (Sage Green)</t>
        </is>
      </c>
      <c r="E32" s="32" t="inlineStr">
        <is>
          <t>California King</t>
        </is>
      </c>
      <c r="F32" s="32" t="inlineStr">
        <is>
          <t>Sage Green</t>
        </is>
      </c>
      <c r="G32" s="33" t="n"/>
      <c r="H32" s="32" t="n"/>
      <c r="I32" s="33" t="n"/>
      <c r="J32" s="32" t="n"/>
      <c r="K32" s="33" t="n"/>
      <c r="L32" s="63" t="n"/>
      <c r="M32" s="64" t="n"/>
      <c r="N32" s="32" t="inlineStr">
        <is>
          <t>Inactive</t>
        </is>
      </c>
      <c r="O32" s="32" t="n"/>
      <c r="P32" s="65" t="n"/>
      <c r="Q32" s="64" t="n"/>
      <c r="R32" s="64" t="n"/>
      <c r="S32" s="64" t="n"/>
      <c r="T32" s="32" t="n"/>
    </row>
    <row r="33" ht="62" customHeight="1">
      <c r="A33" s="10">
        <f>_xlfn.IMAGE("https://m.media-amazon.com/images/I/71LuYrkY0CL.jpg")</f>
        <v/>
      </c>
      <c r="B33" s="32" t="inlineStr">
        <is>
          <t>B0DDTVZXJW</t>
        </is>
      </c>
      <c r="C33" s="32" t="inlineStr">
        <is>
          <t>SS-BAMBOO-TAUPE-CALIFKING-4PCS</t>
        </is>
      </c>
      <c r="D33" s="32" t="inlineStr">
        <is>
          <t>SLEEP SANCTUARY 100% Organic Viscose Derived from Bamboo Sheets Cal King Size 4pcs - Ultra Soft &amp; Luxuriously Cooling, 17" Deep Pocket, Perfect for Hot Sleepers - King Bed Sheets (Taupe)</t>
        </is>
      </c>
      <c r="E33" s="32" t="inlineStr">
        <is>
          <t>California King</t>
        </is>
      </c>
      <c r="F33" s="32" t="inlineStr">
        <is>
          <t>Taupe</t>
        </is>
      </c>
      <c r="G33" s="33" t="n"/>
      <c r="H33" s="32" t="n"/>
      <c r="I33" s="33" t="n"/>
      <c r="J33" s="32" t="n"/>
      <c r="K33" s="33" t="n"/>
      <c r="L33" s="63" t="n"/>
      <c r="M33" s="64" t="n"/>
      <c r="N33" s="32" t="inlineStr">
        <is>
          <t>Inactive</t>
        </is>
      </c>
      <c r="O33" s="32" t="n"/>
      <c r="P33" s="65" t="n"/>
      <c r="Q33" s="64" t="n"/>
      <c r="R33" s="64" t="n"/>
      <c r="S33" s="64" t="n"/>
      <c r="T33" s="32" t="n"/>
    </row>
    <row r="34" ht="62" customHeight="1">
      <c r="A34" s="10">
        <f>_xlfn.IMAGE("https://m.media-amazon.com/images/I/71MHybZpyiL.jpg")</f>
        <v/>
      </c>
      <c r="B34" s="32" t="inlineStr">
        <is>
          <t>B0DDTTLH1Y</t>
        </is>
      </c>
      <c r="C34" s="32" t="inlineStr">
        <is>
          <t>SS-BAMBOO-WHITE-CALIFKING-4PCS</t>
        </is>
      </c>
      <c r="D34" s="32" t="inlineStr">
        <is>
          <t>SLEEP SANCTUARY 100% Organic Viscose Derived from Bamboo Sheets Cal King Size 4pcs - Ultra Soft &amp; Luxuriously Cooling, 17" Deep Pocket, Perfect for Hot Sleepers - King Bed Sheets (White)</t>
        </is>
      </c>
      <c r="E34" s="32" t="inlineStr">
        <is>
          <t>California King</t>
        </is>
      </c>
      <c r="F34" s="32" t="inlineStr">
        <is>
          <t>White</t>
        </is>
      </c>
      <c r="G34" s="33" t="n"/>
      <c r="H34" s="32" t="n"/>
      <c r="I34" s="33" t="n"/>
      <c r="J34" s="32" t="n"/>
      <c r="K34" s="33" t="n"/>
      <c r="L34" s="63" t="n"/>
      <c r="M34" s="64" t="n"/>
      <c r="N34" s="32" t="inlineStr">
        <is>
          <t>Inactive</t>
        </is>
      </c>
      <c r="O34" s="32" t="n"/>
      <c r="P34" s="65" t="n"/>
      <c r="Q34" s="64" t="n"/>
      <c r="R34" s="64" t="n"/>
      <c r="S34" s="64" t="n"/>
      <c r="T34" s="32" t="n"/>
    </row>
    <row r="35" ht="62" customHeight="1">
      <c r="A35" s="10">
        <f>_xlfn.IMAGE("https://m.media-amazon.com/images/I/71+FTZ6Q2KL.jpg")</f>
        <v/>
      </c>
      <c r="B35" s="32" t="inlineStr">
        <is>
          <t>B0DDTT2LW2</t>
        </is>
      </c>
      <c r="C35" s="32" t="inlineStr">
        <is>
          <t>SS-BAMBOO-BLACK-FULL-4PCS</t>
        </is>
      </c>
      <c r="D35" s="32" t="inlineStr">
        <is>
          <t>SLEEP SANCTUARY 100% Organic Viscose Derived from Bamboo Sheets Full Size 4pcs - Ultra Soft &amp; Luxuriously Cooling, 17" Deep Pocket, Perfect for Hot Sleepers - Full Bed Sheets (Black)</t>
        </is>
      </c>
      <c r="E35" s="32" t="inlineStr">
        <is>
          <t>Full</t>
        </is>
      </c>
      <c r="F35" s="32" t="inlineStr">
        <is>
          <t>Black</t>
        </is>
      </c>
      <c r="G35" s="33" t="n"/>
      <c r="H35" s="32" t="n"/>
      <c r="I35" s="33" t="n"/>
      <c r="J35" s="32" t="n"/>
      <c r="K35" s="33" t="n"/>
      <c r="L35" s="63" t="n"/>
      <c r="M35" s="64" t="n"/>
      <c r="N35" s="32" t="inlineStr">
        <is>
          <t>Inactive</t>
        </is>
      </c>
      <c r="O35" s="32" t="n"/>
      <c r="P35" s="65" t="n"/>
      <c r="Q35" s="64" t="n"/>
      <c r="R35" s="64" t="n"/>
      <c r="S35" s="64" t="n"/>
      <c r="T35" s="32" t="n"/>
    </row>
    <row r="36" ht="62" customHeight="1">
      <c r="A36" s="10">
        <f>_xlfn.IMAGE("https://m.media-amazon.com/images/I/71BuSYnrHNL.jpg")</f>
        <v/>
      </c>
      <c r="B36" s="32" t="inlineStr">
        <is>
          <t>B0DDTTG1X2</t>
        </is>
      </c>
      <c r="C36" s="32" t="inlineStr">
        <is>
          <t>SS-BAMBOO-BURGUNDY-FULL-4PCS</t>
        </is>
      </c>
      <c r="D36" s="32" t="inlineStr">
        <is>
          <t>SLEEP SANCTUARY 100% Organic Viscose Derived from Bamboo Sheets Full Size 4pcs - Ultra Soft &amp; Luxuriously Cooling, 17" Deep Pocket, Perfect for Hot Sleepers - Full Bed Sheets (Burgundy)</t>
        </is>
      </c>
      <c r="E36" s="32" t="inlineStr">
        <is>
          <t>Full</t>
        </is>
      </c>
      <c r="F36" s="32" t="inlineStr">
        <is>
          <t>Burgundy</t>
        </is>
      </c>
      <c r="G36" s="33" t="n"/>
      <c r="H36" s="32" t="n"/>
      <c r="I36" s="33" t="n"/>
      <c r="J36" s="32" t="n"/>
      <c r="K36" s="33" t="n"/>
      <c r="L36" s="63" t="n"/>
      <c r="M36" s="64" t="n"/>
      <c r="N36" s="32" t="inlineStr">
        <is>
          <t>Inactive</t>
        </is>
      </c>
      <c r="O36" s="32" t="n"/>
      <c r="P36" s="65" t="n"/>
      <c r="Q36" s="64" t="n"/>
      <c r="R36" s="64" t="n"/>
      <c r="S36" s="64" t="n"/>
      <c r="T36" s="32" t="n"/>
    </row>
    <row r="37" ht="62" customHeight="1">
      <c r="A37" s="10">
        <f>_xlfn.IMAGE("https://m.media-amazon.com/images/I/71+zNdSenUL.jpg")</f>
        <v/>
      </c>
      <c r="B37" s="32" t="inlineStr">
        <is>
          <t>B0DDTRNNV4</t>
        </is>
      </c>
      <c r="C37" s="32" t="inlineStr">
        <is>
          <t>SS-BAMBOO-CHARCOAL-FULL-4PCS</t>
        </is>
      </c>
      <c r="D37" s="32" t="inlineStr">
        <is>
          <t>SLEEP SANCTUARY 100% Organic Viscose Derived from Bamboo Sheets Full Size 4pcs - Ultra Soft &amp; Luxuriously Cooling, 17" Deep Pocket, Perfect for Hot Sleepers - Full Bed Sheets (Charcoal)</t>
        </is>
      </c>
      <c r="E37" s="32" t="inlineStr">
        <is>
          <t>Full</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10">
        <f>_xlfn.IMAGE("https://m.media-amazon.com/images/I/71nRaHeuOvL.jpg")</f>
        <v/>
      </c>
      <c r="B38" s="32" t="inlineStr">
        <is>
          <t>B0DDTR9JMW</t>
        </is>
      </c>
      <c r="C38" s="32" t="inlineStr">
        <is>
          <t>SS-BAMBOO-CREME-FULL-4PCS</t>
        </is>
      </c>
      <c r="D38" s="32" t="inlineStr">
        <is>
          <t>SLEEP SANCTUARY 100% Organic Viscose Derived from Bamboo Sheets Full Size 4pcs - Ultra Soft &amp; Luxuriously Cooling, 17" Deep Pocket, Perfect for Hot Sleepers - Full Bed Sheets (Creme)</t>
        </is>
      </c>
      <c r="E38" s="32" t="inlineStr">
        <is>
          <t>Full</t>
        </is>
      </c>
      <c r="F38" s="32" t="inlineStr">
        <is>
          <t>Creme</t>
        </is>
      </c>
      <c r="G38" s="33" t="n"/>
      <c r="H38" s="32" t="n"/>
      <c r="I38" s="33" t="n"/>
      <c r="J38" s="32" t="n"/>
      <c r="K38" s="33" t="n"/>
      <c r="L38" s="63" t="n"/>
      <c r="M38" s="64" t="n"/>
      <c r="N38" s="32" t="inlineStr">
        <is>
          <t>Inactive</t>
        </is>
      </c>
      <c r="O38" s="32" t="n"/>
      <c r="P38" s="65" t="n"/>
      <c r="Q38" s="64" t="n"/>
      <c r="R38" s="64" t="n"/>
      <c r="S38" s="64" t="n"/>
      <c r="T38" s="32" t="n"/>
    </row>
    <row r="39" ht="62" customHeight="1">
      <c r="A39" s="10">
        <f>_xlfn.IMAGE("https://m.media-amazon.com/images/I/71k06vLMLsL.jpg")</f>
        <v/>
      </c>
      <c r="B39" s="32" t="inlineStr">
        <is>
          <t>B0DDTW9GZY</t>
        </is>
      </c>
      <c r="C39" s="32" t="inlineStr">
        <is>
          <t>SS-BAMBOO-GREY-FULL-4PCS</t>
        </is>
      </c>
      <c r="D39" s="32" t="inlineStr">
        <is>
          <t>SLEEP SANCTUARY 100% Organic Viscose Derived from Bamboo Sheets Full Size 4pcs - Ultra Soft &amp; Luxuriously Cooling, 17" Deep Pocket, Perfect for Hot Sleepers - Full Bed Sheets (Grey)</t>
        </is>
      </c>
      <c r="E39" s="32" t="inlineStr">
        <is>
          <t>Full</t>
        </is>
      </c>
      <c r="F39" s="32" t="inlineStr">
        <is>
          <t>Grey</t>
        </is>
      </c>
      <c r="G39" s="33" t="n"/>
      <c r="H39" s="32" t="n"/>
      <c r="I39" s="33" t="n"/>
      <c r="J39" s="32" t="n"/>
      <c r="K39" s="33" t="n"/>
      <c r="L39" s="63" t="n"/>
      <c r="M39" s="64" t="n"/>
      <c r="N39" s="32" t="inlineStr">
        <is>
          <t>Inactive</t>
        </is>
      </c>
      <c r="O39" s="32" t="n"/>
      <c r="P39" s="65" t="n"/>
      <c r="Q39" s="64" t="n"/>
      <c r="R39" s="64" t="n"/>
      <c r="S39" s="64" t="n"/>
      <c r="T39" s="32" t="n"/>
    </row>
    <row r="40" ht="62" customHeight="1">
      <c r="A40" s="10">
        <f>_xlfn.IMAGE("https://m.media-amazon.com/images/I/71pWInfUglL.jpg")</f>
        <v/>
      </c>
      <c r="B40" s="32" t="inlineStr">
        <is>
          <t>B0DDTVGVLD</t>
        </is>
      </c>
      <c r="C40" s="32" t="inlineStr">
        <is>
          <t>SS-BAMBOO-LIGHT-BLUE-FULL-4PCS</t>
        </is>
      </c>
      <c r="D40" s="32" t="inlineStr">
        <is>
          <t>SLEEP SANCTUARY 100% Organic Viscose Derived from Bamboo Sheets Full Size 4pcs - Ultra Soft &amp; Luxuriously Cooling, 17" Deep Pocket, Perfect for Hot Sleepers - Full Bed Sheets (Light Blue)</t>
        </is>
      </c>
      <c r="E40" s="32" t="inlineStr">
        <is>
          <t>Full</t>
        </is>
      </c>
      <c r="F40" s="32" t="inlineStr">
        <is>
          <t>Light Blue</t>
        </is>
      </c>
      <c r="G40" s="33" t="n"/>
      <c r="H40" s="32" t="n"/>
      <c r="I40" s="33" t="n"/>
      <c r="J40" s="32" t="n"/>
      <c r="K40" s="33" t="n"/>
      <c r="L40" s="63" t="n"/>
      <c r="M40" s="64" t="n"/>
      <c r="N40" s="32" t="inlineStr">
        <is>
          <t>Inactive</t>
        </is>
      </c>
      <c r="O40" s="32" t="n"/>
      <c r="P40" s="65" t="n"/>
      <c r="Q40" s="64" t="n"/>
      <c r="R40" s="64" t="n"/>
      <c r="S40" s="64" t="n"/>
      <c r="T40" s="32" t="n"/>
    </row>
    <row r="41" ht="62" customHeight="1">
      <c r="A41" s="10">
        <f>_xlfn.IMAGE("https://m.media-amazon.com/images/I/71eMJfROqVL.jpg")</f>
        <v/>
      </c>
      <c r="B41" s="32" t="inlineStr">
        <is>
          <t>B0DDTT3VVL</t>
        </is>
      </c>
      <c r="C41" s="32" t="inlineStr">
        <is>
          <t>SS-BAMBOO-LIGHT-GREY-FULL-4PCS</t>
        </is>
      </c>
      <c r="D41" s="32" t="inlineStr">
        <is>
          <t>SLEEP SANCTUARY 100% Organic Viscose Derived from Bamboo Sheets Full Size 4pcs - Ultra Soft &amp; Luxuriously Cooling, 17" Deep Pocket, Perfect for Hot Sleepers - Full Bed Sheets (Light Grey)</t>
        </is>
      </c>
      <c r="E41" s="32" t="inlineStr">
        <is>
          <t>Full</t>
        </is>
      </c>
      <c r="F41" s="32" t="inlineStr">
        <is>
          <t>Light Grey</t>
        </is>
      </c>
      <c r="G41" s="33" t="n"/>
      <c r="H41" s="32" t="n"/>
      <c r="I41" s="33" t="n"/>
      <c r="J41" s="32" t="n"/>
      <c r="K41" s="33" t="n"/>
      <c r="L41" s="63" t="n"/>
      <c r="M41" s="64" t="n"/>
      <c r="N41" s="32" t="inlineStr">
        <is>
          <t>Inactive</t>
        </is>
      </c>
      <c r="O41" s="32" t="n"/>
      <c r="P41" s="65" t="n"/>
      <c r="Q41" s="64" t="n"/>
      <c r="R41" s="64" t="n"/>
      <c r="S41" s="64" t="n"/>
      <c r="T41" s="32" t="n"/>
    </row>
    <row r="42" ht="62" customHeight="1">
      <c r="A42" s="10">
        <f>_xlfn.IMAGE("https://m.media-amazon.com/images/I/71U5cTo5I9L.jpg")</f>
        <v/>
      </c>
      <c r="B42" s="32" t="inlineStr">
        <is>
          <t>B0DDTSYXD7</t>
        </is>
      </c>
      <c r="C42" s="32" t="inlineStr">
        <is>
          <t>SS-BAMBOO-LIGHT-OLIVE-FULL-4PCS</t>
        </is>
      </c>
      <c r="D42" s="32" t="inlineStr">
        <is>
          <t>SLEEP SANCTUARY 100% Organic Viscose Derived from Bamboo Sheets Full Size 4pcs - Ultra Soft &amp; Luxuriously Cooling, 17" Deep Pocket, Perfect for Hot Sleepers - Full Bed Sheets (Light Olive)</t>
        </is>
      </c>
      <c r="E42" s="32" t="inlineStr">
        <is>
          <t>Full</t>
        </is>
      </c>
      <c r="F42" s="32" t="inlineStr">
        <is>
          <t>Light Olive</t>
        </is>
      </c>
      <c r="G42" s="33" t="n"/>
      <c r="H42" s="32" t="n"/>
      <c r="I42" s="33" t="n"/>
      <c r="J42" s="32" t="n"/>
      <c r="K42" s="33" t="n"/>
      <c r="L42" s="63" t="n"/>
      <c r="M42" s="64" t="n"/>
      <c r="N42" s="32" t="inlineStr">
        <is>
          <t>Inactive</t>
        </is>
      </c>
      <c r="O42" s="32" t="n"/>
      <c r="P42" s="65" t="n"/>
      <c r="Q42" s="64" t="n"/>
      <c r="R42" s="64" t="n"/>
      <c r="S42" s="64" t="n"/>
      <c r="T42" s="32" t="n"/>
    </row>
    <row r="43" ht="62" customHeight="1">
      <c r="A43" s="10">
        <f>_xlfn.IMAGE("https://m.media-amazon.com/images/I/71ci1kRa35L.jpg")</f>
        <v/>
      </c>
      <c r="B43" s="32" t="inlineStr">
        <is>
          <t>B0DDTWDQM4</t>
        </is>
      </c>
      <c r="C43" s="32" t="inlineStr">
        <is>
          <t>SS-BAMBOO-LIGHT-PINK-FULL-4PCS</t>
        </is>
      </c>
      <c r="D43" s="32" t="inlineStr">
        <is>
          <t>SLEEP SANCTUARY 100% Organic Viscose Derived from Bamboo Sheets Full Size 4pcs - Ultra Soft &amp; Luxuriously Cooling, 17" Deep Pocket, Perfect for Hot Sleepers - Full Bed Sheets (Light Pink)</t>
        </is>
      </c>
      <c r="E43" s="32" t="inlineStr">
        <is>
          <t>Full</t>
        </is>
      </c>
      <c r="F43" s="32" t="inlineStr">
        <is>
          <t>Light Pink</t>
        </is>
      </c>
      <c r="G43" s="33" t="n"/>
      <c r="H43" s="32" t="n"/>
      <c r="I43" s="33" t="n"/>
      <c r="J43" s="32" t="n"/>
      <c r="K43" s="33" t="n"/>
      <c r="L43" s="63" t="n"/>
      <c r="M43" s="64" t="n"/>
      <c r="N43" s="32" t="inlineStr">
        <is>
          <t>Inactive</t>
        </is>
      </c>
      <c r="O43" s="32" t="n"/>
      <c r="P43" s="65" t="n"/>
      <c r="Q43" s="64" t="n"/>
      <c r="R43" s="64" t="n"/>
      <c r="S43" s="64" t="n"/>
      <c r="T43" s="32" t="n"/>
    </row>
    <row r="44" ht="62" customHeight="1">
      <c r="A44" s="10">
        <f>_xlfn.IMAGE("https://m.media-amazon.com/images/I/71OPRQ64ryL.jpg")</f>
        <v/>
      </c>
      <c r="B44" s="32" t="inlineStr">
        <is>
          <t>B0DDTSHKWF</t>
        </is>
      </c>
      <c r="C44" s="32" t="inlineStr">
        <is>
          <t>SS-BAMBOO-MIDGREY-FULL-4PCS</t>
        </is>
      </c>
      <c r="D44" s="32" t="inlineStr">
        <is>
          <t>SLEEP SANCTUARY 100% Organic Viscose Derived from Bamboo Sheets Full Size 4pcs - Ultra Soft &amp; Luxuriously Cooling, 17" Deep Pocket, Perfect for Hot Sleepers - Full Bed Sheets (Midgrey)</t>
        </is>
      </c>
      <c r="E44" s="32" t="inlineStr">
        <is>
          <t>Full</t>
        </is>
      </c>
      <c r="F44" s="32" t="inlineStr">
        <is>
          <t>Midgrey</t>
        </is>
      </c>
      <c r="G44" s="33" t="n"/>
      <c r="H44" s="32" t="n"/>
      <c r="I44" s="33" t="n"/>
      <c r="J44" s="32" t="n"/>
      <c r="K44" s="33" t="n"/>
      <c r="L44" s="63" t="n"/>
      <c r="M44" s="64" t="n"/>
      <c r="N44" s="32" t="inlineStr">
        <is>
          <t>Inactive</t>
        </is>
      </c>
      <c r="O44" s="32" t="n"/>
      <c r="P44" s="65" t="n"/>
      <c r="Q44" s="64" t="n"/>
      <c r="R44" s="64" t="n"/>
      <c r="S44" s="64" t="n"/>
      <c r="T44" s="32" t="n"/>
    </row>
    <row r="45" ht="62" customHeight="1">
      <c r="A45" s="10">
        <f>_xlfn.IMAGE("https://m.media-amazon.com/images/I/71GpRh9MZIL.jpg")</f>
        <v/>
      </c>
      <c r="B45" s="32" t="inlineStr">
        <is>
          <t>B0DDTS4NNN</t>
        </is>
      </c>
      <c r="C45" s="32" t="inlineStr">
        <is>
          <t>SS-BAMBOO-NAVY-BLUE-FULL-4PCS</t>
        </is>
      </c>
      <c r="D45" s="32" t="inlineStr">
        <is>
          <t>SLEEP SANCTUARY 100% Organic Viscose Derived from Bamboo Sheets Full Size 4pcs - Ultra Soft &amp; Luxuriously Cooling, 17" Deep Pocket, Perfect for Hot Sleepers - Full Bed Sheets (Navy Blue)</t>
        </is>
      </c>
      <c r="E45" s="32" t="inlineStr">
        <is>
          <t>Full</t>
        </is>
      </c>
      <c r="F45" s="32" t="inlineStr">
        <is>
          <t>Navy Blue</t>
        </is>
      </c>
      <c r="G45" s="33" t="n"/>
      <c r="H45" s="32" t="n"/>
      <c r="I45" s="33" t="n"/>
      <c r="J45" s="32" t="n"/>
      <c r="K45" s="33" t="n"/>
      <c r="L45" s="63" t="n"/>
      <c r="M45" s="64" t="n"/>
      <c r="N45" s="32" t="inlineStr">
        <is>
          <t>Inactive</t>
        </is>
      </c>
      <c r="O45" s="32" t="n"/>
      <c r="P45" s="65" t="n"/>
      <c r="Q45" s="64" t="n"/>
      <c r="R45" s="64" t="n"/>
      <c r="S45" s="64" t="n"/>
      <c r="T45" s="32" t="n"/>
    </row>
    <row r="46" ht="62" customHeight="1">
      <c r="A46" s="10">
        <f>_xlfn.IMAGE("https://m.media-amazon.com/images/I/71g3UenTI2L.jpg")</f>
        <v/>
      </c>
      <c r="B46" s="32" t="inlineStr">
        <is>
          <t>B0DDTR8Y8S</t>
        </is>
      </c>
      <c r="C46" s="32" t="inlineStr">
        <is>
          <t>SS-BAMBOO-OLIVE-FULL-4PCS</t>
        </is>
      </c>
      <c r="D46" s="32" t="inlineStr">
        <is>
          <t>SLEEP SANCTUARY 100% Organic Viscose Derived from Bamboo Sheets Full Size 4pcs - Ultra Soft &amp; Luxuriously Cooling, 17" Deep Pocket, Perfect for Hot Sleepers - Full Bed Sheets (Olive)</t>
        </is>
      </c>
      <c r="E46" s="32" t="inlineStr">
        <is>
          <t>Full</t>
        </is>
      </c>
      <c r="F46" s="32" t="inlineStr">
        <is>
          <t>Olive</t>
        </is>
      </c>
      <c r="G46" s="33" t="n"/>
      <c r="H46" s="32" t="n"/>
      <c r="I46" s="33" t="n"/>
      <c r="J46" s="32" t="n"/>
      <c r="K46" s="33" t="n"/>
      <c r="L46" s="63" t="n"/>
      <c r="M46" s="64" t="n"/>
      <c r="N46" s="32" t="inlineStr">
        <is>
          <t>Inactive</t>
        </is>
      </c>
      <c r="O46" s="32" t="n"/>
      <c r="P46" s="65" t="n"/>
      <c r="Q46" s="64" t="n"/>
      <c r="R46" s="64" t="n"/>
      <c r="S46" s="64" t="n"/>
      <c r="T46" s="32" t="n"/>
    </row>
    <row r="47" ht="62" customHeight="1">
      <c r="A47" s="10">
        <f>_xlfn.IMAGE("https://m.media-amazon.com/images/I/711EIufga2L.jpg")</f>
        <v/>
      </c>
      <c r="B47" s="32" t="inlineStr">
        <is>
          <t>B0DDTTS11S</t>
        </is>
      </c>
      <c r="C47" s="32" t="inlineStr">
        <is>
          <t>SS-BAMBOO-PURPLE-FULL-4PCS</t>
        </is>
      </c>
      <c r="D47" s="32" t="inlineStr">
        <is>
          <t>SLEEP SANCTUARY 100% Organic Viscose Derived from Bamboo Sheets Full Size 4pcs - Ultra Soft &amp; Luxuriously Cooling, 17" Deep Pocket, Perfect for Hot Sleepers - Full Bed Sheets (Purple)</t>
        </is>
      </c>
      <c r="E47" s="32" t="inlineStr">
        <is>
          <t>Full</t>
        </is>
      </c>
      <c r="F47" s="32" t="inlineStr">
        <is>
          <t>Purple</t>
        </is>
      </c>
      <c r="G47" s="33" t="n"/>
      <c r="H47" s="32" t="n"/>
      <c r="I47" s="33" t="n"/>
      <c r="J47" s="32" t="n"/>
      <c r="K47" s="33" t="n"/>
      <c r="L47" s="63" t="n"/>
      <c r="M47" s="64" t="n"/>
      <c r="N47" s="32" t="inlineStr">
        <is>
          <t>Inactive</t>
        </is>
      </c>
      <c r="O47" s="32" t="n"/>
      <c r="P47" s="65" t="n"/>
      <c r="Q47" s="64" t="n"/>
      <c r="R47" s="64" t="n"/>
      <c r="S47" s="64" t="n"/>
      <c r="T47" s="32" t="n"/>
    </row>
    <row r="48" ht="62" customHeight="1">
      <c r="A48" s="10">
        <f>_xlfn.IMAGE("https://m.media-amazon.com/images/I/71NJ4arwSJL.jpg")</f>
        <v/>
      </c>
      <c r="B48" s="32" t="inlineStr">
        <is>
          <t>B0DDTSBCC4</t>
        </is>
      </c>
      <c r="C48" s="32" t="inlineStr">
        <is>
          <t>SS-BAMBOO-SAGE-GREEN-FULL-4PCS</t>
        </is>
      </c>
      <c r="D48" s="32" t="inlineStr">
        <is>
          <t>SLEEP SANCTUARY 100% Organic Viscose Derived from Bamboo Sheets Full Size 4pcs - Ultra Soft &amp; Luxuriously Cooling, 17" Deep Pocket, Perfect for Hot Sleepers - Full Bed Sheets (Sage Green)</t>
        </is>
      </c>
      <c r="E48" s="32" t="inlineStr">
        <is>
          <t>Full</t>
        </is>
      </c>
      <c r="F48" s="32" t="inlineStr">
        <is>
          <t>Sage Green</t>
        </is>
      </c>
      <c r="G48" s="33" t="n"/>
      <c r="H48" s="32" t="n"/>
      <c r="I48" s="33" t="n"/>
      <c r="J48" s="32" t="n"/>
      <c r="K48" s="33" t="n"/>
      <c r="L48" s="63" t="n"/>
      <c r="M48" s="64" t="n"/>
      <c r="N48" s="32" t="inlineStr">
        <is>
          <t>Inactive</t>
        </is>
      </c>
      <c r="O48" s="32" t="n"/>
      <c r="P48" s="65" t="n"/>
      <c r="Q48" s="64" t="n"/>
      <c r="R48" s="64" t="n"/>
      <c r="S48" s="64" t="n"/>
      <c r="T48" s="32" t="n"/>
    </row>
    <row r="49" ht="62" customHeight="1">
      <c r="A49" s="10">
        <f>_xlfn.IMAGE("https://m.media-amazon.com/images/I/71LuYrkY0CL.jpg")</f>
        <v/>
      </c>
      <c r="B49" s="32" t="inlineStr">
        <is>
          <t>B0DDTRQY9D</t>
        </is>
      </c>
      <c r="C49" s="32" t="inlineStr">
        <is>
          <t>SS-BAMBOO-TAUPE-FULL-4PCS</t>
        </is>
      </c>
      <c r="D49" s="32" t="inlineStr">
        <is>
          <t>SLEEP SANCTUARY 100% Organic Viscose Derived from Bamboo Sheets Full Size 4pcs - Ultra Soft &amp; Luxuriously Cooling, 17" Deep Pocket, Perfect for Hot Sleepers - Full Bed Sheets (Taupe)</t>
        </is>
      </c>
      <c r="E49" s="32" t="inlineStr">
        <is>
          <t>Full</t>
        </is>
      </c>
      <c r="F49" s="32" t="inlineStr">
        <is>
          <t>Taupe</t>
        </is>
      </c>
      <c r="G49" s="33" t="n"/>
      <c r="H49" s="32" t="n"/>
      <c r="I49" s="33" t="n"/>
      <c r="J49" s="32" t="n"/>
      <c r="K49" s="33" t="n"/>
      <c r="L49" s="63" t="n"/>
      <c r="M49" s="64" t="n"/>
      <c r="N49" s="32" t="inlineStr">
        <is>
          <t>Inactive</t>
        </is>
      </c>
      <c r="O49" s="32" t="n"/>
      <c r="P49" s="65" t="n"/>
      <c r="Q49" s="64" t="n"/>
      <c r="R49" s="64" t="n"/>
      <c r="S49" s="64" t="n"/>
      <c r="T49" s="32" t="n"/>
    </row>
    <row r="50" ht="62" customHeight="1">
      <c r="A50" s="10">
        <f>_xlfn.IMAGE("https://m.media-amazon.com/images/I/71MHybZpyiL.jpg")</f>
        <v/>
      </c>
      <c r="B50" s="32" t="inlineStr">
        <is>
          <t>B0DDTY84L7</t>
        </is>
      </c>
      <c r="C50" s="32" t="inlineStr">
        <is>
          <t>SS-BAMBOO-WHITE-FULL-4PCS</t>
        </is>
      </c>
      <c r="D50" s="32" t="inlineStr">
        <is>
          <t>SLEEP SANCTUARY 100% Organic Viscose Derived from Bamboo Sheets Full Size 4pcs - Ultra Soft &amp; Luxuriously Cooling, 17" Deep Pocket, Perfect for Hot Sleepers - Full Bed Sheets (White)</t>
        </is>
      </c>
      <c r="E50" s="32" t="inlineStr">
        <is>
          <t>Full</t>
        </is>
      </c>
      <c r="F50" s="32" t="inlineStr">
        <is>
          <t>White</t>
        </is>
      </c>
      <c r="G50" s="33" t="n"/>
      <c r="H50" s="32" t="n"/>
      <c r="I50" s="33" t="n"/>
      <c r="J50" s="32" t="n"/>
      <c r="K50" s="33" t="n"/>
      <c r="L50" s="63" t="n"/>
      <c r="M50" s="64" t="n"/>
      <c r="N50" s="32" t="inlineStr">
        <is>
          <t>Inactive</t>
        </is>
      </c>
      <c r="O50" s="32" t="n"/>
      <c r="P50" s="65" t="n"/>
      <c r="Q50" s="64" t="n"/>
      <c r="R50" s="64" t="n"/>
      <c r="S50" s="64" t="n"/>
      <c r="T50" s="32" t="n"/>
    </row>
    <row r="51" ht="62" customHeight="1">
      <c r="A51" s="10">
        <f>_xlfn.IMAGE("https://m.media-amazon.com/images/I/71+FTZ6Q2KL.jpg")</f>
        <v/>
      </c>
      <c r="B51" s="32" t="inlineStr">
        <is>
          <t>B0DDTTYCL2</t>
        </is>
      </c>
      <c r="C51" s="32" t="inlineStr">
        <is>
          <t>SS-BAMBOO-BLACK-KING-4PCS</t>
        </is>
      </c>
      <c r="D51" s="32" t="inlineStr">
        <is>
          <t>SLEEP SANCTUARY 100% Organic Viscose Derived from Bamboo Sheets King Size 4pcs - Ultra Soft &amp; Luxuriously Cooling, 17" Deep Pocket, Perfect for Hot Sleepers - King Bed Sheets (Black)</t>
        </is>
      </c>
      <c r="E51" s="32" t="inlineStr">
        <is>
          <t>King</t>
        </is>
      </c>
      <c r="F51" s="32" t="inlineStr">
        <is>
          <t>Black</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_xlfn.IMAGE("https://m.media-amazon.com/images/I/71BuSYnrHNL.jpg")</f>
        <v/>
      </c>
      <c r="B52" s="32" t="inlineStr">
        <is>
          <t>B0DDTSNTBL</t>
        </is>
      </c>
      <c r="C52" s="32" t="inlineStr">
        <is>
          <t>SS-BAMBOO-BURGUNDY-KING-4PCS</t>
        </is>
      </c>
      <c r="D52" s="32" t="inlineStr">
        <is>
          <t>SLEEP SANCTUARY 100% Organic Viscose Derived from Bamboo Sheets King Size 4pcs - Ultra Soft &amp; Luxuriously Cooling, 17" Deep Pocket, Perfect for Hot Sleepers - King Bed Sheets (Burgundy)</t>
        </is>
      </c>
      <c r="E52" s="32" t="inlineStr">
        <is>
          <t>King</t>
        </is>
      </c>
      <c r="F52" s="32" t="inlineStr">
        <is>
          <t>Burgundy</t>
        </is>
      </c>
      <c r="G52" s="33" t="n"/>
      <c r="H52" s="32" t="n"/>
      <c r="I52" s="33" t="n"/>
      <c r="J52" s="32" t="n"/>
      <c r="K52" s="33" t="n"/>
      <c r="L52" s="63" t="n"/>
      <c r="M52" s="64" t="n"/>
      <c r="N52" s="32" t="inlineStr">
        <is>
          <t>Inactive</t>
        </is>
      </c>
      <c r="O52" s="32" t="n"/>
      <c r="P52" s="65" t="n"/>
      <c r="Q52" s="64" t="n"/>
      <c r="R52" s="64" t="n"/>
      <c r="S52" s="64" t="n"/>
      <c r="T52" s="32" t="n"/>
    </row>
    <row r="53" ht="62" customHeight="1">
      <c r="A53" s="10">
        <f>_xlfn.IMAGE("https://m.media-amazon.com/images/I/71+zNdSenUL.jpg")</f>
        <v/>
      </c>
      <c r="B53" s="32" t="inlineStr">
        <is>
          <t>B0DDTSVFYG</t>
        </is>
      </c>
      <c r="C53" s="32" t="inlineStr">
        <is>
          <t>SS-BAMBOO-CHARCOAL-KING-4PCS</t>
        </is>
      </c>
      <c r="D53" s="32" t="inlineStr">
        <is>
          <t>SLEEP SANCTUARY 100% Organic Viscose Derived from Bamboo Sheets King Size 4pcs - Ultra Soft &amp; Luxuriously Cooling, 17" Deep Pocket, Perfect for Hot Sleepers - King Bed Sheets (Charcoal)</t>
        </is>
      </c>
      <c r="E53" s="32" t="inlineStr">
        <is>
          <t>King</t>
        </is>
      </c>
      <c r="F53" s="32" t="inlineStr">
        <is>
          <t>Charcoal</t>
        </is>
      </c>
      <c r="G53" s="33" t="n"/>
      <c r="H53" s="32" t="n"/>
      <c r="I53" s="33" t="n"/>
      <c r="J53" s="32" t="n"/>
      <c r="K53" s="33" t="n"/>
      <c r="L53" s="63" t="n"/>
      <c r="M53" s="64" t="n"/>
      <c r="N53" s="32" t="inlineStr">
        <is>
          <t>Inactive</t>
        </is>
      </c>
      <c r="O53" s="32" t="n"/>
      <c r="P53" s="65" t="n"/>
      <c r="Q53" s="64" t="n"/>
      <c r="R53" s="64" t="n"/>
      <c r="S53" s="64" t="n"/>
      <c r="T53" s="32" t="n"/>
    </row>
    <row r="54" ht="62" customHeight="1">
      <c r="A54" s="10">
        <f>_xlfn.IMAGE("https://m.media-amazon.com/images/I/71nRaHeuOvL.jpg")</f>
        <v/>
      </c>
      <c r="B54" s="32" t="inlineStr">
        <is>
          <t>B0DDTV61WK</t>
        </is>
      </c>
      <c r="C54" s="32" t="inlineStr">
        <is>
          <t>SS-BAMBOO-CREME-KING-4PCS</t>
        </is>
      </c>
      <c r="D54" s="32" t="inlineStr">
        <is>
          <t>SLEEP SANCTUARY 100% Organic Viscose Derived from Bamboo Sheets King Size 4pcs - Ultra Soft &amp; Luxuriously Cooling, 17" Deep Pocket, Perfect for Hot Sleepers - King Bed Sheets (Creme)</t>
        </is>
      </c>
      <c r="E54" s="32" t="inlineStr">
        <is>
          <t>King</t>
        </is>
      </c>
      <c r="F54" s="32" t="inlineStr">
        <is>
          <t>Creme</t>
        </is>
      </c>
      <c r="G54" s="33" t="n"/>
      <c r="H54" s="32" t="n"/>
      <c r="I54" s="33" t="n"/>
      <c r="J54" s="32" t="n"/>
      <c r="K54" s="33" t="n"/>
      <c r="L54" s="63" t="n"/>
      <c r="M54" s="64" t="n"/>
      <c r="N54" s="32" t="inlineStr">
        <is>
          <t>Inactive</t>
        </is>
      </c>
      <c r="O54" s="32" t="n"/>
      <c r="P54" s="65" t="n"/>
      <c r="Q54" s="64" t="n"/>
      <c r="R54" s="64" t="n"/>
      <c r="S54" s="64" t="n"/>
      <c r="T54" s="32" t="n"/>
    </row>
    <row r="55" ht="62" customHeight="1">
      <c r="A55" s="10">
        <f>_xlfn.IMAGE("https://m.media-amazon.com/images/I/71k06vLMLsL.jpg")</f>
        <v/>
      </c>
      <c r="B55" s="32" t="inlineStr">
        <is>
          <t>B0DDTR9YH2</t>
        </is>
      </c>
      <c r="C55" s="32" t="inlineStr">
        <is>
          <t>SS-BAMBOO-GREY-KING-4PCS</t>
        </is>
      </c>
      <c r="D55" s="32" t="inlineStr">
        <is>
          <t>SLEEP SANCTUARY 100% Organic Viscose Derived from Bamboo Sheets King Size 4pcs - Ultra Soft &amp; Luxuriously Cooling, 17" Deep Pocket, Perfect for Hot Sleepers - King Bed Sheets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10">
        <f>_xlfn.IMAGE("https://m.media-amazon.com/images/I/71pWInfUglL.jpg")</f>
        <v/>
      </c>
      <c r="B56" s="32" t="inlineStr">
        <is>
          <t>B0DDTSJYXL</t>
        </is>
      </c>
      <c r="C56" s="32" t="inlineStr">
        <is>
          <t>SS-BAMBOO-LIGHT-BLUE-KING-4PCS</t>
        </is>
      </c>
      <c r="D56" s="32" t="inlineStr">
        <is>
          <t>SLEEP SANCTUARY 100% Organic Viscose Derived from Bamboo Sheets King Size 4pcs - Ultra Soft &amp; Luxuriously Cooling, 17" Deep Pocket, Perfect for Hot Sleepers - King Bed Sheets (Light Blue)</t>
        </is>
      </c>
      <c r="E56" s="32" t="inlineStr">
        <is>
          <t>King</t>
        </is>
      </c>
      <c r="F56" s="32" t="inlineStr">
        <is>
          <t>Light Blue</t>
        </is>
      </c>
      <c r="G56" s="33" t="n"/>
      <c r="H56" s="32" t="n"/>
      <c r="I56" s="33" t="n"/>
      <c r="J56" s="32" t="n"/>
      <c r="K56" s="33" t="n"/>
      <c r="L56" s="63" t="n"/>
      <c r="M56" s="64" t="n"/>
      <c r="N56" s="32" t="inlineStr">
        <is>
          <t>Inactive</t>
        </is>
      </c>
      <c r="O56" s="32" t="n"/>
      <c r="P56" s="65" t="n"/>
      <c r="Q56" s="64" t="n"/>
      <c r="R56" s="64" t="n"/>
      <c r="S56" s="64" t="n"/>
      <c r="T56" s="32" t="n"/>
    </row>
    <row r="57" ht="62" customHeight="1">
      <c r="A57" s="10">
        <f>_xlfn.IMAGE("https://m.media-amazon.com/images/I/71eMJfROqVL.jpg")</f>
        <v/>
      </c>
      <c r="B57" s="32" t="inlineStr">
        <is>
          <t>B0DDTV38J5</t>
        </is>
      </c>
      <c r="C57" s="32" t="inlineStr">
        <is>
          <t>SS-BAMBOO-LIGHT-GREY-KING-4PCS</t>
        </is>
      </c>
      <c r="D57" s="32" t="inlineStr">
        <is>
          <t>SLEEP SANCTUARY 100% Organic Viscose Derived from Bamboo Sheets King Size 4pcs - Ultra Soft &amp; Luxuriously Cooling, 17" Deep Pocket, Perfect for Hot Sleepers - King Bed Sheets (Light Grey)</t>
        </is>
      </c>
      <c r="E57" s="32" t="inlineStr">
        <is>
          <t>King</t>
        </is>
      </c>
      <c r="F57" s="32" t="inlineStr">
        <is>
          <t>Light Grey</t>
        </is>
      </c>
      <c r="G57" s="33" t="n"/>
      <c r="H57" s="32" t="n"/>
      <c r="I57" s="33" t="n"/>
      <c r="J57" s="32" t="n"/>
      <c r="K57" s="33" t="n"/>
      <c r="L57" s="63" t="n"/>
      <c r="M57" s="64" t="n"/>
      <c r="N57" s="32" t="inlineStr">
        <is>
          <t>Inactive</t>
        </is>
      </c>
      <c r="O57" s="32" t="n"/>
      <c r="P57" s="65" t="n"/>
      <c r="Q57" s="64" t="n"/>
      <c r="R57" s="64" t="n"/>
      <c r="S57" s="64" t="n"/>
      <c r="T57" s="32" t="n"/>
    </row>
    <row r="58" ht="62" customHeight="1">
      <c r="A58" s="10">
        <f>_xlfn.IMAGE("https://m.media-amazon.com/images/I/71U5cTo5I9L.jpg")</f>
        <v/>
      </c>
      <c r="B58" s="32" t="inlineStr">
        <is>
          <t>B0DDTS9JVP</t>
        </is>
      </c>
      <c r="C58" s="32" t="inlineStr">
        <is>
          <t>SS-BAMBOO-LIGHT-OLIVE-KING-4PCS</t>
        </is>
      </c>
      <c r="D58" s="32" t="inlineStr">
        <is>
          <t>SLEEP SANCTUARY 100% Organic Viscose Derived from Bamboo Sheets King Size 4pcs - Ultra Soft &amp; Luxuriously Cooling, 17" Deep Pocket, Perfect for Hot Sleepers - King Bed Sheets (Light Olive)</t>
        </is>
      </c>
      <c r="E58" s="32" t="inlineStr">
        <is>
          <t>King</t>
        </is>
      </c>
      <c r="F58" s="32" t="inlineStr">
        <is>
          <t>Light Olive</t>
        </is>
      </c>
      <c r="G58" s="33" t="n"/>
      <c r="H58" s="32" t="n"/>
      <c r="I58" s="33" t="n"/>
      <c r="J58" s="32" t="n"/>
      <c r="K58" s="33" t="n"/>
      <c r="L58" s="63" t="n"/>
      <c r="M58" s="64" t="n"/>
      <c r="N58" s="32" t="inlineStr">
        <is>
          <t>Inactive</t>
        </is>
      </c>
      <c r="O58" s="32" t="n"/>
      <c r="P58" s="65" t="n"/>
      <c r="Q58" s="64" t="n"/>
      <c r="R58" s="64" t="n"/>
      <c r="S58" s="64" t="n"/>
      <c r="T58" s="32" t="n"/>
    </row>
    <row r="59" ht="62" customHeight="1">
      <c r="A59" s="10">
        <f>_xlfn.IMAGE("https://m.media-amazon.com/images/I/71ci1kRa35L.jpg")</f>
        <v/>
      </c>
      <c r="B59" s="32" t="inlineStr">
        <is>
          <t>B0DDTS6DLW</t>
        </is>
      </c>
      <c r="C59" s="32" t="inlineStr">
        <is>
          <t>SS-BAMBOO-LIGHT-PINK-KING-4PCS</t>
        </is>
      </c>
      <c r="D59" s="32" t="inlineStr">
        <is>
          <t>SLEEP SANCTUARY 100% Organic Viscose Derived from Bamboo Sheets King Size 4pcs - Ultra Soft &amp; Luxuriously Cooling, 17" Deep Pocket, Perfect for Hot Sleepers - King Bed Sheets (Light Pink)</t>
        </is>
      </c>
      <c r="E59" s="32" t="inlineStr">
        <is>
          <t>King</t>
        </is>
      </c>
      <c r="F59" s="32" t="inlineStr">
        <is>
          <t>Light Pink</t>
        </is>
      </c>
      <c r="G59" s="33" t="n"/>
      <c r="H59" s="32" t="n"/>
      <c r="I59" s="33" t="n"/>
      <c r="J59" s="32" t="n"/>
      <c r="K59" s="33" t="n"/>
      <c r="L59" s="63" t="n"/>
      <c r="M59" s="64" t="n"/>
      <c r="N59" s="32" t="inlineStr">
        <is>
          <t>Inactive</t>
        </is>
      </c>
      <c r="O59" s="32" t="n"/>
      <c r="P59" s="65" t="n"/>
      <c r="Q59" s="64" t="n"/>
      <c r="R59" s="64" t="n"/>
      <c r="S59" s="64" t="n"/>
      <c r="T59" s="32" t="n"/>
    </row>
    <row r="60" ht="62" customHeight="1">
      <c r="A60" s="10">
        <f>_xlfn.IMAGE("https://m.media-amazon.com/images/I/71OPRQ64ryL.jpg")</f>
        <v/>
      </c>
      <c r="B60" s="32" t="inlineStr">
        <is>
          <t>B0DDTT9TY6</t>
        </is>
      </c>
      <c r="C60" s="32" t="inlineStr">
        <is>
          <t>SS-BAMBOO-MIDGREY-KING-4PCS</t>
        </is>
      </c>
      <c r="D60" s="32" t="inlineStr">
        <is>
          <t>SLEEP SANCTUARY 100% Organic Viscose Derived from Bamboo Sheets King Size 4pcs - Ultra Soft &amp; Luxuriously Cooling, 17" Deep Pocket, Perfect for Hot Sleepers - King Bed Sheets (Midgrey)</t>
        </is>
      </c>
      <c r="E60" s="32" t="inlineStr">
        <is>
          <t>King</t>
        </is>
      </c>
      <c r="F60" s="32" t="inlineStr">
        <is>
          <t>Midgrey</t>
        </is>
      </c>
      <c r="G60" s="33" t="n"/>
      <c r="H60" s="32" t="n"/>
      <c r="I60" s="33" t="n"/>
      <c r="J60" s="32" t="n"/>
      <c r="K60" s="33" t="n"/>
      <c r="L60" s="63" t="n"/>
      <c r="M60" s="64" t="n"/>
      <c r="N60" s="32" t="inlineStr">
        <is>
          <t>Inactive</t>
        </is>
      </c>
      <c r="O60" s="32" t="n"/>
      <c r="P60" s="65" t="n"/>
      <c r="Q60" s="64" t="n"/>
      <c r="R60" s="64" t="n"/>
      <c r="S60" s="64" t="n"/>
      <c r="T60" s="32" t="n"/>
    </row>
    <row r="61" ht="62" customHeight="1">
      <c r="A61" s="10">
        <f>_xlfn.IMAGE("https://m.media-amazon.com/images/I/71GpRh9MZIL.jpg")</f>
        <v/>
      </c>
      <c r="B61" s="32" t="inlineStr">
        <is>
          <t>B0DDTWLD7M</t>
        </is>
      </c>
      <c r="C61" s="32" t="inlineStr">
        <is>
          <t>SS-BAMBOO-NAVY-BLUE-KING-4PCS</t>
        </is>
      </c>
      <c r="D61" s="32" t="inlineStr">
        <is>
          <t>SLEEP SANCTUARY 100% Organic Viscose Derived from Bamboo Sheets King Size 4pcs - Ultra Soft &amp; Luxuriously Cooling, 17" Deep Pocket, Perfect for Hot Sleepers - King Bed Sheets (Navy Blue)</t>
        </is>
      </c>
      <c r="E61" s="32" t="inlineStr">
        <is>
          <t>King</t>
        </is>
      </c>
      <c r="F61" s="32" t="inlineStr">
        <is>
          <t>Navy Blue</t>
        </is>
      </c>
      <c r="G61" s="33" t="n"/>
      <c r="H61" s="32" t="n"/>
      <c r="I61" s="33" t="n"/>
      <c r="J61" s="32" t="n"/>
      <c r="K61" s="33" t="n"/>
      <c r="L61" s="63" t="n"/>
      <c r="M61" s="64" t="n"/>
      <c r="N61" s="32" t="inlineStr">
        <is>
          <t>Inactive</t>
        </is>
      </c>
      <c r="O61" s="32" t="n"/>
      <c r="P61" s="65" t="n"/>
      <c r="Q61" s="64" t="n"/>
      <c r="R61" s="64" t="n"/>
      <c r="S61" s="64" t="n"/>
      <c r="T61" s="32" t="n"/>
    </row>
    <row r="62" ht="62" customHeight="1">
      <c r="A62" s="10">
        <f>_xlfn.IMAGE("https://m.media-amazon.com/images/I/71g3UenTI2L.jpg")</f>
        <v/>
      </c>
      <c r="B62" s="32" t="inlineStr">
        <is>
          <t>B0DDTS4M3F</t>
        </is>
      </c>
      <c r="C62" s="32" t="inlineStr">
        <is>
          <t>SS-BAMBOO-OLIVE-KING-4PCS</t>
        </is>
      </c>
      <c r="D62" s="32" t="inlineStr">
        <is>
          <t>SLEEP SANCTUARY 100% Organic Viscose Derived from Bamboo Sheets King Size 4pcs - Ultra Soft &amp; Luxuriously Cooling, 17" Deep Pocket, Perfect for Hot Sleepers - King Bed Sheets (Olive)</t>
        </is>
      </c>
      <c r="E62" s="32" t="inlineStr">
        <is>
          <t>King</t>
        </is>
      </c>
      <c r="F62" s="32" t="inlineStr">
        <is>
          <t>Olive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_xlfn.IMAGE("https://m.media-amazon.com/images/I/711EIufga2L.jpg")</f>
        <v/>
      </c>
      <c r="B63" s="32" t="inlineStr">
        <is>
          <t>B0DDTTZ941</t>
        </is>
      </c>
      <c r="C63" s="32" t="inlineStr">
        <is>
          <t>SS-BAMBOO-PURPLE-KING-4PCS</t>
        </is>
      </c>
      <c r="D63" s="32" t="inlineStr">
        <is>
          <t>SLEEP SANCTUARY 100% Organic Viscose Derived from Bamboo Sheets King Size 4pcs - Ultra Soft &amp; Luxuriously Cooling, 17" Deep Pocket, Perfect for Hot Sleepers - King Bed Sheets (Purple)</t>
        </is>
      </c>
      <c r="E63" s="32" t="inlineStr">
        <is>
          <t>King</t>
        </is>
      </c>
      <c r="F63" s="32" t="inlineStr">
        <is>
          <t>Purple</t>
        </is>
      </c>
      <c r="G63" s="33" t="n"/>
      <c r="H63" s="32" t="n"/>
      <c r="I63" s="33" t="n"/>
      <c r="J63" s="32" t="n"/>
      <c r="K63" s="33" t="n"/>
      <c r="L63" s="63" t="n"/>
      <c r="M63" s="64" t="n"/>
      <c r="N63" s="32" t="inlineStr">
        <is>
          <t>Inactive</t>
        </is>
      </c>
      <c r="O63" s="32" t="n"/>
      <c r="P63" s="65" t="n"/>
      <c r="Q63" s="64" t="n"/>
      <c r="R63" s="64" t="n"/>
      <c r="S63" s="64" t="n"/>
      <c r="T63" s="32" t="n"/>
    </row>
    <row r="64" ht="62" customHeight="1">
      <c r="A64" s="10">
        <f>_xlfn.IMAGE("https://m.media-amazon.com/images/I/71NJ4arwSJL.jpg")</f>
        <v/>
      </c>
      <c r="B64" s="32" t="inlineStr">
        <is>
          <t>B0DDTV2QDL</t>
        </is>
      </c>
      <c r="C64" s="32" t="inlineStr">
        <is>
          <t>SS-BAMBOO-SAGE-GREEN-KING-4PCS</t>
        </is>
      </c>
      <c r="D64" s="32" t="inlineStr">
        <is>
          <t>SLEEP SANCTUARY 100% Organic Viscose Derived from Bamboo Sheets King Size 4pcs - Ultra Soft &amp; Luxuriously Cooling, 17" Deep Pocket, Perfect for Hot Sleepers - King Bed Sheets (Sage Green)</t>
        </is>
      </c>
      <c r="E64" s="32" t="inlineStr">
        <is>
          <t>King</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10">
        <f>_xlfn.IMAGE("https://m.media-amazon.com/images/I/71LuYrkY0CL.jpg")</f>
        <v/>
      </c>
      <c r="B65" s="32" t="inlineStr">
        <is>
          <t>B0DDTS3BN1</t>
        </is>
      </c>
      <c r="C65" s="32" t="inlineStr">
        <is>
          <t>SS-BAMBOO-TAUPE-KING-4PCS</t>
        </is>
      </c>
      <c r="D65" s="32" t="inlineStr">
        <is>
          <t>SLEEP SANCTUARY 100% Organic Viscose Derived from Bamboo Sheets King Size 4pcs - Ultra Soft &amp; Luxuriously Cooling, 17" Deep Pocket, Perfect for Hot Sleepers - King Bed Sheets (Taupe)</t>
        </is>
      </c>
      <c r="E65" s="32" t="inlineStr">
        <is>
          <t>King</t>
        </is>
      </c>
      <c r="F65" s="32" t="inlineStr">
        <is>
          <t>Taupe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_xlfn.IMAGE("https://m.media-amazon.com/images/I/71MHybZpyiL.jpg")</f>
        <v/>
      </c>
      <c r="B66" s="32" t="inlineStr">
        <is>
          <t>B0DDTS9359</t>
        </is>
      </c>
      <c r="C66" s="32" t="inlineStr">
        <is>
          <t>SS-BAMBOO-WHITE-KING-4PCS</t>
        </is>
      </c>
      <c r="D66" s="32" t="inlineStr">
        <is>
          <t>SLEEP SANCTUARY 100% Organic Viscose Derived from Bamboo Sheets King Size 4pcs - Ultra Soft &amp; Luxuriously Cooling, 17" Deep Pocket, Perfect for Hot Sleepers - King Bed Sheets (White)</t>
        </is>
      </c>
      <c r="E66" s="32" t="inlineStr">
        <is>
          <t>King</t>
        </is>
      </c>
      <c r="F66" s="32" t="inlineStr">
        <is>
          <t>White</t>
        </is>
      </c>
      <c r="G66" s="33" t="n"/>
      <c r="H66" s="32" t="n"/>
      <c r="I66" s="33" t="n"/>
      <c r="J66" s="32" t="n"/>
      <c r="K66" s="33" t="n"/>
      <c r="L66" s="63" t="n"/>
      <c r="M66" s="64" t="n"/>
      <c r="N66" s="32" t="inlineStr">
        <is>
          <t>Inactive</t>
        </is>
      </c>
      <c r="O66" s="32" t="n"/>
      <c r="P66" s="65" t="n"/>
      <c r="Q66" s="64" t="n"/>
      <c r="R66" s="64" t="n"/>
      <c r="S66" s="64" t="n"/>
      <c r="T66" s="32" t="n"/>
    </row>
    <row r="67" ht="62" customHeight="1">
      <c r="A67" s="10">
        <f>_xlfn.IMAGE("https://m.media-amazon.com/images/I/71+FTZ6Q2KL.jpg")</f>
        <v/>
      </c>
      <c r="B67" s="32" t="inlineStr">
        <is>
          <t>B0DDTSH8FD</t>
        </is>
      </c>
      <c r="C67" s="32" t="inlineStr">
        <is>
          <t>SS-BAMBOO-BLACK-QUEEN-4PCS</t>
        </is>
      </c>
      <c r="D67" s="32" t="inlineStr">
        <is>
          <t>SLEEP SANCTUARY 100% Organic Viscose Derived from Bamboo Sheets Queen Size 4pcs - Ultra Soft &amp; Luxuriously Cooling, 17" Deep Pocket, Perfect for Hot Sleepers - Queen Bed Sheets (Black)</t>
        </is>
      </c>
      <c r="E67" s="32" t="inlineStr">
        <is>
          <t>Queen</t>
        </is>
      </c>
      <c r="F67" s="32" t="inlineStr">
        <is>
          <t>Black</t>
        </is>
      </c>
      <c r="G67" s="33" t="n"/>
      <c r="H67" s="32" t="n"/>
      <c r="I67" s="33" t="n"/>
      <c r="J67" s="32" t="n"/>
      <c r="K67" s="33" t="n"/>
      <c r="L67" s="63" t="n"/>
      <c r="M67" s="64" t="n"/>
      <c r="N67" s="32" t="inlineStr">
        <is>
          <t>Inactive</t>
        </is>
      </c>
      <c r="O67" s="32" t="n"/>
      <c r="P67" s="65" t="n"/>
      <c r="Q67" s="64" t="n"/>
      <c r="R67" s="64" t="n"/>
      <c r="S67" s="64" t="n"/>
      <c r="T67" s="32" t="n"/>
    </row>
    <row r="68" ht="62" customHeight="1">
      <c r="A68" s="10">
        <f>_xlfn.IMAGE("https://m.media-amazon.com/images/I/71BuSYnrHNL.jpg")</f>
        <v/>
      </c>
      <c r="B68" s="32" t="inlineStr">
        <is>
          <t>B0DDTR5MZT</t>
        </is>
      </c>
      <c r="C68" s="32" t="inlineStr">
        <is>
          <t>SS-BAMBOO-BURGUNDY-QUEEN-4PCS</t>
        </is>
      </c>
      <c r="D68" s="32" t="inlineStr">
        <is>
          <t>SLEEP SANCTUARY 100% Organic Viscose Derived from Bamboo Sheets Queen Size 4pcs - Ultra Soft &amp; Luxuriously Cooling, 17" Deep Pocket, Perfect for Hot Sleepers - Queen Bed Sheets (Burgundy)</t>
        </is>
      </c>
      <c r="E68" s="32" t="inlineStr">
        <is>
          <t>Queen</t>
        </is>
      </c>
      <c r="F68" s="32" t="inlineStr">
        <is>
          <t>Burgundy</t>
        </is>
      </c>
      <c r="G68" s="33" t="n"/>
      <c r="H68" s="32" t="n"/>
      <c r="I68" s="33" t="n"/>
      <c r="J68" s="32" t="n"/>
      <c r="K68" s="33" t="n"/>
      <c r="L68" s="63" t="n"/>
      <c r="M68" s="64" t="n"/>
      <c r="N68" s="32" t="inlineStr">
        <is>
          <t>Inactive</t>
        </is>
      </c>
      <c r="O68" s="32" t="n"/>
      <c r="P68" s="65" t="n"/>
      <c r="Q68" s="64" t="n"/>
      <c r="R68" s="64" t="n"/>
      <c r="S68" s="64" t="n"/>
      <c r="T68" s="32" t="n"/>
    </row>
    <row r="69" ht="62" customHeight="1">
      <c r="A69" s="10">
        <f>_xlfn.IMAGE("https://m.media-amazon.com/images/I/71+zNdSenUL.jpg")</f>
        <v/>
      </c>
      <c r="B69" s="32" t="inlineStr">
        <is>
          <t>B0DDTRPP1X</t>
        </is>
      </c>
      <c r="C69" s="32" t="inlineStr">
        <is>
          <t>SS-BAMBOO-CHARCOAL-QUEEN-4PCS</t>
        </is>
      </c>
      <c r="D69" s="32" t="inlineStr">
        <is>
          <t>SLEEP SANCTUARY 100% Organic Viscose Derived from Bamboo Sheets Queen Size 4pcs - Ultra Soft &amp; Luxuriously Cooling, 17" Deep Pocket, Perfect for Hot Sleepers - Queen Bed Sheets (Charcoal)</t>
        </is>
      </c>
      <c r="E69" s="32" t="inlineStr">
        <is>
          <t>Queen</t>
        </is>
      </c>
      <c r="F69" s="32" t="inlineStr">
        <is>
          <t>Charcoal</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_xlfn.IMAGE("https://m.media-amazon.com/images/I/71nRaHeuOvL.jpg")</f>
        <v/>
      </c>
      <c r="B70" s="32" t="inlineStr">
        <is>
          <t>B0DDTS81LS</t>
        </is>
      </c>
      <c r="C70" s="32" t="inlineStr">
        <is>
          <t>SS-BAMBOO-CREME-QUEEN-4PCS</t>
        </is>
      </c>
      <c r="D70" s="32" t="inlineStr">
        <is>
          <t>SLEEP SANCTUARY 100% Organic Viscose Derived from Bamboo Sheets Queen Size 4pcs - Ultra Soft &amp; Luxuriously Cooling, 17" Deep Pocket, Perfect for Hot Sleepers - Queen Bed Sheets (Creme)</t>
        </is>
      </c>
      <c r="E70" s="32" t="inlineStr">
        <is>
          <t>Queen</t>
        </is>
      </c>
      <c r="F70" s="32" t="inlineStr">
        <is>
          <t>Creme</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_xlfn.IMAGE("https://m.media-amazon.com/images/I/71k06vLMLsL.jpg")</f>
        <v/>
      </c>
      <c r="B71" s="32" t="inlineStr">
        <is>
          <t>B0DDTVZ1GD</t>
        </is>
      </c>
      <c r="C71" s="32" t="inlineStr">
        <is>
          <t>SS-BAMBOO-GREY-QUEEN-4PCS</t>
        </is>
      </c>
      <c r="D71" s="32" t="inlineStr">
        <is>
          <t>SLEEP SANCTUARY 100% Organic Viscose Derived from Bamboo Sheets Queen Size 4pcs - Ultra Soft &amp; Luxuriously Cooling, 17" Deep Pocket, Perfect for Hot Sleepers - Queen Bed Sheets (Grey)</t>
        </is>
      </c>
      <c r="E71" s="32" t="inlineStr">
        <is>
          <t>Queen</t>
        </is>
      </c>
      <c r="F71" s="32" t="inlineStr">
        <is>
          <t>Grey</t>
        </is>
      </c>
      <c r="G71" s="33" t="n"/>
      <c r="H71" s="32" t="n"/>
      <c r="I71" s="33" t="n"/>
      <c r="J71" s="32" t="n"/>
      <c r="K71" s="33" t="n"/>
      <c r="L71" s="63" t="n"/>
      <c r="M71" s="64" t="n"/>
      <c r="N71" s="32" t="inlineStr">
        <is>
          <t>Inactive</t>
        </is>
      </c>
      <c r="O71" s="32" t="n"/>
      <c r="P71" s="65" t="n"/>
      <c r="Q71" s="64" t="n"/>
      <c r="R71" s="64" t="n"/>
      <c r="S71" s="64" t="n"/>
      <c r="T71" s="32" t="n"/>
    </row>
    <row r="72" ht="62" customHeight="1">
      <c r="A72" s="10">
        <f>_xlfn.IMAGE("https://m.media-amazon.com/images/I/71pWInfUglL.jpg")</f>
        <v/>
      </c>
      <c r="B72" s="32" t="inlineStr">
        <is>
          <t>B0DDTQ36DL</t>
        </is>
      </c>
      <c r="C72" s="32" t="inlineStr">
        <is>
          <t>SS-BAMBOO-LIGHT-BLUE-QUEEN-4PCS</t>
        </is>
      </c>
      <c r="D72" s="32" t="inlineStr">
        <is>
          <t>SLEEP SANCTUARY 100% Organic Viscose Derived from Bamboo Sheets Queen Size 4pcs - Ultra Soft &amp; Luxuriously Cooling, 17" Deep Pocket, Perfect for Hot Sleepers - Queen Bed Sheets (Light Blue)</t>
        </is>
      </c>
      <c r="E72" s="32" t="inlineStr">
        <is>
          <t>Queen</t>
        </is>
      </c>
      <c r="F72" s="32" t="inlineStr">
        <is>
          <t>Light Blue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_xlfn.IMAGE("https://m.media-amazon.com/images/I/71eMJfROqVL.jpg")</f>
        <v/>
      </c>
      <c r="B73" s="32" t="inlineStr">
        <is>
          <t>B0DDTS87B1</t>
        </is>
      </c>
      <c r="C73" s="32" t="inlineStr">
        <is>
          <t>SS-BAMBOO-LIGHT-GREY-QUEEN-4PCS</t>
        </is>
      </c>
      <c r="D73" s="32" t="inlineStr">
        <is>
          <t>SLEEP SANCTUARY 100% Organic Viscose Derived from Bamboo Sheets Queen Size 4pcs - Ultra Soft &amp; Luxuriously Cooling, 17" Deep Pocket, Perfect for Hot Sleepers - Queen Bed Sheets (Light Grey)</t>
        </is>
      </c>
      <c r="E73" s="32" t="inlineStr">
        <is>
          <t>Queen</t>
        </is>
      </c>
      <c r="F73" s="32" t="inlineStr">
        <is>
          <t>Light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_xlfn.IMAGE("https://m.media-amazon.com/images/I/71U5cTo5I9L.jpg")</f>
        <v/>
      </c>
      <c r="B74" s="32" t="inlineStr">
        <is>
          <t>B0DDTT2J8C</t>
        </is>
      </c>
      <c r="C74" s="32" t="inlineStr">
        <is>
          <t>SS-BAMBOO-LIGHT-OLIVE-QUEEN-4PCS</t>
        </is>
      </c>
      <c r="D74" s="32" t="inlineStr">
        <is>
          <t>SLEEP SANCTUARY 100% Organic Viscose Derived from Bamboo Sheets Queen Size 4pcs - Ultra Soft &amp; Luxuriously Cooling, 17" Deep Pocket,Perfect for Hot Sleepers - Queen Bed Sheets (Light Olive)</t>
        </is>
      </c>
      <c r="E74" s="32" t="inlineStr">
        <is>
          <t>Queen</t>
        </is>
      </c>
      <c r="F74" s="32" t="inlineStr">
        <is>
          <t>Light Olive</t>
        </is>
      </c>
      <c r="G74" s="33" t="n"/>
      <c r="H74" s="32" t="n"/>
      <c r="I74" s="33" t="n"/>
      <c r="J74" s="32" t="n"/>
      <c r="K74" s="33" t="n"/>
      <c r="L74" s="63" t="n"/>
      <c r="M74" s="64" t="n"/>
      <c r="N74" s="32" t="inlineStr">
        <is>
          <t>Inactive</t>
        </is>
      </c>
      <c r="O74" s="32" t="n"/>
      <c r="P74" s="65" t="n"/>
      <c r="Q74" s="64" t="n"/>
      <c r="R74" s="64" t="n"/>
      <c r="S74" s="64" t="n"/>
      <c r="T74" s="32" t="n"/>
    </row>
    <row r="75" ht="62" customHeight="1">
      <c r="A75" s="10">
        <f>_xlfn.IMAGE("https://m.media-amazon.com/images/I/71ci1kRa35L.jpg")</f>
        <v/>
      </c>
      <c r="B75" s="32" t="inlineStr">
        <is>
          <t>B0DDTQS47S</t>
        </is>
      </c>
      <c r="C75" s="32" t="inlineStr">
        <is>
          <t>SS-BAMBOO-LIGHT-PINK-QUEEN-4PCS</t>
        </is>
      </c>
      <c r="D75" s="32" t="inlineStr">
        <is>
          <t>SLEEP SANCTUARY 100% Organic Viscose Derived from Bamboo Sheets Queen Size 4pcs - Ultra Soft &amp; Luxuriously Cooling, 17" Deep Pocket, Perfect for Hot Sleepers - Queen Bed Sheets (Light Pink)</t>
        </is>
      </c>
      <c r="E75" s="32" t="inlineStr">
        <is>
          <t>Queen</t>
        </is>
      </c>
      <c r="F75" s="32" t="inlineStr">
        <is>
          <t>Light Pink</t>
        </is>
      </c>
      <c r="G75" s="33" t="n"/>
      <c r="H75" s="32" t="n"/>
      <c r="I75" s="33" t="n"/>
      <c r="J75" s="32" t="n"/>
      <c r="K75" s="33" t="n"/>
      <c r="L75" s="63" t="n"/>
      <c r="M75" s="64" t="n"/>
      <c r="N75" s="32" t="inlineStr">
        <is>
          <t>Inactive</t>
        </is>
      </c>
      <c r="O75" s="32" t="n"/>
      <c r="P75" s="65" t="n"/>
      <c r="Q75" s="64" t="n"/>
      <c r="R75" s="64" t="n"/>
      <c r="S75" s="64" t="n"/>
      <c r="T75" s="32" t="n"/>
    </row>
    <row r="76" ht="62" customHeight="1">
      <c r="A76" s="10">
        <f>_xlfn.IMAGE("https://m.media-amazon.com/images/I/71OPRQ64ryL.jpg")</f>
        <v/>
      </c>
      <c r="B76" s="32" t="inlineStr">
        <is>
          <t>B0DDTRGPB1</t>
        </is>
      </c>
      <c r="C76" s="32" t="inlineStr">
        <is>
          <t>SS-BAMBOO-MIDGREY-QUEEN-4PCS</t>
        </is>
      </c>
      <c r="D76" s="32" t="inlineStr">
        <is>
          <t>SLEEP SANCTUARY 100% Organic Viscose Derived from Bamboo Sheets Queen Size 4pcs - Ultra Soft &amp; Luxuriously Cooling, 17" Deep Pocket, Perfect for Hot Sleepers - Queen Bed Sheets (Midgrey)</t>
        </is>
      </c>
      <c r="E76" s="32" t="inlineStr">
        <is>
          <t>Queen</t>
        </is>
      </c>
      <c r="F76" s="32" t="inlineStr">
        <is>
          <t>Midgrey</t>
        </is>
      </c>
      <c r="G76" s="33" t="n"/>
      <c r="H76" s="32" t="n"/>
      <c r="I76" s="33" t="n"/>
      <c r="J76" s="32" t="n"/>
      <c r="K76" s="33" t="n"/>
      <c r="L76" s="63" t="n"/>
      <c r="M76" s="64" t="n"/>
      <c r="N76" s="32" t="inlineStr">
        <is>
          <t>Inactive</t>
        </is>
      </c>
      <c r="O76" s="32" t="n"/>
      <c r="P76" s="65" t="n"/>
      <c r="Q76" s="64" t="n"/>
      <c r="R76" s="64" t="n"/>
      <c r="S76" s="64" t="n"/>
      <c r="T76" s="32" t="n"/>
    </row>
    <row r="77" ht="62" customHeight="1">
      <c r="A77" s="10">
        <f>_xlfn.IMAGE("https://m.media-amazon.com/images/I/71GpRh9MZIL.jpg")</f>
        <v/>
      </c>
      <c r="B77" s="32" t="inlineStr">
        <is>
          <t>B0DDTRKBZ9</t>
        </is>
      </c>
      <c r="C77" s="32" t="inlineStr">
        <is>
          <t>SS-BAMBOO-NAVY-BLUE-QUEEN-4PCS</t>
        </is>
      </c>
      <c r="D77" s="32" t="inlineStr">
        <is>
          <t>SLEEP SANCTUARY 100% Organic Viscose Derived from Bamboo Sheets Queen Size 4pcs - Ultra Soft &amp; Luxuriously Cooling, 17" Deep Pocket, Perfect for Hot Sleepers - Queen Bed Sheets (Navy Blue)</t>
        </is>
      </c>
      <c r="E77" s="32" t="inlineStr">
        <is>
          <t>Queen</t>
        </is>
      </c>
      <c r="F77" s="32" t="inlineStr">
        <is>
          <t>Navy Blue</t>
        </is>
      </c>
      <c r="G77" s="33" t="n"/>
      <c r="H77" s="32" t="n"/>
      <c r="I77" s="33" t="n"/>
      <c r="J77" s="32" t="n"/>
      <c r="K77" s="33" t="n"/>
      <c r="L77" s="63" t="n"/>
      <c r="M77" s="64" t="n"/>
      <c r="N77" s="32" t="inlineStr">
        <is>
          <t>Inactive</t>
        </is>
      </c>
      <c r="O77" s="32" t="n"/>
      <c r="P77" s="65" t="n"/>
      <c r="Q77" s="64" t="n"/>
      <c r="R77" s="64" t="n"/>
      <c r="S77" s="64" t="n"/>
      <c r="T77" s="32" t="n"/>
    </row>
    <row r="78" ht="62" customHeight="1">
      <c r="A78" s="10">
        <f>_xlfn.IMAGE("https://m.media-amazon.com/images/I/71g3UenTI2L.jpg")</f>
        <v/>
      </c>
      <c r="B78" s="32" t="inlineStr">
        <is>
          <t>B0DDTT8LXZ</t>
        </is>
      </c>
      <c r="C78" s="32" t="inlineStr">
        <is>
          <t>SS-BAMBOO-OLIVE-QUEEN-4PCS</t>
        </is>
      </c>
      <c r="D78" s="32" t="inlineStr">
        <is>
          <t>SLEEP SANCTUARY 100% Organic Viscose Derived from Bamboo Sheets Queen Size 4pcs - Ultra Soft &amp; Luxuriously Cooling, 17" Deep Pocket, Perfect for Hot Sleepers - Queen Bed Sheets (Olive)</t>
        </is>
      </c>
      <c r="E78" s="32" t="inlineStr">
        <is>
          <t>Queen</t>
        </is>
      </c>
      <c r="F78" s="32" t="inlineStr">
        <is>
          <t>Olive</t>
        </is>
      </c>
      <c r="G78" s="33" t="n"/>
      <c r="H78" s="32" t="n"/>
      <c r="I78" s="33" t="n"/>
      <c r="J78" s="32" t="n"/>
      <c r="K78" s="33" t="n"/>
      <c r="L78" s="63" t="n"/>
      <c r="M78" s="64" t="n"/>
      <c r="N78" s="32" t="inlineStr">
        <is>
          <t>Inactive</t>
        </is>
      </c>
      <c r="O78" s="32" t="n"/>
      <c r="P78" s="65" t="n"/>
      <c r="Q78" s="64" t="n"/>
      <c r="R78" s="64" t="n"/>
      <c r="S78" s="64" t="n"/>
      <c r="T78" s="32" t="n"/>
    </row>
    <row r="79" ht="62" customHeight="1">
      <c r="A79" s="10">
        <f>_xlfn.IMAGE("https://m.media-amazon.com/images/I/711EIufga2L.jpg")</f>
        <v/>
      </c>
      <c r="B79" s="32" t="inlineStr">
        <is>
          <t>B0DDTRB9WB</t>
        </is>
      </c>
      <c r="C79" s="32" t="inlineStr">
        <is>
          <t>SS-BAMBOO-PURPLE-QUEEN-4PCS</t>
        </is>
      </c>
      <c r="D79" s="32" t="inlineStr">
        <is>
          <t>SLEEP SANCTUARY 100% Organic Viscose Derived from Bamboo Sheets Queen Size 4pcs - Ultra Soft &amp; Luxuriously Cooling, 17" Deep Pocket, Perfect for Hot Sleepers - Queen Bed Sheets (Purple)</t>
        </is>
      </c>
      <c r="E79" s="32" t="inlineStr">
        <is>
          <t>Queen</t>
        </is>
      </c>
      <c r="F79" s="32" t="inlineStr">
        <is>
          <t>Purple</t>
        </is>
      </c>
      <c r="G79" s="33" t="n"/>
      <c r="H79" s="32" t="n"/>
      <c r="I79" s="33" t="n"/>
      <c r="J79" s="32" t="n"/>
      <c r="K79" s="33" t="n"/>
      <c r="L79" s="63" t="n"/>
      <c r="M79" s="64" t="n"/>
      <c r="N79" s="32" t="inlineStr">
        <is>
          <t>Inactive</t>
        </is>
      </c>
      <c r="O79" s="32" t="n"/>
      <c r="P79" s="65" t="n"/>
      <c r="Q79" s="64" t="n"/>
      <c r="R79" s="64" t="n"/>
      <c r="S79" s="64" t="n"/>
      <c r="T79" s="32" t="n"/>
    </row>
    <row r="80" ht="62" customHeight="1">
      <c r="A80" s="10">
        <f>_xlfn.IMAGE("https://m.media-amazon.com/images/I/71NJ4arwSJL.jpg")</f>
        <v/>
      </c>
      <c r="B80" s="32" t="inlineStr">
        <is>
          <t>B0DDTRD22G</t>
        </is>
      </c>
      <c r="C80" s="32" t="inlineStr">
        <is>
          <t>SS-BAMBOO-SAGE-GREEN-QUEEN-4PCS</t>
        </is>
      </c>
      <c r="D80" s="32" t="inlineStr">
        <is>
          <t>SLEEP SANCTUARY 100% Organic Viscose Derived from Bamboo Sheets Queen Size 4pcs - Ultra Soft &amp; Luxuriously Cooling, 17" Deep Pocket, Perfect for Hot Sleepers - Queen Bed Sheets (Sage Green)</t>
        </is>
      </c>
      <c r="E80" s="32" t="inlineStr">
        <is>
          <t>Queen</t>
        </is>
      </c>
      <c r="F80" s="32" t="inlineStr">
        <is>
          <t>Sage Green</t>
        </is>
      </c>
      <c r="G80" s="33" t="n"/>
      <c r="H80" s="32" t="n"/>
      <c r="I80" s="33" t="n"/>
      <c r="J80" s="32" t="n"/>
      <c r="K80" s="33" t="n"/>
      <c r="L80" s="63" t="n"/>
      <c r="M80" s="64" t="n"/>
      <c r="N80" s="32" t="inlineStr">
        <is>
          <t>Inactive</t>
        </is>
      </c>
      <c r="O80" s="32" t="n"/>
      <c r="P80" s="65" t="n"/>
      <c r="Q80" s="64" t="n"/>
      <c r="R80" s="64" t="n"/>
      <c r="S80" s="64" t="n"/>
      <c r="T80" s="32" t="n"/>
    </row>
    <row r="81" ht="62" customHeight="1">
      <c r="A81" s="10">
        <f>_xlfn.IMAGE("https://m.media-amazon.com/images/I/71LuYrkY0CL.jpg")</f>
        <v/>
      </c>
      <c r="B81" s="32" t="inlineStr">
        <is>
          <t>B0DDTTHK5C</t>
        </is>
      </c>
      <c r="C81" s="32" t="inlineStr">
        <is>
          <t>SS-BAMBOO-TAUPE-QUEEN-4PCS</t>
        </is>
      </c>
      <c r="D81" s="32" t="inlineStr">
        <is>
          <t>SLEEP SANCTUARY 100% Organic Viscose Derived from Bamboo Sheets Queen Size 4pcs - Ultra Soft &amp; Luxuriously Cooling, 17" Deep Pocket, Perfect for Hot Sleepers - Queen Bed Sheets (Taupe)</t>
        </is>
      </c>
      <c r="E81" s="32" t="inlineStr">
        <is>
          <t>Queen</t>
        </is>
      </c>
      <c r="F81" s="32" t="inlineStr">
        <is>
          <t>Taupe</t>
        </is>
      </c>
      <c r="G81" s="33" t="n"/>
      <c r="H81" s="32" t="n"/>
      <c r="I81" s="33" t="n"/>
      <c r="J81" s="32" t="n"/>
      <c r="K81" s="33" t="n"/>
      <c r="L81" s="63" t="n"/>
      <c r="M81" s="64" t="n"/>
      <c r="N81" s="32" t="inlineStr">
        <is>
          <t>Inactive</t>
        </is>
      </c>
      <c r="O81" s="32" t="n"/>
      <c r="P81" s="65" t="n"/>
      <c r="Q81" s="64" t="n"/>
      <c r="R81" s="64" t="n"/>
      <c r="S81" s="64" t="n"/>
      <c r="T81" s="32" t="n"/>
    </row>
    <row r="82" ht="62" customHeight="1">
      <c r="A82" s="10">
        <f>_xlfn.IMAGE("https://m.media-amazon.com/images/I/71MHybZpyiL.jpg")</f>
        <v/>
      </c>
      <c r="B82" s="32" t="inlineStr">
        <is>
          <t>B0DDTV2456</t>
        </is>
      </c>
      <c r="C82" s="32" t="inlineStr">
        <is>
          <t>SS-BAMBOO-WHITE-QUEEN-4PCS</t>
        </is>
      </c>
      <c r="D82" s="32" t="inlineStr">
        <is>
          <t>SLEEP SANCTUARY 100% Organic Viscose Derived from Bamboo Sheets Queen Size 4pcs - Ultra Soft &amp; Luxuriously Cooling, 17" Deep Pocket, Perfect for Hot Sleepers - Queen Bed Sheets (White)</t>
        </is>
      </c>
      <c r="E82" s="32" t="inlineStr">
        <is>
          <t>Queen</t>
        </is>
      </c>
      <c r="F82" s="32" t="inlineStr">
        <is>
          <t>White</t>
        </is>
      </c>
      <c r="G82" s="33" t="n"/>
      <c r="H82" s="32" t="n"/>
      <c r="I82" s="33" t="n"/>
      <c r="J82" s="32" t="n"/>
      <c r="K82" s="33" t="n"/>
      <c r="L82" s="63" t="n"/>
      <c r="M82" s="64" t="n"/>
      <c r="N82" s="32" t="inlineStr">
        <is>
          <t>Inactive</t>
        </is>
      </c>
      <c r="O82" s="32" t="n"/>
      <c r="P82" s="65" t="n"/>
      <c r="Q82" s="64" t="n"/>
      <c r="R82" s="64" t="n"/>
      <c r="S82" s="64" t="n"/>
      <c r="T82" s="32" t="n"/>
    </row>
    <row r="83" ht="62" customHeight="1">
      <c r="A83" s="10">
        <f>_xlfn.IMAGE("https://m.media-amazon.com/images/I/71ezsAlFavL.jpg")</f>
        <v/>
      </c>
      <c r="B83" s="32" t="inlineStr">
        <is>
          <t>B0DDTVGBFD</t>
        </is>
      </c>
      <c r="C83" s="32" t="inlineStr">
        <is>
          <t>SS-BAMBOO-BLACK-TWIN-3PCS</t>
        </is>
      </c>
      <c r="D83" s="32" t="inlineStr">
        <is>
          <t>SLEEP SANCTUARY 100% Organic Viscose Derived from Bamboo Sheets Twin Size 3pcs - Ultra Soft &amp; Luxuriously Cooling, 17" Deep Pocket, Perfect for Hot Sleepers - Twin Bed Sheets (Black)</t>
        </is>
      </c>
      <c r="E83" s="32" t="inlineStr">
        <is>
          <t>Twin</t>
        </is>
      </c>
      <c r="F83" s="32" t="inlineStr">
        <is>
          <t>Black</t>
        </is>
      </c>
      <c r="G83" s="33" t="n"/>
      <c r="H83" s="32" t="n"/>
      <c r="I83" s="33" t="n"/>
      <c r="J83" s="32" t="n"/>
      <c r="K83" s="33" t="n"/>
      <c r="L83" s="63" t="n"/>
      <c r="M83" s="64" t="n"/>
      <c r="N83" s="32" t="inlineStr">
        <is>
          <t>Inactive</t>
        </is>
      </c>
      <c r="O83" s="32" t="n"/>
      <c r="P83" s="65" t="n"/>
      <c r="Q83" s="64" t="n"/>
      <c r="R83" s="64" t="n"/>
      <c r="S83" s="64" t="n"/>
      <c r="T83" s="32" t="n"/>
    </row>
    <row r="84" ht="62" customHeight="1">
      <c r="A84" s="10">
        <f>_xlfn.IMAGE("https://m.media-amazon.com/images/I/81gNwuW4tEL.jpg")</f>
        <v/>
      </c>
      <c r="B84" s="32" t="inlineStr">
        <is>
          <t>B0DDTWR1JB</t>
        </is>
      </c>
      <c r="C84" s="32" t="inlineStr">
        <is>
          <t>SS-BAMBOO-BLACK-TWIN-4PCS</t>
        </is>
      </c>
      <c r="D84" s="32" t="inlineStr">
        <is>
          <t>SLEEP SANCTUARY 100% Viscose Derived from Bamboo Sheets Twin Size, 4 Pc Set</t>
        </is>
      </c>
      <c r="E84" s="32" t="inlineStr">
        <is>
          <t>Twin</t>
        </is>
      </c>
      <c r="F84" s="32" t="inlineStr">
        <is>
          <t>Black</t>
        </is>
      </c>
      <c r="G84" s="60" t="n">
        <v>54.99</v>
      </c>
      <c r="H84" s="32" t="inlineStr">
        <is>
          <t>Helium 10 Xray, 2026-10-13</t>
        </is>
      </c>
      <c r="I84" s="61" t="n">
        <v>59.99</v>
      </c>
      <c r="J84" s="62" t="inlineStr">
        <is>
          <t>2026-03-30</t>
        </is>
      </c>
      <c r="K84" s="33" t="n">
        <v>22.9</v>
      </c>
      <c r="L84" s="63" t="n">
        <v>0.3817302883813969</v>
      </c>
      <c r="M84" s="64" t="n">
        <v>0</v>
      </c>
      <c r="N84" s="32" t="inlineStr">
        <is>
          <t>Active</t>
        </is>
      </c>
      <c r="O84" s="32" t="n"/>
      <c r="P84" s="65" t="n">
        <v>4.5</v>
      </c>
      <c r="Q84" s="64" t="n">
        <v>320</v>
      </c>
      <c r="R84" s="64" t="n">
        <v>252428</v>
      </c>
      <c r="S84" s="64" t="n">
        <v>3</v>
      </c>
      <c r="T84" s="32" t="n"/>
    </row>
    <row r="85" ht="62" customHeight="1">
      <c r="A85" s="10">
        <f>_xlfn.IMAGE("https://m.media-amazon.com/images/I/81O1Qx5WReL.jpg")</f>
        <v/>
      </c>
      <c r="B85" s="32" t="inlineStr">
        <is>
          <t>B0DDV12K7H</t>
        </is>
      </c>
      <c r="C85" s="32" t="inlineStr">
        <is>
          <t>SS-BAMBOO-BURGUNDY-TWIN-4PCS</t>
        </is>
      </c>
      <c r="D85" s="32" t="inlineStr">
        <is>
          <t>SLEEP SANCTUARY 100% Viscose Derived from Bamboo Sheets Twin Size, 4 Pc Set</t>
        </is>
      </c>
      <c r="E85" s="32" t="inlineStr">
        <is>
          <t>Twin</t>
        </is>
      </c>
      <c r="F85" s="32" t="inlineStr">
        <is>
          <t>Burgundy</t>
        </is>
      </c>
      <c r="G85" s="60" t="n">
        <v>54.99</v>
      </c>
      <c r="H85" s="32" t="inlineStr">
        <is>
          <t>Helium 10 Xray, 2026-10-13</t>
        </is>
      </c>
      <c r="I85" s="61" t="n">
        <v>54.99</v>
      </c>
      <c r="J85" s="62" t="inlineStr">
        <is>
          <t>2026-03-30</t>
        </is>
      </c>
      <c r="K85" s="33" t="n">
        <v>18.52</v>
      </c>
      <c r="L85" s="63" t="n">
        <v>0.3367885070012729</v>
      </c>
      <c r="M85" s="64" t="n">
        <v>0</v>
      </c>
      <c r="N85" s="32" t="inlineStr">
        <is>
          <t>Active</t>
        </is>
      </c>
      <c r="O85" s="32" t="n"/>
      <c r="P85" s="65" t="n">
        <v>4.5</v>
      </c>
      <c r="Q85" s="64" t="n">
        <v>320</v>
      </c>
      <c r="R85" s="64" t="n">
        <v>252421</v>
      </c>
      <c r="S85" s="64" t="n">
        <v>3</v>
      </c>
      <c r="T85" s="32" t="n"/>
    </row>
    <row r="86" ht="62" customHeight="1">
      <c r="A86" s="10">
        <f>_xlfn.IMAGE("https://m.media-amazon.com/images/I/71NG2guBnSL.jpg")</f>
        <v/>
      </c>
      <c r="B86" s="32" t="inlineStr">
        <is>
          <t>B0DDTR4H2M</t>
        </is>
      </c>
      <c r="C86" s="32" t="inlineStr">
        <is>
          <t>SS-BAMBOO-BURGUNDY-TWIN-3PCS</t>
        </is>
      </c>
      <c r="D86" s="32" t="inlineStr">
        <is>
          <t>SLEEP SANCTUARY 100% Organic Viscose Derived from Bamboo Sheets Twin Size 3pcs - Ultra Soft &amp; Luxuriously Cooling, 17" Deep Pocket, Perfect for Hot Sleepers - Twin Bed Sheets (Burgundy)</t>
        </is>
      </c>
      <c r="E86" s="32" t="inlineStr">
        <is>
          <t>Twin</t>
        </is>
      </c>
      <c r="F86" s="32" t="inlineStr">
        <is>
          <t>Burgundy</t>
        </is>
      </c>
      <c r="G86" s="33" t="n"/>
      <c r="H86" s="32" t="n"/>
      <c r="I86" s="33" t="n"/>
      <c r="J86" s="32" t="n"/>
      <c r="K86" s="33" t="n"/>
      <c r="L86" s="63" t="n"/>
      <c r="M86" s="64" t="n"/>
      <c r="N86" s="32" t="inlineStr">
        <is>
          <t>Inactive</t>
        </is>
      </c>
      <c r="O86" s="32" t="n"/>
      <c r="P86" s="65" t="n"/>
      <c r="Q86" s="64" t="n"/>
      <c r="R86" s="64" t="n"/>
      <c r="S86" s="64" t="n"/>
      <c r="T86" s="32" t="n"/>
    </row>
    <row r="87" ht="62" customHeight="1">
      <c r="A87" s="10">
        <f>_xlfn.IMAGE("https://m.media-amazon.com/images/I/71jY8x1f1+L.jpg")</f>
        <v/>
      </c>
      <c r="B87" s="32" t="inlineStr">
        <is>
          <t>B0DDTTK7NJ</t>
        </is>
      </c>
      <c r="C87" s="32" t="inlineStr">
        <is>
          <t>SS-BAMBOO-CHARCOAL-TWIN-3PCS</t>
        </is>
      </c>
      <c r="D87" s="32" t="inlineStr">
        <is>
          <t>SLEEP SANCTUARY 100% Organic Viscose Derived from Bamboo Sheets Twin Size 3pcs - Ultra Soft &amp; Luxuriously Cooling, 17" Deep Pocket, Perfect for Hot Sleepers - Twin Bed Sheets (Charcoal)</t>
        </is>
      </c>
      <c r="E87" s="32" t="inlineStr">
        <is>
          <t>Twin</t>
        </is>
      </c>
      <c r="F87" s="32" t="inlineStr">
        <is>
          <t>Charcoal</t>
        </is>
      </c>
      <c r="G87" s="33" t="n"/>
      <c r="H87" s="32" t="n"/>
      <c r="I87" s="33" t="n"/>
      <c r="J87" s="32" t="n"/>
      <c r="K87" s="33" t="n"/>
      <c r="L87" s="63" t="n"/>
      <c r="M87" s="64" t="n"/>
      <c r="N87" s="32" t="inlineStr">
        <is>
          <t>Inactive</t>
        </is>
      </c>
      <c r="O87" s="32" t="n"/>
      <c r="P87" s="65" t="n"/>
      <c r="Q87" s="64" t="n"/>
      <c r="R87" s="64" t="n"/>
      <c r="S87" s="64" t="n"/>
      <c r="T87" s="32" t="n"/>
    </row>
    <row r="88" ht="62" customHeight="1">
      <c r="A88" s="10">
        <f>_xlfn.IMAGE("https://m.media-amazon.com/images/I/81ckcfUOuYL.jpg")</f>
        <v/>
      </c>
      <c r="B88" s="32" t="inlineStr">
        <is>
          <t>B0DDV13P1G</t>
        </is>
      </c>
      <c r="C88" s="32" t="inlineStr">
        <is>
          <t>SS-BAMBOO-CREME-TWIN-4PCS</t>
        </is>
      </c>
      <c r="D88" s="32" t="inlineStr">
        <is>
          <t>SLEEP SANCTUARY 100% Viscose Derived from Bamboo Sheets Twin Size, 4 Pc Set</t>
        </is>
      </c>
      <c r="E88" s="32" t="inlineStr">
        <is>
          <t>Twin</t>
        </is>
      </c>
      <c r="F88" s="32" t="inlineStr">
        <is>
          <t>Creme</t>
        </is>
      </c>
      <c r="G88" s="60" t="n">
        <v>61.99</v>
      </c>
      <c r="H88" s="32" t="inlineStr">
        <is>
          <t>Helium 10 Xray, 2026-10-13</t>
        </is>
      </c>
      <c r="I88" s="61" t="n">
        <v>54.99</v>
      </c>
      <c r="J88" s="62" t="inlineStr">
        <is>
          <t>2026-03-30</t>
        </is>
      </c>
      <c r="K88" s="33" t="n">
        <v>18.52</v>
      </c>
      <c r="L88" s="63" t="n">
        <v>0.3367885070012729</v>
      </c>
      <c r="M88" s="64" t="n">
        <v>0</v>
      </c>
      <c r="N88" s="32" t="inlineStr">
        <is>
          <t>Active</t>
        </is>
      </c>
      <c r="O88" s="32" t="n"/>
      <c r="P88" s="65" t="n">
        <v>4.5</v>
      </c>
      <c r="Q88" s="64" t="n">
        <v>320</v>
      </c>
      <c r="R88" s="64" t="n">
        <v>252428</v>
      </c>
      <c r="S88" s="64" t="n">
        <v>0.9066</v>
      </c>
      <c r="T88" s="32" t="n"/>
    </row>
    <row r="89" ht="62" customHeight="1">
      <c r="A89" s="10">
        <f>_xlfn.IMAGE("https://m.media-amazon.com/images/I/71GNKwe-HeL.jpg")</f>
        <v/>
      </c>
      <c r="B89" s="32" t="inlineStr">
        <is>
          <t>B0DDTRQK9Y</t>
        </is>
      </c>
      <c r="C89" s="32" t="inlineStr">
        <is>
          <t>SS-BAMBOO-CREME-TWIN-3PCS</t>
        </is>
      </c>
      <c r="D89" s="32" t="inlineStr">
        <is>
          <t>SLEEP SANCTUARY 100% Organic Viscose Derived from Bamboo Sheets Twin Size 3pcs - Ultra Soft &amp; Luxuriously Cooling, 17" Deep Pocket, Perfect for Hot Sleepers - Twin Bed Sheets (Creme)</t>
        </is>
      </c>
      <c r="E89" s="32" t="inlineStr">
        <is>
          <t>Twin</t>
        </is>
      </c>
      <c r="F89" s="32" t="inlineStr">
        <is>
          <t>Creme</t>
        </is>
      </c>
      <c r="G89" s="33" t="n"/>
      <c r="H89" s="32" t="n"/>
      <c r="I89" s="33" t="n"/>
      <c r="J89" s="32" t="n"/>
      <c r="K89" s="33" t="n"/>
      <c r="L89" s="63" t="n"/>
      <c r="M89" s="64" t="n"/>
      <c r="N89" s="32" t="inlineStr">
        <is>
          <t>Inactive</t>
        </is>
      </c>
      <c r="O89" s="32" t="n"/>
      <c r="P89" s="65" t="n"/>
      <c r="Q89" s="64" t="n"/>
      <c r="R89" s="64" t="n"/>
      <c r="S89" s="64" t="n"/>
      <c r="T89" s="32" t="n"/>
    </row>
    <row r="90" ht="62" customHeight="1">
      <c r="A90" s="10">
        <f>_xlfn.IMAGE("https://m.media-amazon.com/images/I/71LFuHLHb8L.jpg")</f>
        <v/>
      </c>
      <c r="B90" s="32" t="inlineStr">
        <is>
          <t>B0DDTSFW17</t>
        </is>
      </c>
      <c r="C90" s="32" t="inlineStr">
        <is>
          <t>SS-BAMBOO-GREY-TWIN-3PCS</t>
        </is>
      </c>
      <c r="D90" s="32" t="inlineStr">
        <is>
          <t>SLEEP SANCTUARY 100% Organic Viscose Derived from Bamboo Sheets Twin Size 3pcs - Ultra Soft &amp; Luxuriously Cooling, 17" Deep Pocket, Perfect for Hot Sleepers - Twin Bed Sheets (Grey)</t>
        </is>
      </c>
      <c r="E90" s="32" t="inlineStr">
        <is>
          <t>Twin</t>
        </is>
      </c>
      <c r="F90" s="32" t="inlineStr">
        <is>
          <t>Grey</t>
        </is>
      </c>
      <c r="G90" s="33" t="n"/>
      <c r="H90" s="32" t="n"/>
      <c r="I90" s="33" t="n"/>
      <c r="J90" s="32" t="n"/>
      <c r="K90" s="33" t="n"/>
      <c r="L90" s="63" t="n"/>
      <c r="M90" s="64" t="n"/>
      <c r="N90" s="32" t="inlineStr">
        <is>
          <t>Inactive</t>
        </is>
      </c>
      <c r="O90" s="32" t="n"/>
      <c r="P90" s="65" t="n"/>
      <c r="Q90" s="64" t="n"/>
      <c r="R90" s="64" t="n"/>
      <c r="S90" s="64" t="n"/>
      <c r="T90" s="32" t="n"/>
    </row>
    <row r="91" ht="62" customHeight="1">
      <c r="A91" s="10">
        <f>_xlfn.IMAGE("https://m.media-amazon.com/images/I/71lylIjGyKL.jpg")</f>
        <v/>
      </c>
      <c r="B91" s="32" t="inlineStr">
        <is>
          <t>B0DDTTL276</t>
        </is>
      </c>
      <c r="C91" s="32" t="inlineStr">
        <is>
          <t>SS-BAMBOO-LIGHT-BLUE-TWIN-3PCS</t>
        </is>
      </c>
      <c r="D91" s="32" t="inlineStr">
        <is>
          <t>SLEEP SANCTUARY 100% Organic Viscose Derived from Bamboo Sheets Twin Size 3pcs - Ultra Soft &amp; Luxuriously Cooling, 17" Deep Pocket, Perfect for Hot Sleepers - Twin Bed Sheets (Light Blue)</t>
        </is>
      </c>
      <c r="E91" s="32" t="inlineStr">
        <is>
          <t>Twin</t>
        </is>
      </c>
      <c r="F91" s="32" t="inlineStr">
        <is>
          <t>Light Blue</t>
        </is>
      </c>
      <c r="G91" s="33" t="n"/>
      <c r="H91" s="32" t="n"/>
      <c r="I91" s="33" t="n"/>
      <c r="J91" s="32" t="n"/>
      <c r="K91" s="33" t="n"/>
      <c r="L91" s="63" t="n"/>
      <c r="M91" s="64" t="n"/>
      <c r="N91" s="32" t="inlineStr">
        <is>
          <t>Inactive</t>
        </is>
      </c>
      <c r="O91" s="32" t="n"/>
      <c r="P91" s="65" t="n"/>
      <c r="Q91" s="64" t="n"/>
      <c r="R91" s="64" t="n"/>
      <c r="S91" s="64" t="n"/>
      <c r="T91" s="32" t="n"/>
    </row>
    <row r="92" ht="62" customHeight="1">
      <c r="A92" s="10">
        <f>_xlfn.IMAGE("https://m.media-amazon.com/images/I/71MoxlyZ6nL.jpg")</f>
        <v/>
      </c>
      <c r="B92" s="32" t="inlineStr">
        <is>
          <t>B0DDTS9XZQ</t>
        </is>
      </c>
      <c r="C92" s="32" t="inlineStr">
        <is>
          <t>SS-BAMBOO-LIGHT-GREY-TWIN-3PCS</t>
        </is>
      </c>
      <c r="D92" s="32" t="inlineStr">
        <is>
          <t>SLEEP SANCTUARY 100% Organic Viscose Derived from Bamboo Sheets Twin Size 3pcs - Ultra Soft &amp; Luxuriously Cooling, 17" Deep Pocket, Perfect for Hot Sleepers - Twin Bed Sheets (Light Grey)</t>
        </is>
      </c>
      <c r="E92" s="32" t="inlineStr">
        <is>
          <t>Twin</t>
        </is>
      </c>
      <c r="F92" s="32" t="inlineStr">
        <is>
          <t>Light Grey</t>
        </is>
      </c>
      <c r="G92" s="33" t="n"/>
      <c r="H92" s="32" t="n"/>
      <c r="I92" s="33" t="n"/>
      <c r="J92" s="32" t="n"/>
      <c r="K92" s="33" t="n"/>
      <c r="L92" s="63" t="n"/>
      <c r="M92" s="64" t="n"/>
      <c r="N92" s="32" t="inlineStr">
        <is>
          <t>Inactive</t>
        </is>
      </c>
      <c r="O92" s="32" t="n"/>
      <c r="P92" s="65" t="n"/>
      <c r="Q92" s="64" t="n"/>
      <c r="R92" s="64" t="n"/>
      <c r="S92" s="64" t="n"/>
      <c r="T92" s="32" t="n"/>
    </row>
    <row r="93" ht="62" customHeight="1">
      <c r="A93" s="10">
        <f>_xlfn.IMAGE("https://m.media-amazon.com/images/I/71Yt9h3mY0L.jpg")</f>
        <v/>
      </c>
      <c r="B93" s="32" t="inlineStr">
        <is>
          <t>B0DDTWMZ7K</t>
        </is>
      </c>
      <c r="C93" s="32" t="inlineStr">
        <is>
          <t>SS-BAMBOO-LIGHT-OLIVE-TWIN-3PCS</t>
        </is>
      </c>
      <c r="D93" s="32" t="inlineStr">
        <is>
          <t>SLEEP SANCTUARY 100% Organic Viscose Derived from Bamboo Sheets Twin Size 3pcs - Ultra Soft &amp; Luxuriously Cooling, 17" Deep Pocket, Perfect for Hot Sleepers - Twin Bed Sheets (Light Olive)</t>
        </is>
      </c>
      <c r="E93" s="32" t="inlineStr">
        <is>
          <t>Twin</t>
        </is>
      </c>
      <c r="F93" s="32" t="inlineStr">
        <is>
          <t>Light Olive</t>
        </is>
      </c>
      <c r="G93" s="33" t="n"/>
      <c r="H93" s="32" t="n"/>
      <c r="I93" s="33" t="n"/>
      <c r="J93" s="32" t="n"/>
      <c r="K93" s="33" t="n"/>
      <c r="L93" s="63" t="n"/>
      <c r="M93" s="64" t="n"/>
      <c r="N93" s="32" t="inlineStr">
        <is>
          <t>Inactive</t>
        </is>
      </c>
      <c r="O93" s="32" t="n"/>
      <c r="P93" s="65" t="n"/>
      <c r="Q93" s="64" t="n"/>
      <c r="R93" s="64" t="n"/>
      <c r="S93" s="64" t="n"/>
      <c r="T93" s="32" t="n"/>
    </row>
    <row r="94" ht="62" customHeight="1">
      <c r="A94" s="10">
        <f>_xlfn.IMAGE("https://m.media-amazon.com/images/I/71wIvK8nORL.jpg")</f>
        <v/>
      </c>
      <c r="B94" s="32" t="inlineStr">
        <is>
          <t>B0DDTR56ZM</t>
        </is>
      </c>
      <c r="C94" s="32" t="inlineStr">
        <is>
          <t>SS-BAMBOO-LIGHT-PINK-TWIN-3PCS</t>
        </is>
      </c>
      <c r="D94" s="32" t="inlineStr">
        <is>
          <t>SLEEP SANCTUARY 100% Organic Viscose Derived from Bamboo Sheets Twin Size 3pcs - Ultra Soft &amp; Luxuriously Cooling, 17" Deep Pocket, Perfect for Hot Sleepers - Twin Bed Sheets (Light Pink)</t>
        </is>
      </c>
      <c r="E94" s="32" t="inlineStr">
        <is>
          <t>Twin</t>
        </is>
      </c>
      <c r="F94" s="32" t="inlineStr">
        <is>
          <t>Light Pink</t>
        </is>
      </c>
      <c r="G94" s="33" t="n"/>
      <c r="H94" s="32" t="n"/>
      <c r="I94" s="33" t="n"/>
      <c r="J94" s="32" t="n"/>
      <c r="K94" s="33" t="n"/>
      <c r="L94" s="63" t="n"/>
      <c r="M94" s="64" t="n"/>
      <c r="N94" s="32" t="inlineStr">
        <is>
          <t>Inactive</t>
        </is>
      </c>
      <c r="O94" s="32" t="n"/>
      <c r="P94" s="65" t="n"/>
      <c r="Q94" s="64" t="n"/>
      <c r="R94" s="64" t="n"/>
      <c r="S94" s="64" t="n"/>
      <c r="T94" s="32" t="n"/>
    </row>
    <row r="95" ht="62" customHeight="1">
      <c r="A95" s="10">
        <f>_xlfn.IMAGE("https://m.media-amazon.com/images/I/71iL4gsBoBL.jpg")</f>
        <v/>
      </c>
      <c r="B95" s="32" t="inlineStr">
        <is>
          <t>B0DDTRDJWC</t>
        </is>
      </c>
      <c r="C95" s="32" t="inlineStr">
        <is>
          <t>SS-BAMBOO-MIDGREY-TWIN-3PCS</t>
        </is>
      </c>
      <c r="D95" s="32" t="inlineStr">
        <is>
          <t>SLEEP SANCTUARY 100% Organic Viscose Derived from Bamboo Sheets Twin Size 3pcs - Ultra Soft &amp; Luxuriously Cooling, 17" Deep Pocket, Perfect for Hot Sleepers - Twin Bed Sheets (Midgrey)</t>
        </is>
      </c>
      <c r="E95" s="32" t="inlineStr">
        <is>
          <t>Twin</t>
        </is>
      </c>
      <c r="F95" s="32" t="inlineStr">
        <is>
          <t>Midgrey</t>
        </is>
      </c>
      <c r="G95" s="33" t="n"/>
      <c r="H95" s="32" t="n"/>
      <c r="I95" s="33" t="n"/>
      <c r="J95" s="32" t="n"/>
      <c r="K95" s="33" t="n"/>
      <c r="L95" s="63" t="n"/>
      <c r="M95" s="64" t="n"/>
      <c r="N95" s="32" t="inlineStr">
        <is>
          <t>Inactive</t>
        </is>
      </c>
      <c r="O95" s="32" t="n"/>
      <c r="P95" s="65" t="n"/>
      <c r="Q95" s="64" t="n"/>
      <c r="R95" s="64" t="n"/>
      <c r="S95" s="64" t="n"/>
      <c r="T95" s="32" t="n"/>
    </row>
    <row r="96" ht="62" customHeight="1">
      <c r="A96" s="10">
        <f>_xlfn.IMAGE("https://m.media-amazon.com/images/I/71bEhXriTgL.jpg")</f>
        <v/>
      </c>
      <c r="B96" s="32" t="inlineStr">
        <is>
          <t>B0DDTQHFGQ</t>
        </is>
      </c>
      <c r="C96" s="32" t="inlineStr">
        <is>
          <t>SS-BAMBOO-NAVY-BLUE-TWIN-3PCS</t>
        </is>
      </c>
      <c r="D96" s="32" t="inlineStr">
        <is>
          <t>SLEEP SANCTUARY 100% Organic Viscose Derived from Bamboo Sheets Twin Size 3pcs - Ultra Soft &amp; Luxuriously Cooling, 17" Deep Pocket, Perfect for Hot Sleepers - Twin Bed Sheets (Navy Blue)</t>
        </is>
      </c>
      <c r="E96" s="32" t="inlineStr">
        <is>
          <t>Twin</t>
        </is>
      </c>
      <c r="F96" s="32" t="inlineStr">
        <is>
          <t>Navy Blue</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_xlfn.IMAGE("https://m.media-amazon.com/images/I/712o+hMtNdL.jpg")</f>
        <v/>
      </c>
      <c r="B97" s="32" t="inlineStr">
        <is>
          <t>B0DDTQTB3S</t>
        </is>
      </c>
      <c r="C97" s="32" t="inlineStr">
        <is>
          <t>SS-BAMBOO-OLIVE-TWIN-3PCS</t>
        </is>
      </c>
      <c r="D97" s="32" t="inlineStr">
        <is>
          <t>SLEEP SANCTUARY 100% Organic Viscose Derived from Bamboo Sheets Twin Size 3pcs - Ultra Soft &amp; Luxuriously Cooling, 17" Deep Pocket, Perfect for Hot Sleepers - Twin Bed Sheets (Olive)</t>
        </is>
      </c>
      <c r="E97" s="32" t="inlineStr">
        <is>
          <t>Twin</t>
        </is>
      </c>
      <c r="F97" s="32" t="inlineStr">
        <is>
          <t>Olive</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_xlfn.IMAGE("https://m.media-amazon.com/images/I/71EtJ98GkhL.jpg")</f>
        <v/>
      </c>
      <c r="B98" s="32" t="inlineStr">
        <is>
          <t>B0DDTQ36CM</t>
        </is>
      </c>
      <c r="C98" s="32" t="inlineStr">
        <is>
          <t>SS-BAMBOO-PURPLE-TWIN-3PCS</t>
        </is>
      </c>
      <c r="D98" s="32" t="inlineStr">
        <is>
          <t>SLEEP SANCTUARY 100% Organic Viscose Derived from Bamboo Sheets Twin Size 3pcs - Ultra Soft &amp; Luxuriously Cooling, 17" Deep Pocket, Perfect for Hot Sleepers - Twin Bed Sheets (Purple)</t>
        </is>
      </c>
      <c r="E98" s="32" t="inlineStr">
        <is>
          <t>Twin</t>
        </is>
      </c>
      <c r="F98" s="32" t="inlineStr">
        <is>
          <t>Purple</t>
        </is>
      </c>
      <c r="G98" s="33" t="n"/>
      <c r="H98" s="32" t="n"/>
      <c r="I98" s="33" t="n"/>
      <c r="J98" s="32" t="n"/>
      <c r="K98" s="33" t="n"/>
      <c r="L98" s="63" t="n"/>
      <c r="M98" s="64" t="n"/>
      <c r="N98" s="32" t="inlineStr">
        <is>
          <t>Inactive</t>
        </is>
      </c>
      <c r="O98" s="32" t="n"/>
      <c r="P98" s="65" t="n"/>
      <c r="Q98" s="64" t="n"/>
      <c r="R98" s="64" t="n"/>
      <c r="S98" s="64" t="n"/>
      <c r="T98" s="32" t="n"/>
    </row>
    <row r="99" ht="62" customHeight="1">
      <c r="A99" s="10">
        <f>_xlfn.IMAGE("https://m.media-amazon.com/images/I/714qJExYmHL.jpg")</f>
        <v/>
      </c>
      <c r="B99" s="32" t="inlineStr">
        <is>
          <t>B0DDTQXSRS</t>
        </is>
      </c>
      <c r="C99" s="32" t="inlineStr">
        <is>
          <t>SS-BAMBOO-SAGE-GREEN-TWIN-3PCS</t>
        </is>
      </c>
      <c r="D99" s="32" t="inlineStr">
        <is>
          <t>SLEEP SANCTUARY 100% Organic Viscose Derived from Bamboo Sheets Twin Size 3pcs - Ultra Soft &amp; Luxuriously Cooling, 17" Deep Pocket, Perfect for Hot Sleepers - Twin Bed Sheets (Sage Green)</t>
        </is>
      </c>
      <c r="E99" s="32" t="inlineStr">
        <is>
          <t>Twin</t>
        </is>
      </c>
      <c r="F99" s="32" t="inlineStr">
        <is>
          <t>Sage Green</t>
        </is>
      </c>
      <c r="G99" s="33" t="n"/>
      <c r="H99" s="32" t="n"/>
      <c r="I99" s="33" t="n"/>
      <c r="J99" s="32" t="n"/>
      <c r="K99" s="33" t="n"/>
      <c r="L99" s="63" t="n"/>
      <c r="M99" s="64" t="n"/>
      <c r="N99" s="32" t="inlineStr">
        <is>
          <t>Inactive</t>
        </is>
      </c>
      <c r="O99" s="32" t="n"/>
      <c r="P99" s="65" t="n"/>
      <c r="Q99" s="64" t="n"/>
      <c r="R99" s="64" t="n"/>
      <c r="S99" s="64" t="n"/>
      <c r="T99" s="32" t="n"/>
    </row>
    <row r="100" ht="62" customHeight="1">
      <c r="A100" s="10">
        <f>_xlfn.IMAGE("https://m.media-amazon.com/images/I/71aJCHfgMlL.jpg")</f>
        <v/>
      </c>
      <c r="B100" s="32" t="inlineStr">
        <is>
          <t>B0DDTRW8ZS</t>
        </is>
      </c>
      <c r="C100" s="32" t="inlineStr">
        <is>
          <t>SS-BAMBOO-TAUPE-TWIN-3PCS</t>
        </is>
      </c>
      <c r="D100" s="32" t="inlineStr">
        <is>
          <t>SLEEP SANCTUARY 100% Organic Viscose Derived from Bamboo Sheets Twin Size 3pcs - Ultra Soft &amp; Luxuriously Cooling, 17" Deep Pocket, Perfect for Hot Sleepers - Twin Bed Sheets (Taupe)</t>
        </is>
      </c>
      <c r="E100" s="32" t="inlineStr">
        <is>
          <t>Twin</t>
        </is>
      </c>
      <c r="F100" s="32" t="inlineStr">
        <is>
          <t>Taupe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10">
        <f>_xlfn.IMAGE("https://m.media-amazon.com/images/I/71ezqkKtzFL.jpg")</f>
        <v/>
      </c>
      <c r="B101" s="32" t="inlineStr">
        <is>
          <t>B0DDTT6PHV</t>
        </is>
      </c>
      <c r="C101" s="32" t="inlineStr">
        <is>
          <t>SS-BAMBOO-WHITE-TWIN-3PCS</t>
        </is>
      </c>
      <c r="D101" s="32" t="inlineStr">
        <is>
          <t>SLEEP SANCTUARY 100% Organic Viscose Derived from Bamboo Sheets Twin Size 3pcs - Ultra Soft &amp; Luxuriously Cooling, 17" Deep Pocket, Perfect for Hot Sleepers - Twin Bed Sheets (White)</t>
        </is>
      </c>
      <c r="E101" s="32" t="inlineStr">
        <is>
          <t>Twin</t>
        </is>
      </c>
      <c r="F101" s="32" t="inlineStr">
        <is>
          <t>White</t>
        </is>
      </c>
      <c r="G101" s="33" t="n"/>
      <c r="H101" s="32" t="n"/>
      <c r="I101" s="33" t="n"/>
      <c r="J101" s="32" t="n"/>
      <c r="K101" s="33" t="n"/>
      <c r="L101" s="63" t="n"/>
      <c r="M101" s="64" t="n"/>
      <c r="N101" s="32" t="inlineStr">
        <is>
          <t>Inactive</t>
        </is>
      </c>
      <c r="O101" s="32" t="n"/>
      <c r="P101" s="65" t="n"/>
      <c r="Q101" s="64" t="n"/>
      <c r="R101" s="64" t="n"/>
      <c r="S101" s="64" t="n"/>
      <c r="T101" s="32" t="n"/>
    </row>
    <row r="103" ht="20" customHeight="1">
      <c r="A103" s="54" t="inlineStr">
        <is>
          <t>3 · OUR BFCM 2025 RESULT &amp; EVENT VISIBILITY</t>
        </is>
      </c>
    </row>
    <row r="104">
      <c r="A104" s="67" t="inlineStr">
        <is>
          <t>Window</t>
        </is>
      </c>
      <c r="B104" s="68" t="n"/>
      <c r="C104" s="69" t="n"/>
      <c r="D104" s="67" t="inlineStr">
        <is>
          <t>Ad spend</t>
        </is>
      </c>
      <c r="E104" s="67" t="inlineStr">
        <is>
          <t>Ad sales</t>
        </is>
      </c>
      <c r="F104" s="67" t="inlineStr">
        <is>
          <t>ACoS</t>
        </is>
      </c>
      <c r="G104" s="67" t="inlineStr">
        <is>
          <t>TACoS</t>
        </is>
      </c>
      <c r="H104" s="67" t="inlineStr">
        <is>
          <t>Total sales (derived)</t>
        </is>
      </c>
      <c r="J104" s="67" t="inlineStr">
        <is>
          <t>Ad orders</t>
        </is>
      </c>
      <c r="K104" s="67" t="inlineStr">
        <is>
          <t>CVR</t>
        </is>
      </c>
    </row>
    <row r="105">
      <c r="A105" s="70" t="inlineStr">
        <is>
          <t>Pre-event Oct 21 - Nov 19, 2025 (30d)</t>
        </is>
      </c>
      <c r="B105" s="68" t="n"/>
      <c r="C105" s="69" t="n"/>
      <c r="D105" s="71" t="n"/>
      <c r="E105" s="71" t="n"/>
      <c r="F105" s="72" t="n"/>
      <c r="G105" s="72" t="n"/>
      <c r="H105" s="71" t="n"/>
      <c r="J105" s="73" t="n"/>
      <c r="K105" s="74" t="n"/>
    </row>
    <row r="106">
      <c r="A106" s="70" t="inlineStr">
        <is>
          <t>BFCM week Nov 20 - Dec 1, 2025 (12d)</t>
        </is>
      </c>
      <c r="B106" s="68" t="n"/>
      <c r="C106" s="69" t="n"/>
      <c r="D106" s="71" t="n"/>
      <c r="E106" s="71" t="n"/>
      <c r="F106" s="72" t="n"/>
      <c r="G106" s="72" t="n"/>
      <c r="H106" s="71" t="n"/>
      <c r="J106" s="73" t="n"/>
      <c r="K106" s="74" t="n"/>
    </row>
    <row r="107">
      <c r="A107" s="70" t="inlineStr">
        <is>
          <t>December 2 - 31, 2025 (30d)</t>
        </is>
      </c>
      <c r="B107" s="68" t="n"/>
      <c r="C107" s="69" t="n"/>
      <c r="D107" s="71" t="n"/>
      <c r="E107" s="71" t="n"/>
      <c r="F107" s="72" t="n"/>
      <c r="G107" s="72" t="n"/>
      <c r="H107" s="71" t="n"/>
      <c r="J107" s="73" t="n"/>
      <c r="K107" s="74" t="n"/>
    </row>
    <row r="109">
      <c r="A109" s="67" t="inlineStr">
        <is>
          <t>Actual sales (SellerBoard)</t>
        </is>
      </c>
      <c r="B109" s="68" t="n"/>
      <c r="C109" s="69" t="n"/>
      <c r="D109" s="67" t="inlineStr">
        <is>
          <t>Sales</t>
        </is>
      </c>
      <c r="E109" s="67" t="inlineStr">
        <is>
          <t>Units</t>
        </is>
      </c>
      <c r="F109" s="67" t="inlineStr">
        <is>
          <t>Organic units</t>
        </is>
      </c>
      <c r="G109" s="67" t="inlineStr">
        <is>
          <t>Ad units</t>
        </is>
      </c>
      <c r="H109" s="67" t="inlineStr">
        <is>
          <t>Ad cost</t>
        </is>
      </c>
      <c r="J109" s="67" t="inlineStr">
        <is>
          <t>TACoS (actual)</t>
        </is>
      </c>
      <c r="K109" s="67" t="inlineStr">
        <is>
          <t>Sessions</t>
        </is>
      </c>
      <c r="L109" s="67" t="inlineStr">
        <is>
          <t>Unit session %</t>
        </is>
      </c>
      <c r="M109" s="67" t="inlineStr">
        <is>
          <t>Avg price</t>
        </is>
      </c>
      <c r="N109" s="67" t="inlineStr">
        <is>
          <t>Refunds</t>
        </is>
      </c>
    </row>
    <row r="110">
      <c r="A110" s="70" t="inlineStr">
        <is>
          <t>BFCM week Nov 20 - Dec 1, 2025 (12d)</t>
        </is>
      </c>
      <c r="B110" s="68" t="n"/>
      <c r="C110" s="69" t="n"/>
      <c r="D110" s="71" t="n">
        <v>0</v>
      </c>
      <c r="E110" s="73" t="n">
        <v>0</v>
      </c>
      <c r="F110" s="73" t="n">
        <v>0</v>
      </c>
      <c r="G110" s="73" t="n">
        <v>0</v>
      </c>
      <c r="H110" s="71" t="n">
        <v>0</v>
      </c>
      <c r="J110" s="75" t="n"/>
      <c r="K110" s="73" t="n">
        <v>0</v>
      </c>
      <c r="L110" s="75" t="n"/>
      <c r="M110" s="76" t="n"/>
      <c r="N110" s="73" t="n">
        <v>0</v>
      </c>
    </row>
    <row r="111">
      <c r="A111" s="59" t="inlineStr">
        <is>
          <t>SellerBoard, Ecotero account, Amazon parent B0F54RNQPT plus any of this product's child ASINs SellerBoard lists on their own, UTC days. Lift above uses these actual sales.</t>
        </is>
      </c>
    </row>
    <row r="112">
      <c r="A112" s="59" t="inlineStr">
        <is>
          <t>No Command Center visibility history for our best child ASIN.</t>
        </is>
      </c>
    </row>
    <row r="113">
      <c r="A113" s="107" t="inlineStr">
        <is>
          <t>No BFCM 2025 PPC data for this product (not advertised or launched after BFCM 2025).</t>
        </is>
      </c>
    </row>
    <row r="115" ht="20" customHeight="1">
      <c r="A115" s="54" t="inlineStr">
        <is>
          <t>4 · COMPETITOR LANDSCAPE (28 mapped)</t>
        </is>
      </c>
    </row>
    <row r="116">
      <c r="A116" s="59" t="inlineStr">
        <is>
          <t>Sorted by tier, then estimated weekly units. Green = Command Center price/sales; blue = Data Dive listing; purple = Command Center search strategy (ASINsight); yellow = fill from Keepa / page check.</t>
        </is>
      </c>
    </row>
    <row r="117">
      <c r="A117" s="78" t="inlineStr">
        <is>
          <t>COMPETITOR</t>
        </is>
      </c>
      <c r="I117" s="79" t="inlineStr">
        <is>
          <t>LISTING - Data Dive</t>
        </is>
      </c>
      <c r="J117" s="80" t="inlineStr">
        <is>
          <t>SEARCH STRATEGY - Command Center ASINsight</t>
        </is>
      </c>
      <c r="K117" s="81" t="inlineStr">
        <is>
          <t>PRICE &amp; SALES - Command Center snapshot (date per row)</t>
        </is>
      </c>
      <c r="X117" s="79" t="inlineStr">
        <is>
          <t>LISTING - Data Dive</t>
        </is>
      </c>
      <c r="AA117" s="80" t="inlineStr">
        <is>
          <t>SEARCH STRATEGY - Command Center ASINsight</t>
        </is>
      </c>
      <c r="AR117" s="82" t="inlineStr">
        <is>
          <t>STR NOW - Amazon page check (Oct 13, P1 + P2)</t>
        </is>
      </c>
      <c r="AY117" s="83" t="inlineStr">
        <is>
          <t>BFCM 2025 - Keepa (P1 filled; yellow = not pulled yet)</t>
        </is>
      </c>
    </row>
    <row r="118" ht="48" customHeight="1">
      <c r="A118" s="22" t="inlineStr">
        <is>
          <t>Image</t>
        </is>
      </c>
      <c r="B118" s="22" t="inlineStr">
        <is>
          <t>Brand</t>
        </is>
      </c>
      <c r="C118" s="22" t="inlineStr">
        <is>
          <t>Product title</t>
        </is>
      </c>
      <c r="D118" s="22" t="inlineStr">
        <is>
          <t>Tier</t>
        </is>
      </c>
      <c r="E118" s="22" t="inlineStr">
        <is>
          <t>Parent ASIN</t>
        </is>
      </c>
      <c r="F118" s="22" t="inlineStr">
        <is>
          <t>Tracked child ASIN</t>
        </is>
      </c>
      <c r="G118" s="22" t="inlineStr">
        <is>
          <t>Size (title)</t>
        </is>
      </c>
      <c r="H118" s="22" t="inlineStr">
        <is>
          <t>Colour (title)</t>
        </is>
      </c>
      <c r="I118" s="22" t="inlineStr">
        <is>
          <t>Variations</t>
        </is>
      </c>
      <c r="J118" s="22" t="inlineStr">
        <is>
          <t>Hero child ASINs (share of their visibility)</t>
        </is>
      </c>
      <c r="K118" s="22" t="inlineStr">
        <is>
          <t>Price ($)</t>
        </is>
      </c>
      <c r="L118" s="22" t="inlineStr">
        <is>
          <t>List Price ($)</t>
        </is>
      </c>
      <c r="M118" s="22" t="inlineStr">
        <is>
          <t>List Price % over</t>
        </is>
      </c>
      <c r="N118" s="22" t="inlineStr">
        <is>
          <t>STR band</t>
        </is>
      </c>
      <c r="O118" s="22" t="inlineStr">
        <is>
          <t>Our price, same size ($)</t>
        </is>
      </c>
      <c r="P118" s="22" t="inlineStr">
        <is>
          <t>Their price vs ours</t>
        </is>
      </c>
      <c r="Q118" s="22" t="inlineStr">
        <is>
          <t>Comparison basis</t>
        </is>
      </c>
      <c r="R118" s="22" t="inlineStr">
        <is>
          <t>BSR</t>
        </is>
      </c>
      <c r="S118" s="22" t="inlineStr">
        <is>
          <t>Est weekly units</t>
        </is>
      </c>
      <c r="T118" s="22" t="inlineStr">
        <is>
          <t>Est monthly revenue ($)</t>
        </is>
      </c>
      <c r="U118" s="22" t="inlineStr">
        <is>
          <t>Rating</t>
        </is>
      </c>
      <c r="V118" s="22" t="inlineStr">
        <is>
          <t>Reviews</t>
        </is>
      </c>
      <c r="W118" s="22" t="inlineStr">
        <is>
          <t>Snapshot date</t>
        </is>
      </c>
      <c r="X118" s="22" t="inlineStr">
        <is>
          <t>Listed</t>
        </is>
      </c>
      <c r="Y118" s="22" t="inlineStr">
        <is>
          <t>Fulfil.</t>
        </is>
      </c>
      <c r="Z118" s="22" t="inlineStr">
        <is>
          <t>Seller country</t>
        </is>
      </c>
      <c r="AA118" s="22" t="inlineStr">
        <is>
          <t>ASINsight 7d traffic</t>
        </is>
      </c>
      <c r="AB118" s="22" t="inlineStr">
        <is>
          <t>Keywords ranked</t>
        </is>
      </c>
      <c r="AC118" s="22" t="inlineStr">
        <is>
          <t>Organic share of traffic</t>
        </is>
      </c>
      <c r="AD118" s="22" t="inlineStr">
        <is>
          <t>Ad share of traffic</t>
        </is>
      </c>
      <c r="AE118" s="22" t="inlineStr">
        <is>
          <t>Top keyword</t>
        </is>
      </c>
      <c r="AF118" s="22" t="inlineStr">
        <is>
          <t>SP reach</t>
        </is>
      </c>
      <c r="AG118" s="22" t="inlineStr">
        <is>
          <t>SB reach</t>
        </is>
      </c>
      <c r="AH118" s="22" t="inlineStr">
        <is>
          <t>SB video reach</t>
        </is>
      </c>
      <c r="AI118" s="22" t="inlineStr">
        <is>
          <t>Amazon's Choice reach</t>
        </is>
      </c>
      <c r="AJ118" s="22" t="inlineStr">
        <is>
          <t>Shared keywords</t>
        </is>
      </c>
      <c r="AK118" s="22" t="inlineStr">
        <is>
          <t>We win</t>
        </is>
      </c>
      <c r="AL118" s="22" t="inlineStr">
        <is>
          <t>We lose</t>
        </is>
      </c>
      <c r="AM118" s="22" t="inlineStr">
        <is>
          <t>Their keywords we miss</t>
        </is>
      </c>
      <c r="AN118" s="22" t="inlineStr">
        <is>
          <t>KWs they advertise, we don't</t>
        </is>
      </c>
      <c r="AO118" s="22" t="inlineStr">
        <is>
          <t>KWs they out-advertise us</t>
        </is>
      </c>
      <c r="AP118" s="22" t="inlineStr">
        <is>
          <t>Prime Day 2026 organic vis lift</t>
        </is>
      </c>
      <c r="AQ118" s="22" t="inlineStr">
        <is>
          <t>Organic trend (Aug-Sep vs Q2)</t>
        </is>
      </c>
      <c r="AR118" s="22" t="inlineStr">
        <is>
          <t>STR showing now? (Y/N)</t>
        </is>
      </c>
      <c r="AS118" s="22" t="inlineStr">
        <is>
          <t>STR label</t>
        </is>
      </c>
      <c r="AT118" s="22" t="inlineStr">
        <is>
          <t>Strikethrough price ($)</t>
        </is>
      </c>
      <c r="AU118" s="22" t="inlineStr">
        <is>
          <t>Page price at check ($)</t>
        </is>
      </c>
      <c r="AV118" s="22" t="inlineStr">
        <is>
          <t>Deal / coupon now</t>
        </is>
      </c>
      <c r="AW118" s="22" t="inlineStr">
        <is>
          <t>Orderable now (Y/N)</t>
        </is>
      </c>
      <c r="AX118" s="22" t="inlineStr">
        <is>
          <t>Checked (ET)</t>
        </is>
      </c>
      <c r="AY118" s="22" t="inlineStr">
        <is>
          <t>BFCM 2025 deal type</t>
        </is>
      </c>
      <c r="AZ118" s="22" t="inlineStr">
        <is>
          <t>BFCM 2025 deal dates</t>
        </is>
      </c>
      <c r="BA118" s="22" t="inlineStr">
        <is>
          <t>Pre-event price ($)</t>
        </is>
      </c>
      <c r="BB118" s="22" t="inlineStr">
        <is>
          <t>BFCM 2025 low ($)</t>
        </is>
      </c>
      <c r="BC118" s="22" t="inlineStr">
        <is>
          <t>BFCM 2025 discount</t>
        </is>
      </c>
      <c r="BD118" s="22" t="inlineStr">
        <is>
          <t>BSR pre-event</t>
        </is>
      </c>
      <c r="BE118" s="22" t="inlineStr">
        <is>
          <t>BSR BFCM wk</t>
        </is>
      </c>
      <c r="BF118" s="22" t="inlineStr">
        <is>
          <t>BSR lift (x)</t>
        </is>
      </c>
      <c r="BG118" s="22" t="inlineStr">
        <is>
          <t>OOS in BFCM? (Y/N)</t>
        </is>
      </c>
      <c r="BH118" s="22" t="inlineStr">
        <is>
          <t>Notes</t>
        </is>
      </c>
    </row>
    <row r="119" ht="62" customHeight="1">
      <c r="A119" s="10">
        <f>_xlfn.IMAGE("https://images-na.ssl-images-amazon.com/images/I/91dfner9BkL.jpg")</f>
        <v/>
      </c>
      <c r="B119" s="84" t="inlineStr">
        <is>
          <t>Pure Bamboo</t>
        </is>
      </c>
      <c r="C119" s="32" t="inlineStr">
        <is>
          <t>Pure Bamboo King Sheets, Genuine 100% Organic Viscose Derived from Bamboo Bed Sheet Set, Luxuriously Soft &amp; Cooling, Double Stitching, 2 Year Quality Promise (King, Ivory)</t>
        </is>
      </c>
      <c r="D119" s="84" t="inlineStr">
        <is>
          <t>Aspirational</t>
        </is>
      </c>
      <c r="E119" s="84" t="inlineStr">
        <is>
          <t>B0CZQ52MTQ</t>
        </is>
      </c>
      <c r="F119" s="84" t="inlineStr">
        <is>
          <t>B07DZTQ4JC</t>
        </is>
      </c>
      <c r="G119" s="84" t="inlineStr">
        <is>
          <t>King</t>
        </is>
      </c>
      <c r="H119" s="84" t="inlineStr">
        <is>
          <t>Ivory</t>
        </is>
      </c>
      <c r="I119" s="85" t="n">
        <v>181</v>
      </c>
      <c r="J119" s="32" t="inlineStr">
        <is>
          <t>B07MZ4GKZH (30%), B079RXWGSD (12%), B07DZTQ4JC (11%), B074CHDX7V (10%), B07DZMB498 (5%)</t>
        </is>
      </c>
      <c r="K119" s="86" t="n">
        <v>109.99</v>
      </c>
      <c r="L119" s="86" t="n"/>
      <c r="M119" s="87">
        <f>IF(AND(ISNUMBER(L119),ISNUMBER(K119),N(K119)&gt;0),L119/K119-1,"")</f>
        <v/>
      </c>
      <c r="N119" s="88">
        <f>IF(M119="","No List Price",IF(M119&lt;=0,"At/below price",IF(M119&lt;=0.12,"&lt;=12% STR zone",IF(M119&lt;=0.25,"12-25%","&gt;25% over"))))</f>
        <v/>
      </c>
      <c r="O119" s="86" t="n">
        <v>54.99</v>
      </c>
      <c r="P119" s="89">
        <f>IF(AND(ISNUMBER(K119),ISNUMBER(O119),N(O119)&gt;0),K119/O119-1,"")</f>
        <v/>
      </c>
      <c r="Q119" s="32" t="inlineStr">
        <is>
          <t>vs our blended price (Command Center, Mar 2026 - STALE)</t>
        </is>
      </c>
      <c r="R119" s="85" t="n">
        <v>304</v>
      </c>
      <c r="S119" s="85" t="n">
        <v>809</v>
      </c>
      <c r="T119" s="90">
        <f>IF(AND(ISNUMBER(K119),ISNUMBER(S119)),K119*S119*52/12,"")</f>
        <v/>
      </c>
      <c r="U119" s="91" t="n">
        <v>4.5</v>
      </c>
      <c r="V119" s="85" t="n">
        <v>21927</v>
      </c>
      <c r="W119" s="92" t="n">
        <v>46307</v>
      </c>
      <c r="X119" s="92" t="n">
        <v>43281</v>
      </c>
      <c r="Y119" s="84" t="inlineStr">
        <is>
          <t>FBA</t>
        </is>
      </c>
      <c r="Z119" s="84" t="inlineStr">
        <is>
          <t>US</t>
        </is>
      </c>
      <c r="AA119" s="85" t="n">
        <v>2565055</v>
      </c>
      <c r="AB119" s="85" t="n">
        <v>8283</v>
      </c>
      <c r="AC119" s="93" t="n">
        <v>0.4648594811807159</v>
      </c>
      <c r="AD119" s="93" t="n">
        <v>0.5351407059497737</v>
      </c>
      <c r="AE119" s="32" t="inlineStr">
        <is>
          <t>bamboo sheets</t>
        </is>
      </c>
      <c r="AF119" s="93" t="n">
        <v>0.8806310196077667</v>
      </c>
      <c r="AG119" s="93" t="n">
        <v>0.8210506207469236</v>
      </c>
      <c r="AH119" s="93" t="n">
        <v>0.8831019217911507</v>
      </c>
      <c r="AI119" s="93" t="n">
        <v>0.2663467255088098</v>
      </c>
      <c r="AJ119" s="85" t="n">
        <v>530</v>
      </c>
      <c r="AK119" s="85" t="n">
        <v>6</v>
      </c>
      <c r="AL119" s="85" t="n">
        <v>470</v>
      </c>
      <c r="AM119" s="85" t="n">
        <v>7753</v>
      </c>
      <c r="AN119" s="85" t="n">
        <v>3769</v>
      </c>
      <c r="AO119" s="85" t="n">
        <v>12</v>
      </c>
      <c r="AP119" s="94" t="n">
        <v>1.180104147961932</v>
      </c>
      <c r="AQ119" s="89" t="n">
        <v>1.570823710546574</v>
      </c>
      <c r="AR119" s="95" t="inlineStr">
        <is>
          <t>N</t>
        </is>
      </c>
      <c r="AS119" s="95" t="inlineStr">
        <is>
          <t>none</t>
        </is>
      </c>
      <c r="AT119" s="101" t="n"/>
      <c r="AU119" s="96" t="n">
        <v>109.99</v>
      </c>
      <c r="AV119" s="95" t="inlineStr">
        <is>
          <t>none</t>
        </is>
      </c>
      <c r="AW119" s="95" t="inlineStr">
        <is>
          <t>Y</t>
        </is>
      </c>
      <c r="AX119" s="95" t="inlineStr">
        <is>
          <t>2026-10-13 12:11:16</t>
        </is>
      </c>
      <c r="AY119" s="97" t="inlineStr">
        <is>
          <t>None</t>
        </is>
      </c>
      <c r="AZ119" s="102" t="n"/>
      <c r="BA119" s="98" t="n">
        <v>109.99</v>
      </c>
      <c r="BB119" s="98" t="n">
        <v>109.99</v>
      </c>
      <c r="BC119" s="87">
        <f>IF(AND(ISNUMBER(BA119),ISNUMBER(BB119),N(BA119)&gt;0),1-BB119/BA119,"")</f>
        <v/>
      </c>
      <c r="BD119" s="99" t="n">
        <v>287</v>
      </c>
      <c r="BE119" s="99" t="n">
        <v>598</v>
      </c>
      <c r="BF119" s="100">
        <f>IF(AND(ISNUMBER(BD119),ISNUMBER(BE119),N(BE119)&gt;0),BD119/BE119,"")</f>
        <v/>
      </c>
      <c r="BG119" s="97" t="inlineStr">
        <is>
          <t>N</t>
        </is>
      </c>
      <c r="BH119" s="97" t="inlineStr">
        <is>
          <t>List Price $139.99/$149.99</t>
        </is>
      </c>
    </row>
    <row r="120" ht="62" customHeight="1">
      <c r="A120" s="10">
        <f>_xlfn.IMAGE("https://images-na.ssl-images-amazon.com/images/I/71oEhkRYQ+L.jpg")</f>
        <v/>
      </c>
      <c r="B120" s="84" t="inlineStr">
        <is>
          <t>Hotel Sheets Direct</t>
        </is>
      </c>
      <c r="C120" s="32" t="inlineStr">
        <is>
          <t>Hotel Sheets Direct 4 Piece Bed Sheet Set Queen Size, 100% Viscose Derived from Bamboo Sheets Set with 2 Pillowcases, Cooling &amp; Breathable Luxury Bedding, Moisture-Wicking &amp; Silky Soft Texture, White</t>
        </is>
      </c>
      <c r="D120" s="84" t="inlineStr">
        <is>
          <t>Aspirational</t>
        </is>
      </c>
      <c r="E120" s="84" t="inlineStr">
        <is>
          <t>B0G5N99X9R</t>
        </is>
      </c>
      <c r="F120" s="84" t="inlineStr">
        <is>
          <t>B01N9L2O9P</t>
        </is>
      </c>
      <c r="G120" s="84" t="inlineStr">
        <is>
          <t>Queen</t>
        </is>
      </c>
      <c r="H120" s="84" t="inlineStr">
        <is>
          <t>White</t>
        </is>
      </c>
      <c r="I120" s="85" t="n">
        <v>61</v>
      </c>
      <c r="J120" s="32" t="inlineStr">
        <is>
          <t>B01N9L2O9P (30%), B01N0UB2GO (20%), B072WD91XH (10%), B072WV76WK (6%), B07RJBYJ9L (5%)</t>
        </is>
      </c>
      <c r="K120" s="86" t="n">
        <v>79.98999999999999</v>
      </c>
      <c r="L120" s="86" t="n"/>
      <c r="M120" s="87">
        <f>IF(AND(ISNUMBER(L120),ISNUMBER(K120),N(K120)&gt;0),L120/K120-1,"")</f>
        <v/>
      </c>
      <c r="N120" s="88">
        <f>IF(M120="","No List Price",IF(M120&lt;=0,"At/below price",IF(M120&lt;=0.12,"&lt;=12% STR zone",IF(M120&lt;=0.25,"12-25%","&gt;25% over"))))</f>
        <v/>
      </c>
      <c r="O120" s="86" t="n">
        <v>54.99</v>
      </c>
      <c r="P120" s="89">
        <f>IF(AND(ISNUMBER(K120),ISNUMBER(O120),N(O120)&gt;0),K120/O120-1,"")</f>
        <v/>
      </c>
      <c r="Q120" s="32" t="inlineStr">
        <is>
          <t>vs our blended price (Command Center, Mar 2026 - STALE)</t>
        </is>
      </c>
      <c r="R120" s="85" t="n">
        <v>2984</v>
      </c>
      <c r="S120" s="85" t="n">
        <v>347</v>
      </c>
      <c r="T120" s="90">
        <f>IF(AND(ISNUMBER(K120),ISNUMBER(S120)),K120*S120*52/12,"")</f>
        <v/>
      </c>
      <c r="U120" s="91" t="n">
        <v>4.4</v>
      </c>
      <c r="V120" s="85" t="n">
        <v>37179</v>
      </c>
      <c r="W120" s="92" t="n">
        <v>46307</v>
      </c>
      <c r="X120" s="92" t="n">
        <v>42729</v>
      </c>
      <c r="Y120" s="84" t="inlineStr">
        <is>
          <t>FBA</t>
        </is>
      </c>
      <c r="Z120" s="84" t="inlineStr">
        <is>
          <t>US</t>
        </is>
      </c>
      <c r="AA120" s="85" t="n">
        <v>451969</v>
      </c>
      <c r="AB120" s="85" t="n">
        <v>4094</v>
      </c>
      <c r="AC120" s="93" t="n">
        <v>0.6071584272372669</v>
      </c>
      <c r="AD120" s="93" t="n">
        <v>0.3928415727627336</v>
      </c>
      <c r="AE120" s="32" t="inlineStr">
        <is>
          <t>hotel</t>
        </is>
      </c>
      <c r="AF120" s="93" t="n">
        <v>0.9036371963563873</v>
      </c>
      <c r="AG120" s="93" t="n">
        <v>0.4767871247806819</v>
      </c>
      <c r="AH120" s="93" t="n">
        <v>0.1264024745059949</v>
      </c>
      <c r="AI120" s="93" t="n">
        <v>0.3227168234989568</v>
      </c>
      <c r="AJ120" s="85" t="n">
        <v>508</v>
      </c>
      <c r="AK120" s="85" t="n">
        <v>53</v>
      </c>
      <c r="AL120" s="85" t="n">
        <v>387</v>
      </c>
      <c r="AM120" s="85" t="n">
        <v>3586</v>
      </c>
      <c r="AN120" s="85" t="n">
        <v>929</v>
      </c>
      <c r="AO120" s="85" t="n">
        <v>8</v>
      </c>
      <c r="AP120" s="94" t="n">
        <v>1.799620493358634</v>
      </c>
      <c r="AQ120" s="89" t="n">
        <v>0.004829621679635077</v>
      </c>
      <c r="AR120" s="95" t="inlineStr">
        <is>
          <t>N</t>
        </is>
      </c>
      <c r="AS120" s="95" t="inlineStr">
        <is>
          <t>none</t>
        </is>
      </c>
      <c r="AT120" s="101" t="n"/>
      <c r="AU120" s="96" t="n">
        <v>79.98999999999999</v>
      </c>
      <c r="AV120" s="95" t="inlineStr">
        <is>
          <t>none</t>
        </is>
      </c>
      <c r="AW120" s="95" t="inlineStr">
        <is>
          <t>Y</t>
        </is>
      </c>
      <c r="AX120" s="95" t="inlineStr">
        <is>
          <t>2026-10-13 12:10:54</t>
        </is>
      </c>
      <c r="AY120" s="97" t="inlineStr">
        <is>
          <t>Price cut only</t>
        </is>
      </c>
      <c r="AZ120" s="97" t="inlineStr">
        <is>
          <t>11-20 to 12-01</t>
        </is>
      </c>
      <c r="BA120" s="98" t="n">
        <v>72.98999999999999</v>
      </c>
      <c r="BB120" s="98" t="n">
        <v>57.99</v>
      </c>
      <c r="BC120" s="87">
        <f>IF(AND(ISNUMBER(BA120),ISNUMBER(BB120),N(BA120)&gt;0),1-BB120/BA120,"")</f>
        <v/>
      </c>
      <c r="BD120" s="99" t="n">
        <v>3871</v>
      </c>
      <c r="BE120" s="99" t="n">
        <v>1703</v>
      </c>
      <c r="BF120" s="100">
        <f>IF(AND(ISNUMBER(BD120),ISNUMBER(BE120),N(BE120)&gt;0),BD120/BE120,"")</f>
        <v/>
      </c>
      <c r="BG120" s="97" t="inlineStr">
        <is>
          <t>N</t>
        </is>
      </c>
      <c r="BH120" s="97" t="inlineStr">
        <is>
          <t>Lightning Deal 11-07 to 11-11; Coupon 20% (11-12 to 12-02); List Price $72.99</t>
        </is>
      </c>
    </row>
    <row r="121" ht="62" customHeight="1">
      <c r="A121" s="10">
        <f>_xlfn.IMAGE("https://images-na.ssl-images-amazon.com/images/I/61-LBYlR5KL.jpg")</f>
        <v/>
      </c>
      <c r="B121" s="84" t="inlineStr">
        <is>
          <t>KRIMANO</t>
        </is>
      </c>
      <c r="C121" s="32" t="inlineStr">
        <is>
          <t>KRIMANO Bamboo Viscose Sheet Set King Size, Cooling Sheets Bed Set</t>
        </is>
      </c>
      <c r="D121" s="84" t="inlineStr">
        <is>
          <t>Beatable</t>
        </is>
      </c>
      <c r="E121" s="84" t="inlineStr">
        <is>
          <t>B0FT7L9RSX</t>
        </is>
      </c>
      <c r="F121" s="84" t="inlineStr">
        <is>
          <t>B0FT7LZ2CD</t>
        </is>
      </c>
      <c r="G121" s="84" t="inlineStr">
        <is>
          <t>King</t>
        </is>
      </c>
      <c r="H121" s="84" t="n"/>
      <c r="I121" s="85" t="n">
        <v>43</v>
      </c>
      <c r="J121" s="32" t="inlineStr">
        <is>
          <t>B0FT7LV7PP (47%), B0FT7LZ2CD (42%)</t>
        </is>
      </c>
      <c r="K121" s="86" t="n">
        <v>84.98999999999999</v>
      </c>
      <c r="L121" s="86" t="n"/>
      <c r="M121" s="87">
        <f>IF(AND(ISNUMBER(L121),ISNUMBER(K121),N(K121)&gt;0),L121/K121-1,"")</f>
        <v/>
      </c>
      <c r="N121" s="88">
        <f>IF(M121="","No List Price",IF(M121&lt;=0,"At/below price",IF(M121&lt;=0.12,"&lt;=12% STR zone",IF(M121&lt;=0.25,"12-25%","&gt;25% over"))))</f>
        <v/>
      </c>
      <c r="O121" s="86" t="n">
        <v>54.99</v>
      </c>
      <c r="P121" s="89">
        <f>IF(AND(ISNUMBER(K121),ISNUMBER(O121),N(O121)&gt;0),K121/O121-1,"")</f>
        <v/>
      </c>
      <c r="Q121" s="32" t="inlineStr">
        <is>
          <t>vs our blended price (Command Center, Mar 2026 - STALE)</t>
        </is>
      </c>
      <c r="R121" s="85" t="n">
        <v>5664</v>
      </c>
      <c r="S121" s="85" t="n">
        <v>185</v>
      </c>
      <c r="T121" s="90">
        <f>IF(AND(ISNUMBER(K121),ISNUMBER(S121)),K121*S121*52/12,"")</f>
        <v/>
      </c>
      <c r="U121" s="91" t="n">
        <v>4.5</v>
      </c>
      <c r="V121" s="85" t="n">
        <v>263</v>
      </c>
      <c r="W121" s="92" t="n">
        <v>46307</v>
      </c>
      <c r="X121" s="92" t="n">
        <v>45944</v>
      </c>
      <c r="Y121" s="84" t="inlineStr">
        <is>
          <t>FBA</t>
        </is>
      </c>
      <c r="Z121" s="84" t="inlineStr">
        <is>
          <t>HK</t>
        </is>
      </c>
      <c r="AA121" s="85" t="n">
        <v>334819</v>
      </c>
      <c r="AB121" s="85" t="n">
        <v>2638</v>
      </c>
      <c r="AC121" s="93" t="n">
        <v>0.6137371774003271</v>
      </c>
      <c r="AD121" s="93" t="n">
        <v>0.3862628512718813</v>
      </c>
      <c r="AE121" s="32" t="inlineStr">
        <is>
          <t>bamboo sheets</t>
        </is>
      </c>
      <c r="AF121" s="93" t="n">
        <v>0.9348573408319122</v>
      </c>
      <c r="AG121" s="93" t="n">
        <v>0.3304382367786775</v>
      </c>
      <c r="AH121" s="93" t="n"/>
      <c r="AI121" s="93" t="n">
        <v>0.007908750698138397</v>
      </c>
      <c r="AJ121" s="85" t="n">
        <v>476</v>
      </c>
      <c r="AK121" s="85" t="n">
        <v>78</v>
      </c>
      <c r="AL121" s="85" t="n">
        <v>357</v>
      </c>
      <c r="AM121" s="85" t="n">
        <v>2162</v>
      </c>
      <c r="AN121" s="85" t="n">
        <v>485</v>
      </c>
      <c r="AO121" s="85" t="n">
        <v>10</v>
      </c>
      <c r="AP121" s="94" t="n">
        <v>1.312468450277638</v>
      </c>
      <c r="AQ121" s="89" t="n">
        <v>0.2565502183406114</v>
      </c>
      <c r="AR121" s="95" t="inlineStr">
        <is>
          <t>N</t>
        </is>
      </c>
      <c r="AS121" s="95" t="inlineStr">
        <is>
          <t>none</t>
        </is>
      </c>
      <c r="AT121" s="101" t="n"/>
      <c r="AU121" s="96" t="n">
        <v>84.98999999999999</v>
      </c>
      <c r="AV121" s="95" t="inlineStr">
        <is>
          <t>none</t>
        </is>
      </c>
      <c r="AW121" s="95" t="inlineStr">
        <is>
          <t>Y</t>
        </is>
      </c>
      <c r="AX121" s="95" t="inlineStr">
        <is>
          <t>2026-10-13 12:11:00</t>
        </is>
      </c>
      <c r="AY121" s="97" t="inlineStr">
        <is>
          <t>None</t>
        </is>
      </c>
      <c r="AZ121" s="102" t="n"/>
      <c r="BA121" s="98" t="n">
        <v>72.98999999999999</v>
      </c>
      <c r="BB121" s="98" t="n">
        <v>72.98999999999999</v>
      </c>
      <c r="BC121" s="87">
        <f>IF(AND(ISNUMBER(BA121),ISNUMBER(BB121),N(BA121)&gt;0),1-BB121/BA121,"")</f>
        <v/>
      </c>
      <c r="BD121" s="99" t="n">
        <v>1190634</v>
      </c>
      <c r="BE121" s="99" t="n">
        <v>628461</v>
      </c>
      <c r="BF121" s="100">
        <f>IF(AND(ISNUMBER(BD121),ISNUMBER(BE121),N(BE121)&gt;0),BD121/BE121,"")</f>
        <v/>
      </c>
      <c r="BG121" s="97" t="inlineStr">
        <is>
          <t>N</t>
        </is>
      </c>
      <c r="BH121" s="97" t="inlineStr">
        <is>
          <t>List Price $94.89</t>
        </is>
      </c>
    </row>
    <row r="122" ht="62" customHeight="1">
      <c r="A122" s="10">
        <f>_xlfn.IMAGE("https://images-na.ssl-images-amazon.com/images/I/81svKInu7aL.jpg")</f>
        <v/>
      </c>
      <c r="B122" s="84" t="inlineStr">
        <is>
          <t>Bambaw</t>
        </is>
      </c>
      <c r="C122" s="32" t="inlineStr">
        <is>
          <t>Bambaw 100% Viscose Derived from Bamboo Sheets Queen Size Set – 4pcs Cooling Sheet Set, Super Soft Sheets Queen Size, Luxury Bed Sheets, Deep Pocket Fits Up to 16'' Mattresses (Charcoal)</t>
        </is>
      </c>
      <c r="D122" s="84" t="inlineStr">
        <is>
          <t>Beatable</t>
        </is>
      </c>
      <c r="E122" s="84" t="inlineStr">
        <is>
          <t>B07K6SYX8L</t>
        </is>
      </c>
      <c r="F122" s="84" t="inlineStr">
        <is>
          <t>B0DR99Q37Y</t>
        </is>
      </c>
      <c r="G122" s="84" t="inlineStr">
        <is>
          <t>Queen</t>
        </is>
      </c>
      <c r="H122" s="84" t="inlineStr">
        <is>
          <t>Charcoal</t>
        </is>
      </c>
      <c r="I122" s="85" t="n">
        <v>104</v>
      </c>
      <c r="J122" s="32" t="inlineStr">
        <is>
          <t>B0DR99Q37Y (55%), B0DR98VW37 (10%), B0F2J1742T (7%), B0DR98HVG3 (5%), B0H3BQSQ1X (5%)</t>
        </is>
      </c>
      <c r="K122" s="86" t="n">
        <v>89.98999999999999</v>
      </c>
      <c r="L122" s="86" t="n"/>
      <c r="M122" s="87">
        <f>IF(AND(ISNUMBER(L122),ISNUMBER(K122),N(K122)&gt;0),L122/K122-1,"")</f>
        <v/>
      </c>
      <c r="N122" s="88">
        <f>IF(M122="","No List Price",IF(M122&lt;=0,"At/below price",IF(M122&lt;=0.12,"&lt;=12% STR zone",IF(M122&lt;=0.25,"12-25%","&gt;25% over"))))</f>
        <v/>
      </c>
      <c r="O122" s="86" t="n">
        <v>54.99</v>
      </c>
      <c r="P122" s="89">
        <f>IF(AND(ISNUMBER(K122),ISNUMBER(O122),N(O122)&gt;0),K122/O122-1,"")</f>
        <v/>
      </c>
      <c r="Q122" s="32" t="inlineStr">
        <is>
          <t>vs our blended price (Command Center, Mar 2026 - STALE)</t>
        </is>
      </c>
      <c r="R122" s="85" t="n">
        <v>6971</v>
      </c>
      <c r="S122" s="85" t="n">
        <v>104</v>
      </c>
      <c r="T122" s="90">
        <f>IF(AND(ISNUMBER(K122),ISNUMBER(S122)),K122*S122*52/12,"")</f>
        <v/>
      </c>
      <c r="U122" s="91" t="n">
        <v>4.3</v>
      </c>
      <c r="V122" s="85" t="n">
        <v>2766</v>
      </c>
      <c r="W122" s="92" t="n">
        <v>46307</v>
      </c>
      <c r="X122" s="92" t="n">
        <v>45649</v>
      </c>
      <c r="Y122" s="84" t="inlineStr">
        <is>
          <t>FBA</t>
        </is>
      </c>
      <c r="Z122" s="84" t="inlineStr">
        <is>
          <t>BE</t>
        </is>
      </c>
      <c r="AA122" s="85" t="n">
        <v>407949</v>
      </c>
      <c r="AB122" s="85" t="n">
        <v>2137</v>
      </c>
      <c r="AC122" s="93" t="n">
        <v>0.5037485506766772</v>
      </c>
      <c r="AD122" s="93" t="n">
        <v>0.4962515277645003</v>
      </c>
      <c r="AE122" s="32" t="inlineStr">
        <is>
          <t>bamboo sheets</t>
        </is>
      </c>
      <c r="AF122" s="93" t="n">
        <v>0.8267479513370544</v>
      </c>
      <c r="AG122" s="93" t="n">
        <v>0.000431426477329274</v>
      </c>
      <c r="AH122" s="93" t="n">
        <v>0.3636508485129268</v>
      </c>
      <c r="AI122" s="93" t="n">
        <v>0.003414642516589083</v>
      </c>
      <c r="AJ122" s="85" t="n">
        <v>481</v>
      </c>
      <c r="AK122" s="85" t="n">
        <v>27</v>
      </c>
      <c r="AL122" s="85" t="n">
        <v>398</v>
      </c>
      <c r="AM122" s="85" t="n">
        <v>1656</v>
      </c>
      <c r="AN122" s="85" t="n">
        <v>578</v>
      </c>
      <c r="AO122" s="85" t="n">
        <v>13</v>
      </c>
      <c r="AP122" s="94" t="n">
        <v>1.374474053295933</v>
      </c>
      <c r="AQ122" s="89" t="n">
        <v>1.381825760733639</v>
      </c>
      <c r="AR122" s="95" t="inlineStr">
        <is>
          <t>N</t>
        </is>
      </c>
      <c r="AS122" s="95" t="inlineStr">
        <is>
          <t>none</t>
        </is>
      </c>
      <c r="AT122" s="101" t="n"/>
      <c r="AU122" s="96" t="n">
        <v>89.98999999999999</v>
      </c>
      <c r="AV122" s="95" t="inlineStr">
        <is>
          <t>none</t>
        </is>
      </c>
      <c r="AW122" s="95" t="inlineStr">
        <is>
          <t>Y</t>
        </is>
      </c>
      <c r="AX122" s="95" t="inlineStr">
        <is>
          <t>2026-10-13 12:10:28</t>
        </is>
      </c>
      <c r="AY122" s="97" t="inlineStr">
        <is>
          <t>None</t>
        </is>
      </c>
      <c r="AZ122" s="102" t="n"/>
      <c r="BA122" s="98" t="n">
        <v>89.98999999999999</v>
      </c>
      <c r="BB122" s="98" t="n">
        <v>89.98999999999999</v>
      </c>
      <c r="BC122" s="87">
        <f>IF(AND(ISNUMBER(BA122),ISNUMBER(BB122),N(BA122)&gt;0),1-BB122/BA122,"")</f>
        <v/>
      </c>
      <c r="BD122" s="99" t="n">
        <v>12712</v>
      </c>
      <c r="BE122" s="99" t="n">
        <v>10881</v>
      </c>
      <c r="BF122" s="100">
        <f>IF(AND(ISNUMBER(BD122),ISNUMBER(BE122),N(BE122)&gt;0),BD122/BE122,"")</f>
        <v/>
      </c>
      <c r="BG122" s="97" t="inlineStr">
        <is>
          <t>N</t>
        </is>
      </c>
      <c r="BH122" s="97" t="inlineStr">
        <is>
          <t>List Price $103.45</t>
        </is>
      </c>
    </row>
    <row r="123" ht="62" customHeight="1">
      <c r="A123" s="10">
        <f>_xlfn.IMAGE("https://images-na.ssl-images-amazon.com/images/I/81suQgVR0GL.jpg")</f>
        <v/>
      </c>
      <c r="B123" s="84" t="inlineStr">
        <is>
          <t>Bedsure</t>
        </is>
      </c>
      <c r="C123" s="32" t="inlineStr">
        <is>
          <t>Bedsure PureWoven Organically Grown Bamboo Viscose Queen Sheet Set, 4PCS</t>
        </is>
      </c>
      <c r="D123" s="84" t="inlineStr">
        <is>
          <t>Beatable</t>
        </is>
      </c>
      <c r="E123" s="84" t="inlineStr">
        <is>
          <t>B0FB8XS4D1</t>
        </is>
      </c>
      <c r="F123" s="84" t="inlineStr">
        <is>
          <t>B0FB8XR43Q</t>
        </is>
      </c>
      <c r="G123" s="84" t="inlineStr">
        <is>
          <t>Queen</t>
        </is>
      </c>
      <c r="H123" s="84" t="n"/>
      <c r="I123" s="85" t="n">
        <v>39</v>
      </c>
      <c r="J123" s="32" t="inlineStr">
        <is>
          <t>B0FB8XR43Q (31%), B0FB8ZTD7M (18%), B0GLN6VP9Y (11%), B0FB8YV6C7 (10%), B0FB8Z4GGW (10%)</t>
        </is>
      </c>
      <c r="K123" s="86" t="n">
        <v>89.98999999999999</v>
      </c>
      <c r="L123" s="86" t="n">
        <v>119.99</v>
      </c>
      <c r="M123" s="87">
        <f>IF(AND(ISNUMBER(L123),ISNUMBER(K123),N(K123)&gt;0),L123/K123-1,"")</f>
        <v/>
      </c>
      <c r="N123" s="88">
        <f>IF(M123="","No List Price",IF(M123&lt;=0,"At/below price",IF(M123&lt;=0.12,"&lt;=12% STR zone",IF(M123&lt;=0.25,"12-25%","&gt;25% over"))))</f>
        <v/>
      </c>
      <c r="O123" s="86" t="n">
        <v>54.99</v>
      </c>
      <c r="P123" s="89">
        <f>IF(AND(ISNUMBER(K123),ISNUMBER(O123),N(O123)&gt;0),K123/O123-1,"")</f>
        <v/>
      </c>
      <c r="Q123" s="32" t="inlineStr">
        <is>
          <t>vs our blended price (Command Center, Mar 2026 - STALE)</t>
        </is>
      </c>
      <c r="R123" s="85" t="n">
        <v>8938</v>
      </c>
      <c r="S123" s="85" t="n">
        <v>104</v>
      </c>
      <c r="T123" s="90">
        <f>IF(AND(ISNUMBER(K123),ISNUMBER(S123)),K123*S123*52/12,"")</f>
        <v/>
      </c>
      <c r="U123" s="91" t="n">
        <v>4.5</v>
      </c>
      <c r="V123" s="85" t="n">
        <v>588</v>
      </c>
      <c r="W123" s="92" t="n">
        <v>46307</v>
      </c>
      <c r="X123" s="92" t="n">
        <v>45936</v>
      </c>
      <c r="Y123" s="84" t="inlineStr">
        <is>
          <t>FBA</t>
        </is>
      </c>
      <c r="Z123" s="84" t="inlineStr">
        <is>
          <t>US</t>
        </is>
      </c>
      <c r="AA123" s="85" t="n">
        <v>840292</v>
      </c>
      <c r="AB123" s="85" t="n">
        <v>3961</v>
      </c>
      <c r="AC123" s="93" t="n">
        <v>0.1404099194089678</v>
      </c>
      <c r="AD123" s="93" t="n">
        <v>0.8595901834124341</v>
      </c>
      <c r="AE123" s="32" t="inlineStr">
        <is>
          <t>bamboo sheets</t>
        </is>
      </c>
      <c r="AF123" s="93" t="n">
        <v>0.9284082199997143</v>
      </c>
      <c r="AG123" s="93" t="n">
        <v>0.9843340172225845</v>
      </c>
      <c r="AH123" s="93" t="n">
        <v>0.5269953777972419</v>
      </c>
      <c r="AI123" s="93" t="n">
        <v>0.000478405125837209</v>
      </c>
      <c r="AJ123" s="85" t="n">
        <v>505</v>
      </c>
      <c r="AK123" s="85" t="n">
        <v>20</v>
      </c>
      <c r="AL123" s="85" t="n">
        <v>432</v>
      </c>
      <c r="AM123" s="85" t="n">
        <v>3456</v>
      </c>
      <c r="AN123" s="85" t="n">
        <v>2426</v>
      </c>
      <c r="AO123" s="85" t="n">
        <v>25</v>
      </c>
      <c r="AP123" s="94" t="n">
        <v>1.764832022873481</v>
      </c>
      <c r="AQ123" s="89" t="n">
        <v>-0.09047044632086854</v>
      </c>
      <c r="AR123" s="95" t="inlineStr">
        <is>
          <t>Y</t>
        </is>
      </c>
      <c r="AS123" s="95" t="inlineStr">
        <is>
          <t>List Price</t>
        </is>
      </c>
      <c r="AT123" s="96" t="n">
        <v>119.99</v>
      </c>
      <c r="AU123" s="96" t="n">
        <v>89.98999999999999</v>
      </c>
      <c r="AV123" s="95" t="inlineStr">
        <is>
          <t>none</t>
        </is>
      </c>
      <c r="AW123" s="95" t="inlineStr">
        <is>
          <t>Y</t>
        </is>
      </c>
      <c r="AX123" s="95" t="inlineStr">
        <is>
          <t>2026-10-13 12:10:38</t>
        </is>
      </c>
      <c r="AY123" s="97" t="inlineStr">
        <is>
          <t>Prime Exclusive Discount</t>
        </is>
      </c>
      <c r="AZ123" s="97" t="inlineStr">
        <is>
          <t>11-10 to 12-05</t>
        </is>
      </c>
      <c r="BA123" s="98" t="n">
        <v>99.98999999999999</v>
      </c>
      <c r="BB123" s="98" t="n">
        <v>72.64</v>
      </c>
      <c r="BC123" s="87">
        <f>IF(AND(ISNUMBER(BA123),ISNUMBER(BB123),N(BA123)&gt;0),1-BB123/BA123,"")</f>
        <v/>
      </c>
      <c r="BD123" s="99" t="n">
        <v>53160</v>
      </c>
      <c r="BE123" s="99" t="n">
        <v>53782</v>
      </c>
      <c r="BF123" s="100">
        <f>IF(AND(ISNUMBER(BD123),ISNUMBER(BE123),N(BE123)&gt;0),BD123/BE123,"")</f>
        <v/>
      </c>
      <c r="BG123" s="97" t="inlineStr">
        <is>
          <t>N</t>
        </is>
      </c>
      <c r="BH123" s="97" t="inlineStr">
        <is>
          <t>Prime Exclusive already running before BFCM week; List Price $114.99</t>
        </is>
      </c>
    </row>
    <row r="124" ht="62" customHeight="1">
      <c r="A124" s="10">
        <f>_xlfn.IMAGE("https://images-na.ssl-images-amazon.com/images/I/71sqxa1EquL.jpg")</f>
        <v/>
      </c>
      <c r="B124" s="84" t="inlineStr">
        <is>
          <t>SONORO KATE</t>
        </is>
      </c>
      <c r="C124" s="32" t="inlineStr">
        <is>
          <t>Bamboo Sheets</t>
        </is>
      </c>
      <c r="D124" s="84" t="inlineStr">
        <is>
          <t>Beatable</t>
        </is>
      </c>
      <c r="E124" s="84" t="inlineStr">
        <is>
          <t>B0F4852T9V</t>
        </is>
      </c>
      <c r="F124" s="84" t="inlineStr">
        <is>
          <t>B0F4873G4H</t>
        </is>
      </c>
      <c r="G124" s="84" t="n"/>
      <c r="H124" s="84" t="n"/>
      <c r="I124" s="85" t="n">
        <v>33</v>
      </c>
      <c r="J124" s="32" t="inlineStr">
        <is>
          <t>B0F486MGJ1 (46%), B0F4873G4H (45%)</t>
        </is>
      </c>
      <c r="K124" s="86" t="n">
        <v>79.98999999999999</v>
      </c>
      <c r="L124" s="86" t="n"/>
      <c r="M124" s="87">
        <f>IF(AND(ISNUMBER(L124),ISNUMBER(K124),N(K124)&gt;0),L124/K124-1,"")</f>
        <v/>
      </c>
      <c r="N124" s="88">
        <f>IF(M124="","No List Price",IF(M124&lt;=0,"At/below price",IF(M124&lt;=0.12,"&lt;=12% STR zone",IF(M124&lt;=0.25,"12-25%","&gt;25% over"))))</f>
        <v/>
      </c>
      <c r="O124" s="86" t="n">
        <v>54.99</v>
      </c>
      <c r="P124" s="89">
        <f>IF(AND(ISNUMBER(K124),ISNUMBER(O124),N(O124)&gt;0),K124/O124-1,"")</f>
        <v/>
      </c>
      <c r="Q124" s="32" t="inlineStr">
        <is>
          <t>vs our blended price (Command Center, Mar 2026 - STALE)</t>
        </is>
      </c>
      <c r="R124" s="85" t="n">
        <v>7961</v>
      </c>
      <c r="S124" s="85" t="n">
        <v>104</v>
      </c>
      <c r="T124" s="90">
        <f>IF(AND(ISNUMBER(K124),ISNUMBER(S124)),K124*S124*52/12,"")</f>
        <v/>
      </c>
      <c r="U124" s="91" t="n">
        <v>4.5</v>
      </c>
      <c r="V124" s="85" t="n">
        <v>3776</v>
      </c>
      <c r="W124" s="92" t="n">
        <v>46307</v>
      </c>
      <c r="X124" s="92" t="n"/>
      <c r="Y124" s="84" t="n"/>
      <c r="Z124" s="84" t="n"/>
      <c r="AA124" s="85" t="n">
        <v>185157</v>
      </c>
      <c r="AB124" s="85" t="n">
        <v>1447</v>
      </c>
      <c r="AC124" s="93" t="n">
        <v>0.9776013545261586</v>
      </c>
      <c r="AD124" s="93" t="n">
        <v>0.02239928493116653</v>
      </c>
      <c r="AE124" s="32" t="inlineStr">
        <is>
          <t>bamboo sheets</t>
        </is>
      </c>
      <c r="AF124" s="93" t="n">
        <v>0.4342476924987983</v>
      </c>
      <c r="AG124" s="93" t="n"/>
      <c r="AH124" s="93" t="n"/>
      <c r="AI124" s="93" t="n">
        <v>0.1639959601851402</v>
      </c>
      <c r="AJ124" s="85" t="n">
        <v>402</v>
      </c>
      <c r="AK124" s="85" t="n">
        <v>43</v>
      </c>
      <c r="AL124" s="85" t="n">
        <v>301</v>
      </c>
      <c r="AM124" s="85" t="n">
        <v>1045</v>
      </c>
      <c r="AN124" s="85" t="n">
        <v>120</v>
      </c>
      <c r="AO124" s="85" t="n">
        <v>1</v>
      </c>
      <c r="AP124" s="94" t="n">
        <v>1.314808539478143</v>
      </c>
      <c r="AQ124" s="89" t="n">
        <v>0.6186540731995278</v>
      </c>
      <c r="AR124" s="95" t="inlineStr">
        <is>
          <t>N</t>
        </is>
      </c>
      <c r="AS124" s="95" t="inlineStr">
        <is>
          <t>none</t>
        </is>
      </c>
      <c r="AT124" s="101" t="n"/>
      <c r="AU124" s="96" t="n">
        <v>79.98999999999999</v>
      </c>
      <c r="AV124" s="95" t="inlineStr">
        <is>
          <t>coupon $5</t>
        </is>
      </c>
      <c r="AW124" s="95" t="inlineStr">
        <is>
          <t>Y</t>
        </is>
      </c>
      <c r="AX124" s="95" t="inlineStr">
        <is>
          <t>2026-10-13 12:11:19</t>
        </is>
      </c>
      <c r="AY124" s="97" t="inlineStr">
        <is>
          <t>Prime Exclusive Discount</t>
        </is>
      </c>
      <c r="AZ124" s="97" t="inlineStr">
        <is>
          <t>11-20 to 12-01</t>
        </is>
      </c>
      <c r="BA124" s="98" t="n">
        <v>79.98999999999999</v>
      </c>
      <c r="BB124" s="98" t="n">
        <v>63.99</v>
      </c>
      <c r="BC124" s="87">
        <f>IF(AND(ISNUMBER(BA124),ISNUMBER(BB124),N(BA124)&gt;0),1-BB124/BA124,"")</f>
        <v/>
      </c>
      <c r="BD124" s="99" t="n">
        <v>36662</v>
      </c>
      <c r="BE124" s="99" t="n">
        <v>23612</v>
      </c>
      <c r="BF124" s="100">
        <f>IF(AND(ISNUMBER(BD124),ISNUMBER(BE124),N(BE124)&gt;0),BD124/BE124,"")</f>
        <v/>
      </c>
      <c r="BG124" s="97" t="inlineStr">
        <is>
          <t>N</t>
        </is>
      </c>
      <c r="BH124" s="97" t="inlineStr">
        <is>
          <t>Coupon 15% (11-06 to 11-19); List Price $79.99</t>
        </is>
      </c>
    </row>
    <row r="125" ht="62" customHeight="1">
      <c r="A125" s="10">
        <f>_xlfn.IMAGE("https://images-na.ssl-images-amazon.com/images/I/71Pl57-j67L.jpg")</f>
        <v/>
      </c>
      <c r="B125" s="84" t="inlineStr">
        <is>
          <t>BC BELLA COTERIE</t>
        </is>
      </c>
      <c r="C125" s="32" t="inlineStr">
        <is>
          <t>Bella Coterie Luxury Bamboo Viscose King Size Sheet Set</t>
        </is>
      </c>
      <c r="D125" s="84" t="inlineStr">
        <is>
          <t>Beatable</t>
        </is>
      </c>
      <c r="E125" s="84" t="inlineStr">
        <is>
          <t>B0H29V113N</t>
        </is>
      </c>
      <c r="F125" s="84" t="inlineStr">
        <is>
          <t>B08L86VLZB</t>
        </is>
      </c>
      <c r="G125" s="84" t="inlineStr">
        <is>
          <t>King</t>
        </is>
      </c>
      <c r="H125" s="84" t="n"/>
      <c r="I125" s="85" t="n">
        <v>258</v>
      </c>
      <c r="J125" s="32" t="inlineStr">
        <is>
          <t>B0C979FD5Z (12%), B09JTQMF5C (11%), B08L86VLZB (6%), B08L85SV5Z (5%), B09JV1NG9R (4%)</t>
        </is>
      </c>
      <c r="K125" s="86" t="n">
        <v>134.99</v>
      </c>
      <c r="L125" s="86" t="n"/>
      <c r="M125" s="87">
        <f>IF(AND(ISNUMBER(L125),ISNUMBER(K125),N(K125)&gt;0),L125/K125-1,"")</f>
        <v/>
      </c>
      <c r="N125" s="88">
        <f>IF(M125="","No List Price",IF(M125&lt;=0,"At/below price",IF(M125&lt;=0.12,"&lt;=12% STR zone",IF(M125&lt;=0.25,"12-25%","&gt;25% over"))))</f>
        <v/>
      </c>
      <c r="O125" s="86" t="n">
        <v>54.99</v>
      </c>
      <c r="P125" s="89">
        <f>IF(AND(ISNUMBER(K125),ISNUMBER(O125),N(O125)&gt;0),K125/O125-1,"")</f>
        <v/>
      </c>
      <c r="Q125" s="32" t="inlineStr">
        <is>
          <t>vs our blended price (Command Center, Mar 2026 - STALE)</t>
        </is>
      </c>
      <c r="R125" s="85" t="n">
        <v>1358</v>
      </c>
      <c r="S125" s="85" t="n">
        <v>92</v>
      </c>
      <c r="T125" s="90">
        <f>IF(AND(ISNUMBER(K125),ISNUMBER(S125)),K125*S125*52/12,"")</f>
        <v/>
      </c>
      <c r="U125" s="91" t="n">
        <v>4.4</v>
      </c>
      <c r="V125" s="85" t="n">
        <v>5871</v>
      </c>
      <c r="W125" s="92" t="n">
        <v>46307</v>
      </c>
      <c r="X125" s="92" t="n">
        <v>44154</v>
      </c>
      <c r="Y125" s="84" t="inlineStr">
        <is>
          <t>FBA</t>
        </is>
      </c>
      <c r="Z125" s="84" t="inlineStr">
        <is>
          <t>US</t>
        </is>
      </c>
      <c r="AA125" s="85" t="n">
        <v>591713</v>
      </c>
      <c r="AB125" s="85" t="n">
        <v>5504</v>
      </c>
      <c r="AC125" s="93" t="n">
        <v>0.3622702587234016</v>
      </c>
      <c r="AD125" s="93" t="n">
        <v>0.6377298332130611</v>
      </c>
      <c r="AE125" s="32" t="inlineStr">
        <is>
          <t>bamboo sheets</t>
        </is>
      </c>
      <c r="AF125" s="93" t="n">
        <v>0.9808184035165697</v>
      </c>
      <c r="AG125" s="93" t="n">
        <v>0.5730548424658576</v>
      </c>
      <c r="AH125" s="93" t="n">
        <v>0.5581810776508206</v>
      </c>
      <c r="AI125" s="93" t="n">
        <v>0.03836488297536136</v>
      </c>
      <c r="AJ125" s="85" t="n">
        <v>535</v>
      </c>
      <c r="AK125" s="85" t="n">
        <v>41</v>
      </c>
      <c r="AL125" s="85" t="n">
        <v>420</v>
      </c>
      <c r="AM125" s="85" t="n">
        <v>4969</v>
      </c>
      <c r="AN125" s="85" t="n">
        <v>2425</v>
      </c>
      <c r="AO125" s="85" t="n">
        <v>15</v>
      </c>
      <c r="AP125" s="94" t="n">
        <v>1.778087279480037</v>
      </c>
      <c r="AQ125" s="89" t="n">
        <v>0.3772549019607843</v>
      </c>
      <c r="AR125" s="95" t="inlineStr">
        <is>
          <t>N</t>
        </is>
      </c>
      <c r="AS125" s="95" t="inlineStr">
        <is>
          <t>none</t>
        </is>
      </c>
      <c r="AT125" s="101" t="n"/>
      <c r="AU125" s="96" t="n">
        <v>169.99</v>
      </c>
      <c r="AV125" s="95" t="inlineStr">
        <is>
          <t>none</t>
        </is>
      </c>
      <c r="AW125" s="95" t="inlineStr">
        <is>
          <t>Y</t>
        </is>
      </c>
      <c r="AX125" s="95" t="inlineStr">
        <is>
          <t>2026-10-13 12:14:18</t>
        </is>
      </c>
      <c r="AY125" s="97" t="inlineStr">
        <is>
          <t>Price cut only</t>
        </is>
      </c>
      <c r="AZ125" s="97" t="inlineStr">
        <is>
          <t>11-20 to 12-01</t>
        </is>
      </c>
      <c r="BA125" s="98" t="n">
        <v>134.99</v>
      </c>
      <c r="BB125" s="98" t="n">
        <v>110.5</v>
      </c>
      <c r="BC125" s="87">
        <f>IF(AND(ISNUMBER(BA125),ISNUMBER(BB125),N(BA125)&gt;0),1-BB125/BA125,"")</f>
        <v/>
      </c>
      <c r="BD125" s="99" t="n">
        <v>3072</v>
      </c>
      <c r="BE125" s="99" t="n">
        <v>1155</v>
      </c>
      <c r="BF125" s="100">
        <f>IF(AND(ISNUMBER(BD125),ISNUMBER(BE125),N(BE125)&gt;0),BD125/BE125,"")</f>
        <v/>
      </c>
      <c r="BG125" s="97" t="inlineStr">
        <is>
          <t>N</t>
        </is>
      </c>
      <c r="BH125" s="97" t="inlineStr">
        <is>
          <t>Coupon 20.00 USD (12-03 to 12-05); List Price $169.99</t>
        </is>
      </c>
    </row>
    <row r="126" ht="62" customHeight="1">
      <c r="A126" s="10">
        <f>_xlfn.IMAGE("https://images-na.ssl-images-amazon.com/images/I/61fbapIObwL.jpg")</f>
        <v/>
      </c>
      <c r="B126" s="84" t="inlineStr">
        <is>
          <t>BAMPURE</t>
        </is>
      </c>
      <c r="C126" s="32" t="inlineStr">
        <is>
          <t>BAMPURE 100% Rayon from Bamboo Sheets King Size - 4pc Cooling King Sheets</t>
        </is>
      </c>
      <c r="D126" s="84" t="inlineStr">
        <is>
          <t>Beatable</t>
        </is>
      </c>
      <c r="E126" s="84" t="inlineStr">
        <is>
          <t>B0HC778XB4</t>
        </is>
      </c>
      <c r="F126" s="84" t="inlineStr">
        <is>
          <t>B07XFP6BY2</t>
        </is>
      </c>
      <c r="G126" s="84" t="inlineStr">
        <is>
          <t>King</t>
        </is>
      </c>
      <c r="H126" s="84" t="n"/>
      <c r="I126" s="85" t="n">
        <v>40</v>
      </c>
      <c r="J126" s="32" t="inlineStr">
        <is>
          <t>B07XBJY2JR (65%), B07XFP6BY2 (21%)</t>
        </is>
      </c>
      <c r="K126" s="86" t="n">
        <v>67.98</v>
      </c>
      <c r="L126" s="86" t="n">
        <v>99.98999999999999</v>
      </c>
      <c r="M126" s="87">
        <f>IF(AND(ISNUMBER(L126),ISNUMBER(K126),N(K126)&gt;0),L126/K126-1,"")</f>
        <v/>
      </c>
      <c r="N126" s="88">
        <f>IF(M126="","No List Price",IF(M126&lt;=0,"At/below price",IF(M126&lt;=0.12,"&lt;=12% STR zone",IF(M126&lt;=0.25,"12-25%","&gt;25% over"))))</f>
        <v/>
      </c>
      <c r="O126" s="86" t="n">
        <v>54.99</v>
      </c>
      <c r="P126" s="89">
        <f>IF(AND(ISNUMBER(K126),ISNUMBER(O126),N(O126)&gt;0),K126/O126-1,"")</f>
        <v/>
      </c>
      <c r="Q126" s="32" t="inlineStr">
        <is>
          <t>vs our blended price (Command Center, Mar 2026 - STALE)</t>
        </is>
      </c>
      <c r="R126" s="85" t="n">
        <v>14479</v>
      </c>
      <c r="S126" s="85" t="n">
        <v>81</v>
      </c>
      <c r="T126" s="90">
        <f>IF(AND(ISNUMBER(K126),ISNUMBER(S126)),K126*S126*52/12,"")</f>
        <v/>
      </c>
      <c r="U126" s="91" t="n">
        <v>4.4</v>
      </c>
      <c r="V126" s="85" t="n">
        <v>4095</v>
      </c>
      <c r="W126" s="92" t="n">
        <v>46307</v>
      </c>
      <c r="X126" s="92" t="n">
        <v>43776</v>
      </c>
      <c r="Y126" s="84" t="inlineStr">
        <is>
          <t>FBA</t>
        </is>
      </c>
      <c r="Z126" s="84" t="inlineStr">
        <is>
          <t>US</t>
        </is>
      </c>
      <c r="AA126" s="85" t="n">
        <v>67699</v>
      </c>
      <c r="AB126" s="85" t="n">
        <v>1687</v>
      </c>
      <c r="AC126" s="93" t="n">
        <v>0.8589487052984534</v>
      </c>
      <c r="AD126" s="93" t="n">
        <v>0.1410512947015465</v>
      </c>
      <c r="AE126" s="32" t="inlineStr">
        <is>
          <t>bamboo sheets</t>
        </is>
      </c>
      <c r="AF126" s="93" t="n">
        <v>0.9117121375500377</v>
      </c>
      <c r="AG126" s="93" t="n"/>
      <c r="AH126" s="93" t="n"/>
      <c r="AI126" s="93" t="n"/>
      <c r="AJ126" s="85" t="n">
        <v>455</v>
      </c>
      <c r="AK126" s="85" t="n">
        <v>119</v>
      </c>
      <c r="AL126" s="85" t="n">
        <v>231</v>
      </c>
      <c r="AM126" s="85" t="n">
        <v>1232</v>
      </c>
      <c r="AN126" s="85" t="n">
        <v>290</v>
      </c>
      <c r="AO126" s="85" t="n">
        <v>1</v>
      </c>
      <c r="AP126" s="94" t="n">
        <v>1.016706443914081</v>
      </c>
      <c r="AQ126" s="89" t="n">
        <v>-0.2868217054263565</v>
      </c>
      <c r="AR126" s="95" t="inlineStr">
        <is>
          <t>Y</t>
        </is>
      </c>
      <c r="AS126" s="95" t="inlineStr">
        <is>
          <t>List Price</t>
        </is>
      </c>
      <c r="AT126" s="96" t="n">
        <v>99.98999999999999</v>
      </c>
      <c r="AU126" s="96" t="n">
        <v>67.98</v>
      </c>
      <c r="AV126" s="95" t="inlineStr">
        <is>
          <t>Limited time deal</t>
        </is>
      </c>
      <c r="AW126" s="95" t="inlineStr">
        <is>
          <t>Y</t>
        </is>
      </c>
      <c r="AX126" s="95" t="inlineStr">
        <is>
          <t>2026-10-13 12:10:12</t>
        </is>
      </c>
      <c r="AY126" s="97" t="inlineStr">
        <is>
          <t>Prime Exclusive Discount</t>
        </is>
      </c>
      <c r="AZ126" s="97" t="inlineStr">
        <is>
          <t>11-22 to 12-01</t>
        </is>
      </c>
      <c r="BA126" s="98" t="n">
        <v>84.98999999999999</v>
      </c>
      <c r="BB126" s="98" t="n">
        <v>79.98999999999999</v>
      </c>
      <c r="BC126" s="87">
        <f>IF(AND(ISNUMBER(BA126),ISNUMBER(BB126),N(BA126)&gt;0),1-BB126/BA126,"")</f>
        <v/>
      </c>
      <c r="BD126" s="99" t="n">
        <v>31768</v>
      </c>
      <c r="BE126" s="99" t="n">
        <v>27833</v>
      </c>
      <c r="BF126" s="100">
        <f>IF(AND(ISNUMBER(BD126),ISNUMBER(BE126),N(BE126)&gt;0),BD126/BE126,"")</f>
        <v/>
      </c>
      <c r="BG126" s="97" t="inlineStr">
        <is>
          <t>N</t>
        </is>
      </c>
      <c r="BH126" s="97" t="inlineStr">
        <is>
          <t>Coupon 5.00 USD (11-01 to 11-04); Buy Box RAISED in BFCM week (median $99.99 vs $84.99 before); List Price $99.99</t>
        </is>
      </c>
    </row>
    <row r="127" ht="62" customHeight="1">
      <c r="A127" s="10">
        <f>_xlfn.IMAGE("https://images-na.ssl-images-amazon.com/images/I/71HeTCWM4hL.jpg")</f>
        <v/>
      </c>
      <c r="B127" s="84" t="inlineStr">
        <is>
          <t>SONORO KATE</t>
        </is>
      </c>
      <c r="C127" s="32" t="inlineStr">
        <is>
          <t>SONORO KATE 100% Viscose Derived from Bamboo_Sheets Queen Size,4PC</t>
        </is>
      </c>
      <c r="D127" s="84" t="inlineStr">
        <is>
          <t>Beatable</t>
        </is>
      </c>
      <c r="E127" s="84" t="inlineStr">
        <is>
          <t>B0F29FQLFD</t>
        </is>
      </c>
      <c r="F127" s="84" t="inlineStr">
        <is>
          <t>B0F29F1JM5</t>
        </is>
      </c>
      <c r="G127" s="84" t="inlineStr">
        <is>
          <t>Queen</t>
        </is>
      </c>
      <c r="H127" s="84" t="n"/>
      <c r="I127" s="85" t="n">
        <v>42</v>
      </c>
      <c r="J127" s="32" t="inlineStr">
        <is>
          <t>B0F29F1JM5 (71%), B0F29HFNNS (19%)</t>
        </is>
      </c>
      <c r="K127" s="86" t="n">
        <v>59.99</v>
      </c>
      <c r="L127" s="86" t="n"/>
      <c r="M127" s="87">
        <f>IF(AND(ISNUMBER(L127),ISNUMBER(K127),N(K127)&gt;0),L127/K127-1,"")</f>
        <v/>
      </c>
      <c r="N127" s="88">
        <f>IF(M127="","No List Price",IF(M127&lt;=0,"At/below price",IF(M127&lt;=0.12,"&lt;=12% STR zone",IF(M127&lt;=0.25,"12-25%","&gt;25% over"))))</f>
        <v/>
      </c>
      <c r="O127" s="86" t="n">
        <v>54.99</v>
      </c>
      <c r="P127" s="89">
        <f>IF(AND(ISNUMBER(K127),ISNUMBER(O127),N(O127)&gt;0),K127/O127-1,"")</f>
        <v/>
      </c>
      <c r="Q127" s="32" t="inlineStr">
        <is>
          <t>vs our blended price (Command Center, Mar 2026 - STALE)</t>
        </is>
      </c>
      <c r="R127" s="85" t="n">
        <v>23979</v>
      </c>
      <c r="S127" s="85" t="n">
        <v>81</v>
      </c>
      <c r="T127" s="90">
        <f>IF(AND(ISNUMBER(K127),ISNUMBER(S127)),K127*S127*52/12,"")</f>
        <v/>
      </c>
      <c r="U127" s="91" t="n">
        <v>4.5</v>
      </c>
      <c r="V127" s="85" t="n">
        <v>3911</v>
      </c>
      <c r="W127" s="92" t="n">
        <v>46307</v>
      </c>
      <c r="X127" s="92" t="n">
        <v>45740</v>
      </c>
      <c r="Y127" s="84" t="inlineStr">
        <is>
          <t>FBA</t>
        </is>
      </c>
      <c r="Z127" s="84" t="inlineStr">
        <is>
          <t>CN</t>
        </is>
      </c>
      <c r="AA127" s="85" t="n">
        <v>114504</v>
      </c>
      <c r="AB127" s="85" t="n">
        <v>947</v>
      </c>
      <c r="AC127" s="93" t="n">
        <v>0.8792897182631171</v>
      </c>
      <c r="AD127" s="93" t="n">
        <v>0.1207102817368825</v>
      </c>
      <c r="AE127" s="32" t="inlineStr">
        <is>
          <t>bamboo sheets</t>
        </is>
      </c>
      <c r="AF127" s="93" t="n">
        <v>0.3106878362327953</v>
      </c>
      <c r="AG127" s="93" t="n"/>
      <c r="AH127" s="93" t="n"/>
      <c r="AI127" s="93" t="n">
        <v>0.03587647593097185</v>
      </c>
      <c r="AJ127" s="85" t="n">
        <v>389</v>
      </c>
      <c r="AK127" s="85" t="n">
        <v>45</v>
      </c>
      <c r="AL127" s="85" t="n">
        <v>292</v>
      </c>
      <c r="AM127" s="85" t="n">
        <v>558</v>
      </c>
      <c r="AN127" s="85" t="n">
        <v>87</v>
      </c>
      <c r="AO127" s="85" t="n">
        <v>1</v>
      </c>
      <c r="AP127" s="94" t="n">
        <v>1.095271210013908</v>
      </c>
      <c r="AQ127" s="89" t="n">
        <v>-0.1040240897892143</v>
      </c>
      <c r="AR127" s="95" t="inlineStr">
        <is>
          <t>N</t>
        </is>
      </c>
      <c r="AS127" s="95" t="inlineStr">
        <is>
          <t>none</t>
        </is>
      </c>
      <c r="AT127" s="101" t="n"/>
      <c r="AU127" s="96" t="n">
        <v>59.99</v>
      </c>
      <c r="AV127" s="95" t="inlineStr">
        <is>
          <t>coupon 15%</t>
        </is>
      </c>
      <c r="AW127" s="95" t="inlineStr">
        <is>
          <t>Y</t>
        </is>
      </c>
      <c r="AX127" s="95" t="inlineStr">
        <is>
          <t>2026-10-13 12:11:22</t>
        </is>
      </c>
      <c r="AY127" s="97" t="inlineStr">
        <is>
          <t>Prime Exclusive Discount</t>
        </is>
      </c>
      <c r="AZ127" s="97" t="inlineStr">
        <is>
          <t>11-20 to 12-01</t>
        </is>
      </c>
      <c r="BA127" s="98" t="n">
        <v>59.99</v>
      </c>
      <c r="BB127" s="98" t="n">
        <v>47.99</v>
      </c>
      <c r="BC127" s="87">
        <f>IF(AND(ISNUMBER(BA127),ISNUMBER(BB127),N(BA127)&gt;0),1-BB127/BA127,"")</f>
        <v/>
      </c>
      <c r="BD127" s="99" t="n">
        <v>22774</v>
      </c>
      <c r="BE127" s="99" t="n">
        <v>19002</v>
      </c>
      <c r="BF127" s="100">
        <f>IF(AND(ISNUMBER(BD127),ISNUMBER(BE127),N(BE127)&gt;0),BD127/BE127,"")</f>
        <v/>
      </c>
      <c r="BG127" s="97" t="inlineStr">
        <is>
          <t>N</t>
        </is>
      </c>
      <c r="BH127" s="97" t="inlineStr">
        <is>
          <t>Coupon 10% (11-04 to 12-05); List Price $59.99</t>
        </is>
      </c>
    </row>
    <row r="128" ht="62" customHeight="1">
      <c r="A128" s="10">
        <f>_xlfn.IMAGE("https://images-na.ssl-images-amazon.com/images/I/710aWpCd4AL.jpg")</f>
        <v/>
      </c>
      <c r="B128" s="84" t="inlineStr">
        <is>
          <t>DOZ by SIJO</t>
        </is>
      </c>
      <c r="C128" s="32" t="inlineStr">
        <is>
          <t>Bamboo Sheets</t>
        </is>
      </c>
      <c r="D128" s="84" t="inlineStr">
        <is>
          <t>Beatable</t>
        </is>
      </c>
      <c r="E128" s="84" t="inlineStr">
        <is>
          <t>B0DCZGYVZ9</t>
        </is>
      </c>
      <c r="F128" s="84" t="inlineStr">
        <is>
          <t>B0F24TRXCZ</t>
        </is>
      </c>
      <c r="G128" s="84" t="n"/>
      <c r="H128" s="84" t="n"/>
      <c r="I128" s="85" t="n">
        <v>131</v>
      </c>
      <c r="J128" s="32" t="inlineStr">
        <is>
          <t>B0B8JLLT45 (39%), B0B8JK78HR (6%), B0CS36MKM9 (5%), B0BRWD6PRK (4%), B0B9T44SJV (4%)</t>
        </is>
      </c>
      <c r="K128" s="86" t="n">
        <v>55</v>
      </c>
      <c r="L128" s="86" t="n"/>
      <c r="M128" s="87">
        <f>IF(AND(ISNUMBER(L128),ISNUMBER(K128),N(K128)&gt;0),L128/K128-1,"")</f>
        <v/>
      </c>
      <c r="N128" s="88">
        <f>IF(M128="","No List Price",IF(M128&lt;=0,"At/below price",IF(M128&lt;=0.12,"&lt;=12% STR zone",IF(M128&lt;=0.25,"12-25%","&gt;25% over"))))</f>
        <v/>
      </c>
      <c r="O128" s="86" t="n">
        <v>54.99</v>
      </c>
      <c r="P128" s="89">
        <f>IF(AND(ISNUMBER(K128),ISNUMBER(O128),N(O128)&gt;0),K128/O128-1,"")</f>
        <v/>
      </c>
      <c r="Q128" s="32" t="inlineStr">
        <is>
          <t>vs our blended price (Command Center, Mar 2026 - STALE)</t>
        </is>
      </c>
      <c r="R128" s="85" t="n">
        <v>4051</v>
      </c>
      <c r="S128" s="85" t="n">
        <v>35</v>
      </c>
      <c r="T128" s="90">
        <f>IF(AND(ISNUMBER(K128),ISNUMBER(S128)),K128*S128*52/12,"")</f>
        <v/>
      </c>
      <c r="U128" s="91" t="n">
        <v>4.4</v>
      </c>
      <c r="V128" s="85" t="n">
        <v>1909</v>
      </c>
      <c r="W128" s="92" t="n">
        <v>46307</v>
      </c>
      <c r="X128" s="92" t="n"/>
      <c r="Y128" s="84" t="n"/>
      <c r="Z128" s="84" t="n"/>
      <c r="AA128" s="85" t="n">
        <v>171534</v>
      </c>
      <c r="AB128" s="85" t="n">
        <v>2682</v>
      </c>
      <c r="AC128" s="93" t="n">
        <v>0.5544749851341424</v>
      </c>
      <c r="AD128" s="93" t="n">
        <v>0.4455250335210511</v>
      </c>
      <c r="AE128" s="32" t="inlineStr">
        <is>
          <t>bamboo sheets</t>
        </is>
      </c>
      <c r="AF128" s="93" t="n">
        <v>0.8981426422750008</v>
      </c>
      <c r="AG128" s="93" t="n">
        <v>0.06748516329124256</v>
      </c>
      <c r="AH128" s="93" t="n">
        <v>0.2462310678932456</v>
      </c>
      <c r="AI128" s="93" t="n">
        <v>0.0526193057936036</v>
      </c>
      <c r="AJ128" s="85" t="n">
        <v>486</v>
      </c>
      <c r="AK128" s="85" t="n">
        <v>59</v>
      </c>
      <c r="AL128" s="85" t="n">
        <v>366</v>
      </c>
      <c r="AM128" s="85" t="n">
        <v>2196</v>
      </c>
      <c r="AN128" s="85" t="n">
        <v>803</v>
      </c>
      <c r="AO128" s="85" t="n">
        <v>11</v>
      </c>
      <c r="AP128" s="94" t="n"/>
      <c r="AQ128" s="89" t="n"/>
      <c r="AR128" s="95" t="inlineStr">
        <is>
          <t>N</t>
        </is>
      </c>
      <c r="AS128" s="95" t="inlineStr">
        <is>
          <t>none</t>
        </is>
      </c>
      <c r="AT128" s="101" t="n"/>
      <c r="AU128" s="96" t="n">
        <v>55</v>
      </c>
      <c r="AV128" s="95" t="inlineStr">
        <is>
          <t>none</t>
        </is>
      </c>
      <c r="AW128" s="95" t="inlineStr">
        <is>
          <t>Y</t>
        </is>
      </c>
      <c r="AX128" s="95" t="inlineStr">
        <is>
          <t>2026-10-13 12:10:45</t>
        </is>
      </c>
      <c r="AY128" s="97" t="inlineStr">
        <is>
          <t>None</t>
        </is>
      </c>
      <c r="AZ128" s="102" t="n"/>
      <c r="BA128" s="98" t="n">
        <v>55</v>
      </c>
      <c r="BB128" s="98" t="n">
        <v>55</v>
      </c>
      <c r="BC128" s="87">
        <f>IF(AND(ISNUMBER(BA128),ISNUMBER(BB128),N(BA128)&gt;0),1-BB128/BA128,"")</f>
        <v/>
      </c>
      <c r="BD128" s="99" t="n">
        <v>3634538</v>
      </c>
      <c r="BE128" s="99" t="n">
        <v>3088925</v>
      </c>
      <c r="BF128" s="100">
        <f>IF(AND(ISNUMBER(BD128),ISNUMBER(BE128),N(BE128)&gt;0),BD128/BE128,"")</f>
        <v/>
      </c>
      <c r="BG128" s="97" t="inlineStr">
        <is>
          <t>N</t>
        </is>
      </c>
      <c r="BH128" s="97" t="inlineStr">
        <is>
          <t>List Price $55.00</t>
        </is>
      </c>
    </row>
    <row r="129" ht="62" customHeight="1">
      <c r="A129" s="39" t="inlineStr">
        <is>
          <t>IMAGE MISSING</t>
        </is>
      </c>
      <c r="B129" s="84" t="inlineStr">
        <is>
          <t>AiAngu</t>
        </is>
      </c>
      <c r="C129" s="32" t="inlineStr">
        <is>
          <t>Bamboo Sheets</t>
        </is>
      </c>
      <c r="D129" s="84" t="inlineStr">
        <is>
          <t>Poor</t>
        </is>
      </c>
      <c r="E129" s="84" t="inlineStr">
        <is>
          <t>B0H3KP6R9B</t>
        </is>
      </c>
      <c r="F129" s="84" t="inlineStr">
        <is>
          <t>B0GX15Y7TT</t>
        </is>
      </c>
      <c r="G129" s="84" t="n"/>
      <c r="H129" s="84" t="n"/>
      <c r="I129" s="85" t="n"/>
      <c r="J129" s="32" t="inlineStr"/>
      <c r="K129" s="86" t="n">
        <v>74.98999999999999</v>
      </c>
      <c r="L129" s="86" t="n">
        <v>79.98999999999999</v>
      </c>
      <c r="M129" s="87">
        <f>IF(AND(ISNUMBER(L129),ISNUMBER(K129),N(K129)&gt;0),L129/K129-1,"")</f>
        <v/>
      </c>
      <c r="N129" s="88">
        <f>IF(M129="","No List Price",IF(M129&lt;=0,"At/below price",IF(M129&lt;=0.12,"&lt;=12% STR zone",IF(M129&lt;=0.25,"12-25%","&gt;25% over"))))</f>
        <v/>
      </c>
      <c r="O129" s="86" t="n">
        <v>54.99</v>
      </c>
      <c r="P129" s="89">
        <f>IF(AND(ISNUMBER(K129),ISNUMBER(O129),N(O129)&gt;0),K129/O129-1,"")</f>
        <v/>
      </c>
      <c r="Q129" s="32" t="inlineStr">
        <is>
          <t>vs our blended price (Command Center, Mar 2026 - STALE)</t>
        </is>
      </c>
      <c r="R129" s="85" t="n">
        <v>39296</v>
      </c>
      <c r="S129" s="85" t="n">
        <v>81</v>
      </c>
      <c r="T129" s="90">
        <f>IF(AND(ISNUMBER(K129),ISNUMBER(S129)),K129*S129*52/12,"")</f>
        <v/>
      </c>
      <c r="U129" s="91" t="n">
        <v>4.6</v>
      </c>
      <c r="V129" s="85" t="n">
        <v>121</v>
      </c>
      <c r="W129" s="92" t="n">
        <v>46307</v>
      </c>
      <c r="X129" s="92" t="n"/>
      <c r="Y129" s="84" t="n"/>
      <c r="Z129" s="84" t="n"/>
      <c r="AA129" s="85" t="n"/>
      <c r="AB129" s="85" t="n"/>
      <c r="AC129" s="93" t="n"/>
      <c r="AD129" s="93" t="n"/>
      <c r="AE129" s="32" t="n"/>
      <c r="AF129" s="93" t="n"/>
      <c r="AG129" s="93" t="n"/>
      <c r="AH129" s="93" t="n"/>
      <c r="AI129" s="93" t="n"/>
      <c r="AJ129" s="85" t="n"/>
      <c r="AK129" s="85" t="n"/>
      <c r="AL129" s="85" t="n"/>
      <c r="AM129" s="85" t="n"/>
      <c r="AN129" s="85" t="n"/>
      <c r="AO129" s="85" t="n"/>
      <c r="AP129" s="94" t="n"/>
      <c r="AQ129" s="89" t="n"/>
      <c r="AR129" s="95" t="inlineStr">
        <is>
          <t>Y</t>
        </is>
      </c>
      <c r="AS129" s="95" t="inlineStr">
        <is>
          <t>List Price</t>
        </is>
      </c>
      <c r="AT129" s="96" t="n">
        <v>79.98999999999999</v>
      </c>
      <c r="AU129" s="96" t="n">
        <v>74.98999999999999</v>
      </c>
      <c r="AV129" s="95" t="inlineStr">
        <is>
          <t>coupon 25%</t>
        </is>
      </c>
      <c r="AW129" s="95" t="inlineStr">
        <is>
          <t>Y</t>
        </is>
      </c>
      <c r="AX129" s="95" t="inlineStr">
        <is>
          <t>2026-10-13 23:35:32</t>
        </is>
      </c>
      <c r="AY129" s="97" t="inlineStr">
        <is>
          <t>Not live in 2025</t>
        </is>
      </c>
      <c r="AZ129" s="102" t="n"/>
      <c r="BA129" s="101" t="n"/>
      <c r="BB129" s="101" t="n"/>
      <c r="BC129" s="87">
        <f>IF(AND(ISNUMBER(BA129),ISNUMBER(BB129),N(BA129)&gt;0),1-BB129/BA129,"")</f>
        <v/>
      </c>
      <c r="BD129" s="103" t="n"/>
      <c r="BE129" s="103" t="n"/>
      <c r="BF129" s="100">
        <f>IF(AND(ISNUMBER(BD129),ISNUMBER(BE129),N(BE129)&gt;0),BD129/BE129,"")</f>
        <v/>
      </c>
      <c r="BG129" s="102" t="n"/>
      <c r="BH129" s="102" t="n"/>
    </row>
    <row r="130" ht="62" customHeight="1">
      <c r="A130" s="10">
        <f>_xlfn.IMAGE("https://images-na.ssl-images-amazon.com/images/I/71Kvq1YdGJL.jpg")</f>
        <v/>
      </c>
      <c r="B130" s="84" t="inlineStr">
        <is>
          <t>Cariloha</t>
        </is>
      </c>
      <c r="C130" s="32" t="inlineStr">
        <is>
          <t>Cariloha Aloha Soft Bamboo Viscose Sheet Set - Natural - Queen</t>
        </is>
      </c>
      <c r="D130" s="84" t="inlineStr">
        <is>
          <t>Poor</t>
        </is>
      </c>
      <c r="E130" s="84" t="inlineStr">
        <is>
          <t>B0F89K7BXJ</t>
        </is>
      </c>
      <c r="F130" s="84" t="inlineStr">
        <is>
          <t>B0DJV1K332</t>
        </is>
      </c>
      <c r="G130" s="84" t="inlineStr">
        <is>
          <t>Queen</t>
        </is>
      </c>
      <c r="H130" s="84" t="n"/>
      <c r="I130" s="85" t="n">
        <v>35</v>
      </c>
      <c r="J130" s="32" t="inlineStr"/>
      <c r="K130" s="86" t="n">
        <v>107.1</v>
      </c>
      <c r="L130" s="86" t="n"/>
      <c r="M130" s="87">
        <f>IF(AND(ISNUMBER(L130),ISNUMBER(K130),N(K130)&gt;0),L130/K130-1,"")</f>
        <v/>
      </c>
      <c r="N130" s="88">
        <f>IF(M130="","No List Price",IF(M130&lt;=0,"At/below price",IF(M130&lt;=0.12,"&lt;=12% STR zone",IF(M130&lt;=0.25,"12-25%","&gt;25% over"))))</f>
        <v/>
      </c>
      <c r="O130" s="86" t="n">
        <v>54.99</v>
      </c>
      <c r="P130" s="89">
        <f>IF(AND(ISNUMBER(K130),ISNUMBER(O130),N(O130)&gt;0),K130/O130-1,"")</f>
        <v/>
      </c>
      <c r="Q130" s="32" t="inlineStr">
        <is>
          <t>vs our blended price (Command Center, Mar 2026 - STALE)</t>
        </is>
      </c>
      <c r="R130" s="85" t="n">
        <v>15882</v>
      </c>
      <c r="S130" s="85" t="n">
        <v>81</v>
      </c>
      <c r="T130" s="90">
        <f>IF(AND(ISNUMBER(K130),ISNUMBER(S130)),K130*S130*52/12,"")</f>
        <v/>
      </c>
      <c r="U130" s="91" t="n">
        <v>4.4</v>
      </c>
      <c r="V130" s="85" t="n">
        <v>426</v>
      </c>
      <c r="W130" s="92" t="n">
        <v>46307</v>
      </c>
      <c r="X130" s="92" t="n">
        <v>45575</v>
      </c>
      <c r="Y130" s="84" t="inlineStr">
        <is>
          <t>FBA</t>
        </is>
      </c>
      <c r="Z130" s="84" t="inlineStr">
        <is>
          <t>US</t>
        </is>
      </c>
      <c r="AA130" s="85" t="n"/>
      <c r="AB130" s="85" t="n"/>
      <c r="AC130" s="93" t="n"/>
      <c r="AD130" s="93" t="n"/>
      <c r="AE130" s="32" t="n"/>
      <c r="AF130" s="93" t="n"/>
      <c r="AG130" s="93" t="n"/>
      <c r="AH130" s="93" t="n"/>
      <c r="AI130" s="93" t="n"/>
      <c r="AJ130" s="85" t="n"/>
      <c r="AK130" s="85" t="n"/>
      <c r="AL130" s="85" t="n"/>
      <c r="AM130" s="85" t="n"/>
      <c r="AN130" s="85" t="n"/>
      <c r="AO130" s="85" t="n"/>
      <c r="AP130" s="94" t="n"/>
      <c r="AQ130" s="89" t="n"/>
      <c r="AR130" s="95" t="inlineStr">
        <is>
          <t>Y</t>
        </is>
      </c>
      <c r="AS130" s="95" t="inlineStr">
        <is>
          <t>List Price</t>
        </is>
      </c>
      <c r="AT130" s="96" t="n">
        <v>119</v>
      </c>
      <c r="AU130" s="96" t="n">
        <v>107.1</v>
      </c>
      <c r="AV130" s="95" t="inlineStr">
        <is>
          <t>none</t>
        </is>
      </c>
      <c r="AW130" s="95" t="inlineStr">
        <is>
          <t>Y</t>
        </is>
      </c>
      <c r="AX130" s="95" t="inlineStr">
        <is>
          <t>2026-10-13 23:35:56</t>
        </is>
      </c>
      <c r="AY130" s="97" t="inlineStr">
        <is>
          <t>Prime Exclusive Discount</t>
        </is>
      </c>
      <c r="AZ130" s="97" t="inlineStr">
        <is>
          <t>11-23 to 11-30</t>
        </is>
      </c>
      <c r="BA130" s="98" t="n">
        <v>119</v>
      </c>
      <c r="BB130" s="98" t="n">
        <v>71.40000000000001</v>
      </c>
      <c r="BC130" s="87">
        <f>IF(AND(ISNUMBER(BA130),ISNUMBER(BB130),N(BA130)&gt;0),1-BB130/BA130,"")</f>
        <v/>
      </c>
      <c r="BD130" s="99" t="n">
        <v>52063</v>
      </c>
      <c r="BE130" s="99" t="n">
        <v>37342</v>
      </c>
      <c r="BF130" s="100">
        <f>IF(AND(ISNUMBER(BD130),ISNUMBER(BE130),N(BE130)&gt;0),BD130/BE130,"")</f>
        <v/>
      </c>
      <c r="BG130" s="97" t="inlineStr">
        <is>
          <t>N</t>
        </is>
      </c>
      <c r="BH130" s="97" t="inlineStr">
        <is>
          <t>Coupon 20%, 30% (11-01 to 12-05); List Price $119.00</t>
        </is>
      </c>
    </row>
    <row r="131" ht="62" customHeight="1">
      <c r="A131" s="10">
        <f>_xlfn.IMAGE("https://images-na.ssl-images-amazon.com/images/I/81fSDKgL-SL.jpg")</f>
        <v/>
      </c>
      <c r="B131" s="84" t="inlineStr">
        <is>
          <t>ACCURATEX</t>
        </is>
      </c>
      <c r="C131" s="32" t="inlineStr">
        <is>
          <t>ACCURATEX Cooling Sheets for Hot Sleepers, King Size, Grey</t>
        </is>
      </c>
      <c r="D131" s="84" t="inlineStr">
        <is>
          <t>Poor</t>
        </is>
      </c>
      <c r="E131" s="84" t="inlineStr">
        <is>
          <t>B0GMGSMLQ1</t>
        </is>
      </c>
      <c r="F131" s="84" t="inlineStr">
        <is>
          <t>B09PYB9C45</t>
        </is>
      </c>
      <c r="G131" s="84" t="inlineStr">
        <is>
          <t>King</t>
        </is>
      </c>
      <c r="H131" s="84" t="inlineStr">
        <is>
          <t>Grey</t>
        </is>
      </c>
      <c r="I131" s="85" t="n">
        <v>51</v>
      </c>
      <c r="J131" s="32" t="inlineStr"/>
      <c r="K131" s="86" t="n">
        <v>69.98999999999999</v>
      </c>
      <c r="L131" s="86" t="n"/>
      <c r="M131" s="87">
        <f>IF(AND(ISNUMBER(L131),ISNUMBER(K131),N(K131)&gt;0),L131/K131-1,"")</f>
        <v/>
      </c>
      <c r="N131" s="88">
        <f>IF(M131="","No List Price",IF(M131&lt;=0,"At/below price",IF(M131&lt;=0.12,"&lt;=12% STR zone",IF(M131&lt;=0.25,"12-25%","&gt;25% over"))))</f>
        <v/>
      </c>
      <c r="O131" s="86" t="n">
        <v>54.99</v>
      </c>
      <c r="P131" s="89">
        <f>IF(AND(ISNUMBER(K131),ISNUMBER(O131),N(O131)&gt;0),K131/O131-1,"")</f>
        <v/>
      </c>
      <c r="Q131" s="32" t="inlineStr">
        <is>
          <t>vs our blended price (Command Center, Mar 2026 - STALE)</t>
        </is>
      </c>
      <c r="R131" s="85" t="n">
        <v>33423</v>
      </c>
      <c r="S131" s="85" t="n">
        <v>35</v>
      </c>
      <c r="T131" s="90">
        <f>IF(AND(ISNUMBER(K131),ISNUMBER(S131)),K131*S131*52/12,"")</f>
        <v/>
      </c>
      <c r="U131" s="91" t="n">
        <v>4.4</v>
      </c>
      <c r="V131" s="85" t="n">
        <v>1040</v>
      </c>
      <c r="W131" s="92" t="n">
        <v>46307</v>
      </c>
      <c r="X131" s="92" t="n">
        <v>44681</v>
      </c>
      <c r="Y131" s="84" t="inlineStr">
        <is>
          <t>FBA</t>
        </is>
      </c>
      <c r="Z131" s="84" t="inlineStr">
        <is>
          <t>CN</t>
        </is>
      </c>
      <c r="AA131" s="85" t="n"/>
      <c r="AB131" s="85" t="n"/>
      <c r="AC131" s="93" t="n"/>
      <c r="AD131" s="93" t="n"/>
      <c r="AE131" s="32" t="n"/>
      <c r="AF131" s="93" t="n"/>
      <c r="AG131" s="93" t="n"/>
      <c r="AH131" s="93" t="n"/>
      <c r="AI131" s="93" t="n"/>
      <c r="AJ131" s="85" t="n"/>
      <c r="AK131" s="85" t="n"/>
      <c r="AL131" s="85" t="n"/>
      <c r="AM131" s="85" t="n"/>
      <c r="AN131" s="85" t="n"/>
      <c r="AO131" s="85" t="n"/>
      <c r="AP131" s="94" t="n"/>
      <c r="AQ131" s="89" t="n"/>
      <c r="AR131" s="95" t="inlineStr">
        <is>
          <t>N</t>
        </is>
      </c>
      <c r="AS131" s="95" t="inlineStr">
        <is>
          <t>none</t>
        </is>
      </c>
      <c r="AT131" s="101" t="n"/>
      <c r="AU131" s="96" t="n">
        <v>69.98999999999999</v>
      </c>
      <c r="AV131" s="95" t="inlineStr">
        <is>
          <t>none</t>
        </is>
      </c>
      <c r="AW131" s="95" t="inlineStr">
        <is>
          <t>Y</t>
        </is>
      </c>
      <c r="AX131" s="95" t="inlineStr">
        <is>
          <t>2026-10-13 23:35:28</t>
        </is>
      </c>
      <c r="AY131" s="97" t="inlineStr">
        <is>
          <t>Prime Exclusive Discount</t>
        </is>
      </c>
      <c r="AZ131" s="97" t="inlineStr">
        <is>
          <t>11-26 to 12-01</t>
        </is>
      </c>
      <c r="BA131" s="98" t="n">
        <v>59.49</v>
      </c>
      <c r="BB131" s="98" t="n">
        <v>59.49</v>
      </c>
      <c r="BC131" s="87">
        <f>IF(AND(ISNUMBER(BA131),ISNUMBER(BB131),N(BA131)&gt;0),1-BB131/BA131,"")</f>
        <v/>
      </c>
      <c r="BD131" s="99" t="n">
        <v>33899</v>
      </c>
      <c r="BE131" s="99" t="n">
        <v>51988</v>
      </c>
      <c r="BF131" s="100">
        <f>IF(AND(ISNUMBER(BD131),ISNUMBER(BE131),N(BE131)&gt;0),BD131/BE131,"")</f>
        <v/>
      </c>
      <c r="BG131" s="97" t="inlineStr">
        <is>
          <t>N</t>
        </is>
      </c>
      <c r="BH131" s="97" t="inlineStr">
        <is>
          <t>Lightning Deal 11-13 to 11-13; Buy Box RAISED in BFCM week (median $74.99 vs $69.99 before); List Price $74.99</t>
        </is>
      </c>
    </row>
    <row r="132" ht="62" customHeight="1">
      <c r="A132" s="10">
        <f>_xlfn.IMAGE("https://images-na.ssl-images-amazon.com/images/I/61NbNWE+BJL.jpg")</f>
        <v/>
      </c>
      <c r="B132" s="84" t="inlineStr">
        <is>
          <t>Cozy Earth</t>
        </is>
      </c>
      <c r="C132" s="32" t="inlineStr">
        <is>
          <t>Cozy Earth Luxury Bed Sheet Set, 100% Viscose from Bamboo Fabric</t>
        </is>
      </c>
      <c r="D132" s="84" t="inlineStr">
        <is>
          <t>Poor</t>
        </is>
      </c>
      <c r="E132" s="84" t="inlineStr">
        <is>
          <t>B0DSQ9V4ML</t>
        </is>
      </c>
      <c r="F132" s="84" t="inlineStr">
        <is>
          <t>B0F22JR4S8</t>
        </is>
      </c>
      <c r="G132" s="84" t="n"/>
      <c r="H132" s="84" t="n"/>
      <c r="I132" s="85" t="n">
        <v>54</v>
      </c>
      <c r="J132" s="32" t="inlineStr"/>
      <c r="K132" s="86" t="n">
        <v>328</v>
      </c>
      <c r="L132" s="86" t="n"/>
      <c r="M132" s="87">
        <f>IF(AND(ISNUMBER(L132),ISNUMBER(K132),N(K132)&gt;0),L132/K132-1,"")</f>
        <v/>
      </c>
      <c r="N132" s="88">
        <f>IF(M132="","No List Price",IF(M132&lt;=0,"At/below price",IF(M132&lt;=0.12,"&lt;=12% STR zone",IF(M132&lt;=0.25,"12-25%","&gt;25% over"))))</f>
        <v/>
      </c>
      <c r="O132" s="86" t="n">
        <v>54.99</v>
      </c>
      <c r="P132" s="89">
        <f>IF(AND(ISNUMBER(K132),ISNUMBER(O132),N(O132)&gt;0),K132/O132-1,"")</f>
        <v/>
      </c>
      <c r="Q132" s="32" t="inlineStr">
        <is>
          <t>vs our blended price (Command Center, Mar 2026 - STALE)</t>
        </is>
      </c>
      <c r="R132" s="85" t="n">
        <v>45709</v>
      </c>
      <c r="S132" s="85" t="n">
        <v>35</v>
      </c>
      <c r="T132" s="90">
        <f>IF(AND(ISNUMBER(K132),ISNUMBER(S132)),K132*S132*52/12,"")</f>
        <v/>
      </c>
      <c r="U132" s="91" t="n">
        <v>3.9</v>
      </c>
      <c r="V132" s="85" t="n">
        <v>425</v>
      </c>
      <c r="W132" s="92" t="n">
        <v>46307</v>
      </c>
      <c r="X132" s="92" t="n">
        <v>41624</v>
      </c>
      <c r="Y132" s="84" t="inlineStr">
        <is>
          <t>FBA</t>
        </is>
      </c>
      <c r="Z132" s="84" t="inlineStr">
        <is>
          <t>US</t>
        </is>
      </c>
      <c r="AA132" s="85" t="n"/>
      <c r="AB132" s="85" t="n"/>
      <c r="AC132" s="93" t="n"/>
      <c r="AD132" s="93" t="n"/>
      <c r="AE132" s="32" t="n"/>
      <c r="AF132" s="93" t="n"/>
      <c r="AG132" s="93" t="n"/>
      <c r="AH132" s="93" t="n"/>
      <c r="AI132" s="93" t="n"/>
      <c r="AJ132" s="85" t="n"/>
      <c r="AK132" s="85" t="n"/>
      <c r="AL132" s="85" t="n"/>
      <c r="AM132" s="85" t="n"/>
      <c r="AN132" s="85" t="n"/>
      <c r="AO132" s="85" t="n"/>
      <c r="AP132" s="94" t="n"/>
      <c r="AQ132" s="89" t="n"/>
      <c r="AR132" s="95" t="inlineStr">
        <is>
          <t>N</t>
        </is>
      </c>
      <c r="AS132" s="95" t="inlineStr">
        <is>
          <t>none</t>
        </is>
      </c>
      <c r="AT132" s="101" t="n"/>
      <c r="AU132" s="96" t="n">
        <v>328</v>
      </c>
      <c r="AV132" s="95" t="inlineStr">
        <is>
          <t>none</t>
        </is>
      </c>
      <c r="AW132" s="95" t="inlineStr">
        <is>
          <t>Y</t>
        </is>
      </c>
      <c r="AX132" s="95" t="inlineStr">
        <is>
          <t>2026-10-13 23:36:06</t>
        </is>
      </c>
      <c r="AY132" s="97" t="inlineStr">
        <is>
          <t>Prime Exclusive Discount</t>
        </is>
      </c>
      <c r="AZ132" s="97" t="inlineStr">
        <is>
          <t>11-27 to 12-01</t>
        </is>
      </c>
      <c r="BA132" s="98" t="n">
        <v>262.4</v>
      </c>
      <c r="BB132" s="98" t="n">
        <v>229.6</v>
      </c>
      <c r="BC132" s="87">
        <f>IF(AND(ISNUMBER(BA132),ISNUMBER(BB132),N(BA132)&gt;0),1-BB132/BA132,"")</f>
        <v/>
      </c>
      <c r="BD132" s="99" t="n">
        <v>51830</v>
      </c>
      <c r="BE132" s="99" t="n">
        <v>28404</v>
      </c>
      <c r="BF132" s="100">
        <f>IF(AND(ISNUMBER(BD132),ISNUMBER(BE132),N(BE132)&gt;0),BD132/BE132,"")</f>
        <v/>
      </c>
      <c r="BG132" s="97" t="inlineStr">
        <is>
          <t>N</t>
        </is>
      </c>
      <c r="BH132" s="97" t="inlineStr">
        <is>
          <t>List Price $328.00</t>
        </is>
      </c>
    </row>
    <row r="133" ht="62" customHeight="1">
      <c r="A133" s="10">
        <f>_xlfn.IMAGE("https://images-na.ssl-images-amazon.com/images/I/61iqSV9TaLL.jpg")</f>
        <v/>
      </c>
      <c r="B133" s="84" t="inlineStr">
        <is>
          <t>DREAMCARE</t>
        </is>
      </c>
      <c r="C133" s="32" t="inlineStr">
        <is>
          <t>DREAMCARE 100% Rayon Bamboo Sheets King Size - 4pc Cooling Sheets King Size</t>
        </is>
      </c>
      <c r="D133" s="84" t="inlineStr">
        <is>
          <t>Poor</t>
        </is>
      </c>
      <c r="E133" s="84" t="inlineStr">
        <is>
          <t>B0DVZFLVMG</t>
        </is>
      </c>
      <c r="F133" s="84" t="inlineStr">
        <is>
          <t>B0CF2MND41</t>
        </is>
      </c>
      <c r="G133" s="84" t="inlineStr">
        <is>
          <t>King</t>
        </is>
      </c>
      <c r="H133" s="84" t="n"/>
      <c r="I133" s="85" t="n">
        <v>30</v>
      </c>
      <c r="J133" s="32" t="inlineStr"/>
      <c r="K133" s="86" t="n">
        <v>46.74</v>
      </c>
      <c r="L133" s="86" t="n">
        <v>59.99</v>
      </c>
      <c r="M133" s="87">
        <f>IF(AND(ISNUMBER(L133),ISNUMBER(K133),N(K133)&gt;0),L133/K133-1,"")</f>
        <v/>
      </c>
      <c r="N133" s="88">
        <f>IF(M133="","No List Price",IF(M133&lt;=0,"At/below price",IF(M133&lt;=0.12,"&lt;=12% STR zone",IF(M133&lt;=0.25,"12-25%","&gt;25% over"))))</f>
        <v/>
      </c>
      <c r="O133" s="86" t="n">
        <v>54.99</v>
      </c>
      <c r="P133" s="89">
        <f>IF(AND(ISNUMBER(K133),ISNUMBER(O133),N(O133)&gt;0),K133/O133-1,"")</f>
        <v/>
      </c>
      <c r="Q133" s="32" t="inlineStr">
        <is>
          <t>vs our blended price (Command Center, Mar 2026 - STALE)</t>
        </is>
      </c>
      <c r="R133" s="85" t="n">
        <v>37217</v>
      </c>
      <c r="S133" s="85" t="n">
        <v>35</v>
      </c>
      <c r="T133" s="90">
        <f>IF(AND(ISNUMBER(K133),ISNUMBER(S133)),K133*S133*52/12,"")</f>
        <v/>
      </c>
      <c r="U133" s="91" t="n">
        <v>4.5</v>
      </c>
      <c r="V133" s="85" t="n">
        <v>2261</v>
      </c>
      <c r="W133" s="92" t="n">
        <v>46307</v>
      </c>
      <c r="X133" s="92" t="n">
        <v>45146</v>
      </c>
      <c r="Y133" s="84" t="inlineStr">
        <is>
          <t>FBA</t>
        </is>
      </c>
      <c r="Z133" s="84" t="inlineStr">
        <is>
          <t>US</t>
        </is>
      </c>
      <c r="AA133" s="85" t="n"/>
      <c r="AB133" s="85" t="n"/>
      <c r="AC133" s="93" t="n"/>
      <c r="AD133" s="93" t="n"/>
      <c r="AE133" s="32" t="n"/>
      <c r="AF133" s="93" t="n"/>
      <c r="AG133" s="93" t="n"/>
      <c r="AH133" s="93" t="n"/>
      <c r="AI133" s="93" t="n"/>
      <c r="AJ133" s="85" t="n"/>
      <c r="AK133" s="85" t="n"/>
      <c r="AL133" s="85" t="n"/>
      <c r="AM133" s="85" t="n"/>
      <c r="AN133" s="85" t="n"/>
      <c r="AO133" s="85" t="n"/>
      <c r="AP133" s="94" t="n"/>
      <c r="AQ133" s="89" t="n"/>
      <c r="AR133" s="95" t="inlineStr">
        <is>
          <t>Y</t>
        </is>
      </c>
      <c r="AS133" s="95" t="inlineStr">
        <is>
          <t>List Price</t>
        </is>
      </c>
      <c r="AT133" s="96" t="n">
        <v>59.99</v>
      </c>
      <c r="AU133" s="96" t="n">
        <v>46.74</v>
      </c>
      <c r="AV133" s="95" t="inlineStr">
        <is>
          <t>Limited time deal</t>
        </is>
      </c>
      <c r="AW133" s="95" t="inlineStr">
        <is>
          <t>Y</t>
        </is>
      </c>
      <c r="AX133" s="95" t="inlineStr">
        <is>
          <t>2026-10-13 23:36:12</t>
        </is>
      </c>
      <c r="AY133" s="97" t="inlineStr">
        <is>
          <t>Prime Exclusive Discount</t>
        </is>
      </c>
      <c r="AZ133" s="97" t="inlineStr">
        <is>
          <t>11-22 to 12-01</t>
        </is>
      </c>
      <c r="BA133" s="98" t="n">
        <v>58.99</v>
      </c>
      <c r="BB133" s="98" t="n">
        <v>49.99</v>
      </c>
      <c r="BC133" s="87">
        <f>IF(AND(ISNUMBER(BA133),ISNUMBER(BB133),N(BA133)&gt;0),1-BB133/BA133,"")</f>
        <v/>
      </c>
      <c r="BD133" s="99" t="n">
        <v>209915</v>
      </c>
      <c r="BE133" s="99" t="n">
        <v>169120</v>
      </c>
      <c r="BF133" s="100">
        <f>IF(AND(ISNUMBER(BD133),ISNUMBER(BE133),N(BE133)&gt;0),BD133/BE133,"")</f>
        <v/>
      </c>
      <c r="BG133" s="97" t="inlineStr">
        <is>
          <t>N</t>
        </is>
      </c>
      <c r="BH133" s="97" t="inlineStr">
        <is>
          <t>Buy Box RAISED in BFCM week (median $62.88 vs $58.99 before); List Price $58.99</t>
        </is>
      </c>
    </row>
    <row r="134" ht="62" customHeight="1">
      <c r="A134" s="10">
        <f>_xlfn.IMAGE("https://images-na.ssl-images-amazon.com/images/I/81noqNc+ZjL.jpg")</f>
        <v/>
      </c>
      <c r="B134" s="84" t="inlineStr">
        <is>
          <t>HOT SLEEPER SHEETS</t>
        </is>
      </c>
      <c r="C134" s="32" t="inlineStr">
        <is>
          <t>Cooling Sheets Set Queen Size, Viscose Derived from Bamboo for Hot Sleepers | Deep Pocket Up to 16 Inch | Silky Soft &amp; Breathable Bedding - 4PC (Queen, Navy)</t>
        </is>
      </c>
      <c r="D134" s="84" t="inlineStr">
        <is>
          <t>Poor</t>
        </is>
      </c>
      <c r="E134" s="84" t="inlineStr">
        <is>
          <t>B0DM3GDCTR</t>
        </is>
      </c>
      <c r="F134" s="84" t="inlineStr">
        <is>
          <t>B0D3XQM7DL</t>
        </is>
      </c>
      <c r="G134" s="84" t="inlineStr">
        <is>
          <t>Queen</t>
        </is>
      </c>
      <c r="H134" s="84" t="inlineStr">
        <is>
          <t>Navy</t>
        </is>
      </c>
      <c r="I134" s="85" t="n">
        <v>74</v>
      </c>
      <c r="J134" s="32" t="inlineStr"/>
      <c r="K134" s="86" t="n">
        <v>51.29</v>
      </c>
      <c r="L134" s="86" t="n">
        <v>62.99</v>
      </c>
      <c r="M134" s="87">
        <f>IF(AND(ISNUMBER(L134),ISNUMBER(K134),N(K134)&gt;0),L134/K134-1,"")</f>
        <v/>
      </c>
      <c r="N134" s="88">
        <f>IF(M134="","No List Price",IF(M134&lt;=0,"At/below price",IF(M134&lt;=0.12,"&lt;=12% STR zone",IF(M134&lt;=0.25,"12-25%","&gt;25% over"))))</f>
        <v/>
      </c>
      <c r="O134" s="86" t="n">
        <v>54.99</v>
      </c>
      <c r="P134" s="89">
        <f>IF(AND(ISNUMBER(K134),ISNUMBER(O134),N(O134)&gt;0),K134/O134-1,"")</f>
        <v/>
      </c>
      <c r="Q134" s="32" t="inlineStr">
        <is>
          <t>vs our blended price (Command Center, Mar 2026 - STALE)</t>
        </is>
      </c>
      <c r="R134" s="85" t="n">
        <v>33959</v>
      </c>
      <c r="S134" s="85" t="n">
        <v>35</v>
      </c>
      <c r="T134" s="90">
        <f>IF(AND(ISNUMBER(K134),ISNUMBER(S134)),K134*S134*52/12,"")</f>
        <v/>
      </c>
      <c r="U134" s="91" t="n">
        <v>4.4</v>
      </c>
      <c r="V134" s="85" t="n">
        <v>674</v>
      </c>
      <c r="W134" s="92" t="n">
        <v>46307</v>
      </c>
      <c r="X134" s="92" t="n">
        <v>45423</v>
      </c>
      <c r="Y134" s="84" t="inlineStr">
        <is>
          <t>FBA</t>
        </is>
      </c>
      <c r="Z134" s="84" t="inlineStr">
        <is>
          <t>CN</t>
        </is>
      </c>
      <c r="AA134" s="85" t="n"/>
      <c r="AB134" s="85" t="n"/>
      <c r="AC134" s="93" t="n"/>
      <c r="AD134" s="93" t="n"/>
      <c r="AE134" s="32" t="n"/>
      <c r="AF134" s="93" t="n"/>
      <c r="AG134" s="93" t="n"/>
      <c r="AH134" s="93" t="n"/>
      <c r="AI134" s="93" t="n"/>
      <c r="AJ134" s="85" t="n"/>
      <c r="AK134" s="85" t="n"/>
      <c r="AL134" s="85" t="n"/>
      <c r="AM134" s="85" t="n"/>
      <c r="AN134" s="85" t="n"/>
      <c r="AO134" s="85" t="n"/>
      <c r="AP134" s="94" t="n"/>
      <c r="AQ134" s="89" t="n"/>
      <c r="AR134" s="95" t="inlineStr">
        <is>
          <t>Y</t>
        </is>
      </c>
      <c r="AS134" s="95" t="inlineStr">
        <is>
          <t>Typical price</t>
        </is>
      </c>
      <c r="AT134" s="96" t="n">
        <v>62.99</v>
      </c>
      <c r="AU134" s="96" t="n">
        <v>51.29</v>
      </c>
      <c r="AV134" s="95" t="inlineStr">
        <is>
          <t>Limited time deal</t>
        </is>
      </c>
      <c r="AW134" s="95" t="inlineStr">
        <is>
          <t>Y</t>
        </is>
      </c>
      <c r="AX134" s="95" t="inlineStr">
        <is>
          <t>2026-10-13 23:36:21</t>
        </is>
      </c>
      <c r="AY134" s="97" t="inlineStr">
        <is>
          <t>Price cut only</t>
        </is>
      </c>
      <c r="AZ134" s="97" t="inlineStr">
        <is>
          <t>11-20 to 12-01</t>
        </is>
      </c>
      <c r="BA134" s="98" t="n">
        <v>62.99</v>
      </c>
      <c r="BB134" s="98" t="n">
        <v>45.89</v>
      </c>
      <c r="BC134" s="87">
        <f>IF(AND(ISNUMBER(BA134),ISNUMBER(BB134),N(BA134)&gt;0),1-BB134/BA134,"")</f>
        <v/>
      </c>
      <c r="BD134" s="99" t="n">
        <v>44317</v>
      </c>
      <c r="BE134" s="99" t="n">
        <v>18465</v>
      </c>
      <c r="BF134" s="100">
        <f>IF(AND(ISNUMBER(BD134),ISNUMBER(BE134),N(BE134)&gt;0),BD134/BE134,"")</f>
        <v/>
      </c>
      <c r="BG134" s="97" t="inlineStr">
        <is>
          <t>N</t>
        </is>
      </c>
      <c r="BH134" s="97" t="inlineStr">
        <is>
          <t>List Price $107.98</t>
        </is>
      </c>
    </row>
    <row r="135" ht="62" customHeight="1">
      <c r="A135" s="10">
        <f>_xlfn.IMAGE("https://images-na.ssl-images-amazon.com/images/I/71+O+E9PlaL.jpg")</f>
        <v/>
      </c>
      <c r="B135" s="84" t="inlineStr">
        <is>
          <t>Shilucheng</t>
        </is>
      </c>
      <c r="C135" s="32" t="inlineStr">
        <is>
          <t>Shilucheng 100% Viscose Derived from Bamboo_ Sheets Queen Size 4pcs</t>
        </is>
      </c>
      <c r="D135" s="84" t="inlineStr">
        <is>
          <t>Poor</t>
        </is>
      </c>
      <c r="E135" s="84" t="inlineStr">
        <is>
          <t>B09PYKYCCF</t>
        </is>
      </c>
      <c r="F135" s="84" t="inlineStr">
        <is>
          <t>B09PYKYCCF</t>
        </is>
      </c>
      <c r="G135" s="84" t="inlineStr">
        <is>
          <t>Queen</t>
        </is>
      </c>
      <c r="H135" s="84" t="n"/>
      <c r="I135" s="85" t="n">
        <v>79</v>
      </c>
      <c r="J135" s="32" t="inlineStr"/>
      <c r="K135" s="86" t="n">
        <v>46.66</v>
      </c>
      <c r="L135" s="86" t="n">
        <v>54.9</v>
      </c>
      <c r="M135" s="87">
        <f>IF(AND(ISNUMBER(L135),ISNUMBER(K135),N(K135)&gt;0),L135/K135-1,"")</f>
        <v/>
      </c>
      <c r="N135" s="88">
        <f>IF(M135="","No List Price",IF(M135&lt;=0,"At/below price",IF(M135&lt;=0.12,"&lt;=12% STR zone",IF(M135&lt;=0.25,"12-25%","&gt;25% over"))))</f>
        <v/>
      </c>
      <c r="O135" s="86" t="n">
        <v>54.99</v>
      </c>
      <c r="P135" s="89">
        <f>IF(AND(ISNUMBER(K135),ISNUMBER(O135),N(O135)&gt;0),K135/O135-1,"")</f>
        <v/>
      </c>
      <c r="Q135" s="32" t="inlineStr">
        <is>
          <t>vs our blended price (Command Center, Mar 2026 - STALE)</t>
        </is>
      </c>
      <c r="R135" s="85" t="n">
        <v>26043</v>
      </c>
      <c r="S135" s="85" t="n">
        <v>35</v>
      </c>
      <c r="T135" s="90">
        <f>IF(AND(ISNUMBER(K135),ISNUMBER(S135)),K135*S135*52/12,"")</f>
        <v/>
      </c>
      <c r="U135" s="91" t="n">
        <v>4.4</v>
      </c>
      <c r="V135" s="85" t="n">
        <v>6629</v>
      </c>
      <c r="W135" s="92" t="n">
        <v>46307</v>
      </c>
      <c r="X135" s="92" t="n">
        <v>44652</v>
      </c>
      <c r="Y135" s="84" t="inlineStr">
        <is>
          <t>FBA</t>
        </is>
      </c>
      <c r="Z135" s="84" t="inlineStr">
        <is>
          <t>CN</t>
        </is>
      </c>
      <c r="AA135" s="85" t="n"/>
      <c r="AB135" s="85" t="n"/>
      <c r="AC135" s="93" t="n"/>
      <c r="AD135" s="93" t="n"/>
      <c r="AE135" s="32" t="n"/>
      <c r="AF135" s="93" t="n"/>
      <c r="AG135" s="93" t="n"/>
      <c r="AH135" s="93" t="n"/>
      <c r="AI135" s="93" t="n"/>
      <c r="AJ135" s="85" t="n"/>
      <c r="AK135" s="85" t="n"/>
      <c r="AL135" s="85" t="n"/>
      <c r="AM135" s="85" t="n"/>
      <c r="AN135" s="85" t="n"/>
      <c r="AO135" s="85" t="n"/>
      <c r="AP135" s="94" t="n"/>
      <c r="AQ135" s="89" t="n">
        <v>-0.9774436090225564</v>
      </c>
      <c r="AR135" s="95" t="inlineStr">
        <is>
          <t>Y</t>
        </is>
      </c>
      <c r="AS135" s="95" t="inlineStr">
        <is>
          <t>List Price</t>
        </is>
      </c>
      <c r="AT135" s="96" t="n">
        <v>54.9</v>
      </c>
      <c r="AU135" s="96" t="n">
        <v>46.66</v>
      </c>
      <c r="AV135" s="95" t="inlineStr">
        <is>
          <t>Limited time deal</t>
        </is>
      </c>
      <c r="AW135" s="95" t="inlineStr">
        <is>
          <t>Y</t>
        </is>
      </c>
      <c r="AX135" s="95" t="inlineStr">
        <is>
          <t>2026-10-13 23:36:49</t>
        </is>
      </c>
      <c r="AY135" s="97" t="inlineStr">
        <is>
          <t>Prime Exclusive Discount</t>
        </is>
      </c>
      <c r="AZ135" s="97" t="inlineStr">
        <is>
          <t>11-23 to 12-01</t>
        </is>
      </c>
      <c r="BA135" s="98" t="n">
        <v>54.9</v>
      </c>
      <c r="BB135" s="98" t="n">
        <v>46.64</v>
      </c>
      <c r="BC135" s="87">
        <f>IF(AND(ISNUMBER(BA135),ISNUMBER(BB135),N(BA135)&gt;0),1-BB135/BA135,"")</f>
        <v/>
      </c>
      <c r="BD135" s="99" t="n">
        <v>15970</v>
      </c>
      <c r="BE135" s="99" t="n">
        <v>18592</v>
      </c>
      <c r="BF135" s="100">
        <f>IF(AND(ISNUMBER(BD135),ISNUMBER(BE135),N(BE135)&gt;0),BD135/BE135,"")</f>
        <v/>
      </c>
      <c r="BG135" s="97" t="inlineStr">
        <is>
          <t>N</t>
        </is>
      </c>
      <c r="BH135" s="97" t="inlineStr">
        <is>
          <t>Buy Box RAISED in BFCM week (median $58.30 vs $54.90 before); List Price $59.90</t>
        </is>
      </c>
    </row>
    <row r="136" ht="62" customHeight="1">
      <c r="A136" s="39" t="inlineStr">
        <is>
          <t>IMAGE MISSING</t>
        </is>
      </c>
      <c r="B136" s="84" t="inlineStr">
        <is>
          <t>Bamtek</t>
        </is>
      </c>
      <c r="C136" s="32" t="inlineStr">
        <is>
          <t>Viscose Bamboo Sheets Queen Size 4PC Set - Cooling Bedding for Hot Sleepers with</t>
        </is>
      </c>
      <c r="D136" s="84" t="inlineStr">
        <is>
          <t>Poor</t>
        </is>
      </c>
      <c r="E136" s="84" t="inlineStr">
        <is>
          <t>B0CZHCZQZ3</t>
        </is>
      </c>
      <c r="F136" s="84" t="inlineStr">
        <is>
          <t>B09TQ6ZVKZ</t>
        </is>
      </c>
      <c r="G136" s="84" t="inlineStr">
        <is>
          <t>Queen</t>
        </is>
      </c>
      <c r="H136" s="84" t="n"/>
      <c r="I136" s="85" t="n"/>
      <c r="J136" s="32" t="inlineStr"/>
      <c r="K136" s="86" t="n">
        <v>94.98999999999999</v>
      </c>
      <c r="L136" s="86" t="n"/>
      <c r="M136" s="87">
        <f>IF(AND(ISNUMBER(L136),ISNUMBER(K136),N(K136)&gt;0),L136/K136-1,"")</f>
        <v/>
      </c>
      <c r="N136" s="88">
        <f>IF(M136="","No List Price",IF(M136&lt;=0,"At/below price",IF(M136&lt;=0.12,"&lt;=12% STR zone",IF(M136&lt;=0.25,"12-25%","&gt;25% over"))))</f>
        <v/>
      </c>
      <c r="O136" s="86" t="n">
        <v>54.99</v>
      </c>
      <c r="P136" s="89">
        <f>IF(AND(ISNUMBER(K136),ISNUMBER(O136),N(O136)&gt;0),K136/O136-1,"")</f>
        <v/>
      </c>
      <c r="Q136" s="32" t="inlineStr">
        <is>
          <t>vs our blended price (Command Center, Mar 2026 - STALE)</t>
        </is>
      </c>
      <c r="R136" s="85" t="n">
        <v>79376</v>
      </c>
      <c r="S136" s="85" t="n">
        <v>18</v>
      </c>
      <c r="T136" s="90">
        <f>IF(AND(ISNUMBER(K136),ISNUMBER(S136)),K136*S136*52/12,"")</f>
        <v/>
      </c>
      <c r="U136" s="91" t="n">
        <v>4.4</v>
      </c>
      <c r="V136" s="85" t="n">
        <v>641</v>
      </c>
      <c r="W136" s="92" t="n">
        <v>46307</v>
      </c>
      <c r="X136" s="92" t="n"/>
      <c r="Y136" s="84" t="n"/>
      <c r="Z136" s="84" t="n"/>
      <c r="AA136" s="85" t="n"/>
      <c r="AB136" s="85" t="n"/>
      <c r="AC136" s="93" t="n"/>
      <c r="AD136" s="93" t="n"/>
      <c r="AE136" s="32" t="n"/>
      <c r="AF136" s="93" t="n"/>
      <c r="AG136" s="93" t="n"/>
      <c r="AH136" s="93" t="n"/>
      <c r="AI136" s="93" t="n"/>
      <c r="AJ136" s="85" t="n"/>
      <c r="AK136" s="85" t="n"/>
      <c r="AL136" s="85" t="n"/>
      <c r="AM136" s="85" t="n"/>
      <c r="AN136" s="85" t="n"/>
      <c r="AO136" s="85" t="n"/>
      <c r="AP136" s="94" t="n"/>
      <c r="AQ136" s="89" t="n"/>
      <c r="AR136" s="95" t="inlineStr">
        <is>
          <t>N</t>
        </is>
      </c>
      <c r="AS136" s="95" t="inlineStr">
        <is>
          <t>none</t>
        </is>
      </c>
      <c r="AT136" s="101" t="n"/>
      <c r="AU136" s="96" t="n">
        <v>94.98999999999999</v>
      </c>
      <c r="AV136" s="95" t="inlineStr">
        <is>
          <t>none</t>
        </is>
      </c>
      <c r="AW136" s="95" t="inlineStr">
        <is>
          <t>Y</t>
        </is>
      </c>
      <c r="AX136" s="95" t="inlineStr">
        <is>
          <t>2026-10-13 23:35:47</t>
        </is>
      </c>
      <c r="AY136" s="97" t="inlineStr">
        <is>
          <t>Prime Exclusive Discount</t>
        </is>
      </c>
      <c r="AZ136" s="97" t="inlineStr">
        <is>
          <t>11-24 to 12-01</t>
        </is>
      </c>
      <c r="BA136" s="98" t="n">
        <v>104.99</v>
      </c>
      <c r="BB136" s="98" t="n">
        <v>83.98999999999999</v>
      </c>
      <c r="BC136" s="87">
        <f>IF(AND(ISNUMBER(BA136),ISNUMBER(BB136),N(BA136)&gt;0),1-BB136/BA136,"")</f>
        <v/>
      </c>
      <c r="BD136" s="99" t="n">
        <v>99218</v>
      </c>
      <c r="BE136" s="99" t="n">
        <v>70530</v>
      </c>
      <c r="BF136" s="100">
        <f>IF(AND(ISNUMBER(BD136),ISNUMBER(BE136),N(BE136)&gt;0),BD136/BE136,"")</f>
        <v/>
      </c>
      <c r="BG136" s="97" t="inlineStr">
        <is>
          <t>N</t>
        </is>
      </c>
      <c r="BH136" s="97" t="inlineStr">
        <is>
          <t>Coupon 40.00 USD (11-01 to 11-10); List Price $129.99</t>
        </is>
      </c>
    </row>
    <row r="137" ht="62" customHeight="1">
      <c r="A137" s="10">
        <f>_xlfn.IMAGE("https://images-na.ssl-images-amazon.com/images/I/61imzycbiwL.jpg")</f>
        <v/>
      </c>
      <c r="B137" s="84" t="inlineStr">
        <is>
          <t>JSD</t>
        </is>
      </c>
      <c r="C137" s="32" t="inlineStr">
        <is>
          <t>JSD Sage Green 100% Viscose Derived from Bamboo Cooling Sheet Set Queen</t>
        </is>
      </c>
      <c r="D137" s="84" t="inlineStr">
        <is>
          <t>Poor</t>
        </is>
      </c>
      <c r="E137" s="84" t="inlineStr">
        <is>
          <t>B0DTY15N29</t>
        </is>
      </c>
      <c r="F137" s="84" t="inlineStr">
        <is>
          <t>B0DSZTLBV1</t>
        </is>
      </c>
      <c r="G137" s="84" t="inlineStr">
        <is>
          <t>Queen</t>
        </is>
      </c>
      <c r="H137" s="84" t="inlineStr">
        <is>
          <t>Green</t>
        </is>
      </c>
      <c r="I137" s="85" t="n">
        <v>32</v>
      </c>
      <c r="J137" s="32" t="inlineStr"/>
      <c r="K137" s="86" t="n">
        <v>56.99</v>
      </c>
      <c r="L137" s="86" t="n"/>
      <c r="M137" s="87">
        <f>IF(AND(ISNUMBER(L137),ISNUMBER(K137),N(K137)&gt;0),L137/K137-1,"")</f>
        <v/>
      </c>
      <c r="N137" s="88">
        <f>IF(M137="","No List Price",IF(M137&lt;=0,"At/below price",IF(M137&lt;=0.12,"&lt;=12% STR zone",IF(M137&lt;=0.25,"12-25%","&gt;25% over"))))</f>
        <v/>
      </c>
      <c r="O137" s="86" t="n">
        <v>54.99</v>
      </c>
      <c r="P137" s="89">
        <f>IF(AND(ISNUMBER(K137),ISNUMBER(O137),N(O137)&gt;0),K137/O137-1,"")</f>
        <v/>
      </c>
      <c r="Q137" s="32" t="inlineStr">
        <is>
          <t>vs our blended price (Command Center, Mar 2026 - STALE)</t>
        </is>
      </c>
      <c r="R137" s="85" t="n">
        <v>76312</v>
      </c>
      <c r="S137" s="85" t="n">
        <v>18</v>
      </c>
      <c r="T137" s="90">
        <f>IF(AND(ISNUMBER(K137),ISNUMBER(S137)),K137*S137*52/12,"")</f>
        <v/>
      </c>
      <c r="U137" s="91" t="n">
        <v>4.3</v>
      </c>
      <c r="V137" s="85" t="n">
        <v>281</v>
      </c>
      <c r="W137" s="92" t="n">
        <v>46307</v>
      </c>
      <c r="X137" s="92" t="n">
        <v>45671</v>
      </c>
      <c r="Y137" s="84" t="inlineStr">
        <is>
          <t>FBA</t>
        </is>
      </c>
      <c r="Z137" s="84" t="inlineStr">
        <is>
          <t>CN</t>
        </is>
      </c>
      <c r="AA137" s="85" t="n"/>
      <c r="AB137" s="85" t="n"/>
      <c r="AC137" s="93" t="n"/>
      <c r="AD137" s="93" t="n"/>
      <c r="AE137" s="32" t="n"/>
      <c r="AF137" s="93" t="n"/>
      <c r="AG137" s="93" t="n"/>
      <c r="AH137" s="93" t="n"/>
      <c r="AI137" s="93" t="n"/>
      <c r="AJ137" s="85" t="n"/>
      <c r="AK137" s="85" t="n"/>
      <c r="AL137" s="85" t="n"/>
      <c r="AM137" s="85" t="n"/>
      <c r="AN137" s="85" t="n"/>
      <c r="AO137" s="85" t="n"/>
      <c r="AP137" s="94" t="n"/>
      <c r="AQ137" s="89" t="n"/>
      <c r="AR137" s="95" t="inlineStr">
        <is>
          <t>N</t>
        </is>
      </c>
      <c r="AS137" s="95" t="inlineStr">
        <is>
          <t>none</t>
        </is>
      </c>
      <c r="AT137" s="101" t="n"/>
      <c r="AU137" s="96" t="n">
        <v>56.99</v>
      </c>
      <c r="AV137" s="95" t="inlineStr">
        <is>
          <t>none</t>
        </is>
      </c>
      <c r="AW137" s="95" t="inlineStr">
        <is>
          <t>Y</t>
        </is>
      </c>
      <c r="AX137" s="95" t="inlineStr">
        <is>
          <t>2026-10-13 23:36:24</t>
        </is>
      </c>
      <c r="AY137" s="97" t="inlineStr">
        <is>
          <t>None</t>
        </is>
      </c>
      <c r="AZ137" s="102" t="n"/>
      <c r="BA137" s="98" t="n">
        <v>56.99</v>
      </c>
      <c r="BB137" s="98" t="n">
        <v>56.99</v>
      </c>
      <c r="BC137" s="87">
        <f>IF(AND(ISNUMBER(BA137),ISNUMBER(BB137),N(BA137)&gt;0),1-BB137/BA137,"")</f>
        <v/>
      </c>
      <c r="BD137" s="99" t="n">
        <v>97969</v>
      </c>
      <c r="BE137" s="99" t="n">
        <v>108941</v>
      </c>
      <c r="BF137" s="100">
        <f>IF(AND(ISNUMBER(BD137),ISNUMBER(BE137),N(BE137)&gt;0),BD137/BE137,"")</f>
        <v/>
      </c>
      <c r="BG137" s="97" t="inlineStr">
        <is>
          <t>N</t>
        </is>
      </c>
      <c r="BH137" s="97" t="inlineStr">
        <is>
          <t>Coupon 5% (11-01 to 11-17); List Price $74.99</t>
        </is>
      </c>
    </row>
    <row r="138" ht="62" customHeight="1">
      <c r="A138" s="10">
        <f>_xlfn.IMAGE("https://images-na.ssl-images-amazon.com/images/I/71zrq2AtnUL.jpg")</f>
        <v/>
      </c>
      <c r="B138" s="84" t="inlineStr">
        <is>
          <t>Kickoff Home</t>
        </is>
      </c>
      <c r="C138" s="32" t="inlineStr">
        <is>
          <t>Bamboo Sheets</t>
        </is>
      </c>
      <c r="D138" s="84" t="inlineStr">
        <is>
          <t>Poor</t>
        </is>
      </c>
      <c r="E138" s="84" t="inlineStr">
        <is>
          <t>B0D4KS4MVX</t>
        </is>
      </c>
      <c r="F138" s="84" t="inlineStr">
        <is>
          <t>B0CHN5ZPFH</t>
        </is>
      </c>
      <c r="G138" s="84" t="n"/>
      <c r="H138" s="84" t="n"/>
      <c r="I138" s="85" t="n">
        <v>106</v>
      </c>
      <c r="J138" s="32" t="inlineStr">
        <is>
          <t>B0CHN5ZPFH (27%), B0CHN6N986 (11%), B0G84K7MZQ (9%), B0G84MQQX4 (8%), B0CHN4BSZP (5%)</t>
        </is>
      </c>
      <c r="K138" s="86" t="n">
        <v>76.98999999999999</v>
      </c>
      <c r="L138" s="86" t="n">
        <v>84.98999999999999</v>
      </c>
      <c r="M138" s="87">
        <f>IF(AND(ISNUMBER(L138),ISNUMBER(K138),N(K138)&gt;0),L138/K138-1,"")</f>
        <v/>
      </c>
      <c r="N138" s="88">
        <f>IF(M138="","No List Price",IF(M138&lt;=0,"At/below price",IF(M138&lt;=0.12,"&lt;=12% STR zone",IF(M138&lt;=0.25,"12-25%","&gt;25% over"))))</f>
        <v/>
      </c>
      <c r="O138" s="86" t="n">
        <v>54.99</v>
      </c>
      <c r="P138" s="89">
        <f>IF(AND(ISNUMBER(K138),ISNUMBER(O138),N(O138)&gt;0),K138/O138-1,"")</f>
        <v/>
      </c>
      <c r="Q138" s="32" t="inlineStr">
        <is>
          <t>vs our blended price (Command Center, Mar 2026 - STALE)</t>
        </is>
      </c>
      <c r="R138" s="85" t="n">
        <v>23579</v>
      </c>
      <c r="S138" s="85" t="n">
        <v>18</v>
      </c>
      <c r="T138" s="90">
        <f>IF(AND(ISNUMBER(K138),ISNUMBER(S138)),K138*S138*52/12,"")</f>
        <v/>
      </c>
      <c r="U138" s="91" t="n">
        <v>4.6</v>
      </c>
      <c r="V138" s="85" t="n">
        <v>688</v>
      </c>
      <c r="W138" s="92" t="n">
        <v>46307</v>
      </c>
      <c r="X138" s="92" t="n"/>
      <c r="Y138" s="84" t="n"/>
      <c r="Z138" s="84" t="n"/>
      <c r="AA138" s="85" t="n">
        <v>58169</v>
      </c>
      <c r="AB138" s="85" t="n">
        <v>1164</v>
      </c>
      <c r="AC138" s="93" t="n">
        <v>0.8765498702057799</v>
      </c>
      <c r="AD138" s="93" t="n">
        <v>0.12345023981846</v>
      </c>
      <c r="AE138" s="32" t="inlineStr">
        <is>
          <t>bamboo sheets</t>
        </is>
      </c>
      <c r="AF138" s="93" t="n">
        <v>0.6749987106534409</v>
      </c>
      <c r="AG138" s="93" t="n"/>
      <c r="AH138" s="93" t="n">
        <v>0.08715982739947395</v>
      </c>
      <c r="AI138" s="93" t="n">
        <v>0.0003782083240213859</v>
      </c>
      <c r="AJ138" s="85" t="n">
        <v>393</v>
      </c>
      <c r="AK138" s="85" t="n">
        <v>117</v>
      </c>
      <c r="AL138" s="85" t="n">
        <v>207</v>
      </c>
      <c r="AM138" s="85" t="n">
        <v>771</v>
      </c>
      <c r="AN138" s="85" t="n">
        <v>110</v>
      </c>
      <c r="AO138" s="85" t="n">
        <v>6</v>
      </c>
      <c r="AP138" s="94" t="n"/>
      <c r="AQ138" s="89" t="n"/>
      <c r="AR138" s="95" t="inlineStr">
        <is>
          <t>N</t>
        </is>
      </c>
      <c r="AS138" s="95" t="inlineStr">
        <is>
          <t>none</t>
        </is>
      </c>
      <c r="AT138" s="101" t="n"/>
      <c r="AU138" s="96" t="n">
        <v>86.98999999999999</v>
      </c>
      <c r="AV138" s="95" t="inlineStr">
        <is>
          <t>none</t>
        </is>
      </c>
      <c r="AW138" s="95" t="inlineStr">
        <is>
          <t>Y</t>
        </is>
      </c>
      <c r="AX138" s="95" t="inlineStr">
        <is>
          <t>2026-10-13 23:36:30</t>
        </is>
      </c>
      <c r="AY138" s="97" t="inlineStr">
        <is>
          <t>Price cut only</t>
        </is>
      </c>
      <c r="AZ138" s="97" t="inlineStr">
        <is>
          <t>11-21 to 12-01</t>
        </is>
      </c>
      <c r="BA138" s="98" t="n">
        <v>118.99</v>
      </c>
      <c r="BB138" s="98" t="n">
        <v>79.13</v>
      </c>
      <c r="BC138" s="87">
        <f>IF(AND(ISNUMBER(BA138),ISNUMBER(BB138),N(BA138)&gt;0),1-BB138/BA138,"")</f>
        <v/>
      </c>
      <c r="BD138" s="99" t="n">
        <v>70541</v>
      </c>
      <c r="BE138" s="99" t="n">
        <v>28546</v>
      </c>
      <c r="BF138" s="100">
        <f>IF(AND(ISNUMBER(BD138),ISNUMBER(BE138),N(BE138)&gt;0),BD138/BE138,"")</f>
        <v/>
      </c>
      <c r="BG138" s="97" t="inlineStr">
        <is>
          <t>N</t>
        </is>
      </c>
      <c r="BH138" s="97" t="inlineStr">
        <is>
          <t>Coupon 25% (11-01 to 11-05); List Price $124.99</t>
        </is>
      </c>
    </row>
    <row r="139" ht="62" customHeight="1">
      <c r="A139" s="39" t="inlineStr">
        <is>
          <t>IMAGE MISSING</t>
        </is>
      </c>
      <c r="B139" s="84" t="inlineStr">
        <is>
          <t>LB Luxury Bamboo Market</t>
        </is>
      </c>
      <c r="C139" s="32" t="inlineStr">
        <is>
          <t>Bamboo Sheets</t>
        </is>
      </c>
      <c r="D139" s="84" t="inlineStr">
        <is>
          <t>Poor</t>
        </is>
      </c>
      <c r="E139" s="84" t="inlineStr">
        <is>
          <t>B0D1HWHDL2</t>
        </is>
      </c>
      <c r="F139" s="84" t="inlineStr">
        <is>
          <t>B0CH7N9WVC</t>
        </is>
      </c>
      <c r="G139" s="84" t="n"/>
      <c r="H139" s="84" t="n"/>
      <c r="I139" s="85" t="n"/>
      <c r="J139" s="32" t="inlineStr"/>
      <c r="K139" s="86" t="n">
        <v>129.94</v>
      </c>
      <c r="L139" s="86" t="n"/>
      <c r="M139" s="87">
        <f>IF(AND(ISNUMBER(L139),ISNUMBER(K139),N(K139)&gt;0),L139/K139-1,"")</f>
        <v/>
      </c>
      <c r="N139" s="88">
        <f>IF(M139="","No List Price",IF(M139&lt;=0,"At/below price",IF(M139&lt;=0.12,"&lt;=12% STR zone",IF(M139&lt;=0.25,"12-25%","&gt;25% over"))))</f>
        <v/>
      </c>
      <c r="O139" s="86" t="n">
        <v>54.99</v>
      </c>
      <c r="P139" s="89">
        <f>IF(AND(ISNUMBER(K139),ISNUMBER(O139),N(O139)&gt;0),K139/O139-1,"")</f>
        <v/>
      </c>
      <c r="Q139" s="32" t="inlineStr">
        <is>
          <t>vs our blended price (Command Center, Mar 2026 - STALE)</t>
        </is>
      </c>
      <c r="R139" s="85" t="n">
        <v>47800</v>
      </c>
      <c r="S139" s="85" t="n">
        <v>18</v>
      </c>
      <c r="T139" s="90">
        <f>IF(AND(ISNUMBER(K139),ISNUMBER(S139)),K139*S139*52/12,"")</f>
        <v/>
      </c>
      <c r="U139" s="91" t="n">
        <v>4.5</v>
      </c>
      <c r="V139" s="85" t="n">
        <v>517</v>
      </c>
      <c r="W139" s="92" t="n">
        <v>46307</v>
      </c>
      <c r="X139" s="92" t="n"/>
      <c r="Y139" s="84" t="n"/>
      <c r="Z139" s="84" t="n"/>
      <c r="AA139" s="85" t="n"/>
      <c r="AB139" s="85" t="n"/>
      <c r="AC139" s="93" t="n"/>
      <c r="AD139" s="93" t="n"/>
      <c r="AE139" s="32" t="n"/>
      <c r="AF139" s="93" t="n"/>
      <c r="AG139" s="93" t="n"/>
      <c r="AH139" s="93" t="n"/>
      <c r="AI139" s="93" t="n"/>
      <c r="AJ139" s="85" t="n"/>
      <c r="AK139" s="85" t="n"/>
      <c r="AL139" s="85" t="n"/>
      <c r="AM139" s="85" t="n"/>
      <c r="AN139" s="85" t="n"/>
      <c r="AO139" s="85" t="n"/>
      <c r="AP139" s="94" t="n"/>
      <c r="AQ139" s="89" t="n"/>
      <c r="AR139" s="95" t="inlineStr">
        <is>
          <t>N</t>
        </is>
      </c>
      <c r="AS139" s="95" t="inlineStr">
        <is>
          <t>none</t>
        </is>
      </c>
      <c r="AT139" s="101" t="n"/>
      <c r="AU139" s="96" t="n">
        <v>129.94</v>
      </c>
      <c r="AV139" s="95" t="inlineStr">
        <is>
          <t>none</t>
        </is>
      </c>
      <c r="AW139" s="95" t="inlineStr">
        <is>
          <t>Y</t>
        </is>
      </c>
      <c r="AX139" s="95" t="inlineStr">
        <is>
          <t>2026-10-13 23:36:34</t>
        </is>
      </c>
      <c r="AY139" s="97" t="inlineStr">
        <is>
          <t>Prime Exclusive Discount</t>
        </is>
      </c>
      <c r="AZ139" s="97" t="inlineStr">
        <is>
          <t>11-26 to 12-01</t>
        </is>
      </c>
      <c r="BA139" s="98" t="n">
        <v>119.94</v>
      </c>
      <c r="BB139" s="98" t="n">
        <v>103.95</v>
      </c>
      <c r="BC139" s="87">
        <f>IF(AND(ISNUMBER(BA139),ISNUMBER(BB139),N(BA139)&gt;0),1-BB139/BA139,"")</f>
        <v/>
      </c>
      <c r="BD139" s="99" t="n">
        <v>73868</v>
      </c>
      <c r="BE139" s="99" t="n">
        <v>96746</v>
      </c>
      <c r="BF139" s="100">
        <f>IF(AND(ISNUMBER(BD139),ISNUMBER(BE139),N(BE139)&gt;0),BD139/BE139,"")</f>
        <v/>
      </c>
      <c r="BG139" s="97" t="inlineStr">
        <is>
          <t>N</t>
        </is>
      </c>
      <c r="BH139" s="97" t="inlineStr">
        <is>
          <t>List Price $159.94</t>
        </is>
      </c>
    </row>
    <row r="140" ht="62" customHeight="1">
      <c r="A140" s="10">
        <f>_xlfn.IMAGE("https://images-na.ssl-images-amazon.com/images/I/71NxE1i+4jL.jpg")</f>
        <v/>
      </c>
      <c r="B140" s="84" t="inlineStr">
        <is>
          <t>Shilucheng</t>
        </is>
      </c>
      <c r="C140" s="32" t="inlineStr">
        <is>
          <t>Shilucheng 100% Viscose Derived from Bamboo_Sheets, Extra Deep Pocket</t>
        </is>
      </c>
      <c r="D140" s="84" t="inlineStr">
        <is>
          <t>Poor</t>
        </is>
      </c>
      <c r="E140" s="84" t="inlineStr">
        <is>
          <t>B0F2TBWTZR</t>
        </is>
      </c>
      <c r="F140" s="84" t="inlineStr">
        <is>
          <t>B0F2TBWTZR</t>
        </is>
      </c>
      <c r="G140" s="84" t="n"/>
      <c r="H140" s="84" t="n"/>
      <c r="I140" s="85" t="n">
        <v>32</v>
      </c>
      <c r="J140" s="32" t="inlineStr"/>
      <c r="K140" s="86" t="n">
        <v>69.98999999999999</v>
      </c>
      <c r="L140" s="86" t="n">
        <v>84.98999999999999</v>
      </c>
      <c r="M140" s="87">
        <f>IF(AND(ISNUMBER(L140),ISNUMBER(K140),N(K140)&gt;0),L140/K140-1,"")</f>
        <v/>
      </c>
      <c r="N140" s="88">
        <f>IF(M140="","No List Price",IF(M140&lt;=0,"At/below price",IF(M140&lt;=0.12,"&lt;=12% STR zone",IF(M140&lt;=0.25,"12-25%","&gt;25% over"))))</f>
        <v/>
      </c>
      <c r="O140" s="86" t="n">
        <v>54.99</v>
      </c>
      <c r="P140" s="89">
        <f>IF(AND(ISNUMBER(K140),ISNUMBER(O140),N(O140)&gt;0),K140/O140-1,"")</f>
        <v/>
      </c>
      <c r="Q140" s="32" t="inlineStr">
        <is>
          <t>vs our blended price (Command Center, Mar 2026 - STALE)</t>
        </is>
      </c>
      <c r="R140" s="85" t="n">
        <v>39194</v>
      </c>
      <c r="S140" s="85" t="n">
        <v>18</v>
      </c>
      <c r="T140" s="90">
        <f>IF(AND(ISNUMBER(K140),ISNUMBER(S140)),K140*S140*52/12,"")</f>
        <v/>
      </c>
      <c r="U140" s="91" t="n">
        <v>4.5</v>
      </c>
      <c r="V140" s="85" t="n">
        <v>1639</v>
      </c>
      <c r="W140" s="92" t="n">
        <v>46307</v>
      </c>
      <c r="X140" s="92" t="n">
        <v>45744</v>
      </c>
      <c r="Y140" s="84" t="inlineStr">
        <is>
          <t>FBA</t>
        </is>
      </c>
      <c r="Z140" s="84" t="inlineStr">
        <is>
          <t>CN</t>
        </is>
      </c>
      <c r="AA140" s="85" t="n"/>
      <c r="AB140" s="85" t="n"/>
      <c r="AC140" s="93" t="n"/>
      <c r="AD140" s="93" t="n"/>
      <c r="AE140" s="32" t="n"/>
      <c r="AF140" s="93" t="n"/>
      <c r="AG140" s="93" t="n"/>
      <c r="AH140" s="93" t="n"/>
      <c r="AI140" s="93" t="n"/>
      <c r="AJ140" s="85" t="n"/>
      <c r="AK140" s="85" t="n"/>
      <c r="AL140" s="85" t="n"/>
      <c r="AM140" s="85" t="n"/>
      <c r="AN140" s="85" t="n"/>
      <c r="AO140" s="85" t="n"/>
      <c r="AP140" s="94" t="n"/>
      <c r="AQ140" s="89" t="n">
        <v>-0.9655172413793104</v>
      </c>
      <c r="AR140" s="95" t="inlineStr">
        <is>
          <t>Y</t>
        </is>
      </c>
      <c r="AS140" s="95" t="inlineStr">
        <is>
          <t>List Price</t>
        </is>
      </c>
      <c r="AT140" s="96" t="n">
        <v>84.98999999999999</v>
      </c>
      <c r="AU140" s="96" t="n">
        <v>69.98999999999999</v>
      </c>
      <c r="AV140" s="95" t="inlineStr">
        <is>
          <t>Limited time deal</t>
        </is>
      </c>
      <c r="AW140" s="95" t="inlineStr">
        <is>
          <t>Y</t>
        </is>
      </c>
      <c r="AX140" s="95" t="inlineStr">
        <is>
          <t>2026-10-13 23:36:52</t>
        </is>
      </c>
      <c r="AY140" s="97" t="inlineStr">
        <is>
          <t>Prime Exclusive Discount</t>
        </is>
      </c>
      <c r="AZ140" s="97" t="inlineStr">
        <is>
          <t>11-21 to 12-01</t>
        </is>
      </c>
      <c r="BA140" s="98" t="n">
        <v>84.98999999999999</v>
      </c>
      <c r="BB140" s="98" t="n">
        <v>64.59</v>
      </c>
      <c r="BC140" s="87">
        <f>IF(AND(ISNUMBER(BA140),ISNUMBER(BB140),N(BA140)&gt;0),1-BB140/BA140,"")</f>
        <v/>
      </c>
      <c r="BD140" s="99" t="n">
        <v>28104</v>
      </c>
      <c r="BE140" s="99" t="n">
        <v>38474</v>
      </c>
      <c r="BF140" s="100">
        <f>IF(AND(ISNUMBER(BD140),ISNUMBER(BE140),N(BE140)&gt;0),BD140/BE140,"")</f>
        <v/>
      </c>
      <c r="BG140" s="97" t="inlineStr">
        <is>
          <t>N</t>
        </is>
      </c>
      <c r="BH140" s="97" t="inlineStr">
        <is>
          <t>Coupon 20% (11-02 to 11-12); List Price $84.99</t>
        </is>
      </c>
    </row>
    <row r="141" ht="62" customHeight="1">
      <c r="A141" s="39" t="inlineStr">
        <is>
          <t>IMAGE MISSING</t>
        </is>
      </c>
      <c r="B141" s="84" t="inlineStr">
        <is>
          <t>Bamboo Bay</t>
        </is>
      </c>
      <c r="C141" s="32" t="inlineStr">
        <is>
          <t>Bamboo Sheets</t>
        </is>
      </c>
      <c r="D141" s="84" t="inlineStr">
        <is>
          <t>Poor</t>
        </is>
      </c>
      <c r="E141" s="84" t="inlineStr">
        <is>
          <t>B0DLF1SWJ5</t>
        </is>
      </c>
      <c r="F141" s="84" t="inlineStr">
        <is>
          <t>B07TBHLZJM</t>
        </is>
      </c>
      <c r="G141" s="84" t="n"/>
      <c r="H141" s="84" t="n"/>
      <c r="I141" s="85" t="n"/>
      <c r="J141" s="32" t="inlineStr"/>
      <c r="K141" s="86" t="n">
        <v>79.98</v>
      </c>
      <c r="L141" s="86" t="n"/>
      <c r="M141" s="87">
        <f>IF(AND(ISNUMBER(L141),ISNUMBER(K141),N(K141)&gt;0),L141/K141-1,"")</f>
        <v/>
      </c>
      <c r="N141" s="88">
        <f>IF(M141="","No List Price",IF(M141&lt;=0,"At/below price",IF(M141&lt;=0.12,"&lt;=12% STR zone",IF(M141&lt;=0.25,"12-25%","&gt;25% over"))))</f>
        <v/>
      </c>
      <c r="O141" s="86" t="n">
        <v>54.99</v>
      </c>
      <c r="P141" s="89">
        <f>IF(AND(ISNUMBER(K141),ISNUMBER(O141),N(O141)&gt;0),K141/O141-1,"")</f>
        <v/>
      </c>
      <c r="Q141" s="32" t="inlineStr">
        <is>
          <t>vs our blended price (Command Center, Mar 2026 - STALE)</t>
        </is>
      </c>
      <c r="R141" s="85" t="n">
        <v>131083</v>
      </c>
      <c r="S141" s="85" t="n">
        <v>5</v>
      </c>
      <c r="T141" s="90">
        <f>IF(AND(ISNUMBER(K141),ISNUMBER(S141)),K141*S141*52/12,"")</f>
        <v/>
      </c>
      <c r="U141" s="91" t="n">
        <v>4.5</v>
      </c>
      <c r="V141" s="85" t="n">
        <v>2691</v>
      </c>
      <c r="W141" s="92" t="n">
        <v>46307</v>
      </c>
      <c r="X141" s="92" t="n"/>
      <c r="Y141" s="84" t="n"/>
      <c r="Z141" s="84" t="n"/>
      <c r="AA141" s="85" t="n"/>
      <c r="AB141" s="85" t="n"/>
      <c r="AC141" s="93" t="n"/>
      <c r="AD141" s="93" t="n"/>
      <c r="AE141" s="32" t="n"/>
      <c r="AF141" s="93" t="n"/>
      <c r="AG141" s="93" t="n"/>
      <c r="AH141" s="93" t="n"/>
      <c r="AI141" s="93" t="n"/>
      <c r="AJ141" s="85" t="n"/>
      <c r="AK141" s="85" t="n"/>
      <c r="AL141" s="85" t="n"/>
      <c r="AM141" s="85" t="n"/>
      <c r="AN141" s="85" t="n"/>
      <c r="AO141" s="85" t="n"/>
      <c r="AP141" s="94" t="n"/>
      <c r="AQ141" s="89" t="n"/>
      <c r="AR141" s="95" t="inlineStr">
        <is>
          <t>N</t>
        </is>
      </c>
      <c r="AS141" s="95" t="inlineStr">
        <is>
          <t>none</t>
        </is>
      </c>
      <c r="AT141" s="101" t="n"/>
      <c r="AU141" s="96" t="n">
        <v>79.98</v>
      </c>
      <c r="AV141" s="95" t="inlineStr">
        <is>
          <t>none</t>
        </is>
      </c>
      <c r="AW141" s="95" t="inlineStr">
        <is>
          <t>Y</t>
        </is>
      </c>
      <c r="AX141" s="95" t="inlineStr">
        <is>
          <t>2026-10-13 23:35:44</t>
        </is>
      </c>
      <c r="AY141" s="97" t="inlineStr">
        <is>
          <t>None</t>
        </is>
      </c>
      <c r="AZ141" s="102" t="n"/>
      <c r="BA141" s="98" t="n">
        <v>86.98999999999999</v>
      </c>
      <c r="BB141" s="98" t="n">
        <v>93.48</v>
      </c>
      <c r="BC141" s="87">
        <f>IF(AND(ISNUMBER(BA141),ISNUMBER(BB141),N(BA141)&gt;0),1-BB141/BA141,"")</f>
        <v/>
      </c>
      <c r="BD141" s="99" t="n">
        <v>43439</v>
      </c>
      <c r="BE141" s="99" t="n">
        <v>53047</v>
      </c>
      <c r="BF141" s="100">
        <f>IF(AND(ISNUMBER(BD141),ISNUMBER(BE141),N(BE141)&gt;0),BD141/BE141,"")</f>
        <v/>
      </c>
      <c r="BG141" s="97" t="inlineStr">
        <is>
          <t>N</t>
        </is>
      </c>
      <c r="BH141" s="97" t="inlineStr">
        <is>
          <t>Buy Box RAISED in BFCM week (median $109.98 vs $86.99 before); List Price $129.98</t>
        </is>
      </c>
    </row>
    <row r="142" ht="62" customHeight="1">
      <c r="A142" s="39" t="inlineStr">
        <is>
          <t>IMAGE MISSING</t>
        </is>
      </c>
      <c r="B142" s="84" t="inlineStr">
        <is>
          <t>LBRO2M</t>
        </is>
      </c>
      <c r="C142" s="32" t="inlineStr">
        <is>
          <t>LBRO2M Cooling Bed Sheet 100% Viscose Derived from Bamboo Sheet Set Queen Size 6</t>
        </is>
      </c>
      <c r="D142" s="84" t="inlineStr">
        <is>
          <t>Poor</t>
        </is>
      </c>
      <c r="E142" s="84" t="inlineStr">
        <is>
          <t>B0F9FK3L6J</t>
        </is>
      </c>
      <c r="F142" s="84" t="inlineStr">
        <is>
          <t>B0F9FK7SMW</t>
        </is>
      </c>
      <c r="G142" s="84" t="inlineStr">
        <is>
          <t>Queen</t>
        </is>
      </c>
      <c r="H142" s="84" t="n"/>
      <c r="I142" s="85" t="n"/>
      <c r="J142" s="32" t="inlineStr"/>
      <c r="K142" s="86" t="n">
        <v>94.98999999999999</v>
      </c>
      <c r="L142" s="86" t="n"/>
      <c r="M142" s="87">
        <f>IF(AND(ISNUMBER(L142),ISNUMBER(K142),N(K142)&gt;0),L142/K142-1,"")</f>
        <v/>
      </c>
      <c r="N142" s="88">
        <f>IF(M142="","No List Price",IF(M142&lt;=0,"At/below price",IF(M142&lt;=0.12,"&lt;=12% STR zone",IF(M142&lt;=0.25,"12-25%","&gt;25% over"))))</f>
        <v/>
      </c>
      <c r="O142" s="86" t="n">
        <v>54.99</v>
      </c>
      <c r="P142" s="89">
        <f>IF(AND(ISNUMBER(K142),ISNUMBER(O142),N(O142)&gt;0),K142/O142-1,"")</f>
        <v/>
      </c>
      <c r="Q142" s="32" t="inlineStr">
        <is>
          <t>vs our blended price (Command Center, Mar 2026 - STALE)</t>
        </is>
      </c>
      <c r="R142" s="85" t="n">
        <v>1003118</v>
      </c>
      <c r="S142" s="85" t="n">
        <v>5</v>
      </c>
      <c r="T142" s="90">
        <f>IF(AND(ISNUMBER(K142),ISNUMBER(S142)),K142*S142*52/12,"")</f>
        <v/>
      </c>
      <c r="U142" s="91" t="n">
        <v>4.4</v>
      </c>
      <c r="V142" s="85" t="n">
        <v>18</v>
      </c>
      <c r="W142" s="92" t="n">
        <v>46307</v>
      </c>
      <c r="X142" s="92" t="n"/>
      <c r="Y142" s="84" t="n"/>
      <c r="Z142" s="84" t="n"/>
      <c r="AA142" s="85" t="n"/>
      <c r="AB142" s="85" t="n"/>
      <c r="AC142" s="93" t="n"/>
      <c r="AD142" s="93" t="n"/>
      <c r="AE142" s="32" t="n"/>
      <c r="AF142" s="93" t="n"/>
      <c r="AG142" s="93" t="n"/>
      <c r="AH142" s="93" t="n"/>
      <c r="AI142" s="93" t="n"/>
      <c r="AJ142" s="85" t="n"/>
      <c r="AK142" s="85" t="n"/>
      <c r="AL142" s="85" t="n"/>
      <c r="AM142" s="85" t="n"/>
      <c r="AN142" s="85" t="n"/>
      <c r="AO142" s="85" t="n"/>
      <c r="AP142" s="94" t="n"/>
      <c r="AQ142" s="89" t="n"/>
      <c r="AR142" s="95" t="inlineStr">
        <is>
          <t>N</t>
        </is>
      </c>
      <c r="AS142" s="95" t="inlineStr">
        <is>
          <t>none</t>
        </is>
      </c>
      <c r="AT142" s="101" t="n"/>
      <c r="AU142" s="101" t="n"/>
      <c r="AV142" s="95" t="inlineStr">
        <is>
          <t>none</t>
        </is>
      </c>
      <c r="AW142" s="95" t="inlineStr">
        <is>
          <t>N</t>
        </is>
      </c>
      <c r="AX142" s="95" t="inlineStr">
        <is>
          <t>2026-10-13 23:36:36</t>
        </is>
      </c>
      <c r="AY142" s="97" t="inlineStr">
        <is>
          <t>Prime Exclusive Discount</t>
        </is>
      </c>
      <c r="AZ142" s="97" t="inlineStr">
        <is>
          <t>11-22 to 12-01</t>
        </is>
      </c>
      <c r="BA142" s="98" t="n">
        <v>95.98999999999999</v>
      </c>
      <c r="BB142" s="98" t="n">
        <v>67.19</v>
      </c>
      <c r="BC142" s="87">
        <f>IF(AND(ISNUMBER(BA142),ISNUMBER(BB142),N(BA142)&gt;0),1-BB142/BA142,"")</f>
        <v/>
      </c>
      <c r="BD142" s="99" t="n">
        <v>114176</v>
      </c>
      <c r="BE142" s="99" t="n">
        <v>68746</v>
      </c>
      <c r="BF142" s="100">
        <f>IF(AND(ISNUMBER(BD142),ISNUMBER(BE142),N(BE142)&gt;0),BD142/BE142,"")</f>
        <v/>
      </c>
      <c r="BG142" s="97" t="inlineStr">
        <is>
          <t>N</t>
        </is>
      </c>
      <c r="BH142" s="97" t="inlineStr">
        <is>
          <t>Lightning Deal 11-01 to 11-01; List Price $179.97</t>
        </is>
      </c>
    </row>
    <row r="143" ht="62" customHeight="1">
      <c r="A143" s="10">
        <f>_xlfn.IMAGE("https://images-na.ssl-images-amazon.com/images/I/71gw0WpuNuL.jpg")</f>
        <v/>
      </c>
      <c r="B143" s="84" t="inlineStr">
        <is>
          <t>TWK</t>
        </is>
      </c>
      <c r="C143" s="32" t="inlineStr">
        <is>
          <t>TWK Luxury Sheet Set, Genuine 100% Organic Viscose Derived from Bamboo, Cooling &amp; Breathable, Silky Soft, Bedding Sheets &amp; Pillowcases (Mist Gray, King)</t>
        </is>
      </c>
      <c r="D143" s="84" t="inlineStr">
        <is>
          <t>Poor</t>
        </is>
      </c>
      <c r="E143" s="84" t="inlineStr">
        <is>
          <t>B0DYT2QWLC</t>
        </is>
      </c>
      <c r="F143" s="84" t="inlineStr">
        <is>
          <t>B0DYT2QWLC</t>
        </is>
      </c>
      <c r="G143" s="84" t="inlineStr">
        <is>
          <t>King</t>
        </is>
      </c>
      <c r="H143" s="84" t="inlineStr">
        <is>
          <t>Mist Gray</t>
        </is>
      </c>
      <c r="I143" s="85" t="n">
        <v>1</v>
      </c>
      <c r="J143" s="32" t="inlineStr"/>
      <c r="K143" s="86" t="n">
        <v>109.99</v>
      </c>
      <c r="L143" s="86" t="n"/>
      <c r="M143" s="87">
        <f>IF(AND(ISNUMBER(L143),ISNUMBER(K143),N(K143)&gt;0),L143/K143-1,"")</f>
        <v/>
      </c>
      <c r="N143" s="88">
        <f>IF(M143="","No List Price",IF(M143&lt;=0,"At/below price",IF(M143&lt;=0.12,"&lt;=12% STR zone",IF(M143&lt;=0.25,"12-25%","&gt;25% over"))))</f>
        <v/>
      </c>
      <c r="O143" s="86" t="n">
        <v>54.99</v>
      </c>
      <c r="P143" s="89">
        <f>IF(AND(ISNUMBER(K143),ISNUMBER(O143),N(O143)&gt;0),K143/O143-1,"")</f>
        <v/>
      </c>
      <c r="Q143" s="32" t="inlineStr">
        <is>
          <t>vs our blended price (Command Center, Mar 2026 - STALE)</t>
        </is>
      </c>
      <c r="R143" s="85" t="n">
        <v>1506045</v>
      </c>
      <c r="S143" s="85" t="n">
        <v>5</v>
      </c>
      <c r="T143" s="90">
        <f>IF(AND(ISNUMBER(K143),ISNUMBER(S143)),K143*S143*52/12,"")</f>
        <v/>
      </c>
      <c r="U143" s="91" t="n">
        <v>4.5</v>
      </c>
      <c r="V143" s="85" t="n">
        <v>39</v>
      </c>
      <c r="W143" s="92" t="n">
        <v>46307</v>
      </c>
      <c r="X143" s="92" t="n">
        <v>45716</v>
      </c>
      <c r="Y143" s="84" t="inlineStr">
        <is>
          <t>FBM</t>
        </is>
      </c>
      <c r="Z143" s="84" t="inlineStr">
        <is>
          <t>N/A</t>
        </is>
      </c>
      <c r="AA143" s="85" t="n"/>
      <c r="AB143" s="85" t="n"/>
      <c r="AC143" s="93" t="n"/>
      <c r="AD143" s="93" t="n"/>
      <c r="AE143" s="32" t="n"/>
      <c r="AF143" s="93" t="n"/>
      <c r="AG143" s="93" t="n"/>
      <c r="AH143" s="93" t="n"/>
      <c r="AI143" s="93" t="n"/>
      <c r="AJ143" s="85" t="n"/>
      <c r="AK143" s="85" t="n"/>
      <c r="AL143" s="85" t="n"/>
      <c r="AM143" s="85" t="n"/>
      <c r="AN143" s="85" t="n"/>
      <c r="AO143" s="85" t="n"/>
      <c r="AP143" s="94" t="n"/>
      <c r="AQ143" s="89" t="n"/>
      <c r="AR143" s="95" t="inlineStr">
        <is>
          <t>N</t>
        </is>
      </c>
      <c r="AS143" s="95" t="inlineStr">
        <is>
          <t>none</t>
        </is>
      </c>
      <c r="AT143" s="101" t="n"/>
      <c r="AU143" s="101" t="n"/>
      <c r="AV143" s="95" t="inlineStr">
        <is>
          <t>none</t>
        </is>
      </c>
      <c r="AW143" s="95" t="inlineStr">
        <is>
          <t>N</t>
        </is>
      </c>
      <c r="AX143" s="95" t="inlineStr">
        <is>
          <t>2026-10-13 23:37:00</t>
        </is>
      </c>
      <c r="AY143" s="97" t="inlineStr">
        <is>
          <t>Coupon only</t>
        </is>
      </c>
      <c r="AZ143" s="97" t="inlineStr">
        <is>
          <t>11-20 to 12-05</t>
        </is>
      </c>
      <c r="BA143" s="98" t="n">
        <v>69</v>
      </c>
      <c r="BB143" s="98" t="n">
        <v>74</v>
      </c>
      <c r="BC143" s="87">
        <f>IF(AND(ISNUMBER(BA143),ISNUMBER(BB143),N(BA143)&gt;0),1-BB143/BA143,"")</f>
        <v/>
      </c>
      <c r="BD143" s="99" t="n">
        <v>46533</v>
      </c>
      <c r="BE143" s="99" t="n">
        <v>67944</v>
      </c>
      <c r="BF143" s="100">
        <f>IF(AND(ISNUMBER(BD143),ISNUMBER(BE143),N(BE143)&gt;0),BD143/BE143,"")</f>
        <v/>
      </c>
      <c r="BG143" s="97" t="inlineStr">
        <is>
          <t>N</t>
        </is>
      </c>
      <c r="BH143" s="97" t="inlineStr">
        <is>
          <t>Coupon 30%; Buy Box RAISED in BFCM week (median $79.00 vs $69.00 before); List Price $69.00</t>
        </is>
      </c>
    </row>
    <row r="144" ht="62" customHeight="1">
      <c r="A144" s="10">
        <f>_xlfn.IMAGE("https://images-na.ssl-images-amazon.com/images/I/71YlZk0Q9-L.jpg")</f>
        <v/>
      </c>
      <c r="B144" s="84" t="inlineStr">
        <is>
          <t>TWK</t>
        </is>
      </c>
      <c r="C144" s="32" t="inlineStr">
        <is>
          <t>TWK Luxury Sheet Set, Genuine 100% Viscose Derived from Bamboo, Cooling &amp; Breathable, Silky Soft, Bedding Sheets &amp; Pillowcases (White, King(78 * 80 * 15))</t>
        </is>
      </c>
      <c r="D144" s="84" t="inlineStr">
        <is>
          <t>Poor</t>
        </is>
      </c>
      <c r="E144" s="84" t="inlineStr">
        <is>
          <t>B0GVP3B7LS</t>
        </is>
      </c>
      <c r="F144" s="84" t="inlineStr">
        <is>
          <t>B0GVP3B7LS</t>
        </is>
      </c>
      <c r="G144" s="84" t="inlineStr">
        <is>
          <t>King</t>
        </is>
      </c>
      <c r="H144" s="84" t="inlineStr">
        <is>
          <t>White</t>
        </is>
      </c>
      <c r="I144" s="85" t="n">
        <v>1</v>
      </c>
      <c r="J144" s="32" t="inlineStr"/>
      <c r="K144" s="86" t="n">
        <v>46.74</v>
      </c>
      <c r="L144" s="86" t="n"/>
      <c r="M144" s="87">
        <f>IF(AND(ISNUMBER(L144),ISNUMBER(K144),N(K144)&gt;0),L144/K144-1,"")</f>
        <v/>
      </c>
      <c r="N144" s="88">
        <f>IF(M144="","No List Price",IF(M144&lt;=0,"At/below price",IF(M144&lt;=0.12,"&lt;=12% STR zone",IF(M144&lt;=0.25,"12-25%","&gt;25% over"))))</f>
        <v/>
      </c>
      <c r="O144" s="86" t="n">
        <v>54.99</v>
      </c>
      <c r="P144" s="89">
        <f>IF(AND(ISNUMBER(K144),ISNUMBER(O144),N(O144)&gt;0),K144/O144-1,"")</f>
        <v/>
      </c>
      <c r="Q144" s="32" t="inlineStr">
        <is>
          <t>vs our blended price (Command Center, Mar 2026 - STALE)</t>
        </is>
      </c>
      <c r="R144" s="85" t="n">
        <v>2065761</v>
      </c>
      <c r="S144" s="85" t="n">
        <v>5</v>
      </c>
      <c r="T144" s="90">
        <f>IF(AND(ISNUMBER(K144),ISNUMBER(S144)),K144*S144*52/12,"")</f>
        <v/>
      </c>
      <c r="U144" s="91" t="n">
        <v>4.5</v>
      </c>
      <c r="V144" s="85" t="n">
        <v>11</v>
      </c>
      <c r="W144" s="92" t="n">
        <v>46307</v>
      </c>
      <c r="X144" s="92" t="n">
        <v>46078</v>
      </c>
      <c r="Y144" s="84" t="inlineStr">
        <is>
          <t>FBM</t>
        </is>
      </c>
      <c r="Z144" s="84" t="inlineStr">
        <is>
          <t>N/A</t>
        </is>
      </c>
      <c r="AA144" s="85" t="n"/>
      <c r="AB144" s="85" t="n"/>
      <c r="AC144" s="93" t="n"/>
      <c r="AD144" s="93" t="n"/>
      <c r="AE144" s="32" t="n"/>
      <c r="AF144" s="93" t="n"/>
      <c r="AG144" s="93" t="n"/>
      <c r="AH144" s="93" t="n"/>
      <c r="AI144" s="93" t="n"/>
      <c r="AJ144" s="85" t="n"/>
      <c r="AK144" s="85" t="n"/>
      <c r="AL144" s="85" t="n"/>
      <c r="AM144" s="85" t="n"/>
      <c r="AN144" s="85" t="n"/>
      <c r="AO144" s="85" t="n"/>
      <c r="AP144" s="94" t="n"/>
      <c r="AQ144" s="89" t="n"/>
      <c r="AR144" s="95" t="inlineStr">
        <is>
          <t>N</t>
        </is>
      </c>
      <c r="AS144" s="95" t="inlineStr">
        <is>
          <t>none</t>
        </is>
      </c>
      <c r="AT144" s="101" t="n"/>
      <c r="AU144" s="101" t="n"/>
      <c r="AV144" s="95" t="inlineStr">
        <is>
          <t>none</t>
        </is>
      </c>
      <c r="AW144" s="95" t="inlineStr">
        <is>
          <t>N</t>
        </is>
      </c>
      <c r="AX144" s="95" t="inlineStr">
        <is>
          <t>2026-10-13 23:36:57</t>
        </is>
      </c>
      <c r="AY144" s="97" t="inlineStr">
        <is>
          <t>Not live in 2025</t>
        </is>
      </c>
      <c r="AZ144" s="102" t="n"/>
      <c r="BA144" s="101" t="n"/>
      <c r="BB144" s="101" t="n"/>
      <c r="BC144" s="87">
        <f>IF(AND(ISNUMBER(BA144),ISNUMBER(BB144),N(BA144)&gt;0),1-BB144/BA144,"")</f>
        <v/>
      </c>
      <c r="BD144" s="103" t="n"/>
      <c r="BE144" s="103" t="n"/>
      <c r="BF144" s="100">
        <f>IF(AND(ISNUMBER(BD144),ISNUMBER(BE144),N(BE144)&gt;0),BD144/BE144,"")</f>
        <v/>
      </c>
      <c r="BG144" s="102" t="n"/>
      <c r="BH144" s="102" t="n"/>
    </row>
    <row r="145" ht="62" customHeight="1">
      <c r="A145" s="39" t="inlineStr">
        <is>
          <t>IMAGE MISSING</t>
        </is>
      </c>
      <c r="B145" s="84" t="inlineStr">
        <is>
          <t>TWK</t>
        </is>
      </c>
      <c r="C145" s="32" t="inlineStr">
        <is>
          <t>4 Piece Bamboo Sheet Set</t>
        </is>
      </c>
      <c r="D145" s="84" t="inlineStr">
        <is>
          <t>Poor</t>
        </is>
      </c>
      <c r="E145" s="84" t="inlineStr">
        <is>
          <t>B0GKFHP6L6</t>
        </is>
      </c>
      <c r="F145" s="84" t="inlineStr">
        <is>
          <t>B0GW7H7RHY</t>
        </is>
      </c>
      <c r="G145" s="84" t="n"/>
      <c r="H145" s="84" t="n"/>
      <c r="I145" s="85" t="n"/>
      <c r="J145" s="32" t="inlineStr"/>
      <c r="K145" s="86" t="n">
        <v>109.99</v>
      </c>
      <c r="L145" s="86" t="n"/>
      <c r="M145" s="87">
        <f>IF(AND(ISNUMBER(L145),ISNUMBER(K145),N(K145)&gt;0),L145/K145-1,"")</f>
        <v/>
      </c>
      <c r="N145" s="88">
        <f>IF(M145="","No List Price",IF(M145&lt;=0,"At/below price",IF(M145&lt;=0.12,"&lt;=12% STR zone",IF(M145&lt;=0.25,"12-25%","&gt;25% over"))))</f>
        <v/>
      </c>
      <c r="O145" s="86" t="n">
        <v>54.99</v>
      </c>
      <c r="P145" s="89">
        <f>IF(AND(ISNUMBER(K145),ISNUMBER(O145),N(O145)&gt;0),K145/O145-1,"")</f>
        <v/>
      </c>
      <c r="Q145" s="32" t="inlineStr">
        <is>
          <t>vs our blended price (Command Center, Mar 2026 - STALE)</t>
        </is>
      </c>
      <c r="R145" s="85" t="n">
        <v>4355899</v>
      </c>
      <c r="S145" s="85" t="n">
        <v>5</v>
      </c>
      <c r="T145" s="90">
        <f>IF(AND(ISNUMBER(K145),ISNUMBER(S145)),K145*S145*52/12,"")</f>
        <v/>
      </c>
      <c r="U145" s="91" t="n">
        <v>4.5</v>
      </c>
      <c r="V145" s="85" t="n">
        <v>2</v>
      </c>
      <c r="W145" s="92" t="n">
        <v>46307</v>
      </c>
      <c r="X145" s="92" t="n"/>
      <c r="Y145" s="84" t="n"/>
      <c r="Z145" s="84" t="n"/>
      <c r="AA145" s="85" t="n"/>
      <c r="AB145" s="85" t="n"/>
      <c r="AC145" s="93" t="n"/>
      <c r="AD145" s="93" t="n"/>
      <c r="AE145" s="32" t="n"/>
      <c r="AF145" s="93" t="n"/>
      <c r="AG145" s="93" t="n"/>
      <c r="AH145" s="93" t="n"/>
      <c r="AI145" s="93" t="n"/>
      <c r="AJ145" s="85" t="n"/>
      <c r="AK145" s="85" t="n"/>
      <c r="AL145" s="85" t="n"/>
      <c r="AM145" s="85" t="n"/>
      <c r="AN145" s="85" t="n"/>
      <c r="AO145" s="85" t="n"/>
      <c r="AP145" s="94" t="n"/>
      <c r="AQ145" s="89" t="n"/>
      <c r="AR145" s="95" t="inlineStr">
        <is>
          <t>N</t>
        </is>
      </c>
      <c r="AS145" s="95" t="inlineStr">
        <is>
          <t>none</t>
        </is>
      </c>
      <c r="AT145" s="101" t="n"/>
      <c r="AU145" s="101" t="n"/>
      <c r="AV145" s="95" t="inlineStr">
        <is>
          <t>none</t>
        </is>
      </c>
      <c r="AW145" s="95" t="inlineStr">
        <is>
          <t>N</t>
        </is>
      </c>
      <c r="AX145" s="95" t="inlineStr">
        <is>
          <t>2026-10-13 23:37:03</t>
        </is>
      </c>
      <c r="AY145" s="97" t="inlineStr">
        <is>
          <t>Not live in 2025</t>
        </is>
      </c>
      <c r="AZ145" s="102" t="n"/>
      <c r="BA145" s="101" t="n"/>
      <c r="BB145" s="101" t="n"/>
      <c r="BC145" s="87">
        <f>IF(AND(ISNUMBER(BA145),ISNUMBER(BB145),N(BA145)&gt;0),1-BB145/BA145,"")</f>
        <v/>
      </c>
      <c r="BD145" s="103" t="n"/>
      <c r="BE145" s="103" t="n"/>
      <c r="BF145" s="100">
        <f>IF(AND(ISNUMBER(BD145),ISNUMBER(BE145),N(BE145)&gt;0),BD145/BE145,"")</f>
        <v/>
      </c>
      <c r="BG145" s="102" t="n"/>
      <c r="BH145" s="102" t="n"/>
    </row>
    <row r="146" ht="62" customHeight="1">
      <c r="A146" s="39" t="inlineStr">
        <is>
          <t>IMAGE MISSING</t>
        </is>
      </c>
      <c r="B146" s="84" t="inlineStr">
        <is>
          <t>Vesta</t>
        </is>
      </c>
      <c r="C146" s="32" t="inlineStr">
        <is>
          <t>Vesta Sheet Set – Soft, Breathable &amp; Cooling, 100% Viscose Derived from Bamboo,</t>
        </is>
      </c>
      <c r="D146" s="84" t="inlineStr">
        <is>
          <t>Poor</t>
        </is>
      </c>
      <c r="E146" s="84" t="inlineStr">
        <is>
          <t>B0CZRJY68B</t>
        </is>
      </c>
      <c r="F146" s="84" t="inlineStr">
        <is>
          <t>B0DM214YG3</t>
        </is>
      </c>
      <c r="G146" s="84" t="n"/>
      <c r="H146" s="84" t="n"/>
      <c r="I146" s="85" t="n"/>
      <c r="J146" s="32" t="inlineStr"/>
      <c r="K146" s="86" t="n">
        <v>174.3</v>
      </c>
      <c r="L146" s="86" t="n"/>
      <c r="M146" s="87">
        <f>IF(AND(ISNUMBER(L146),ISNUMBER(K146),N(K146)&gt;0),L146/K146-1,"")</f>
        <v/>
      </c>
      <c r="N146" s="88">
        <f>IF(M146="","No List Price",IF(M146&lt;=0,"At/below price",IF(M146&lt;=0.12,"&lt;=12% STR zone",IF(M146&lt;=0.25,"12-25%","&gt;25% over"))))</f>
        <v/>
      </c>
      <c r="O146" s="86" t="n">
        <v>54.99</v>
      </c>
      <c r="P146" s="89">
        <f>IF(AND(ISNUMBER(K146),ISNUMBER(O146),N(O146)&gt;0),K146/O146-1,"")</f>
        <v/>
      </c>
      <c r="Q146" s="32" t="inlineStr">
        <is>
          <t>vs our blended price (Command Center, Mar 2026 - STALE)</t>
        </is>
      </c>
      <c r="R146" s="85" t="n">
        <v>591414</v>
      </c>
      <c r="S146" s="85" t="n">
        <v>5</v>
      </c>
      <c r="T146" s="90">
        <f>IF(AND(ISNUMBER(K146),ISNUMBER(S146)),K146*S146*52/12,"")</f>
        <v/>
      </c>
      <c r="U146" s="91" t="n">
        <v>4.3</v>
      </c>
      <c r="V146" s="85" t="n">
        <v>35</v>
      </c>
      <c r="W146" s="92" t="n">
        <v>46307</v>
      </c>
      <c r="X146" s="92" t="n"/>
      <c r="Y146" s="84" t="n"/>
      <c r="Z146" s="84" t="n"/>
      <c r="AA146" s="85" t="n"/>
      <c r="AB146" s="85" t="n"/>
      <c r="AC146" s="93" t="n"/>
      <c r="AD146" s="93" t="n"/>
      <c r="AE146" s="32" t="n"/>
      <c r="AF146" s="93" t="n"/>
      <c r="AG146" s="93" t="n"/>
      <c r="AH146" s="93" t="n"/>
      <c r="AI146" s="93" t="n"/>
      <c r="AJ146" s="85" t="n"/>
      <c r="AK146" s="85" t="n"/>
      <c r="AL146" s="85" t="n"/>
      <c r="AM146" s="85" t="n"/>
      <c r="AN146" s="85" t="n"/>
      <c r="AO146" s="85" t="n"/>
      <c r="AP146" s="94" t="n"/>
      <c r="AQ146" s="89" t="n"/>
      <c r="AR146" s="95" t="inlineStr">
        <is>
          <t>N</t>
        </is>
      </c>
      <c r="AS146" s="95" t="inlineStr">
        <is>
          <t>none</t>
        </is>
      </c>
      <c r="AT146" s="101" t="n"/>
      <c r="AU146" s="96" t="n">
        <v>174.3</v>
      </c>
      <c r="AV146" s="95" t="inlineStr">
        <is>
          <t>none</t>
        </is>
      </c>
      <c r="AW146" s="95" t="inlineStr">
        <is>
          <t>Y</t>
        </is>
      </c>
      <c r="AX146" s="95" t="inlineStr">
        <is>
          <t>2026-10-13 23:37:06</t>
        </is>
      </c>
      <c r="AY146" s="97" t="inlineStr">
        <is>
          <t>None</t>
        </is>
      </c>
      <c r="AZ146" s="102" t="n"/>
      <c r="BA146" s="98" t="n">
        <v>174.3</v>
      </c>
      <c r="BB146" s="98" t="n">
        <v>174.3</v>
      </c>
      <c r="BC146" s="87">
        <f>IF(AND(ISNUMBER(BA146),ISNUMBER(BB146),N(BA146)&gt;0),1-BB146/BA146,"")</f>
        <v/>
      </c>
      <c r="BD146" s="99" t="n">
        <v>1047082</v>
      </c>
      <c r="BE146" s="99" t="n">
        <v>909398</v>
      </c>
      <c r="BF146" s="100">
        <f>IF(AND(ISNUMBER(BD146),ISNUMBER(BE146),N(BE146)&gt;0),BD146/BE146,"")</f>
        <v/>
      </c>
      <c r="BG146" s="97" t="inlineStr">
        <is>
          <t>N</t>
        </is>
      </c>
      <c r="BH146" s="97" t="inlineStr">
        <is>
          <t>List Price $174.30</t>
        </is>
      </c>
    </row>
    <row r="148" ht="20" customHeight="1">
      <c r="A148" s="54" t="inlineStr">
        <is>
          <t>5 · WHAT THIS MEANS FOR BFCM</t>
        </is>
      </c>
    </row>
    <row r="149" ht="30" customHeight="1">
      <c r="A149" s="104" t="inlineStr">
        <is>
          <t>•  Who sells most: Pure Bamboo ~809/wk at $109.99; Hotel Sheets Direct ~347/wk at $79.99; KRIMANO ~185/wk at $84.99; Bambaw ~104/wk at $89.99; Bedsure ~104/wk at $89.99 (List $119.99, +33%). Tracked rivals ~2,399 units/wk; we sell ~0/wk (0.0% of the tracked set).</t>
        </is>
      </c>
    </row>
    <row r="150" ht="18" customHeight="1">
      <c r="A150" s="104" t="inlineStr">
        <is>
          <t>•  Strikethrough: 8 of 28 rivals set a List Price above price; 2 within 12%: AiAngu +7%, Kickoff Home +10%.</t>
        </is>
      </c>
    </row>
    <row r="151" ht="18" customHeight="1">
      <c r="A151" s="104" t="inlineStr">
        <is>
          <t>•  Price: 4 of 28 rivals sit below our price today (same size where the title states one). Cheapest strong rivals: .</t>
        </is>
      </c>
    </row>
    <row r="152" ht="30" customHeight="1">
      <c r="A152" s="104" t="inlineStr">
        <is>
          <t>•  Strikethrough on the page today (Oct 13 check): 8 of 28 checked rivals show one: Bedsure List Price $119.99 vs $89.99 (+33%), BAMPURE List Price $99.99 vs $67.98 (+47%) with deal, AiAngu List Price $79.99 vs $74.99 (+7%), Cariloha List Price $119.00 vs $107.10 (+11%), DREAMCARE List Price $59.99 vs $46.74 (+28%) with deal, HOT SLEEPER SHEETS Typical price $62.99 vs $51.29 (+23%) with deal.</t>
        </is>
      </c>
    </row>
    <row r="153" ht="30" customHeight="1">
      <c r="A153" s="104" t="inlineStr">
        <is>
          <t>•  Search: we lose most shared keywords to Pure Bamboo (we win 6, lose 470), Bedsure (we win 20, lose 432), BC BELLA COTERIE (we win 41, lose 420). Biggest ad gaps (they advertise where we don't or harder): Pure Bamboo 3,769 + 12 KWs, Bedsure 2,426 + 25 KWs, BC BELLA COTERIE 2,425 + 15 KWs.</t>
        </is>
      </c>
    </row>
    <row r="154" ht="30" customHeight="1">
      <c r="A154" s="104" t="inlineStr">
        <is>
          <t>•  Brand ads: Pure Bamboo (SB 82%, SBV 88%), Bedsure (SB 98%, SBV 53%), BC BELLA COTERIE (SB 57%, SBV 56%) hold Sponsored Brands / video on most of their traffic - the plan has our SB, SBV and display live by Nov 1.</t>
        </is>
      </c>
    </row>
    <row r="155" ht="30" customHeight="1">
      <c r="A155" s="104" t="inlineStr">
        <is>
          <t>•  BFCM 2025, 25 rivals with Keepa history: Prime Exclusive Discount 13, None 7, Price cut only 4, Coupon only 1. Median depth vs their Nov 1-19 price 15%; median BSR lift 1.18x. 6 raised their Buy Box in BFCM week, so their deal looked deeper than it was.</t>
        </is>
      </c>
    </row>
  </sheetData>
  <autoFilter ref="B118:BH146"/>
  <mergeCells count="66">
    <mergeCell ref="A15:BH15"/>
    <mergeCell ref="K117:W117"/>
    <mergeCell ref="A148:BH148"/>
    <mergeCell ref="L5:Q5"/>
    <mergeCell ref="A1:BH1"/>
    <mergeCell ref="A103:BH103"/>
    <mergeCell ref="Q11:T11"/>
    <mergeCell ref="L8:Q8"/>
    <mergeCell ref="A105:C105"/>
    <mergeCell ref="L4:Q4"/>
    <mergeCell ref="D7:I7"/>
    <mergeCell ref="C2:BH2"/>
    <mergeCell ref="A13:D13"/>
    <mergeCell ref="A104:C104"/>
    <mergeCell ref="I13:L13"/>
    <mergeCell ref="A153:BH153"/>
    <mergeCell ref="AA117:AQ117"/>
    <mergeCell ref="A16:BH16"/>
    <mergeCell ref="D4:I4"/>
    <mergeCell ref="L10:Q10"/>
    <mergeCell ref="E12:H12"/>
    <mergeCell ref="Q13:T13"/>
    <mergeCell ref="A117:H117"/>
    <mergeCell ref="D9:I9"/>
    <mergeCell ref="X117:Z117"/>
    <mergeCell ref="U12:X12"/>
    <mergeCell ref="L9:Q9"/>
    <mergeCell ref="Q12:T12"/>
    <mergeCell ref="A106:C106"/>
    <mergeCell ref="A11:D11"/>
    <mergeCell ref="A109:C109"/>
    <mergeCell ref="A149:BH149"/>
    <mergeCell ref="I11:L11"/>
    <mergeCell ref="D8:I8"/>
    <mergeCell ref="L6:Q6"/>
    <mergeCell ref="A3:BH3"/>
    <mergeCell ref="A4:B9"/>
    <mergeCell ref="A154:BH154"/>
    <mergeCell ref="T6:Y6"/>
    <mergeCell ref="AR117:AX117"/>
    <mergeCell ref="D5:I5"/>
    <mergeCell ref="A151:BH151"/>
    <mergeCell ref="A116:BH116"/>
    <mergeCell ref="M11:P11"/>
    <mergeCell ref="A150:BH150"/>
    <mergeCell ref="U11:X11"/>
    <mergeCell ref="E13:H13"/>
    <mergeCell ref="D10:I10"/>
    <mergeCell ref="L7:Q7"/>
    <mergeCell ref="T5:Y5"/>
    <mergeCell ref="A107:C107"/>
    <mergeCell ref="AY117:BH117"/>
    <mergeCell ref="A152:BH152"/>
    <mergeCell ref="A12:D12"/>
    <mergeCell ref="M13:P13"/>
    <mergeCell ref="A110:C110"/>
    <mergeCell ref="A112:BH112"/>
    <mergeCell ref="I12:L12"/>
    <mergeCell ref="U13:X13"/>
    <mergeCell ref="A115:BH115"/>
    <mergeCell ref="A155:BH155"/>
    <mergeCell ref="M12:P12"/>
    <mergeCell ref="A111:BH111"/>
    <mergeCell ref="T4:Y4"/>
    <mergeCell ref="D6:I6"/>
    <mergeCell ref="E11:H11"/>
  </mergeCells>
  <conditionalFormatting sqref="N119:N146">
    <cfRule type="expression" priority="1" dxfId="1">
      <formula>N119="&lt;=12% STR zone"</formula>
    </cfRule>
  </conditionalFormatting>
  <conditionalFormatting sqref="W119:W146">
    <cfRule type="expression" priority="2" dxfId="0">
      <formula>AND(ISNUMBER(W119),W119&lt;DATE(2026,10,6))</formula>
    </cfRule>
  </conditionalFormatting>
  <conditionalFormatting sqref="Q119:Q146">
    <cfRule type="expression" priority="3" dxfId="0">
      <formula>ISNUMBER(SEARCH("STALE",Q119))</formula>
    </cfRule>
  </conditionalFormatting>
  <conditionalFormatting sqref="P119:P146">
    <cfRule type="expression" priority="4" dxfId="0">
      <formula>AND(ISNUMBER(P119),P119&lt;0)</formula>
    </cfRule>
  </conditionalFormatting>
  <dataValidations count="3">
    <dataValidation sqref="AR119:AR146 BG119:BG146" showDropDown="0" showInputMessage="0" showErrorMessage="0" allowBlank="1" type="list">
      <formula1>"Y,N"</formula1>
    </dataValidation>
    <dataValidation sqref="AS119:AS146" showDropDown="0" showInputMessage="0" showErrorMessage="0" allowBlank="1" type="list">
      <formula1>"List Price,Typical price,Was price,None"</formula1>
    </dataValidation>
    <dataValidation sqref="AY119:AY14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BH7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Bamboo Fitted Sheet  ·  Amazon.com (US)  ·  Bamboo  ·  BFCM role: Excluded (ranking variations OOS to Dec 3)  ·  Scope: Core</t>
        </is>
      </c>
    </row>
    <row r="2">
      <c r="A2" s="53" t="inlineStr">
        <is>
          <t>← Dashboard</t>
        </is>
      </c>
    </row>
    <row r="3" ht="20" customHeight="1">
      <c r="A3" s="54" t="inlineStr">
        <is>
          <t>1 · OUR PRODUCT</t>
        </is>
      </c>
    </row>
    <row r="4" ht="34" customHeight="1">
      <c r="A4" s="10">
        <f>_xlfn.IMAGE("https://m.media-amazon.com/images/I/81pO8+MuzxL._AC_SL1500_.jpg")</f>
        <v/>
      </c>
      <c r="C4" s="11" t="inlineStr">
        <is>
          <t>Title</t>
        </is>
      </c>
      <c r="D4" s="12" t="inlineStr">
        <is>
          <t>DECOLURE 100% Viscose Derived from Bamboo Fitted Sheet | King Size Fitted Sheet Only | Ultra Soft Cooling Sheets for Hot Sleepers, 17" Deep Pocket w/Corner Straps, Breathable, Oeko-Tex (Burgundy)</t>
        </is>
      </c>
      <c r="K4" s="11" t="inlineStr">
        <is>
          <t>Sizes</t>
        </is>
      </c>
      <c r="L4" s="55" t="inlineStr">
        <is>
          <t>King, Queen</t>
        </is>
      </c>
      <c r="S4" s="11" t="inlineStr">
        <is>
          <t>Break-even ACoS</t>
        </is>
      </c>
      <c r="T4" s="55" t="inlineStr">
        <is>
          <t>n/a</t>
        </is>
      </c>
    </row>
    <row r="5" ht="22" customHeight="1">
      <c r="C5" s="11" t="inlineStr">
        <is>
          <t>Brand</t>
        </is>
      </c>
      <c r="D5" s="55" t="inlineStr">
        <is>
          <t>Decolure</t>
        </is>
      </c>
      <c r="K5" s="11" t="inlineStr">
        <is>
          <t>Colours</t>
        </is>
      </c>
      <c r="L5" s="55" t="inlineStr">
        <is>
          <t>Black, Burgundy, Creme, Grey, Light Blue, Light Grey, Mid Grey, Navy-Blue, Olive, Taupe, White</t>
        </is>
      </c>
      <c r="S5" s="11" t="inlineStr">
        <is>
          <t>Units last 28 days</t>
        </is>
      </c>
      <c r="T5" s="55" t="inlineStr">
        <is>
          <t>102</t>
        </is>
      </c>
    </row>
    <row r="6" ht="22" customHeight="1">
      <c r="C6" s="11" t="inlineStr">
        <is>
          <t>Marketplace</t>
        </is>
      </c>
      <c r="D6" s="55" t="inlineStr">
        <is>
          <t>Amazon.com (US)</t>
        </is>
      </c>
      <c r="K6" s="11" t="inlineStr">
        <is>
          <t>Price now, best child</t>
        </is>
      </c>
      <c r="L6" s="55" t="inlineStr">
        <is>
          <t>$39.95 (Helium 10 Xray, 2026-10-13)</t>
        </is>
      </c>
      <c r="S6" s="11" t="inlineStr">
        <is>
          <t>Command Center product ASIN</t>
        </is>
      </c>
      <c r="T6" s="55" t="inlineStr">
        <is>
          <t>B0FX2T8CG8 (one of our child ASINs, not the Amazon parent)</t>
        </is>
      </c>
    </row>
    <row r="7" ht="22" customHeight="1">
      <c r="C7" s="11" t="inlineStr">
        <is>
          <t>Parent ASIN (Amazon)</t>
        </is>
      </c>
      <c r="D7" s="55" t="inlineStr">
        <is>
          <t>B0H8596KK1</t>
        </is>
      </c>
      <c r="K7" s="11" t="inlineStr">
        <is>
          <t>Rating / reviews now</t>
        </is>
      </c>
      <c r="L7" s="55" t="inlineStr">
        <is>
          <t>4.5 / 371 (Helium 10 Xray, 2026-10-13)</t>
        </is>
      </c>
    </row>
    <row r="8" ht="22" customHeight="1">
      <c r="C8" s="11" t="inlineStr">
        <is>
          <t>Best-selling child ASIN</t>
        </is>
      </c>
      <c r="D8" s="55" t="inlineStr">
        <is>
          <t>B0FX2RGLBW</t>
        </is>
      </c>
      <c r="K8" s="11" t="inlineStr">
        <is>
          <t>Live prices held</t>
        </is>
      </c>
      <c r="L8" s="55" t="inlineStr">
        <is>
          <t>22 of 22 variations</t>
        </is>
      </c>
    </row>
    <row r="9" ht="22" customHeight="1">
      <c r="C9" s="11" t="inlineStr">
        <is>
          <t>Stage</t>
        </is>
      </c>
      <c r="D9" s="55" t="inlineStr">
        <is>
          <t>Launch</t>
        </is>
      </c>
      <c r="K9" s="11" t="inlineStr">
        <is>
          <t>Blended price (Command Center)</t>
        </is>
      </c>
      <c r="L9" s="55" t="n"/>
    </row>
    <row r="10">
      <c r="C10" s="11" t="inlineStr">
        <is>
          <t>Total variations (SKUs)</t>
        </is>
      </c>
      <c r="D10" s="55" t="n">
        <v>22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1</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_xlfn.IMAGE("https://m.media-amazon.com/images/I/81LH6Jpy50L.jpg")</f>
        <v/>
      </c>
      <c r="B18" s="32" t="inlineStr">
        <is>
          <t>B0FX2SC2Z6</t>
        </is>
      </c>
      <c r="C18" s="32" t="inlineStr">
        <is>
          <t>DC-BAMBOO-FITTED-KING-GREY-1PC</t>
        </is>
      </c>
      <c r="D18" s="32" t="inlineStr">
        <is>
          <t>DECOLURE 100% Viscose Derived from Bamboo Fitted Sheet | King Size Fitted Sheet Only | Ultra Soft Cooling Sheets for Hot Sleepers, 17" Deep Pocket w/Corner Straps, Breathable, Oeko-Tex (Grey)</t>
        </is>
      </c>
      <c r="E18" s="32" t="inlineStr">
        <is>
          <t>King</t>
        </is>
      </c>
      <c r="F18" s="32" t="inlineStr">
        <is>
          <t>Grey</t>
        </is>
      </c>
      <c r="G18" s="60" t="n">
        <v>39.95</v>
      </c>
      <c r="H18" s="32" t="inlineStr">
        <is>
          <t>Helium 10 Xray, 2026-10-13</t>
        </is>
      </c>
      <c r="I18" s="33" t="n"/>
      <c r="J18" s="32" t="n"/>
      <c r="K18" s="33" t="n"/>
      <c r="L18" s="63" t="n"/>
      <c r="M18" s="64" t="n">
        <v>14</v>
      </c>
      <c r="N18" s="32" t="inlineStr">
        <is>
          <t>Active</t>
        </is>
      </c>
      <c r="O18" s="32" t="inlineStr">
        <is>
          <t>Yes (48%)</t>
        </is>
      </c>
      <c r="P18" s="65" t="n">
        <v>4.5</v>
      </c>
      <c r="Q18" s="64" t="n">
        <v>371</v>
      </c>
      <c r="R18" s="64" t="n">
        <v>199085</v>
      </c>
      <c r="S18" s="64" t="n">
        <v>30</v>
      </c>
      <c r="T18" s="32" t="n"/>
    </row>
    <row r="19" ht="62" customHeight="1">
      <c r="A19" s="10">
        <f>_xlfn.IMAGE("https://m.media-amazon.com/images/I/81pO8+MuzxL.jpg")</f>
        <v/>
      </c>
      <c r="B19" s="32" t="inlineStr">
        <is>
          <t>B0FX2RGLBW</t>
        </is>
      </c>
      <c r="C19" s="32" t="inlineStr">
        <is>
          <t>DC-BAMBOO-FITTED-KING-BURGUNDY-1PC</t>
        </is>
      </c>
      <c r="D19" s="32" t="inlineStr">
        <is>
          <t>DECOLURE 100% Viscose Derived from Bamboo Fitted Sheet | King Size Fitted Sheet Only | Ultra Soft Cooling Sheets for Hot Sleepers, 17" Deep Pocket w/Corner Straps, Breathable, Oeko-Tex (Burgundy)</t>
        </is>
      </c>
      <c r="E19" s="32" t="inlineStr">
        <is>
          <t>King</t>
        </is>
      </c>
      <c r="F19" s="32" t="inlineStr">
        <is>
          <t>Burgundy</t>
        </is>
      </c>
      <c r="G19" s="60" t="n">
        <v>39.95</v>
      </c>
      <c r="H19" s="32" t="inlineStr">
        <is>
          <t>Helium 10 Xray, 2026-10-13</t>
        </is>
      </c>
      <c r="I19" s="33" t="n"/>
      <c r="J19" s="32" t="n"/>
      <c r="K19" s="33" t="n"/>
      <c r="L19" s="63" t="n"/>
      <c r="M19" s="64" t="n">
        <v>10</v>
      </c>
      <c r="N19" s="32" t="inlineStr">
        <is>
          <t>Active</t>
        </is>
      </c>
      <c r="O19" s="32" t="n"/>
      <c r="P19" s="65" t="n">
        <v>4.5</v>
      </c>
      <c r="Q19" s="64" t="n">
        <v>371</v>
      </c>
      <c r="R19" s="64" t="n">
        <v>199088</v>
      </c>
      <c r="S19" s="64" t="n">
        <v>1</v>
      </c>
      <c r="T19" s="32" t="n"/>
    </row>
    <row r="20" ht="62" customHeight="1">
      <c r="A20" s="10">
        <f>_xlfn.IMAGE("https://m.media-amazon.com/images/I/81Psqqq0D9L.jpg")</f>
        <v/>
      </c>
      <c r="B20" s="32" t="inlineStr">
        <is>
          <t>B0FX2SDSYH</t>
        </is>
      </c>
      <c r="C20" s="32" t="inlineStr">
        <is>
          <t>DC-BAMBOO-FITTED-KING-CREME-1PC</t>
        </is>
      </c>
      <c r="D20" s="32" t="inlineStr">
        <is>
          <t>DECOLURE 100% Viscose Derived from Bamboo Fitted Sheet | King Size Fitted Sheet Only | Ultra Soft Cooling Sheets for Hot Sleepers, 17" Deep Pocket w/Corner Straps, Breathable, Oeko-Tex (Creme)</t>
        </is>
      </c>
      <c r="E20" s="32" t="inlineStr">
        <is>
          <t>King</t>
        </is>
      </c>
      <c r="F20" s="32" t="inlineStr">
        <is>
          <t>Creme</t>
        </is>
      </c>
      <c r="G20" s="60" t="n">
        <v>39.95</v>
      </c>
      <c r="H20" s="32" t="inlineStr">
        <is>
          <t>Helium 10 Xray, 2026-10-13</t>
        </is>
      </c>
      <c r="I20" s="33" t="n"/>
      <c r="J20" s="32" t="n"/>
      <c r="K20" s="33" t="n"/>
      <c r="L20" s="63" t="n"/>
      <c r="M20" s="64" t="n">
        <v>9</v>
      </c>
      <c r="N20" s="32" t="inlineStr">
        <is>
          <t>Active</t>
        </is>
      </c>
      <c r="O20" s="32" t="n"/>
      <c r="P20" s="65" t="n">
        <v>4.5</v>
      </c>
      <c r="Q20" s="64" t="n">
        <v>371</v>
      </c>
      <c r="R20" s="64" t="n">
        <v>199088</v>
      </c>
      <c r="S20" s="64" t="n">
        <v>1</v>
      </c>
      <c r="T20" s="32" t="n"/>
    </row>
    <row r="21" ht="62" customHeight="1">
      <c r="A21" s="10">
        <f>_xlfn.IMAGE("https://m.media-amazon.com/images/I/81jj1Ib+bxL.jpg")</f>
        <v/>
      </c>
      <c r="B21" s="32" t="inlineStr">
        <is>
          <t>B0FX2R68HP</t>
        </is>
      </c>
      <c r="C21" s="32" t="inlineStr">
        <is>
          <t>DC-BAMBOO-FITTED-KING-TAUPE-1PC</t>
        </is>
      </c>
      <c r="D21" s="32" t="inlineStr">
        <is>
          <t>DECOLURE 100% Viscose Derived from Bamboo Fitted Sheet | King Size Fitted Sheet Only | Ultra Soft Cooling Sheets for Hot Sleepers, 17" Deep Pocket w/Corner Straps, Breathable, Oeko-Tex (Taupe)</t>
        </is>
      </c>
      <c r="E21" s="32" t="inlineStr">
        <is>
          <t>King</t>
        </is>
      </c>
      <c r="F21" s="32" t="inlineStr">
        <is>
          <t>Taupe</t>
        </is>
      </c>
      <c r="G21" s="60" t="n">
        <v>39.95</v>
      </c>
      <c r="H21" s="32" t="inlineStr">
        <is>
          <t>Helium 10 Xray, 2026-10-13</t>
        </is>
      </c>
      <c r="I21" s="33" t="n"/>
      <c r="J21" s="32" t="n"/>
      <c r="K21" s="33" t="n"/>
      <c r="L21" s="63" t="n"/>
      <c r="M21" s="64" t="n">
        <v>9</v>
      </c>
      <c r="N21" s="32" t="inlineStr">
        <is>
          <t>Active</t>
        </is>
      </c>
      <c r="O21" s="32" t="n"/>
      <c r="P21" s="65" t="n">
        <v>4.5</v>
      </c>
      <c r="Q21" s="64" t="n">
        <v>371</v>
      </c>
      <c r="R21" s="64" t="n">
        <v>199088</v>
      </c>
      <c r="S21" s="64" t="n">
        <v>7</v>
      </c>
      <c r="T21" s="32" t="n"/>
    </row>
    <row r="22" ht="62" customHeight="1">
      <c r="A22" s="10">
        <f>_xlfn.IMAGE("https://m.media-amazon.com/images/I/81+nB5yGj1L.jpg")</f>
        <v/>
      </c>
      <c r="B22" s="32" t="inlineStr">
        <is>
          <t>B0FX2SCLCN</t>
        </is>
      </c>
      <c r="C22" s="32" t="inlineStr">
        <is>
          <t>DC-BAMBOO-FITTED-QUEEN-OLIVE-1PC</t>
        </is>
      </c>
      <c r="D22" s="32" t="inlineStr">
        <is>
          <t>DECOLURE 100% Viscose Derived from Bamboo Fitted Sheet | Queen Size Fitted Sheet Only | Ultra Soft Cooling Sheets for Hot Sleepers, 17" Deep Pocket w/Corner Straps, Breathable, Oeko-Tex (Olive)</t>
        </is>
      </c>
      <c r="E22" s="32" t="inlineStr">
        <is>
          <t>Queen</t>
        </is>
      </c>
      <c r="F22" s="32" t="inlineStr">
        <is>
          <t>Olive</t>
        </is>
      </c>
      <c r="G22" s="60" t="n">
        <v>37.95</v>
      </c>
      <c r="H22" s="32" t="inlineStr">
        <is>
          <t>Helium 10 Xray, 2026-10-13</t>
        </is>
      </c>
      <c r="I22" s="33" t="n"/>
      <c r="J22" s="32" t="n"/>
      <c r="K22" s="33" t="n"/>
      <c r="L22" s="63" t="n"/>
      <c r="M22" s="64" t="n">
        <v>6</v>
      </c>
      <c r="N22" s="32" t="inlineStr">
        <is>
          <t>Active</t>
        </is>
      </c>
      <c r="O22" s="32" t="n"/>
      <c r="P22" s="65" t="n">
        <v>4.5</v>
      </c>
      <c r="Q22" s="64" t="n">
        <v>371</v>
      </c>
      <c r="R22" s="64" t="n">
        <v>199088</v>
      </c>
      <c r="S22" s="64" t="n">
        <v>4</v>
      </c>
      <c r="T22" s="32" t="n"/>
    </row>
    <row r="23" ht="62" customHeight="1">
      <c r="A23" s="10">
        <f>_xlfn.IMAGE("https://m.media-amazon.com/images/I/81C-nnIabrL.jpg")</f>
        <v/>
      </c>
      <c r="B23" s="32" t="inlineStr">
        <is>
          <t>B0FX2SK7TX</t>
        </is>
      </c>
      <c r="C23" s="32" t="inlineStr">
        <is>
          <t>DC-BAMBOO-FITTED-KING-LIGHT-GREY-1PC</t>
        </is>
      </c>
      <c r="D23" s="32" t="inlineStr">
        <is>
          <t>DECOLURE 100% Viscose Derived from Bamboo Fitted Sheet | King Size Fitted Sheet Only | Ultra Soft Cooling Sheets for Hot Sleepers, 17" Deep Pocket w/Corner Straps, Breathable, Oeko-Tex (Light Grey)</t>
        </is>
      </c>
      <c r="E23" s="32" t="inlineStr">
        <is>
          <t>King</t>
        </is>
      </c>
      <c r="F23" s="32" t="inlineStr">
        <is>
          <t>Light Grey</t>
        </is>
      </c>
      <c r="G23" s="60" t="n">
        <v>39.95</v>
      </c>
      <c r="H23" s="32" t="inlineStr">
        <is>
          <t>Helium 10 Xray, 2026-10-13</t>
        </is>
      </c>
      <c r="I23" s="33" t="n"/>
      <c r="J23" s="32" t="n"/>
      <c r="K23" s="33" t="n"/>
      <c r="L23" s="63" t="n"/>
      <c r="M23" s="64" t="n">
        <v>5</v>
      </c>
      <c r="N23" s="32" t="inlineStr">
        <is>
          <t>Active</t>
        </is>
      </c>
      <c r="O23" s="32" t="n"/>
      <c r="P23" s="65" t="n">
        <v>4.5</v>
      </c>
      <c r="Q23" s="64" t="n">
        <v>371</v>
      </c>
      <c r="R23" s="64" t="n">
        <v>199088</v>
      </c>
      <c r="S23" s="64" t="n">
        <v>1</v>
      </c>
      <c r="T23" s="32" t="n"/>
    </row>
    <row r="24" ht="62" customHeight="1">
      <c r="A24" s="10">
        <f>_xlfn.IMAGE("https://m.media-amazon.com/images/I/81C-nnIabrL.jpg")</f>
        <v/>
      </c>
      <c r="B24" s="32" t="inlineStr">
        <is>
          <t>B0FX2TPJ2J</t>
        </is>
      </c>
      <c r="C24" s="32" t="inlineStr">
        <is>
          <t>DC-BAMBOO-FITTED-QUEEN-LIGHT-GREY-1PC</t>
        </is>
      </c>
      <c r="D24" s="32" t="inlineStr">
        <is>
          <t>DECOLURE 100% Viscose Derived from Bamboo Fitted Sheet | Queen Size Fitted Sheet Only | Ultra Soft Cooling Sheets for Hot Sleepers, 17" Deep Pocket w/Corner Straps, Breathable, Oeko-Tex (Light Grey)</t>
        </is>
      </c>
      <c r="E24" s="32" t="inlineStr">
        <is>
          <t>Queen</t>
        </is>
      </c>
      <c r="F24" s="32" t="inlineStr">
        <is>
          <t>Light Grey</t>
        </is>
      </c>
      <c r="G24" s="60" t="n">
        <v>37.95</v>
      </c>
      <c r="H24" s="32" t="inlineStr">
        <is>
          <t>Helium 10 Xray, 2026-10-13</t>
        </is>
      </c>
      <c r="I24" s="33" t="n"/>
      <c r="J24" s="32" t="n"/>
      <c r="K24" s="33" t="n"/>
      <c r="L24" s="63" t="n"/>
      <c r="M24" s="64" t="n">
        <v>5</v>
      </c>
      <c r="N24" s="32" t="inlineStr">
        <is>
          <t>Active</t>
        </is>
      </c>
      <c r="O24" s="32" t="n"/>
      <c r="P24" s="65" t="n">
        <v>4.5</v>
      </c>
      <c r="Q24" s="64" t="n">
        <v>371</v>
      </c>
      <c r="R24" s="64" t="n">
        <v>199088</v>
      </c>
      <c r="S24" s="64" t="n">
        <v>4</v>
      </c>
      <c r="T24" s="32" t="n"/>
    </row>
    <row r="25" ht="62" customHeight="1">
      <c r="A25" s="10">
        <f>_xlfn.IMAGE("https://m.media-amazon.com/images/I/81jj1Ib+bxL.jpg")</f>
        <v/>
      </c>
      <c r="B25" s="32" t="inlineStr">
        <is>
          <t>B0FX2TFQL3</t>
        </is>
      </c>
      <c r="C25" s="32" t="inlineStr">
        <is>
          <t>DC-BAMBOO-FITTED-QUEEN-TAUPE-1PC</t>
        </is>
      </c>
      <c r="D25" s="32" t="inlineStr">
        <is>
          <t>DECOLURE 100% Viscose Derived from Bamboo Fitted Sheet | Queen Size Fitted Sheet Only | Ultra Soft Cooling Sheets for Hot Sleepers, 17" Deep Pocket w/Corner Straps, Breathable, Oeko-Tex (Taupe)</t>
        </is>
      </c>
      <c r="E25" s="32" t="inlineStr">
        <is>
          <t>Queen</t>
        </is>
      </c>
      <c r="F25" s="32" t="inlineStr">
        <is>
          <t>Taupe</t>
        </is>
      </c>
      <c r="G25" s="60" t="n">
        <v>37.95</v>
      </c>
      <c r="H25" s="32" t="inlineStr">
        <is>
          <t>Helium 10 Xray, 2026-10-13</t>
        </is>
      </c>
      <c r="I25" s="33" t="n"/>
      <c r="J25" s="32" t="n"/>
      <c r="K25" s="33" t="n"/>
      <c r="L25" s="63" t="n"/>
      <c r="M25" s="64" t="n">
        <v>5</v>
      </c>
      <c r="N25" s="32" t="inlineStr">
        <is>
          <t>Active</t>
        </is>
      </c>
      <c r="O25" s="32" t="n"/>
      <c r="P25" s="65" t="n">
        <v>4.5</v>
      </c>
      <c r="Q25" s="64" t="n">
        <v>371</v>
      </c>
      <c r="R25" s="64" t="n">
        <v>199085</v>
      </c>
      <c r="S25" s="64" t="n">
        <v>3</v>
      </c>
      <c r="T25" s="32" t="n"/>
    </row>
    <row r="26" ht="62" customHeight="1">
      <c r="A26" s="10">
        <f>_xlfn.IMAGE("https://m.media-amazon.com/images/I/81ryHp6ZNZL.jpg")</f>
        <v/>
      </c>
      <c r="B26" s="32" t="inlineStr">
        <is>
          <t>B0FX2SBXKH</t>
        </is>
      </c>
      <c r="C26" s="32" t="inlineStr">
        <is>
          <t>DC-BAMBOO-FITTED-KING-NAVY-BLUE-1PC</t>
        </is>
      </c>
      <c r="D26" s="32" t="inlineStr">
        <is>
          <t>DECOLURE 100% Viscose Derived from Bamboo Fitted Sheet | King Size Fitted Sheet Only | Ultra Soft Cooling Sheets for Hot Sleepers, 17" Deep Pocket w/Corner Straps, Breathable, Oeko-Tex (Navy-Blue)</t>
        </is>
      </c>
      <c r="E26" s="32" t="inlineStr">
        <is>
          <t>King</t>
        </is>
      </c>
      <c r="F26" s="32" t="inlineStr">
        <is>
          <t>Navy-Blue</t>
        </is>
      </c>
      <c r="G26" s="60" t="n">
        <v>39.95</v>
      </c>
      <c r="H26" s="32" t="inlineStr">
        <is>
          <t>Helium 10 Xray, 2026-10-13</t>
        </is>
      </c>
      <c r="I26" s="33" t="n"/>
      <c r="J26" s="32" t="n"/>
      <c r="K26" s="33" t="n"/>
      <c r="L26" s="63" t="n"/>
      <c r="M26" s="64" t="n">
        <v>4</v>
      </c>
      <c r="N26" s="32" t="inlineStr">
        <is>
          <t>Active</t>
        </is>
      </c>
      <c r="O26" s="32" t="n"/>
      <c r="P26" s="65" t="n">
        <v>4.5</v>
      </c>
      <c r="Q26" s="64" t="n">
        <v>371</v>
      </c>
      <c r="R26" s="64" t="n">
        <v>199088</v>
      </c>
      <c r="S26" s="64" t="n">
        <v>3</v>
      </c>
      <c r="T26" s="32" t="n"/>
    </row>
    <row r="27" ht="62" customHeight="1">
      <c r="A27" s="10">
        <f>_xlfn.IMAGE("https://m.media-amazon.com/images/I/81+nB5yGj1L.jpg")</f>
        <v/>
      </c>
      <c r="B27" s="32" t="inlineStr">
        <is>
          <t>B0FX2SM97Y</t>
        </is>
      </c>
      <c r="C27" s="32" t="inlineStr">
        <is>
          <t>DC-BAMBOO-FITTED-KING-OLIVE-1PC</t>
        </is>
      </c>
      <c r="D27" s="32" t="inlineStr">
        <is>
          <t>DECOLURE 100% Viscose Derived from Bamboo Fitted Sheet | King Size Fitted Sheet Only | Ultra Soft Cooling Sheets for Hot Sleepers, 17" Deep Pocket w/Corner Straps, Breathable, Oeko-Tex (Olive)</t>
        </is>
      </c>
      <c r="E27" s="32" t="inlineStr">
        <is>
          <t>King</t>
        </is>
      </c>
      <c r="F27" s="32" t="inlineStr">
        <is>
          <t>Olive</t>
        </is>
      </c>
      <c r="G27" s="60" t="n">
        <v>39.95</v>
      </c>
      <c r="H27" s="32" t="inlineStr">
        <is>
          <t>Helium 10 Xray, 2026-10-13</t>
        </is>
      </c>
      <c r="I27" s="33" t="n"/>
      <c r="J27" s="32" t="n"/>
      <c r="K27" s="33" t="n"/>
      <c r="L27" s="63" t="n"/>
      <c r="M27" s="64" t="n">
        <v>4</v>
      </c>
      <c r="N27" s="32" t="inlineStr">
        <is>
          <t>Active</t>
        </is>
      </c>
      <c r="O27" s="32" t="n"/>
      <c r="P27" s="65" t="n">
        <v>4.5</v>
      </c>
      <c r="Q27" s="64" t="n">
        <v>371</v>
      </c>
      <c r="R27" s="64" t="n">
        <v>199088</v>
      </c>
      <c r="S27" s="64" t="n">
        <v>5</v>
      </c>
      <c r="T27" s="32" t="n"/>
    </row>
    <row r="28" ht="62" customHeight="1">
      <c r="A28" s="10">
        <f>_xlfn.IMAGE("https://m.media-amazon.com/images/I/81pO8+MuzxL.jpg")</f>
        <v/>
      </c>
      <c r="B28" s="32" t="inlineStr">
        <is>
          <t>B0FX2TBZTM</t>
        </is>
      </c>
      <c r="C28" s="32" t="inlineStr">
        <is>
          <t>DC-BAMBOO-FITTED-QUEEN-BURGUNDY-1PC</t>
        </is>
      </c>
      <c r="D28" s="32" t="inlineStr">
        <is>
          <t>DECOLURE 100% Viscose Derived from Bamboo Fitted Sheet | Queen Size Fitted Sheet Only | Ultra Soft Cooling Sheets for Hot Sleepers, 17" Deep Pocket w/Corner Straps, Breathable, Oeko-Tex (Burgundy)</t>
        </is>
      </c>
      <c r="E28" s="32" t="inlineStr">
        <is>
          <t>Queen</t>
        </is>
      </c>
      <c r="F28" s="32" t="inlineStr">
        <is>
          <t>Burgundy</t>
        </is>
      </c>
      <c r="G28" s="60" t="n">
        <v>37.95</v>
      </c>
      <c r="H28" s="32" t="inlineStr">
        <is>
          <t>Helium 10 Xray, 2026-10-13</t>
        </is>
      </c>
      <c r="I28" s="33" t="n"/>
      <c r="J28" s="32" t="n"/>
      <c r="K28" s="33" t="n"/>
      <c r="L28" s="63" t="n"/>
      <c r="M28" s="64" t="n">
        <v>4</v>
      </c>
      <c r="N28" s="32" t="inlineStr">
        <is>
          <t>Active</t>
        </is>
      </c>
      <c r="O28" s="32" t="n"/>
      <c r="P28" s="65" t="n">
        <v>4.5</v>
      </c>
      <c r="Q28" s="64" t="n">
        <v>371</v>
      </c>
      <c r="R28" s="64" t="n">
        <v>199088</v>
      </c>
      <c r="S28" s="64" t="n">
        <v>5</v>
      </c>
      <c r="T28" s="32" t="n"/>
    </row>
    <row r="29" ht="62" customHeight="1">
      <c r="A29" s="10">
        <f>_xlfn.IMAGE("https://m.media-amazon.com/images/I/810qWW2FEJL.jpg")</f>
        <v/>
      </c>
      <c r="B29" s="32" t="inlineStr">
        <is>
          <t>B0FX2RBQXN</t>
        </is>
      </c>
      <c r="C29" s="32" t="inlineStr">
        <is>
          <t>DC-BAMBOO-FITTED-QUEEN-LIGHT-BLUE-1PC</t>
        </is>
      </c>
      <c r="D29" s="32" t="inlineStr">
        <is>
          <t>DECOLURE 100% Viscose Derived from Bamboo Fitted Sheet | Queen Size Fitted Sheet Only | Ultra Soft Cooling Sheets for Hot Sleepers, 17" Deep Pocket w/Corner Straps, Breathable, Oeko-Tex (Light Blue)</t>
        </is>
      </c>
      <c r="E29" s="32" t="inlineStr">
        <is>
          <t>Queen</t>
        </is>
      </c>
      <c r="F29" s="32" t="inlineStr">
        <is>
          <t>Light Blue</t>
        </is>
      </c>
      <c r="G29" s="60" t="n">
        <v>37.95</v>
      </c>
      <c r="H29" s="32" t="inlineStr">
        <is>
          <t>Helium 10 Xray, 2026-10-13</t>
        </is>
      </c>
      <c r="I29" s="33" t="n"/>
      <c r="J29" s="32" t="n"/>
      <c r="K29" s="33" t="n"/>
      <c r="L29" s="63" t="n"/>
      <c r="M29" s="64" t="n">
        <v>4</v>
      </c>
      <c r="N29" s="32" t="inlineStr">
        <is>
          <t>Active</t>
        </is>
      </c>
      <c r="O29" s="32" t="n"/>
      <c r="P29" s="65" t="n">
        <v>4.5</v>
      </c>
      <c r="Q29" s="64" t="n">
        <v>371</v>
      </c>
      <c r="R29" s="64" t="n">
        <v>199088</v>
      </c>
      <c r="S29" s="64" t="n">
        <v>5</v>
      </c>
      <c r="T29" s="32" t="n"/>
    </row>
    <row r="30" ht="62" customHeight="1">
      <c r="A30" s="10">
        <f>_xlfn.IMAGE("https://m.media-amazon.com/images/I/812GDkPSqBL.jpg")</f>
        <v/>
      </c>
      <c r="B30" s="32" t="inlineStr">
        <is>
          <t>B0FX2RYKT9</t>
        </is>
      </c>
      <c r="C30" s="32" t="inlineStr">
        <is>
          <t>DC-BAMBOO-FITTED-QUEEN-MID-GREY-1PC</t>
        </is>
      </c>
      <c r="D30" s="32" t="inlineStr">
        <is>
          <t>DECOLURE 100% Viscose Derived from Bamboo Fitted Sheet | Queen Size Fitted Sheet Only | Ultra Soft Cooling Sheets for Hot Sleepers, 17" Deep Pocket w/Corner Straps, Breathable, Oeko-Tex (Mid Grey)</t>
        </is>
      </c>
      <c r="E30" s="32" t="inlineStr">
        <is>
          <t>Queen</t>
        </is>
      </c>
      <c r="F30" s="32" t="inlineStr">
        <is>
          <t>Mid Grey</t>
        </is>
      </c>
      <c r="G30" s="60" t="n">
        <v>37.95</v>
      </c>
      <c r="H30" s="32" t="inlineStr">
        <is>
          <t>Helium 10 Xray, 2026-10-13</t>
        </is>
      </c>
      <c r="I30" s="33" t="n"/>
      <c r="J30" s="32" t="n"/>
      <c r="K30" s="33" t="n"/>
      <c r="L30" s="63" t="n"/>
      <c r="M30" s="64" t="n">
        <v>4</v>
      </c>
      <c r="N30" s="32" t="inlineStr">
        <is>
          <t>Active</t>
        </is>
      </c>
      <c r="O30" s="32" t="n"/>
      <c r="P30" s="65" t="n">
        <v>4.5</v>
      </c>
      <c r="Q30" s="64" t="n">
        <v>371</v>
      </c>
      <c r="R30" s="64" t="n">
        <v>199088</v>
      </c>
      <c r="S30" s="64" t="n">
        <v>5</v>
      </c>
      <c r="T30" s="32" t="n"/>
    </row>
    <row r="31" ht="62" customHeight="1">
      <c r="A31" s="10">
        <f>_xlfn.IMAGE("https://m.media-amazon.com/images/I/81Qr4dBd90L.jpg")</f>
        <v/>
      </c>
      <c r="B31" s="32" t="inlineStr">
        <is>
          <t>B0FX2SR8VT</t>
        </is>
      </c>
      <c r="C31" s="32" t="inlineStr">
        <is>
          <t>DC-BAMBOO-FITTED-QUEEN-WHITE-1PC</t>
        </is>
      </c>
      <c r="D31" s="32" t="inlineStr">
        <is>
          <t>DECOLURE 100% Viscose Derived from Bamboo Fitted Sheet | Queen Size Fitted Sheet Only | Ultra Soft Cooling Sheets for Hot Sleepers, 17" Deep Pocket w/Corner Straps, Breathable, Oeko-Tex (White)</t>
        </is>
      </c>
      <c r="E31" s="32" t="inlineStr">
        <is>
          <t>Queen</t>
        </is>
      </c>
      <c r="F31" s="32" t="inlineStr">
        <is>
          <t>White</t>
        </is>
      </c>
      <c r="G31" s="60" t="n">
        <v>37.95</v>
      </c>
      <c r="H31" s="32" t="inlineStr">
        <is>
          <t>Helium 10 Xray, 2026-10-13</t>
        </is>
      </c>
      <c r="I31" s="33" t="n"/>
      <c r="J31" s="32" t="n"/>
      <c r="K31" s="33" t="n"/>
      <c r="L31" s="63" t="n"/>
      <c r="M31" s="64" t="n">
        <v>4</v>
      </c>
      <c r="N31" s="32" t="inlineStr">
        <is>
          <t>Active</t>
        </is>
      </c>
      <c r="O31" s="32" t="inlineStr">
        <is>
          <t>Yes (9%)</t>
        </is>
      </c>
      <c r="P31" s="65" t="n">
        <v>4.5</v>
      </c>
      <c r="Q31" s="64" t="n">
        <v>371</v>
      </c>
      <c r="R31" s="64" t="n">
        <v>199088</v>
      </c>
      <c r="S31" s="64" t="n">
        <v>33</v>
      </c>
      <c r="T31" s="32" t="n"/>
    </row>
    <row r="32" ht="62" customHeight="1">
      <c r="A32" s="10">
        <f>_xlfn.IMAGE("https://m.media-amazon.com/images/I/812GDkPSqBL.jpg")</f>
        <v/>
      </c>
      <c r="B32" s="32" t="inlineStr">
        <is>
          <t>B0FX2Q6HDW</t>
        </is>
      </c>
      <c r="C32" s="32" t="inlineStr">
        <is>
          <t>DC-BAMBOO-FITTED-KING-MID-GREY-1PC</t>
        </is>
      </c>
      <c r="D32" s="32" t="inlineStr">
        <is>
          <t>DECOLURE 100% Viscose Derived from Bamboo Fitted Sheet | King Size Fitted Sheet Only | Ultra Soft Cooling Sheets for Hot Sleepers, 17" Deep Pocket w/Corner Straps, Breathable, Oeko-Tex (Mid Grey)</t>
        </is>
      </c>
      <c r="E32" s="32" t="inlineStr">
        <is>
          <t>King</t>
        </is>
      </c>
      <c r="F32" s="32" t="inlineStr">
        <is>
          <t>Mid Grey</t>
        </is>
      </c>
      <c r="G32" s="60" t="n">
        <v>39.95</v>
      </c>
      <c r="H32" s="32" t="inlineStr">
        <is>
          <t>Helium 10 Xray, 2026-10-13</t>
        </is>
      </c>
      <c r="I32" s="33" t="n"/>
      <c r="J32" s="32" t="n"/>
      <c r="K32" s="33" t="n"/>
      <c r="L32" s="63" t="n"/>
      <c r="M32" s="64" t="n">
        <v>3</v>
      </c>
      <c r="N32" s="32" t="inlineStr">
        <is>
          <t>Active</t>
        </is>
      </c>
      <c r="O32" s="32" t="n"/>
      <c r="P32" s="65" t="n">
        <v>4.5</v>
      </c>
      <c r="Q32" s="64" t="n">
        <v>371</v>
      </c>
      <c r="R32" s="64" t="n">
        <v>199088</v>
      </c>
      <c r="S32" s="64" t="n">
        <v>10</v>
      </c>
      <c r="T32" s="32" t="n"/>
    </row>
    <row r="33" ht="62" customHeight="1">
      <c r="A33" s="10">
        <f>_xlfn.IMAGE("https://m.media-amazon.com/images/I/81Qr4dBd90L.jpg")</f>
        <v/>
      </c>
      <c r="B33" s="32" t="inlineStr">
        <is>
          <t>B0FX2VX6HN</t>
        </is>
      </c>
      <c r="C33" s="32" t="inlineStr">
        <is>
          <t>DC-BAMBOO-FITTED-KING-WHITE-1PC</t>
        </is>
      </c>
      <c r="D33" s="32" t="inlineStr">
        <is>
          <t>DECOLURE 100% Viscose Derived from Bamboo Fitted Sheet | King Size Fitted Sheet Only | Ultra Soft Cooling Sheets for Hot Sleepers, 17" Deep Pocket w/Corner Straps, Breathable, Oeko-Tex (White)</t>
        </is>
      </c>
      <c r="E33" s="32" t="inlineStr">
        <is>
          <t>King</t>
        </is>
      </c>
      <c r="F33" s="32" t="inlineStr">
        <is>
          <t>White</t>
        </is>
      </c>
      <c r="G33" s="60" t="n">
        <v>39.95</v>
      </c>
      <c r="H33" s="32" t="inlineStr">
        <is>
          <t>SellerBoard listing price, 2026-10-14</t>
        </is>
      </c>
      <c r="I33" s="33" t="n"/>
      <c r="J33" s="32" t="n"/>
      <c r="K33" s="33" t="n"/>
      <c r="L33" s="63" t="n"/>
      <c r="M33" s="64" t="n">
        <v>3</v>
      </c>
      <c r="N33" s="32" t="inlineStr">
        <is>
          <t>Active</t>
        </is>
      </c>
      <c r="O33" s="32" t="inlineStr">
        <is>
          <t>Yes (8%)</t>
        </is>
      </c>
      <c r="P33" s="65" t="n"/>
      <c r="Q33" s="64" t="n"/>
      <c r="R33" s="64" t="n"/>
      <c r="S33" s="64" t="n"/>
      <c r="T33" s="32" t="n"/>
    </row>
    <row r="34" ht="62" customHeight="1">
      <c r="A34" s="10">
        <f>_xlfn.IMAGE("https://m.media-amazon.com/images/I/810qWW2FEJL.jpg")</f>
        <v/>
      </c>
      <c r="B34" s="32" t="inlineStr">
        <is>
          <t>B0FX2RXZNM</t>
        </is>
      </c>
      <c r="C34" s="32" t="inlineStr">
        <is>
          <t>DC-BAMBOO-FITTED-KING-LIGHT-BLUE-1PC</t>
        </is>
      </c>
      <c r="D34" s="32" t="inlineStr">
        <is>
          <t>DECOLURE 100% Viscose Derived from Bamboo Fitted Sheet | King Size Fitted Sheet Only | Ultra Soft Cooling Sheets for Hot Sleepers, 17" Deep Pocket w/Corner Straps, Breathable, Oeko-Tex (Light Blue)</t>
        </is>
      </c>
      <c r="E34" s="32" t="inlineStr">
        <is>
          <t>King</t>
        </is>
      </c>
      <c r="F34" s="32" t="inlineStr">
        <is>
          <t>Light Blue</t>
        </is>
      </c>
      <c r="G34" s="60" t="n">
        <v>39.95</v>
      </c>
      <c r="H34" s="32" t="inlineStr">
        <is>
          <t>Helium 10 Xray, 2026-10-13</t>
        </is>
      </c>
      <c r="I34" s="33" t="n"/>
      <c r="J34" s="32" t="n"/>
      <c r="K34" s="33" t="n"/>
      <c r="L34" s="63" t="n"/>
      <c r="M34" s="64" t="n">
        <v>2</v>
      </c>
      <c r="N34" s="32" t="inlineStr">
        <is>
          <t>Active</t>
        </is>
      </c>
      <c r="O34" s="32" t="n"/>
      <c r="P34" s="65" t="n">
        <v>4.5</v>
      </c>
      <c r="Q34" s="64" t="n">
        <v>371</v>
      </c>
      <c r="R34" s="64" t="n">
        <v>199088</v>
      </c>
      <c r="S34" s="64" t="n">
        <v>1</v>
      </c>
      <c r="T34" s="32" t="n"/>
    </row>
    <row r="35" ht="62" customHeight="1">
      <c r="A35" s="10">
        <f>_xlfn.IMAGE("https://m.media-amazon.com/images/I/81pO8+MuzxL.jpg")</f>
        <v/>
      </c>
      <c r="B35" s="32" t="inlineStr">
        <is>
          <t>B0FX2RFZP3</t>
        </is>
      </c>
      <c r="C35" s="32" t="inlineStr">
        <is>
          <t>DC-BAMBOO-FITTED-QUEEN-BLACK-1PC</t>
        </is>
      </c>
      <c r="D35" s="32" t="inlineStr">
        <is>
          <t>DECOLURE 100% Viscose Derived from Bamboo Fitted Sheet | Queen Size Fitted Sheet Only | Ultra Soft Cooling Sheets for Hot Sleepers, 17" Deep Pocket w/Corner Straps, Breathable, Oeko-Tex (Black)</t>
        </is>
      </c>
      <c r="E35" s="32" t="inlineStr">
        <is>
          <t>Queen</t>
        </is>
      </c>
      <c r="F35" s="32" t="inlineStr">
        <is>
          <t>Black</t>
        </is>
      </c>
      <c r="G35" s="60" t="n">
        <v>37.95</v>
      </c>
      <c r="H35" s="32" t="inlineStr">
        <is>
          <t>SellerBoard listing price, 2026-10-14</t>
        </is>
      </c>
      <c r="I35" s="33" t="n"/>
      <c r="J35" s="32" t="n"/>
      <c r="K35" s="33" t="n"/>
      <c r="L35" s="63" t="n"/>
      <c r="M35" s="64" t="n">
        <v>2</v>
      </c>
      <c r="N35" s="32" t="inlineStr">
        <is>
          <t>Inactive</t>
        </is>
      </c>
      <c r="O35" s="32" t="n"/>
      <c r="P35" s="65" t="n"/>
      <c r="Q35" s="64" t="n"/>
      <c r="R35" s="64" t="n"/>
      <c r="S35" s="64" t="n"/>
      <c r="T35" s="32" t="n"/>
    </row>
    <row r="36" ht="62" customHeight="1">
      <c r="A36" s="10">
        <f>_xlfn.IMAGE("https://m.media-amazon.com/images/I/81LH6Jpy50L.jpg")</f>
        <v/>
      </c>
      <c r="B36" s="32" t="inlineStr">
        <is>
          <t>B0FX2SSTZ2</t>
        </is>
      </c>
      <c r="C36" s="32" t="inlineStr">
        <is>
          <t>DC-BAMBOO-FITTED-QUEEN-GREY-1PC</t>
        </is>
      </c>
      <c r="D36" s="32" t="inlineStr">
        <is>
          <t>DECOLURE 100% Viscose Derived from Bamboo Fitted Sheet | Queen Size Fitted Sheet Only | Ultra Soft Cooling Sheets for Hot Sleepers, 17" Deep Pocket w/Corner Straps, Breathable, Oeko-Tex (Grey)</t>
        </is>
      </c>
      <c r="E36" s="32" t="inlineStr">
        <is>
          <t>Queen</t>
        </is>
      </c>
      <c r="F36" s="32" t="inlineStr">
        <is>
          <t>Grey</t>
        </is>
      </c>
      <c r="G36" s="60" t="n">
        <v>37.95</v>
      </c>
      <c r="H36" s="32" t="inlineStr">
        <is>
          <t>Helium 10 Xray, 2026-10-13</t>
        </is>
      </c>
      <c r="I36" s="33" t="n"/>
      <c r="J36" s="32" t="n"/>
      <c r="K36" s="33" t="n"/>
      <c r="L36" s="63" t="n"/>
      <c r="M36" s="64" t="n">
        <v>2</v>
      </c>
      <c r="N36" s="32" t="inlineStr">
        <is>
          <t>Active</t>
        </is>
      </c>
      <c r="O36" s="32" t="inlineStr">
        <is>
          <t>Yes (18%)</t>
        </is>
      </c>
      <c r="P36" s="65" t="n">
        <v>4.5</v>
      </c>
      <c r="Q36" s="64" t="n">
        <v>371</v>
      </c>
      <c r="R36" s="64" t="n">
        <v>199088</v>
      </c>
      <c r="S36" s="64" t="n">
        <v>4</v>
      </c>
      <c r="T36" s="32" t="n"/>
    </row>
    <row r="37" ht="62" customHeight="1">
      <c r="A37" s="10">
        <f>_xlfn.IMAGE("https://m.media-amazon.com/images/I/81ryHp6ZNZL.jpg")</f>
        <v/>
      </c>
      <c r="B37" s="32" t="inlineStr">
        <is>
          <t>B0FX2Q7R6W</t>
        </is>
      </c>
      <c r="C37" s="32" t="inlineStr">
        <is>
          <t>DC-BAMBOO-FITTED-QUEEN-NAVY-BLUE-1PC</t>
        </is>
      </c>
      <c r="D37" s="32" t="inlineStr">
        <is>
          <t>DECOLURE 100% Viscose Derived from Bamboo Fitted Sheet | Queen Size Fitted Sheet Only | Ultra Soft Cooling Sheets for Hot Sleepers, 17" Deep Pocket w/Corner Straps, Breathable, Oeko-Tex (Navy-Blue)</t>
        </is>
      </c>
      <c r="E37" s="32" t="inlineStr">
        <is>
          <t>Queen</t>
        </is>
      </c>
      <c r="F37" s="32" t="inlineStr">
        <is>
          <t>Navy-Blue</t>
        </is>
      </c>
      <c r="G37" s="60" t="n">
        <v>37.95</v>
      </c>
      <c r="H37" s="32" t="inlineStr">
        <is>
          <t>Helium 10 Xray, 2026-10-13</t>
        </is>
      </c>
      <c r="I37" s="33" t="n"/>
      <c r="J37" s="32" t="n"/>
      <c r="K37" s="33" t="n"/>
      <c r="L37" s="63" t="n"/>
      <c r="M37" s="64" t="n">
        <v>2</v>
      </c>
      <c r="N37" s="32" t="inlineStr">
        <is>
          <t>Active</t>
        </is>
      </c>
      <c r="O37" s="32" t="n"/>
      <c r="P37" s="65" t="n">
        <v>4.5</v>
      </c>
      <c r="Q37" s="64" t="n">
        <v>371</v>
      </c>
      <c r="R37" s="64" t="n">
        <v>199088</v>
      </c>
      <c r="S37" s="64" t="n">
        <v>5</v>
      </c>
      <c r="T37" s="32" t="n"/>
    </row>
    <row r="38" ht="62" customHeight="1">
      <c r="A38" s="10">
        <f>_xlfn.IMAGE("https://m.media-amazon.com/images/I/81pO8+MuzxL.jpg")</f>
        <v/>
      </c>
      <c r="B38" s="32" t="inlineStr">
        <is>
          <t>B0FX2T8CG8</t>
        </is>
      </c>
      <c r="C38" s="32" t="inlineStr">
        <is>
          <t>DC-BAMBOO-FITTED-KING-BLACK-1PC</t>
        </is>
      </c>
      <c r="D38" s="32" t="inlineStr">
        <is>
          <t>DECOLURE 100% Viscose Derived from Bamboo Fitted Sheet | King Size Fitted Sheet Only | Ultra Soft Cooling Sheets for Hot Sleepers, 17" Deep Pocket w/Corner Straps, Breathable, Oeko-Tex (Black)</t>
        </is>
      </c>
      <c r="E38" s="32" t="inlineStr">
        <is>
          <t>King</t>
        </is>
      </c>
      <c r="F38" s="32" t="inlineStr">
        <is>
          <t>Black</t>
        </is>
      </c>
      <c r="G38" s="60" t="n">
        <v>49.99</v>
      </c>
      <c r="H38" s="32" t="inlineStr">
        <is>
          <t>SellerBoard listing price, 2026-10-14</t>
        </is>
      </c>
      <c r="I38" s="33" t="n"/>
      <c r="J38" s="32" t="n"/>
      <c r="K38" s="33" t="n"/>
      <c r="L38" s="63" t="n"/>
      <c r="M38" s="64" t="n">
        <v>1</v>
      </c>
      <c r="N38" s="32" t="inlineStr">
        <is>
          <t>Active</t>
        </is>
      </c>
      <c r="O38" s="32" t="n"/>
      <c r="P38" s="65" t="n"/>
      <c r="Q38" s="64" t="n"/>
      <c r="R38" s="64" t="n"/>
      <c r="S38" s="64" t="n"/>
      <c r="T38" s="32" t="n"/>
    </row>
    <row r="39" ht="62" customHeight="1">
      <c r="A39" s="10">
        <f>_xlfn.IMAGE("https://m.media-amazon.com/images/I/81Psqqq0D9L.jpg")</f>
        <v/>
      </c>
      <c r="B39" s="32" t="inlineStr">
        <is>
          <t>B0FX2V6R29</t>
        </is>
      </c>
      <c r="C39" s="32" t="inlineStr">
        <is>
          <t>DC-BAMBOO-FITTED-QUEEN-CREME-1PC</t>
        </is>
      </c>
      <c r="D39" s="32" t="inlineStr">
        <is>
          <t>DECOLURE 100% Viscose Derived from Bamboo Fitted Sheet | Queen Size Fitted Sheet Only | Ultra Soft Cooling Sheets for Hot Sleepers, 17" Deep Pocket w/Corner Straps, Breathable, Oeko-Tex (Creme)</t>
        </is>
      </c>
      <c r="E39" s="32" t="inlineStr">
        <is>
          <t>Queen</t>
        </is>
      </c>
      <c r="F39" s="32" t="inlineStr">
        <is>
          <t>Creme</t>
        </is>
      </c>
      <c r="G39" s="60" t="n">
        <v>37.95</v>
      </c>
      <c r="H39" s="32" t="inlineStr">
        <is>
          <t>Helium 10 Xray, 2026-10-13</t>
        </is>
      </c>
      <c r="I39" s="33" t="n"/>
      <c r="J39" s="32" t="n"/>
      <c r="K39" s="33" t="n"/>
      <c r="L39" s="63" t="n"/>
      <c r="M39" s="64" t="n">
        <v>0</v>
      </c>
      <c r="N39" s="32" t="inlineStr">
        <is>
          <t>Active</t>
        </is>
      </c>
      <c r="O39" s="32" t="n"/>
      <c r="P39" s="65" t="n">
        <v>4.5</v>
      </c>
      <c r="Q39" s="64" t="n">
        <v>371</v>
      </c>
      <c r="R39" s="64" t="n">
        <v>199085</v>
      </c>
      <c r="S39" s="64" t="n">
        <v>4</v>
      </c>
      <c r="T39" s="32" t="n"/>
    </row>
    <row r="41" ht="20" customHeight="1">
      <c r="A41" s="54" t="inlineStr">
        <is>
          <t>3 · OUR BFCM 2025 RESULT &amp; EVENT VISIBILITY</t>
        </is>
      </c>
    </row>
    <row r="42">
      <c r="A42" s="67" t="inlineStr">
        <is>
          <t>Window</t>
        </is>
      </c>
      <c r="B42" s="68" t="n"/>
      <c r="C42" s="69" t="n"/>
      <c r="D42" s="67" t="inlineStr">
        <is>
          <t>Ad spend</t>
        </is>
      </c>
      <c r="E42" s="67" t="inlineStr">
        <is>
          <t>Ad sales</t>
        </is>
      </c>
      <c r="F42" s="67" t="inlineStr">
        <is>
          <t>ACoS</t>
        </is>
      </c>
      <c r="G42" s="67" t="inlineStr">
        <is>
          <t>TACoS</t>
        </is>
      </c>
      <c r="H42" s="67" t="inlineStr">
        <is>
          <t>Total sales (derived)</t>
        </is>
      </c>
      <c r="J42" s="67" t="inlineStr">
        <is>
          <t>Ad orders</t>
        </is>
      </c>
      <c r="K42" s="67" t="inlineStr">
        <is>
          <t>CVR</t>
        </is>
      </c>
    </row>
    <row r="43">
      <c r="A43" s="70" t="inlineStr">
        <is>
          <t>Pre-event Oct 21 - Nov 19, 2025 (30d)</t>
        </is>
      </c>
      <c r="B43" s="68" t="n"/>
      <c r="C43" s="69" t="n"/>
      <c r="D43" s="71" t="n"/>
      <c r="E43" s="71" t="n"/>
      <c r="F43" s="72" t="n"/>
      <c r="G43" s="72" t="n"/>
      <c r="H43" s="71" t="n"/>
      <c r="J43" s="73" t="n"/>
      <c r="K43" s="74" t="n"/>
    </row>
    <row r="44">
      <c r="A44" s="70" t="inlineStr">
        <is>
          <t>BFCM week Nov 20 - Dec 1, 2025 (12d)</t>
        </is>
      </c>
      <c r="B44" s="68" t="n"/>
      <c r="C44" s="69" t="n"/>
      <c r="D44" s="71" t="n"/>
      <c r="E44" s="71" t="n"/>
      <c r="F44" s="72" t="n"/>
      <c r="G44" s="72" t="n"/>
      <c r="H44" s="71" t="n"/>
      <c r="J44" s="73" t="n"/>
      <c r="K44" s="74" t="n"/>
    </row>
    <row r="45">
      <c r="A45" s="70" t="inlineStr">
        <is>
          <t>December 2 - 31, 2025 (30d)</t>
        </is>
      </c>
      <c r="B45" s="68" t="n"/>
      <c r="C45" s="69" t="n"/>
      <c r="D45" s="71" t="n"/>
      <c r="E45" s="71" t="n"/>
      <c r="F45" s="72" t="n"/>
      <c r="G45" s="72" t="n"/>
      <c r="H45" s="71" t="n"/>
      <c r="J45" s="73" t="n"/>
      <c r="K45" s="74" t="n"/>
    </row>
    <row r="46">
      <c r="A46" s="59" t="inlineStr">
        <is>
          <t>No Command Center visibility history for our best child ASIN.</t>
        </is>
      </c>
    </row>
    <row r="48" ht="20" customHeight="1">
      <c r="A48" s="54" t="inlineStr">
        <is>
          <t>4 · COMPETITOR LANDSCAPE (15 mapped)</t>
        </is>
      </c>
    </row>
    <row r="49">
      <c r="A49" s="59" t="inlineStr">
        <is>
          <t>Sorted by tier, then estimated weekly units. Green = Command Center price/sales; blue = Data Dive listing; purple = Command Center search strategy (ASINsight); yellow = fill from Keepa / page check.</t>
        </is>
      </c>
    </row>
    <row r="50">
      <c r="A50" s="78" t="inlineStr">
        <is>
          <t>COMPETITOR</t>
        </is>
      </c>
      <c r="I50" s="79" t="inlineStr">
        <is>
          <t>LISTING - Data Dive</t>
        </is>
      </c>
      <c r="J50" s="80" t="inlineStr">
        <is>
          <t>SEARCH STRATEGY - Command Center ASINsight</t>
        </is>
      </c>
      <c r="K50" s="81" t="inlineStr">
        <is>
          <t>PRICE &amp; SALES - Command Center snapshot (date per row)</t>
        </is>
      </c>
      <c r="X50" s="79" t="inlineStr">
        <is>
          <t>LISTING - Data Dive</t>
        </is>
      </c>
      <c r="AA50" s="80" t="inlineStr">
        <is>
          <t>SEARCH STRATEGY - Command Center ASINsight</t>
        </is>
      </c>
      <c r="AR50" s="82" t="inlineStr">
        <is>
          <t>STR NOW - Amazon page check (Oct 13, P1 + P2)</t>
        </is>
      </c>
      <c r="AY50" s="83" t="inlineStr">
        <is>
          <t>BFCM 2025 - Keepa (P1 filled; yellow = not pulled yet)</t>
        </is>
      </c>
    </row>
    <row r="51" ht="48" customHeight="1">
      <c r="A51" s="22" t="inlineStr">
        <is>
          <t>Image</t>
        </is>
      </c>
      <c r="B51" s="22" t="inlineStr">
        <is>
          <t>Brand</t>
        </is>
      </c>
      <c r="C51" s="22" t="inlineStr">
        <is>
          <t>Product title</t>
        </is>
      </c>
      <c r="D51" s="22" t="inlineStr">
        <is>
          <t>Tier</t>
        </is>
      </c>
      <c r="E51" s="22" t="inlineStr">
        <is>
          <t>Parent ASIN</t>
        </is>
      </c>
      <c r="F51" s="22" t="inlineStr">
        <is>
          <t>Tracked child ASIN</t>
        </is>
      </c>
      <c r="G51" s="22" t="inlineStr">
        <is>
          <t>Size (title)</t>
        </is>
      </c>
      <c r="H51" s="22" t="inlineStr">
        <is>
          <t>Colour (title)</t>
        </is>
      </c>
      <c r="I51" s="22" t="inlineStr">
        <is>
          <t>Variations</t>
        </is>
      </c>
      <c r="J51" s="22" t="inlineStr">
        <is>
          <t>Hero child ASINs (share of their visibility)</t>
        </is>
      </c>
      <c r="K51" s="22" t="inlineStr">
        <is>
          <t>Price ($)</t>
        </is>
      </c>
      <c r="L51" s="22" t="inlineStr">
        <is>
          <t>List Price ($)</t>
        </is>
      </c>
      <c r="M51" s="22" t="inlineStr">
        <is>
          <t>List Price % over</t>
        </is>
      </c>
      <c r="N51" s="22" t="inlineStr">
        <is>
          <t>STR band</t>
        </is>
      </c>
      <c r="O51" s="22" t="inlineStr">
        <is>
          <t>Our price, same size ($)</t>
        </is>
      </c>
      <c r="P51" s="22" t="inlineStr">
        <is>
          <t>Their price vs ours</t>
        </is>
      </c>
      <c r="Q51" s="22" t="inlineStr">
        <is>
          <t>Comparison basis</t>
        </is>
      </c>
      <c r="R51" s="22" t="inlineStr">
        <is>
          <t>BSR</t>
        </is>
      </c>
      <c r="S51" s="22" t="inlineStr">
        <is>
          <t>Est weekly units</t>
        </is>
      </c>
      <c r="T51" s="22" t="inlineStr">
        <is>
          <t>Est monthly revenue ($)</t>
        </is>
      </c>
      <c r="U51" s="22" t="inlineStr">
        <is>
          <t>Rating</t>
        </is>
      </c>
      <c r="V51" s="22" t="inlineStr">
        <is>
          <t>Reviews</t>
        </is>
      </c>
      <c r="W51" s="22" t="inlineStr">
        <is>
          <t>Snapshot date</t>
        </is>
      </c>
      <c r="X51" s="22" t="inlineStr">
        <is>
          <t>Listed</t>
        </is>
      </c>
      <c r="Y51" s="22" t="inlineStr">
        <is>
          <t>Fulfil.</t>
        </is>
      </c>
      <c r="Z51" s="22" t="inlineStr">
        <is>
          <t>Seller country</t>
        </is>
      </c>
      <c r="AA51" s="22" t="inlineStr">
        <is>
          <t>ASINsight 7d traffic</t>
        </is>
      </c>
      <c r="AB51" s="22" t="inlineStr">
        <is>
          <t>Keywords ranked</t>
        </is>
      </c>
      <c r="AC51" s="22" t="inlineStr">
        <is>
          <t>Organic share of traffic</t>
        </is>
      </c>
      <c r="AD51" s="22" t="inlineStr">
        <is>
          <t>Ad share of traffic</t>
        </is>
      </c>
      <c r="AE51" s="22" t="inlineStr">
        <is>
          <t>Top keyword</t>
        </is>
      </c>
      <c r="AF51" s="22" t="inlineStr">
        <is>
          <t>SP reach</t>
        </is>
      </c>
      <c r="AG51" s="22" t="inlineStr">
        <is>
          <t>SB reach</t>
        </is>
      </c>
      <c r="AH51" s="22" t="inlineStr">
        <is>
          <t>SB video reach</t>
        </is>
      </c>
      <c r="AI51" s="22" t="inlineStr">
        <is>
          <t>Amazon's Choice reach</t>
        </is>
      </c>
      <c r="AJ51" s="22" t="inlineStr">
        <is>
          <t>Shared keywords</t>
        </is>
      </c>
      <c r="AK51" s="22" t="inlineStr">
        <is>
          <t>We win</t>
        </is>
      </c>
      <c r="AL51" s="22" t="inlineStr">
        <is>
          <t>We lose</t>
        </is>
      </c>
      <c r="AM51" s="22" t="inlineStr">
        <is>
          <t>Their keywords we miss</t>
        </is>
      </c>
      <c r="AN51" s="22" t="inlineStr">
        <is>
          <t>KWs they advertise, we don't</t>
        </is>
      </c>
      <c r="AO51" s="22" t="inlineStr">
        <is>
          <t>KWs they out-advertise us</t>
        </is>
      </c>
      <c r="AP51" s="22" t="inlineStr">
        <is>
          <t>Prime Day 2026 organic vis lift</t>
        </is>
      </c>
      <c r="AQ51" s="22" t="inlineStr">
        <is>
          <t>Organic trend (Aug-Sep vs Q2)</t>
        </is>
      </c>
      <c r="AR51" s="22" t="inlineStr">
        <is>
          <t>STR showing now? (Y/N)</t>
        </is>
      </c>
      <c r="AS51" s="22" t="inlineStr">
        <is>
          <t>STR label</t>
        </is>
      </c>
      <c r="AT51" s="22" t="inlineStr">
        <is>
          <t>Strikethrough price ($)</t>
        </is>
      </c>
      <c r="AU51" s="22" t="inlineStr">
        <is>
          <t>Page price at check ($)</t>
        </is>
      </c>
      <c r="AV51" s="22" t="inlineStr">
        <is>
          <t>Deal / coupon now</t>
        </is>
      </c>
      <c r="AW51" s="22" t="inlineStr">
        <is>
          <t>Orderable now (Y/N)</t>
        </is>
      </c>
      <c r="AX51" s="22" t="inlineStr">
        <is>
          <t>Checked (ET)</t>
        </is>
      </c>
      <c r="AY51" s="22" t="inlineStr">
        <is>
          <t>BFCM 2025 deal type</t>
        </is>
      </c>
      <c r="AZ51" s="22" t="inlineStr">
        <is>
          <t>BFCM 2025 deal dates</t>
        </is>
      </c>
      <c r="BA51" s="22" t="inlineStr">
        <is>
          <t>Pre-event price ($)</t>
        </is>
      </c>
      <c r="BB51" s="22" t="inlineStr">
        <is>
          <t>BFCM 2025 low ($)</t>
        </is>
      </c>
      <c r="BC51" s="22" t="inlineStr">
        <is>
          <t>BFCM 2025 discount</t>
        </is>
      </c>
      <c r="BD51" s="22" t="inlineStr">
        <is>
          <t>BSR pre-event</t>
        </is>
      </c>
      <c r="BE51" s="22" t="inlineStr">
        <is>
          <t>BSR BFCM wk</t>
        </is>
      </c>
      <c r="BF51" s="22" t="inlineStr">
        <is>
          <t>BSR lift (x)</t>
        </is>
      </c>
      <c r="BG51" s="22" t="inlineStr">
        <is>
          <t>OOS in BFCM? (Y/N)</t>
        </is>
      </c>
      <c r="BH51" s="22" t="inlineStr">
        <is>
          <t>Notes</t>
        </is>
      </c>
    </row>
    <row r="52" ht="62" customHeight="1">
      <c r="A52" s="10">
        <f>_xlfn.IMAGE("https://images-na.ssl-images-amazon.com/images/I/91dfner9BkL.jpg")</f>
        <v/>
      </c>
      <c r="B52" s="84" t="inlineStr">
        <is>
          <t>Pure Bamboo</t>
        </is>
      </c>
      <c r="C52" s="32" t="inlineStr">
        <is>
          <t>Pure Bamboo King Sheets, Genuine 100% Organic Viscose Derived from Bamboo Bed Sheet Set, Luxuriously Soft &amp; Cooling, Double Stitching, 2 Year Quality Promise (King, Ivory)</t>
        </is>
      </c>
      <c r="D52" s="84" t="inlineStr">
        <is>
          <t>Aspirational</t>
        </is>
      </c>
      <c r="E52" s="84" t="inlineStr">
        <is>
          <t>B0CZQ52MTQ</t>
        </is>
      </c>
      <c r="F52" s="84" t="inlineStr">
        <is>
          <t>B07DZTQ4JC</t>
        </is>
      </c>
      <c r="G52" s="84" t="inlineStr">
        <is>
          <t>King</t>
        </is>
      </c>
      <c r="H52" s="84" t="inlineStr">
        <is>
          <t>Ivory</t>
        </is>
      </c>
      <c r="I52" s="85" t="n">
        <v>181</v>
      </c>
      <c r="J52" s="32" t="inlineStr">
        <is>
          <t>B07MZ4GKZH (30%), B079RXWGSD (12%), B07DZTQ4JC (11%), B074CHDX7V (10%), B07DZMB498 (5%)</t>
        </is>
      </c>
      <c r="K52" s="86" t="n">
        <v>109.99</v>
      </c>
      <c r="L52" s="86" t="n"/>
      <c r="M52" s="87">
        <f>IF(AND(ISNUMBER(L52),ISNUMBER(K52),N(K52)&gt;0),L52/K52-1,"")</f>
        <v/>
      </c>
      <c r="N52" s="88">
        <f>IF(M52="","No List Price",IF(M52&lt;=0,"At/below price",IF(M52&lt;=0.12,"&lt;=12% STR zone",IF(M52&lt;=0.25,"12-25%","&gt;25% over"))))</f>
        <v/>
      </c>
      <c r="O52" s="86" t="n">
        <v>39.95</v>
      </c>
      <c r="P52" s="89">
        <f>IF(AND(ISNUMBER(K52),ISNUMBER(O52),N(O52)&gt;0),K52/O52-1,"")</f>
        <v/>
      </c>
      <c r="Q52" s="32" t="inlineStr">
        <is>
          <t>Same size (King). Ours live: Helium 10 Xray, 2026-10-13; 11 children</t>
        </is>
      </c>
      <c r="R52" s="85" t="n">
        <v>304</v>
      </c>
      <c r="S52" s="85" t="n">
        <v>809</v>
      </c>
      <c r="T52" s="90">
        <f>IF(AND(ISNUMBER(K52),ISNUMBER(S52)),K52*S52*52/12,"")</f>
        <v/>
      </c>
      <c r="U52" s="91" t="n">
        <v>4.5</v>
      </c>
      <c r="V52" s="85" t="n">
        <v>21927</v>
      </c>
      <c r="W52" s="92" t="n">
        <v>46307</v>
      </c>
      <c r="X52" s="92" t="n">
        <v>43281</v>
      </c>
      <c r="Y52" s="84" t="inlineStr">
        <is>
          <t>FBA</t>
        </is>
      </c>
      <c r="Z52" s="84" t="inlineStr">
        <is>
          <t>US</t>
        </is>
      </c>
      <c r="AA52" s="85" t="n">
        <v>2565055</v>
      </c>
      <c r="AB52" s="85" t="n">
        <v>8283</v>
      </c>
      <c r="AC52" s="93" t="n">
        <v>0.4648594811807159</v>
      </c>
      <c r="AD52" s="93" t="n">
        <v>0.5351407059497737</v>
      </c>
      <c r="AE52" s="32" t="inlineStr">
        <is>
          <t>bamboo sheets</t>
        </is>
      </c>
      <c r="AF52" s="93" t="n">
        <v>0.8806310196077667</v>
      </c>
      <c r="AG52" s="93" t="n">
        <v>0.8210506207469236</v>
      </c>
      <c r="AH52" s="93" t="n">
        <v>0.8831019217911507</v>
      </c>
      <c r="AI52" s="93" t="n">
        <v>0.2663467255088098</v>
      </c>
      <c r="AJ52" s="85" t="n">
        <v>314</v>
      </c>
      <c r="AK52" s="85" t="n">
        <v>29</v>
      </c>
      <c r="AL52" s="85" t="n">
        <v>266</v>
      </c>
      <c r="AM52" s="85" t="n">
        <v>7969</v>
      </c>
      <c r="AN52" s="85" t="n">
        <v>3819</v>
      </c>
      <c r="AO52" s="85" t="n">
        <v>0</v>
      </c>
      <c r="AP52" s="94" t="n">
        <v>1.180104147961932</v>
      </c>
      <c r="AQ52" s="89" t="n">
        <v>1.570823710546574</v>
      </c>
      <c r="AR52" s="95" t="inlineStr">
        <is>
          <t>N</t>
        </is>
      </c>
      <c r="AS52" s="95" t="inlineStr">
        <is>
          <t>none</t>
        </is>
      </c>
      <c r="AT52" s="101" t="n"/>
      <c r="AU52" s="96" t="n">
        <v>109.99</v>
      </c>
      <c r="AV52" s="95" t="inlineStr">
        <is>
          <t>none</t>
        </is>
      </c>
      <c r="AW52" s="95" t="inlineStr">
        <is>
          <t>Y</t>
        </is>
      </c>
      <c r="AX52" s="95" t="inlineStr">
        <is>
          <t>2026-10-13 12:11:16</t>
        </is>
      </c>
      <c r="AY52" s="97" t="inlineStr">
        <is>
          <t>None</t>
        </is>
      </c>
      <c r="AZ52" s="102" t="n"/>
      <c r="BA52" s="98" t="n">
        <v>109.99</v>
      </c>
      <c r="BB52" s="98" t="n">
        <v>109.99</v>
      </c>
      <c r="BC52" s="87">
        <f>IF(AND(ISNUMBER(BA52),ISNUMBER(BB52),N(BA52)&gt;0),1-BB52/BA52,"")</f>
        <v/>
      </c>
      <c r="BD52" s="99" t="n">
        <v>287</v>
      </c>
      <c r="BE52" s="99" t="n">
        <v>598</v>
      </c>
      <c r="BF52" s="100">
        <f>IF(AND(ISNUMBER(BD52),ISNUMBER(BE52),N(BE52)&gt;0),BD52/BE52,"")</f>
        <v/>
      </c>
      <c r="BG52" s="97" t="inlineStr">
        <is>
          <t>N</t>
        </is>
      </c>
      <c r="BH52" s="97" t="inlineStr">
        <is>
          <t>List Price $139.99/$149.99</t>
        </is>
      </c>
    </row>
    <row r="53" ht="62" customHeight="1">
      <c r="A53" s="10">
        <f>_xlfn.IMAGE("https://images-na.ssl-images-amazon.com/images/I/71pvB0uNgRL.jpg")</f>
        <v/>
      </c>
      <c r="B53" s="84" t="inlineStr">
        <is>
          <t>GOKOTTA</t>
        </is>
      </c>
      <c r="C53" s="32" t="inlineStr">
        <is>
          <t>GOKOTTA Fitted Sheet Queen Only,100% Rayon Derived from Bamboo Fitted Sheet,Ultr</t>
        </is>
      </c>
      <c r="D53" s="84" t="inlineStr">
        <is>
          <t>Aspirational</t>
        </is>
      </c>
      <c r="E53" s="84" t="inlineStr">
        <is>
          <t>B0B6NZ1H4L</t>
        </is>
      </c>
      <c r="F53" s="84" t="inlineStr">
        <is>
          <t>B0B6P8YLQ7</t>
        </is>
      </c>
      <c r="G53" s="84" t="inlineStr">
        <is>
          <t>Queen</t>
        </is>
      </c>
      <c r="H53" s="84" t="n"/>
      <c r="I53" s="85" t="n">
        <v>44</v>
      </c>
      <c r="J53" s="32" t="inlineStr">
        <is>
          <t>B0B6P8YLQ7 (23%), B0B6PCXT9Y (21%), B0BSPB3KM8 (11%), B0BSPCC8KT (7%), B0H3Z411TN (5%)</t>
        </is>
      </c>
      <c r="K53" s="86" t="n">
        <v>58</v>
      </c>
      <c r="L53" s="86" t="n"/>
      <c r="M53" s="87">
        <f>IF(AND(ISNUMBER(L53),ISNUMBER(K53),N(K53)&gt;0),L53/K53-1,"")</f>
        <v/>
      </c>
      <c r="N53" s="88">
        <f>IF(M53="","No List Price",IF(M53&lt;=0,"At/below price",IF(M53&lt;=0.12,"&lt;=12% STR zone",IF(M53&lt;=0.25,"12-25%","&gt;25% over"))))</f>
        <v/>
      </c>
      <c r="O53" s="86" t="n">
        <v>37.95</v>
      </c>
      <c r="P53" s="89">
        <f>IF(AND(ISNUMBER(K53),ISNUMBER(O53),N(O53)&gt;0),K53/O53-1,"")</f>
        <v/>
      </c>
      <c r="Q53" s="32" t="inlineStr">
        <is>
          <t>Same size (Queen). Ours live: Helium 10 Xray, 2026-10-13; 11 children</t>
        </is>
      </c>
      <c r="R53" s="85" t="n">
        <v>23122</v>
      </c>
      <c r="S53" s="85" t="n">
        <v>35</v>
      </c>
      <c r="T53" s="90">
        <f>IF(AND(ISNUMBER(K53),ISNUMBER(S53)),K53*S53*52/12,"")</f>
        <v/>
      </c>
      <c r="U53" s="91" t="n">
        <v>4.6</v>
      </c>
      <c r="V53" s="85" t="n">
        <v>976</v>
      </c>
      <c r="W53" s="92" t="n">
        <v>46307</v>
      </c>
      <c r="X53" s="92" t="n"/>
      <c r="Y53" s="84" t="n"/>
      <c r="Z53" s="84" t="n"/>
      <c r="AA53" s="85" t="n">
        <v>59725</v>
      </c>
      <c r="AB53" s="85" t="n">
        <v>1014</v>
      </c>
      <c r="AC53" s="93" t="n">
        <v>0.5241691837588952</v>
      </c>
      <c r="AD53" s="93" t="n">
        <v>0.4758308698200081</v>
      </c>
      <c r="AE53" s="32" t="inlineStr">
        <is>
          <t>bamboo sheets</t>
        </is>
      </c>
      <c r="AF53" s="93" t="n">
        <v>0.820460443700293</v>
      </c>
      <c r="AG53" s="93" t="n">
        <v>0.06925073252406864</v>
      </c>
      <c r="AH53" s="93" t="n">
        <v>0.7406278777731269</v>
      </c>
      <c r="AI53" s="93" t="n">
        <v>0.002344077019673504</v>
      </c>
      <c r="AJ53" s="85" t="n">
        <v>244</v>
      </c>
      <c r="AK53" s="85" t="n">
        <v>37</v>
      </c>
      <c r="AL53" s="85" t="n">
        <v>179</v>
      </c>
      <c r="AM53" s="85" t="n">
        <v>770</v>
      </c>
      <c r="AN53" s="85" t="n">
        <v>403</v>
      </c>
      <c r="AO53" s="85" t="n">
        <v>0</v>
      </c>
      <c r="AP53" s="94" t="n"/>
      <c r="AQ53" s="89" t="n"/>
      <c r="AR53" s="95" t="inlineStr">
        <is>
          <t>N</t>
        </is>
      </c>
      <c r="AS53" s="95" t="inlineStr">
        <is>
          <t>none</t>
        </is>
      </c>
      <c r="AT53" s="101" t="n"/>
      <c r="AU53" s="96" t="n">
        <v>58</v>
      </c>
      <c r="AV53" s="95" t="inlineStr">
        <is>
          <t>coupon 10%</t>
        </is>
      </c>
      <c r="AW53" s="95" t="inlineStr">
        <is>
          <t>Y</t>
        </is>
      </c>
      <c r="AX53" s="95" t="inlineStr">
        <is>
          <t>2026-10-13 23:36:18</t>
        </is>
      </c>
      <c r="AY53" s="97" t="inlineStr">
        <is>
          <t>Price cut only</t>
        </is>
      </c>
      <c r="AZ53" s="97" t="inlineStr">
        <is>
          <t>11-20 to 12-01</t>
        </is>
      </c>
      <c r="BA53" s="98" t="n">
        <v>54</v>
      </c>
      <c r="BB53" s="98" t="n">
        <v>43.2</v>
      </c>
      <c r="BC53" s="87">
        <f>IF(AND(ISNUMBER(BA53),ISNUMBER(BB53),N(BA53)&gt;0),1-BB53/BA53,"")</f>
        <v/>
      </c>
      <c r="BD53" s="99" t="n">
        <v>30505</v>
      </c>
      <c r="BE53" s="99" t="n">
        <v>25044</v>
      </c>
      <c r="BF53" s="100">
        <f>IF(AND(ISNUMBER(BD53),ISNUMBER(BE53),N(BE53)&gt;0),BD53/BE53,"")</f>
        <v/>
      </c>
      <c r="BG53" s="97" t="inlineStr">
        <is>
          <t>N</t>
        </is>
      </c>
      <c r="BH53" s="97" t="inlineStr">
        <is>
          <t>Coupon 10% (11-01 to 11-01); List Price $100.00</t>
        </is>
      </c>
    </row>
    <row r="54" ht="62" customHeight="1">
      <c r="A54" s="39" t="inlineStr">
        <is>
          <t>IMAGE MISSING</t>
        </is>
      </c>
      <c r="B54" s="84" t="inlineStr">
        <is>
          <t>REST</t>
        </is>
      </c>
      <c r="C54" s="32" t="inlineStr">
        <is>
          <t>REST® Evercool®+ Fitted Sheet, Full Size, Light Blue, 15" Deep (up to 18’’), Bre</t>
        </is>
      </c>
      <c r="D54" s="84" t="inlineStr">
        <is>
          <t>Aspirational</t>
        </is>
      </c>
      <c r="E54" s="84" t="inlineStr">
        <is>
          <t>B0C14HFDS1</t>
        </is>
      </c>
      <c r="F54" s="84" t="inlineStr">
        <is>
          <t>B0D4Y6RKLL</t>
        </is>
      </c>
      <c r="G54" s="84" t="inlineStr">
        <is>
          <t>Full</t>
        </is>
      </c>
      <c r="H54" s="84" t="inlineStr">
        <is>
          <t>Light Blue</t>
        </is>
      </c>
      <c r="I54" s="85" t="n">
        <v>36</v>
      </c>
      <c r="J54" s="32" t="inlineStr">
        <is>
          <t>B0BW997FWC (40%), B0BW995YFQ (25%), B0C14BKYXL (10%), B0C14BV615 (10%)</t>
        </is>
      </c>
      <c r="K54" s="86" t="n">
        <v>111.2</v>
      </c>
      <c r="L54" s="86" t="n">
        <v>139</v>
      </c>
      <c r="M54" s="87">
        <f>IF(AND(ISNUMBER(L54),ISNUMBER(K54),N(K54)&gt;0),L54/K54-1,"")</f>
        <v/>
      </c>
      <c r="N54" s="88">
        <f>IF(M54="","No List Price",IF(M54&lt;=0,"At/below price",IF(M54&lt;=0.12,"&lt;=12% STR zone",IF(M54&lt;=0.25,"12-25%","&gt;25% over"))))</f>
        <v/>
      </c>
      <c r="O54" s="86" t="n"/>
      <c r="P54" s="89">
        <f>IF(AND(ISNUMBER(K54),ISNUMBER(O54),N(O54)&gt;0),K54/O54-1,"")</f>
        <v/>
      </c>
      <c r="Q54" s="32" t="inlineStr">
        <is>
          <t>No price for us</t>
        </is>
      </c>
      <c r="R54" s="85" t="n">
        <v>22651</v>
      </c>
      <c r="S54" s="85" t="n">
        <v>35</v>
      </c>
      <c r="T54" s="90">
        <f>IF(AND(ISNUMBER(K54),ISNUMBER(S54)),K54*S54*52/12,"")</f>
        <v/>
      </c>
      <c r="U54" s="91" t="n">
        <v>4.4</v>
      </c>
      <c r="V54" s="85" t="n">
        <v>663</v>
      </c>
      <c r="W54" s="92" t="n">
        <v>46307</v>
      </c>
      <c r="X54" s="92" t="n"/>
      <c r="Y54" s="84" t="n"/>
      <c r="Z54" s="84" t="n"/>
      <c r="AA54" s="85" t="n">
        <v>110996</v>
      </c>
      <c r="AB54" s="85" t="n">
        <v>2646</v>
      </c>
      <c r="AC54" s="93" t="n">
        <v>0.5327084201232477</v>
      </c>
      <c r="AD54" s="93" t="n">
        <v>0.4672916087066201</v>
      </c>
      <c r="AE54" s="32" t="inlineStr">
        <is>
          <t>sheets</t>
        </is>
      </c>
      <c r="AF54" s="93" t="n">
        <v>0.6569516018595265</v>
      </c>
      <c r="AG54" s="93" t="n">
        <v>0.6046073732386753</v>
      </c>
      <c r="AH54" s="93" t="n"/>
      <c r="AI54" s="93" t="n">
        <v>0.009036361670690836</v>
      </c>
      <c r="AJ54" s="85" t="n">
        <v>147</v>
      </c>
      <c r="AK54" s="85" t="n">
        <v>44</v>
      </c>
      <c r="AL54" s="85" t="n">
        <v>75</v>
      </c>
      <c r="AM54" s="85" t="n">
        <v>2499</v>
      </c>
      <c r="AN54" s="85" t="n">
        <v>776</v>
      </c>
      <c r="AO54" s="85" t="n">
        <v>0</v>
      </c>
      <c r="AP54" s="94" t="n"/>
      <c r="AQ54" s="89" t="n"/>
      <c r="AR54" s="95" t="inlineStr">
        <is>
          <t>Y</t>
        </is>
      </c>
      <c r="AS54" s="95" t="inlineStr">
        <is>
          <t>List Price</t>
        </is>
      </c>
      <c r="AT54" s="96" t="n">
        <v>139</v>
      </c>
      <c r="AU54" s="96" t="n">
        <v>111.2</v>
      </c>
      <c r="AV54" s="95" t="inlineStr">
        <is>
          <t>none</t>
        </is>
      </c>
      <c r="AW54" s="95" t="inlineStr">
        <is>
          <t>Y</t>
        </is>
      </c>
      <c r="AX54" s="95" t="inlineStr">
        <is>
          <t>2026-10-13 23:36:46</t>
        </is>
      </c>
      <c r="AY54" s="97" t="inlineStr">
        <is>
          <t>Price cut only</t>
        </is>
      </c>
      <c r="AZ54" s="97" t="inlineStr">
        <is>
          <t>11-20 to 12-01</t>
        </is>
      </c>
      <c r="BA54" s="98" t="n">
        <v>111.2</v>
      </c>
      <c r="BB54" s="98" t="n">
        <v>104.25</v>
      </c>
      <c r="BC54" s="87">
        <f>IF(AND(ISNUMBER(BA54),ISNUMBER(BB54),N(BA54)&gt;0),1-BB54/BA54,"")</f>
        <v/>
      </c>
      <c r="BD54" s="99" t="n">
        <v>60121</v>
      </c>
      <c r="BE54" s="99" t="n">
        <v>38546</v>
      </c>
      <c r="BF54" s="100">
        <f>IF(AND(ISNUMBER(BD54),ISNUMBER(BE54),N(BE54)&gt;0),BD54/BE54,"")</f>
        <v/>
      </c>
      <c r="BG54" s="97" t="inlineStr">
        <is>
          <t>N</t>
        </is>
      </c>
      <c r="BH54" s="97" t="inlineStr">
        <is>
          <t>Lightning Deal 11-09 to 11-10; List Price $139.00</t>
        </is>
      </c>
    </row>
    <row r="55" ht="62" customHeight="1">
      <c r="A55" s="10">
        <f>_xlfn.IMAGE("https://images-na.ssl-images-amazon.com/images/I/81svKInu7aL.jpg")</f>
        <v/>
      </c>
      <c r="B55" s="84" t="inlineStr">
        <is>
          <t>Bambaw</t>
        </is>
      </c>
      <c r="C55" s="32" t="inlineStr">
        <is>
          <t>Bambaw 100% Viscose Derived from Bamboo Sheets Queen Size Set – 4pcs Cooling Sheet Set, Super Soft Sheets Queen Size, Luxury Bed Sheets, Deep Pocket Fits Up to 16'' Mattresses (Charcoal)</t>
        </is>
      </c>
      <c r="D55" s="84" t="inlineStr">
        <is>
          <t>Beatable</t>
        </is>
      </c>
      <c r="E55" s="84" t="inlineStr">
        <is>
          <t>B07K6SYX8L</t>
        </is>
      </c>
      <c r="F55" s="84" t="inlineStr">
        <is>
          <t>B0DR99Q37Y</t>
        </is>
      </c>
      <c r="G55" s="84" t="inlineStr">
        <is>
          <t>Queen</t>
        </is>
      </c>
      <c r="H55" s="84" t="inlineStr">
        <is>
          <t>Charcoal</t>
        </is>
      </c>
      <c r="I55" s="85" t="n">
        <v>104</v>
      </c>
      <c r="J55" s="32" t="inlineStr">
        <is>
          <t>B0DR99Q37Y (55%), B0DR98VW37 (10%), B0F2J1742T (7%), B0DR98HVG3 (5%), B0H3BQSQ1X (5%)</t>
        </is>
      </c>
      <c r="K55" s="86" t="n">
        <v>89.98999999999999</v>
      </c>
      <c r="L55" s="86" t="n"/>
      <c r="M55" s="87">
        <f>IF(AND(ISNUMBER(L55),ISNUMBER(K55),N(K55)&gt;0),L55/K55-1,"")</f>
        <v/>
      </c>
      <c r="N55" s="88">
        <f>IF(M55="","No List Price",IF(M55&lt;=0,"At/below price",IF(M55&lt;=0.12,"&lt;=12% STR zone",IF(M55&lt;=0.25,"12-25%","&gt;25% over"))))</f>
        <v/>
      </c>
      <c r="O55" s="86" t="n">
        <v>37.95</v>
      </c>
      <c r="P55" s="89">
        <f>IF(AND(ISNUMBER(K55),ISNUMBER(O55),N(O55)&gt;0),K55/O55-1,"")</f>
        <v/>
      </c>
      <c r="Q55" s="32" t="inlineStr">
        <is>
          <t>Same size (Queen). Ours live: Helium 10 Xray, 2026-10-13; 11 children</t>
        </is>
      </c>
      <c r="R55" s="85" t="n">
        <v>6971</v>
      </c>
      <c r="S55" s="85" t="n">
        <v>104</v>
      </c>
      <c r="T55" s="90">
        <f>IF(AND(ISNUMBER(K55),ISNUMBER(S55)),K55*S55*52/12,"")</f>
        <v/>
      </c>
      <c r="U55" s="91" t="n">
        <v>4.3</v>
      </c>
      <c r="V55" s="85" t="n">
        <v>2766</v>
      </c>
      <c r="W55" s="92" t="n">
        <v>46307</v>
      </c>
      <c r="X55" s="92" t="n">
        <v>45649</v>
      </c>
      <c r="Y55" s="84" t="inlineStr">
        <is>
          <t>FBA</t>
        </is>
      </c>
      <c r="Z55" s="84" t="inlineStr">
        <is>
          <t>BE</t>
        </is>
      </c>
      <c r="AA55" s="85" t="n">
        <v>407949</v>
      </c>
      <c r="AB55" s="85" t="n">
        <v>2137</v>
      </c>
      <c r="AC55" s="93" t="n">
        <v>0.5037485506766772</v>
      </c>
      <c r="AD55" s="93" t="n">
        <v>0.4962515277645003</v>
      </c>
      <c r="AE55" s="32" t="inlineStr">
        <is>
          <t>bamboo sheets</t>
        </is>
      </c>
      <c r="AF55" s="93" t="n">
        <v>0.8267479513370544</v>
      </c>
      <c r="AG55" s="93" t="n">
        <v>0.000431426477329274</v>
      </c>
      <c r="AH55" s="93" t="n">
        <v>0.3636508485129268</v>
      </c>
      <c r="AI55" s="93" t="n">
        <v>0.003414642516589083</v>
      </c>
      <c r="AJ55" s="85" t="n">
        <v>259</v>
      </c>
      <c r="AK55" s="85" t="n">
        <v>46</v>
      </c>
      <c r="AL55" s="85" t="n">
        <v>195</v>
      </c>
      <c r="AM55" s="85" t="n">
        <v>1878</v>
      </c>
      <c r="AN55" s="85" t="n">
        <v>613</v>
      </c>
      <c r="AO55" s="85" t="n">
        <v>0</v>
      </c>
      <c r="AP55" s="94" t="n">
        <v>1.374474053295933</v>
      </c>
      <c r="AQ55" s="89" t="n">
        <v>1.381825760733639</v>
      </c>
      <c r="AR55" s="95" t="inlineStr">
        <is>
          <t>N</t>
        </is>
      </c>
      <c r="AS55" s="95" t="inlineStr">
        <is>
          <t>none</t>
        </is>
      </c>
      <c r="AT55" s="101" t="n"/>
      <c r="AU55" s="96" t="n">
        <v>89.98999999999999</v>
      </c>
      <c r="AV55" s="95" t="inlineStr">
        <is>
          <t>none</t>
        </is>
      </c>
      <c r="AW55" s="95" t="inlineStr">
        <is>
          <t>Y</t>
        </is>
      </c>
      <c r="AX55" s="95" t="inlineStr">
        <is>
          <t>2026-10-13 12:10:28</t>
        </is>
      </c>
      <c r="AY55" s="97" t="inlineStr">
        <is>
          <t>None</t>
        </is>
      </c>
      <c r="AZ55" s="102" t="n"/>
      <c r="BA55" s="98" t="n">
        <v>89.98999999999999</v>
      </c>
      <c r="BB55" s="98" t="n">
        <v>89.98999999999999</v>
      </c>
      <c r="BC55" s="87">
        <f>IF(AND(ISNUMBER(BA55),ISNUMBER(BB55),N(BA55)&gt;0),1-BB55/BA55,"")</f>
        <v/>
      </c>
      <c r="BD55" s="99" t="n">
        <v>12712</v>
      </c>
      <c r="BE55" s="99" t="n">
        <v>10881</v>
      </c>
      <c r="BF55" s="100">
        <f>IF(AND(ISNUMBER(BD55),ISNUMBER(BE55),N(BE55)&gt;0),BD55/BE55,"")</f>
        <v/>
      </c>
      <c r="BG55" s="97" t="inlineStr">
        <is>
          <t>N</t>
        </is>
      </c>
      <c r="BH55" s="97" t="inlineStr">
        <is>
          <t>List Price $103.45</t>
        </is>
      </c>
    </row>
    <row r="56" ht="62" customHeight="1">
      <c r="A56" s="10">
        <f>_xlfn.IMAGE("https://images-na.ssl-images-amazon.com/images/I/81suQgVR0GL.jpg")</f>
        <v/>
      </c>
      <c r="B56" s="84" t="inlineStr">
        <is>
          <t>Bedsure</t>
        </is>
      </c>
      <c r="C56" s="32" t="inlineStr">
        <is>
          <t>Bedsure PureWoven Organically Grown Bamboo Viscose Queen Sheet Set, 4PCS</t>
        </is>
      </c>
      <c r="D56" s="84" t="inlineStr">
        <is>
          <t>Beatable</t>
        </is>
      </c>
      <c r="E56" s="84" t="inlineStr">
        <is>
          <t>B0FB8XS4D1</t>
        </is>
      </c>
      <c r="F56" s="84" t="inlineStr">
        <is>
          <t>B0FB8XR43Q</t>
        </is>
      </c>
      <c r="G56" s="84" t="inlineStr">
        <is>
          <t>Queen</t>
        </is>
      </c>
      <c r="H56" s="84" t="n"/>
      <c r="I56" s="85" t="n">
        <v>39</v>
      </c>
      <c r="J56" s="32" t="inlineStr">
        <is>
          <t>B0FB8XR43Q (31%), B0FB8ZTD7M (18%), B0GLN6VP9Y (11%), B0FB8YV6C7 (10%), B0FB8Z4GGW (10%)</t>
        </is>
      </c>
      <c r="K56" s="86" t="n">
        <v>89.98999999999999</v>
      </c>
      <c r="L56" s="86" t="n">
        <v>119.99</v>
      </c>
      <c r="M56" s="87">
        <f>IF(AND(ISNUMBER(L56),ISNUMBER(K56),N(K56)&gt;0),L56/K56-1,"")</f>
        <v/>
      </c>
      <c r="N56" s="88">
        <f>IF(M56="","No List Price",IF(M56&lt;=0,"At/below price",IF(M56&lt;=0.12,"&lt;=12% STR zone",IF(M56&lt;=0.25,"12-25%","&gt;25% over"))))</f>
        <v/>
      </c>
      <c r="O56" s="86" t="n">
        <v>37.95</v>
      </c>
      <c r="P56" s="89">
        <f>IF(AND(ISNUMBER(K56),ISNUMBER(O56),N(O56)&gt;0),K56/O56-1,"")</f>
        <v/>
      </c>
      <c r="Q56" s="32" t="inlineStr">
        <is>
          <t>Same size (Queen). Ours live: Helium 10 Xray, 2026-10-13; 11 children</t>
        </is>
      </c>
      <c r="R56" s="85" t="n">
        <v>8938</v>
      </c>
      <c r="S56" s="85" t="n">
        <v>104</v>
      </c>
      <c r="T56" s="90">
        <f>IF(AND(ISNUMBER(K56),ISNUMBER(S56)),K56*S56*52/12,"")</f>
        <v/>
      </c>
      <c r="U56" s="91" t="n">
        <v>4.5</v>
      </c>
      <c r="V56" s="85" t="n">
        <v>588</v>
      </c>
      <c r="W56" s="92" t="n">
        <v>46307</v>
      </c>
      <c r="X56" s="92" t="n">
        <v>45936</v>
      </c>
      <c r="Y56" s="84" t="inlineStr">
        <is>
          <t>FBA</t>
        </is>
      </c>
      <c r="Z56" s="84" t="inlineStr">
        <is>
          <t>US</t>
        </is>
      </c>
      <c r="AA56" s="85" t="n">
        <v>840292</v>
      </c>
      <c r="AB56" s="85" t="n">
        <v>3961</v>
      </c>
      <c r="AC56" s="93" t="n">
        <v>0.1404099194089678</v>
      </c>
      <c r="AD56" s="93" t="n">
        <v>0.8595901834124341</v>
      </c>
      <c r="AE56" s="32" t="inlineStr">
        <is>
          <t>bamboo sheets</t>
        </is>
      </c>
      <c r="AF56" s="93" t="n">
        <v>0.9284082199997143</v>
      </c>
      <c r="AG56" s="93" t="n">
        <v>0.9843340172225845</v>
      </c>
      <c r="AH56" s="93" t="n">
        <v>0.5269953777972419</v>
      </c>
      <c r="AI56" s="93" t="n">
        <v>0.000478405125837209</v>
      </c>
      <c r="AJ56" s="85" t="n">
        <v>319</v>
      </c>
      <c r="AK56" s="85" t="n">
        <v>35</v>
      </c>
      <c r="AL56" s="85" t="n">
        <v>261</v>
      </c>
      <c r="AM56" s="85" t="n">
        <v>3642</v>
      </c>
      <c r="AN56" s="85" t="n">
        <v>2487</v>
      </c>
      <c r="AO56" s="85" t="n">
        <v>1</v>
      </c>
      <c r="AP56" s="94" t="n">
        <v>1.764832022873481</v>
      </c>
      <c r="AQ56" s="89" t="n">
        <v>-0.09047044632086854</v>
      </c>
      <c r="AR56" s="95" t="inlineStr">
        <is>
          <t>Y</t>
        </is>
      </c>
      <c r="AS56" s="95" t="inlineStr">
        <is>
          <t>List Price</t>
        </is>
      </c>
      <c r="AT56" s="96" t="n">
        <v>119.99</v>
      </c>
      <c r="AU56" s="96" t="n">
        <v>89.98999999999999</v>
      </c>
      <c r="AV56" s="95" t="inlineStr">
        <is>
          <t>none</t>
        </is>
      </c>
      <c r="AW56" s="95" t="inlineStr">
        <is>
          <t>Y</t>
        </is>
      </c>
      <c r="AX56" s="95" t="inlineStr">
        <is>
          <t>2026-10-13 12:10:38</t>
        </is>
      </c>
      <c r="AY56" s="97" t="inlineStr">
        <is>
          <t>Prime Exclusive Discount</t>
        </is>
      </c>
      <c r="AZ56" s="97" t="inlineStr">
        <is>
          <t>11-10 to 12-05</t>
        </is>
      </c>
      <c r="BA56" s="98" t="n">
        <v>99.98999999999999</v>
      </c>
      <c r="BB56" s="98" t="n">
        <v>72.64</v>
      </c>
      <c r="BC56" s="87">
        <f>IF(AND(ISNUMBER(BA56),ISNUMBER(BB56),N(BA56)&gt;0),1-BB56/BA56,"")</f>
        <v/>
      </c>
      <c r="BD56" s="99" t="n">
        <v>53160</v>
      </c>
      <c r="BE56" s="99" t="n">
        <v>53782</v>
      </c>
      <c r="BF56" s="100">
        <f>IF(AND(ISNUMBER(BD56),ISNUMBER(BE56),N(BE56)&gt;0),BD56/BE56,"")</f>
        <v/>
      </c>
      <c r="BG56" s="97" t="inlineStr">
        <is>
          <t>N</t>
        </is>
      </c>
      <c r="BH56" s="97" t="inlineStr">
        <is>
          <t>Prime Exclusive already running before BFCM week; List Price $114.99</t>
        </is>
      </c>
    </row>
    <row r="57" ht="62" customHeight="1">
      <c r="A57" s="10">
        <f>_xlfn.IMAGE("https://images-na.ssl-images-amazon.com/images/I/71sqxa1EquL.jpg")</f>
        <v/>
      </c>
      <c r="B57" s="84" t="inlineStr">
        <is>
          <t>SONORO KATE</t>
        </is>
      </c>
      <c r="C57" s="32" t="inlineStr">
        <is>
          <t>Bamboo Sheets</t>
        </is>
      </c>
      <c r="D57" s="84" t="inlineStr">
        <is>
          <t>Beatable</t>
        </is>
      </c>
      <c r="E57" s="84" t="inlineStr">
        <is>
          <t>B0F4852T9V</t>
        </is>
      </c>
      <c r="F57" s="84" t="inlineStr">
        <is>
          <t>B0F4873G4H</t>
        </is>
      </c>
      <c r="G57" s="84" t="n"/>
      <c r="H57" s="84" t="n"/>
      <c r="I57" s="85" t="n">
        <v>33</v>
      </c>
      <c r="J57" s="32" t="inlineStr">
        <is>
          <t>B0F486MGJ1 (46%), B0F4873G4H (45%)</t>
        </is>
      </c>
      <c r="K57" s="86" t="n">
        <v>79.98999999999999</v>
      </c>
      <c r="L57" s="86" t="n"/>
      <c r="M57" s="87">
        <f>IF(AND(ISNUMBER(L57),ISNUMBER(K57),N(K57)&gt;0),L57/K57-1,"")</f>
        <v/>
      </c>
      <c r="N57" s="88">
        <f>IF(M57="","No List Price",IF(M57&lt;=0,"At/below price",IF(M57&lt;=0.12,"&lt;=12% STR zone",IF(M57&lt;=0.25,"12-25%","&gt;25% over"))))</f>
        <v/>
      </c>
      <c r="O57" s="86" t="n">
        <v>37.95</v>
      </c>
      <c r="P57" s="89">
        <f>IF(AND(ISNUMBER(K57),ISNUMBER(O57),N(O57)&gt;0),K57/O57-1,"")</f>
        <v/>
      </c>
      <c r="Q57" s="32" t="inlineStr">
        <is>
          <t>Size not stated - vs our Queen. Ours live: Helium 10 Xray, 2026-10-13; 11 children</t>
        </is>
      </c>
      <c r="R57" s="85" t="n">
        <v>7961</v>
      </c>
      <c r="S57" s="85" t="n">
        <v>104</v>
      </c>
      <c r="T57" s="90">
        <f>IF(AND(ISNUMBER(K57),ISNUMBER(S57)),K57*S57*52/12,"")</f>
        <v/>
      </c>
      <c r="U57" s="91" t="n">
        <v>4.5</v>
      </c>
      <c r="V57" s="85" t="n">
        <v>3776</v>
      </c>
      <c r="W57" s="92" t="n">
        <v>46307</v>
      </c>
      <c r="X57" s="92" t="n"/>
      <c r="Y57" s="84" t="n"/>
      <c r="Z57" s="84" t="n"/>
      <c r="AA57" s="85" t="n">
        <v>185157</v>
      </c>
      <c r="AB57" s="85" t="n">
        <v>1447</v>
      </c>
      <c r="AC57" s="93" t="n">
        <v>0.9776013545261586</v>
      </c>
      <c r="AD57" s="93" t="n">
        <v>0.02239928493116653</v>
      </c>
      <c r="AE57" s="32" t="inlineStr">
        <is>
          <t>bamboo sheets</t>
        </is>
      </c>
      <c r="AF57" s="93" t="n">
        <v>0.4342476924987983</v>
      </c>
      <c r="AG57" s="93" t="n"/>
      <c r="AH57" s="93" t="n"/>
      <c r="AI57" s="93" t="n">
        <v>0.1639959601851402</v>
      </c>
      <c r="AJ57" s="85" t="n">
        <v>249</v>
      </c>
      <c r="AK57" s="85" t="n">
        <v>42</v>
      </c>
      <c r="AL57" s="85" t="n">
        <v>187</v>
      </c>
      <c r="AM57" s="85" t="n">
        <v>1198</v>
      </c>
      <c r="AN57" s="85" t="n">
        <v>124</v>
      </c>
      <c r="AO57" s="85" t="n">
        <v>0</v>
      </c>
      <c r="AP57" s="94" t="n">
        <v>1.314808539478143</v>
      </c>
      <c r="AQ57" s="89" t="n">
        <v>0.6186540731995278</v>
      </c>
      <c r="AR57" s="95" t="inlineStr">
        <is>
          <t>N</t>
        </is>
      </c>
      <c r="AS57" s="95" t="inlineStr">
        <is>
          <t>none</t>
        </is>
      </c>
      <c r="AT57" s="101" t="n"/>
      <c r="AU57" s="96" t="n">
        <v>79.98999999999999</v>
      </c>
      <c r="AV57" s="95" t="inlineStr">
        <is>
          <t>coupon $5</t>
        </is>
      </c>
      <c r="AW57" s="95" t="inlineStr">
        <is>
          <t>Y</t>
        </is>
      </c>
      <c r="AX57" s="95" t="inlineStr">
        <is>
          <t>2026-10-13 12:11:19</t>
        </is>
      </c>
      <c r="AY57" s="97" t="inlineStr">
        <is>
          <t>Prime Exclusive Discount</t>
        </is>
      </c>
      <c r="AZ57" s="97" t="inlineStr">
        <is>
          <t>11-20 to 12-01</t>
        </is>
      </c>
      <c r="BA57" s="98" t="n">
        <v>79.98999999999999</v>
      </c>
      <c r="BB57" s="98" t="n">
        <v>63.99</v>
      </c>
      <c r="BC57" s="87">
        <f>IF(AND(ISNUMBER(BA57),ISNUMBER(BB57),N(BA57)&gt;0),1-BB57/BA57,"")</f>
        <v/>
      </c>
      <c r="BD57" s="99" t="n">
        <v>36662</v>
      </c>
      <c r="BE57" s="99" t="n">
        <v>23612</v>
      </c>
      <c r="BF57" s="100">
        <f>IF(AND(ISNUMBER(BD57),ISNUMBER(BE57),N(BE57)&gt;0),BD57/BE57,"")</f>
        <v/>
      </c>
      <c r="BG57" s="97" t="inlineStr">
        <is>
          <t>N</t>
        </is>
      </c>
      <c r="BH57" s="97" t="inlineStr">
        <is>
          <t>Coupon 15% (11-06 to 11-19); List Price $79.99</t>
        </is>
      </c>
    </row>
    <row r="58" ht="62" customHeight="1">
      <c r="A58" s="10">
        <f>_xlfn.IMAGE("https://images-na.ssl-images-amazon.com/images/I/71Pl57-j67L.jpg")</f>
        <v/>
      </c>
      <c r="B58" s="84" t="inlineStr">
        <is>
          <t>BC BELLA COTERIE</t>
        </is>
      </c>
      <c r="C58" s="32" t="inlineStr">
        <is>
          <t>Bella Coterie Luxury Bamboo Viscose King Size Sheet Set</t>
        </is>
      </c>
      <c r="D58" s="84" t="inlineStr">
        <is>
          <t>Beatable</t>
        </is>
      </c>
      <c r="E58" s="84" t="inlineStr">
        <is>
          <t>B0H29V113N</t>
        </is>
      </c>
      <c r="F58" s="84" t="inlineStr">
        <is>
          <t>B08L86VLZB</t>
        </is>
      </c>
      <c r="G58" s="84" t="inlineStr">
        <is>
          <t>King</t>
        </is>
      </c>
      <c r="H58" s="84" t="n"/>
      <c r="I58" s="85" t="n">
        <v>258</v>
      </c>
      <c r="J58" s="32" t="inlineStr">
        <is>
          <t>B0C979FD5Z (12%), B09JTQMF5C (11%), B08L86VLZB (6%), B08L85SV5Z (5%), B09JV1NG9R (4%)</t>
        </is>
      </c>
      <c r="K58" s="86" t="n">
        <v>134.99</v>
      </c>
      <c r="L58" s="86" t="n"/>
      <c r="M58" s="87">
        <f>IF(AND(ISNUMBER(L58),ISNUMBER(K58),N(K58)&gt;0),L58/K58-1,"")</f>
        <v/>
      </c>
      <c r="N58" s="88">
        <f>IF(M58="","No List Price",IF(M58&lt;=0,"At/below price",IF(M58&lt;=0.12,"&lt;=12% STR zone",IF(M58&lt;=0.25,"12-25%","&gt;25% over"))))</f>
        <v/>
      </c>
      <c r="O58" s="86" t="n">
        <v>39.95</v>
      </c>
      <c r="P58" s="89">
        <f>IF(AND(ISNUMBER(K58),ISNUMBER(O58),N(O58)&gt;0),K58/O58-1,"")</f>
        <v/>
      </c>
      <c r="Q58" s="32" t="inlineStr">
        <is>
          <t>Same size (King). Ours live: Helium 10 Xray, 2026-10-13; 11 children</t>
        </is>
      </c>
      <c r="R58" s="85" t="n">
        <v>1358</v>
      </c>
      <c r="S58" s="85" t="n">
        <v>92</v>
      </c>
      <c r="T58" s="90">
        <f>IF(AND(ISNUMBER(K58),ISNUMBER(S58)),K58*S58*52/12,"")</f>
        <v/>
      </c>
      <c r="U58" s="91" t="n">
        <v>4.4</v>
      </c>
      <c r="V58" s="85" t="n">
        <v>5871</v>
      </c>
      <c r="W58" s="92" t="n">
        <v>46307</v>
      </c>
      <c r="X58" s="92" t="n">
        <v>44154</v>
      </c>
      <c r="Y58" s="84" t="inlineStr">
        <is>
          <t>FBA</t>
        </is>
      </c>
      <c r="Z58" s="84" t="inlineStr">
        <is>
          <t>US</t>
        </is>
      </c>
      <c r="AA58" s="85" t="n">
        <v>591713</v>
      </c>
      <c r="AB58" s="85" t="n">
        <v>5504</v>
      </c>
      <c r="AC58" s="93" t="n">
        <v>0.3622702587234016</v>
      </c>
      <c r="AD58" s="93" t="n">
        <v>0.6377298332130611</v>
      </c>
      <c r="AE58" s="32" t="inlineStr">
        <is>
          <t>bamboo sheets</t>
        </is>
      </c>
      <c r="AF58" s="93" t="n">
        <v>0.9808184035165697</v>
      </c>
      <c r="AG58" s="93" t="n">
        <v>0.5730548424658576</v>
      </c>
      <c r="AH58" s="93" t="n">
        <v>0.5581810776508206</v>
      </c>
      <c r="AI58" s="93" t="n">
        <v>0.03836488297536136</v>
      </c>
      <c r="AJ58" s="85" t="n">
        <v>271</v>
      </c>
      <c r="AK58" s="85" t="n">
        <v>49</v>
      </c>
      <c r="AL58" s="85" t="n">
        <v>183</v>
      </c>
      <c r="AM58" s="85" t="n">
        <v>5233</v>
      </c>
      <c r="AN58" s="85" t="n">
        <v>2475</v>
      </c>
      <c r="AO58" s="85" t="n">
        <v>0</v>
      </c>
      <c r="AP58" s="94" t="n">
        <v>1.778087279480037</v>
      </c>
      <c r="AQ58" s="89" t="n">
        <v>0.3772549019607843</v>
      </c>
      <c r="AR58" s="95" t="inlineStr">
        <is>
          <t>N</t>
        </is>
      </c>
      <c r="AS58" s="95" t="inlineStr">
        <is>
          <t>none</t>
        </is>
      </c>
      <c r="AT58" s="101" t="n"/>
      <c r="AU58" s="96" t="n">
        <v>169.99</v>
      </c>
      <c r="AV58" s="95" t="inlineStr">
        <is>
          <t>none</t>
        </is>
      </c>
      <c r="AW58" s="95" t="inlineStr">
        <is>
          <t>Y</t>
        </is>
      </c>
      <c r="AX58" s="95" t="inlineStr">
        <is>
          <t>2026-10-13 12:14:18</t>
        </is>
      </c>
      <c r="AY58" s="97" t="inlineStr">
        <is>
          <t>Price cut only</t>
        </is>
      </c>
      <c r="AZ58" s="97" t="inlineStr">
        <is>
          <t>11-20 to 12-01</t>
        </is>
      </c>
      <c r="BA58" s="98" t="n">
        <v>134.99</v>
      </c>
      <c r="BB58" s="98" t="n">
        <v>110.5</v>
      </c>
      <c r="BC58" s="87">
        <f>IF(AND(ISNUMBER(BA58),ISNUMBER(BB58),N(BA58)&gt;0),1-BB58/BA58,"")</f>
        <v/>
      </c>
      <c r="BD58" s="99" t="n">
        <v>3072</v>
      </c>
      <c r="BE58" s="99" t="n">
        <v>1155</v>
      </c>
      <c r="BF58" s="100">
        <f>IF(AND(ISNUMBER(BD58),ISNUMBER(BE58),N(BE58)&gt;0),BD58/BE58,"")</f>
        <v/>
      </c>
      <c r="BG58" s="97" t="inlineStr">
        <is>
          <t>N</t>
        </is>
      </c>
      <c r="BH58" s="97" t="inlineStr">
        <is>
          <t>Coupon 20.00 USD (12-03 to 12-05); List Price $169.99</t>
        </is>
      </c>
    </row>
    <row r="59" ht="62" customHeight="1">
      <c r="A59" s="10">
        <f>_xlfn.IMAGE("https://images-na.ssl-images-amazon.com/images/I/81UgXZwkGpL.jpg")</f>
        <v/>
      </c>
      <c r="B59" s="84" t="inlineStr">
        <is>
          <t>Zaizaihome</t>
        </is>
      </c>
      <c r="C59" s="32" t="inlineStr">
        <is>
          <t>Bamboo Viscose Cooling Fitted Sheet King Size Only</t>
        </is>
      </c>
      <c r="D59" s="84" t="inlineStr">
        <is>
          <t>Beatable</t>
        </is>
      </c>
      <c r="E59" s="84" t="inlineStr">
        <is>
          <t>B0CXPDKH51</t>
        </is>
      </c>
      <c r="F59" s="84" t="inlineStr">
        <is>
          <t>B0CXPKK5DD</t>
        </is>
      </c>
      <c r="G59" s="84" t="inlineStr">
        <is>
          <t>King</t>
        </is>
      </c>
      <c r="H59" s="84" t="n"/>
      <c r="I59" s="85" t="n">
        <v>79</v>
      </c>
      <c r="J59" s="32" t="inlineStr">
        <is>
          <t>B0CXPB1BGB (23%), B0CXNY88FM (22%), B0CXPKK5DD (18%), B0D9RVK2M1 (15%), B0CXPL68WG (10%)</t>
        </is>
      </c>
      <c r="K59" s="86" t="n">
        <v>29.99</v>
      </c>
      <c r="L59" s="86" t="n"/>
      <c r="M59" s="87">
        <f>IF(AND(ISNUMBER(L59),ISNUMBER(K59),N(K59)&gt;0),L59/K59-1,"")</f>
        <v/>
      </c>
      <c r="N59" s="88">
        <f>IF(M59="","No List Price",IF(M59&lt;=0,"At/below price",IF(M59&lt;=0.12,"&lt;=12% STR zone",IF(M59&lt;=0.25,"12-25%","&gt;25% over"))))</f>
        <v/>
      </c>
      <c r="O59" s="86" t="n">
        <v>39.95</v>
      </c>
      <c r="P59" s="89">
        <f>IF(AND(ISNUMBER(K59),ISNUMBER(O59),N(O59)&gt;0),K59/O59-1,"")</f>
        <v/>
      </c>
      <c r="Q59" s="32" t="inlineStr">
        <is>
          <t>Same size (King). Ours live: Helium 10 Xray, 2026-10-13; 11 children</t>
        </is>
      </c>
      <c r="R59" s="85" t="n">
        <v>9600</v>
      </c>
      <c r="S59" s="85" t="n">
        <v>81</v>
      </c>
      <c r="T59" s="90">
        <f>IF(AND(ISNUMBER(K59),ISNUMBER(S59)),K59*S59*52/12,"")</f>
        <v/>
      </c>
      <c r="U59" s="91" t="n">
        <v>4.3</v>
      </c>
      <c r="V59" s="85" t="n">
        <v>1029</v>
      </c>
      <c r="W59" s="92" t="n">
        <v>46307</v>
      </c>
      <c r="X59" s="92" t="n">
        <v>45362</v>
      </c>
      <c r="Y59" s="84" t="inlineStr">
        <is>
          <t>FBA</t>
        </is>
      </c>
      <c r="Z59" s="84" t="inlineStr">
        <is>
          <t>CN</t>
        </is>
      </c>
      <c r="AA59" s="85" t="n">
        <v>80454</v>
      </c>
      <c r="AB59" s="85" t="n">
        <v>892</v>
      </c>
      <c r="AC59" s="93" t="n">
        <v>0.9934371106470778</v>
      </c>
      <c r="AD59" s="93" t="n">
        <v>0.006562889352922167</v>
      </c>
      <c r="AE59" s="32" t="inlineStr">
        <is>
          <t>bamboo sheets</t>
        </is>
      </c>
      <c r="AF59" s="93" t="n">
        <v>0.05738682974121859</v>
      </c>
      <c r="AG59" s="93" t="n"/>
      <c r="AH59" s="93" t="n"/>
      <c r="AI59" s="93" t="n">
        <v>0.1354811445049345</v>
      </c>
      <c r="AJ59" s="85" t="n">
        <v>276</v>
      </c>
      <c r="AK59" s="85" t="n">
        <v>29</v>
      </c>
      <c r="AL59" s="85" t="n">
        <v>230</v>
      </c>
      <c r="AM59" s="85" t="n">
        <v>616</v>
      </c>
      <c r="AN59" s="85" t="n">
        <v>39</v>
      </c>
      <c r="AO59" s="85" t="n">
        <v>0</v>
      </c>
      <c r="AP59" s="94" t="n">
        <v>0.9810017271157168</v>
      </c>
      <c r="AQ59" s="89" t="n">
        <v>-0.07202680067001677</v>
      </c>
      <c r="AR59" s="95" t="inlineStr">
        <is>
          <t>N</t>
        </is>
      </c>
      <c r="AS59" s="95" t="inlineStr">
        <is>
          <t>none</t>
        </is>
      </c>
      <c r="AT59" s="101" t="n"/>
      <c r="AU59" s="96" t="n">
        <v>29.99</v>
      </c>
      <c r="AV59" s="95" t="inlineStr">
        <is>
          <t>none</t>
        </is>
      </c>
      <c r="AW59" s="95" t="inlineStr">
        <is>
          <t>Y</t>
        </is>
      </c>
      <c r="AX59" s="95" t="inlineStr">
        <is>
          <t>2026-10-13 23:37:12</t>
        </is>
      </c>
      <c r="AY59" s="97" t="inlineStr">
        <is>
          <t>Prime Exclusive Discount</t>
        </is>
      </c>
      <c r="AZ59" s="97" t="inlineStr">
        <is>
          <t>11-26 to 12-01</t>
        </is>
      </c>
      <c r="BA59" s="98" t="n">
        <v>27.59</v>
      </c>
      <c r="BB59" s="98" t="n">
        <v>23.69</v>
      </c>
      <c r="BC59" s="87">
        <f>IF(AND(ISNUMBER(BA59),ISNUMBER(BB59),N(BA59)&gt;0),1-BB59/BA59,"")</f>
        <v/>
      </c>
      <c r="BD59" s="99" t="n">
        <v>20417</v>
      </c>
      <c r="BE59" s="99" t="n">
        <v>21270</v>
      </c>
      <c r="BF59" s="100">
        <f>IF(AND(ISNUMBER(BD59),ISNUMBER(BE59),N(BE59)&gt;0),BD59/BE59,"")</f>
        <v/>
      </c>
      <c r="BG59" s="97" t="inlineStr">
        <is>
          <t>N</t>
        </is>
      </c>
      <c r="BH59" s="97" t="inlineStr">
        <is>
          <t>Buy Box RAISED in BFCM week (median $29.99 vs $27.59 before); List Price $29.99</t>
        </is>
      </c>
    </row>
    <row r="60" ht="62" customHeight="1">
      <c r="A60" s="10">
        <f>_xlfn.IMAGE("https://images-na.ssl-images-amazon.com/images/I/81OVUx9lkCL.jpg")</f>
        <v/>
      </c>
      <c r="B60" s="84" t="inlineStr"/>
      <c r="C60" s="32" t="inlineStr">
        <is>
          <t>Bedsure PureWoven Queen Fitted Sheet Qnly, 100% Rayon Derived from Bamboo</t>
        </is>
      </c>
      <c r="D60" s="84" t="inlineStr">
        <is>
          <t>Beatable</t>
        </is>
      </c>
      <c r="E60" s="84" t="inlineStr">
        <is>
          <t>B0FW3SSM8K</t>
        </is>
      </c>
      <c r="F60" s="84" t="inlineStr">
        <is>
          <t>B0FW38KM4S</t>
        </is>
      </c>
      <c r="G60" s="84" t="inlineStr">
        <is>
          <t>Queen</t>
        </is>
      </c>
      <c r="H60" s="84" t="n"/>
      <c r="I60" s="85" t="n">
        <v>24</v>
      </c>
      <c r="J60" s="32" t="inlineStr">
        <is>
          <t>B0FW38KM4S (53%), B0FVX8LSVV (17%), B0FW3WF617 (12%)</t>
        </is>
      </c>
      <c r="K60" s="86" t="n">
        <v>44.99</v>
      </c>
      <c r="L60" s="86" t="n"/>
      <c r="M60" s="87">
        <f>IF(AND(ISNUMBER(L60),ISNUMBER(K60),N(K60)&gt;0),L60/K60-1,"")</f>
        <v/>
      </c>
      <c r="N60" s="88">
        <f>IF(M60="","No List Price",IF(M60&lt;=0,"At/below price",IF(M60&lt;=0.12,"&lt;=12% STR zone",IF(M60&lt;=0.25,"12-25%","&gt;25% over"))))</f>
        <v/>
      </c>
      <c r="O60" s="86" t="n">
        <v>37.95</v>
      </c>
      <c r="P60" s="89">
        <f>IF(AND(ISNUMBER(K60),ISNUMBER(O60),N(O60)&gt;0),K60/O60-1,"")</f>
        <v/>
      </c>
      <c r="Q60" s="32" t="inlineStr">
        <is>
          <t>Same size (Queen). Ours live: Helium 10 Xray, 2026-10-13; 11 children</t>
        </is>
      </c>
      <c r="R60" s="85" t="n">
        <v>19075</v>
      </c>
      <c r="S60" s="85" t="n">
        <v>81</v>
      </c>
      <c r="T60" s="90">
        <f>IF(AND(ISNUMBER(K60),ISNUMBER(S60)),K60*S60*52/12,"")</f>
        <v/>
      </c>
      <c r="U60" s="91" t="n">
        <v>4.4</v>
      </c>
      <c r="V60" s="85" t="n">
        <v>168</v>
      </c>
      <c r="W60" s="92" t="n">
        <v>46307</v>
      </c>
      <c r="X60" s="92" t="n">
        <v>46069</v>
      </c>
      <c r="Y60" s="84" t="inlineStr">
        <is>
          <t>FBA</t>
        </is>
      </c>
      <c r="Z60" s="84" t="inlineStr">
        <is>
          <t>US</t>
        </is>
      </c>
      <c r="AA60" s="85" t="n">
        <v>95724</v>
      </c>
      <c r="AB60" s="85" t="n">
        <v>951</v>
      </c>
      <c r="AC60" s="93" t="n">
        <v>0.3728984204588193</v>
      </c>
      <c r="AD60" s="93" t="n">
        <v>0.6271016129706236</v>
      </c>
      <c r="AE60" s="32" t="inlineStr">
        <is>
          <t>fitted sheet queen</t>
        </is>
      </c>
      <c r="AF60" s="93" t="n">
        <v>0.7297856336968785</v>
      </c>
      <c r="AG60" s="93" t="n">
        <v>0.5296686306464419</v>
      </c>
      <c r="AH60" s="93" t="n"/>
      <c r="AI60" s="93" t="n">
        <v>0.02295140194726505</v>
      </c>
      <c r="AJ60" s="85" t="n">
        <v>309</v>
      </c>
      <c r="AK60" s="85" t="n">
        <v>34</v>
      </c>
      <c r="AL60" s="85" t="n">
        <v>254</v>
      </c>
      <c r="AM60" s="85" t="n">
        <v>642</v>
      </c>
      <c r="AN60" s="85" t="n">
        <v>455</v>
      </c>
      <c r="AO60" s="85" t="n">
        <v>0</v>
      </c>
      <c r="AP60" s="94" t="n">
        <v>1.177319587628866</v>
      </c>
      <c r="AQ60" s="89" t="n">
        <v>0.0270270270270272</v>
      </c>
      <c r="AR60" s="95" t="inlineStr">
        <is>
          <t>Y</t>
        </is>
      </c>
      <c r="AS60" s="95" t="inlineStr">
        <is>
          <t>List Price</t>
        </is>
      </c>
      <c r="AT60" s="96" t="n">
        <v>49.99</v>
      </c>
      <c r="AU60" s="96" t="n">
        <v>44.99</v>
      </c>
      <c r="AV60" s="95" t="inlineStr">
        <is>
          <t>none</t>
        </is>
      </c>
      <c r="AW60" s="95" t="inlineStr">
        <is>
          <t>Y</t>
        </is>
      </c>
      <c r="AX60" s="95" t="inlineStr">
        <is>
          <t>2026-10-13 23:35:19</t>
        </is>
      </c>
      <c r="AY60" s="97" t="inlineStr">
        <is>
          <t>Not live in 2025</t>
        </is>
      </c>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10">
        <f>_xlfn.IMAGE("https://images-na.ssl-images-amazon.com/images/I/71AIQ3TCTsL.jpg")</f>
        <v/>
      </c>
      <c r="B61" s="84" t="inlineStr">
        <is>
          <t>BC BELLA COTERIE</t>
        </is>
      </c>
      <c r="C61" s="32" t="inlineStr">
        <is>
          <t>Bella Coterie | Luxury Bamboo Viscose King Size Fitted Sheet Only</t>
        </is>
      </c>
      <c r="D61" s="84" t="inlineStr">
        <is>
          <t>Beatable</t>
        </is>
      </c>
      <c r="E61" s="84" t="inlineStr">
        <is>
          <t>B0FP7WBFNJ</t>
        </is>
      </c>
      <c r="F61" s="84" t="inlineStr">
        <is>
          <t>B0CZXZCTJP</t>
        </is>
      </c>
      <c r="G61" s="84" t="inlineStr">
        <is>
          <t>King</t>
        </is>
      </c>
      <c r="H61" s="84" t="n"/>
      <c r="I61" s="85" t="n">
        <v>126</v>
      </c>
      <c r="J61" s="32" t="inlineStr">
        <is>
          <t>B0CZY15Z61 (17%), B0CZXZB79R (16%), B0CZXZCTJP (12%), B0CZY1CFH6 (7%), B0CZY1F63K (7%)</t>
        </is>
      </c>
      <c r="K61" s="86" t="n">
        <v>54.99</v>
      </c>
      <c r="L61" s="86" t="n"/>
      <c r="M61" s="87">
        <f>IF(AND(ISNUMBER(L61),ISNUMBER(K61),N(K61)&gt;0),L61/K61-1,"")</f>
        <v/>
      </c>
      <c r="N61" s="88">
        <f>IF(M61="","No List Price",IF(M61&lt;=0,"At/below price",IF(M61&lt;=0.12,"&lt;=12% STR zone",IF(M61&lt;=0.25,"12-25%","&gt;25% over"))))</f>
        <v/>
      </c>
      <c r="O61" s="86" t="n">
        <v>39.95</v>
      </c>
      <c r="P61" s="89">
        <f>IF(AND(ISNUMBER(K61),ISNUMBER(O61),N(O61)&gt;0),K61/O61-1,"")</f>
        <v/>
      </c>
      <c r="Q61" s="32" t="inlineStr">
        <is>
          <t>Same size (King). Ours live: Helium 10 Xray, 2026-10-13; 11 children</t>
        </is>
      </c>
      <c r="R61" s="85" t="n">
        <v>13383</v>
      </c>
      <c r="S61" s="85" t="n">
        <v>35</v>
      </c>
      <c r="T61" s="90">
        <f>IF(AND(ISNUMBER(K61),ISNUMBER(S61)),K61*S61*52/12,"")</f>
        <v/>
      </c>
      <c r="U61" s="91" t="n">
        <v>4.5</v>
      </c>
      <c r="V61" s="85" t="n">
        <v>331</v>
      </c>
      <c r="W61" s="92" t="n">
        <v>46307</v>
      </c>
      <c r="X61" s="92" t="n">
        <v>45387</v>
      </c>
      <c r="Y61" s="84" t="inlineStr">
        <is>
          <t>FBA</t>
        </is>
      </c>
      <c r="Z61" s="84" t="inlineStr">
        <is>
          <t>US</t>
        </is>
      </c>
      <c r="AA61" s="85" t="n">
        <v>157609</v>
      </c>
      <c r="AB61" s="85" t="n">
        <v>2308</v>
      </c>
      <c r="AC61" s="93" t="n">
        <v>0.3003846861537098</v>
      </c>
      <c r="AD61" s="93" t="n">
        <v>0.6996153544531084</v>
      </c>
      <c r="AE61" s="32" t="inlineStr">
        <is>
          <t>fitted sheet queen</t>
        </is>
      </c>
      <c r="AF61" s="93" t="n">
        <v>0.85385986840853</v>
      </c>
      <c r="AG61" s="93" t="n">
        <v>0.1863916400713157</v>
      </c>
      <c r="AH61" s="93" t="n"/>
      <c r="AI61" s="93" t="n">
        <v>0.009263430387858561</v>
      </c>
      <c r="AJ61" s="85" t="n">
        <v>306</v>
      </c>
      <c r="AK61" s="85" t="n">
        <v>32</v>
      </c>
      <c r="AL61" s="85" t="n">
        <v>249</v>
      </c>
      <c r="AM61" s="85" t="n">
        <v>2002</v>
      </c>
      <c r="AN61" s="85" t="n">
        <v>968</v>
      </c>
      <c r="AO61" s="85" t="n">
        <v>0</v>
      </c>
      <c r="AP61" s="94" t="n">
        <v>1.303030303030303</v>
      </c>
      <c r="AQ61" s="89" t="n">
        <v>-0.07523510971786829</v>
      </c>
      <c r="AR61" s="95" t="inlineStr">
        <is>
          <t>N</t>
        </is>
      </c>
      <c r="AS61" s="95" t="inlineStr">
        <is>
          <t>none</t>
        </is>
      </c>
      <c r="AT61" s="101" t="n"/>
      <c r="AU61" s="96" t="n">
        <v>54.99</v>
      </c>
      <c r="AV61" s="95" t="inlineStr">
        <is>
          <t>coupon $15</t>
        </is>
      </c>
      <c r="AW61" s="95" t="inlineStr">
        <is>
          <t>Y</t>
        </is>
      </c>
      <c r="AX61" s="95" t="inlineStr">
        <is>
          <t>2026-10-13 23:35:38</t>
        </is>
      </c>
      <c r="AY61" s="97" t="inlineStr">
        <is>
          <t>None</t>
        </is>
      </c>
      <c r="AZ61" s="102" t="n"/>
      <c r="BA61" s="98" t="n">
        <v>54.99</v>
      </c>
      <c r="BB61" s="98" t="n">
        <v>54.99</v>
      </c>
      <c r="BC61" s="87">
        <f>IF(AND(ISNUMBER(BA61),ISNUMBER(BB61),N(BA61)&gt;0),1-BB61/BA61,"")</f>
        <v/>
      </c>
      <c r="BD61" s="99" t="n">
        <v>49325</v>
      </c>
      <c r="BE61" s="99" t="n">
        <v>57116</v>
      </c>
      <c r="BF61" s="100">
        <f>IF(AND(ISNUMBER(BD61),ISNUMBER(BE61),N(BE61)&gt;0),BD61/BE61,"")</f>
        <v/>
      </c>
      <c r="BG61" s="97" t="inlineStr">
        <is>
          <t>N</t>
        </is>
      </c>
      <c r="BH61" s="97" t="inlineStr">
        <is>
          <t>List Price $54.99</t>
        </is>
      </c>
    </row>
    <row r="62" ht="62" customHeight="1">
      <c r="A62" s="10">
        <f>_xlfn.IMAGE("https://images-na.ssl-images-amazon.com/images/I/710aWpCd4AL.jpg")</f>
        <v/>
      </c>
      <c r="B62" s="84" t="inlineStr">
        <is>
          <t>DOZ by SIJO</t>
        </is>
      </c>
      <c r="C62" s="32" t="inlineStr">
        <is>
          <t>Bamboo Sheets</t>
        </is>
      </c>
      <c r="D62" s="84" t="inlineStr">
        <is>
          <t>Beatable</t>
        </is>
      </c>
      <c r="E62" s="84" t="inlineStr">
        <is>
          <t>B0DCZGYVZ9</t>
        </is>
      </c>
      <c r="F62" s="84" t="inlineStr">
        <is>
          <t>B0F24TRXCZ</t>
        </is>
      </c>
      <c r="G62" s="84" t="n"/>
      <c r="H62" s="84" t="n"/>
      <c r="I62" s="85" t="n">
        <v>131</v>
      </c>
      <c r="J62" s="32" t="inlineStr">
        <is>
          <t>B0B8JLLT45 (39%), B0B8JK78HR (6%), B0CS36MKM9 (5%), B0BRWD6PRK (4%), B0B9T44SJV (4%)</t>
        </is>
      </c>
      <c r="K62" s="86" t="n">
        <v>55</v>
      </c>
      <c r="L62" s="86" t="n"/>
      <c r="M62" s="87">
        <f>IF(AND(ISNUMBER(L62),ISNUMBER(K62),N(K62)&gt;0),L62/K62-1,"")</f>
        <v/>
      </c>
      <c r="N62" s="88">
        <f>IF(M62="","No List Price",IF(M62&lt;=0,"At/below price",IF(M62&lt;=0.12,"&lt;=12% STR zone",IF(M62&lt;=0.25,"12-25%","&gt;25% over"))))</f>
        <v/>
      </c>
      <c r="O62" s="86" t="n">
        <v>37.95</v>
      </c>
      <c r="P62" s="89">
        <f>IF(AND(ISNUMBER(K62),ISNUMBER(O62),N(O62)&gt;0),K62/O62-1,"")</f>
        <v/>
      </c>
      <c r="Q62" s="32" t="inlineStr">
        <is>
          <t>Size not stated - vs our Queen. Ours live: Helium 10 Xray, 2026-10-13; 11 children</t>
        </is>
      </c>
      <c r="R62" s="85" t="n">
        <v>4051</v>
      </c>
      <c r="S62" s="85" t="n">
        <v>35</v>
      </c>
      <c r="T62" s="90">
        <f>IF(AND(ISNUMBER(K62),ISNUMBER(S62)),K62*S62*52/12,"")</f>
        <v/>
      </c>
      <c r="U62" s="91" t="n">
        <v>4.4</v>
      </c>
      <c r="V62" s="85" t="n">
        <v>1909</v>
      </c>
      <c r="W62" s="92" t="n">
        <v>46307</v>
      </c>
      <c r="X62" s="92" t="n"/>
      <c r="Y62" s="84" t="n"/>
      <c r="Z62" s="84" t="n"/>
      <c r="AA62" s="85" t="n">
        <v>171534</v>
      </c>
      <c r="AB62" s="85" t="n">
        <v>2682</v>
      </c>
      <c r="AC62" s="93" t="n">
        <v>0.5544749851341424</v>
      </c>
      <c r="AD62" s="93" t="n">
        <v>0.4455250335210511</v>
      </c>
      <c r="AE62" s="32" t="inlineStr">
        <is>
          <t>bamboo sheets</t>
        </is>
      </c>
      <c r="AF62" s="93" t="n">
        <v>0.8981426422750008</v>
      </c>
      <c r="AG62" s="93" t="n">
        <v>0.06748516329124256</v>
      </c>
      <c r="AH62" s="93" t="n">
        <v>0.2462310678932456</v>
      </c>
      <c r="AI62" s="93" t="n">
        <v>0.0526193057936036</v>
      </c>
      <c r="AJ62" s="85" t="n">
        <v>226</v>
      </c>
      <c r="AK62" s="85" t="n">
        <v>28</v>
      </c>
      <c r="AL62" s="85" t="n">
        <v>181</v>
      </c>
      <c r="AM62" s="85" t="n">
        <v>2456</v>
      </c>
      <c r="AN62" s="85" t="n">
        <v>839</v>
      </c>
      <c r="AO62" s="85" t="n">
        <v>0</v>
      </c>
      <c r="AP62" s="94" t="n"/>
      <c r="AQ62" s="89" t="n"/>
      <c r="AR62" s="95" t="inlineStr">
        <is>
          <t>N</t>
        </is>
      </c>
      <c r="AS62" s="95" t="inlineStr">
        <is>
          <t>none</t>
        </is>
      </c>
      <c r="AT62" s="101" t="n"/>
      <c r="AU62" s="96" t="n">
        <v>55</v>
      </c>
      <c r="AV62" s="95" t="inlineStr">
        <is>
          <t>none</t>
        </is>
      </c>
      <c r="AW62" s="95" t="inlineStr">
        <is>
          <t>Y</t>
        </is>
      </c>
      <c r="AX62" s="95" t="inlineStr">
        <is>
          <t>2026-10-13 12:10:45</t>
        </is>
      </c>
      <c r="AY62" s="97" t="inlineStr">
        <is>
          <t>None</t>
        </is>
      </c>
      <c r="AZ62" s="102" t="n"/>
      <c r="BA62" s="98" t="n">
        <v>55</v>
      </c>
      <c r="BB62" s="98" t="n">
        <v>55</v>
      </c>
      <c r="BC62" s="87">
        <f>IF(AND(ISNUMBER(BA62),ISNUMBER(BB62),N(BA62)&gt;0),1-BB62/BA62,"")</f>
        <v/>
      </c>
      <c r="BD62" s="99" t="n">
        <v>3634538</v>
      </c>
      <c r="BE62" s="99" t="n">
        <v>3088925</v>
      </c>
      <c r="BF62" s="100">
        <f>IF(AND(ISNUMBER(BD62),ISNUMBER(BE62),N(BE62)&gt;0),BD62/BE62,"")</f>
        <v/>
      </c>
      <c r="BG62" s="97" t="inlineStr">
        <is>
          <t>N</t>
        </is>
      </c>
      <c r="BH62" s="97" t="inlineStr">
        <is>
          <t>List Price $55.00</t>
        </is>
      </c>
    </row>
    <row r="63" ht="62" customHeight="1">
      <c r="A63" s="39" t="inlineStr">
        <is>
          <t>IMAGE MISSING</t>
        </is>
      </c>
      <c r="B63" s="84" t="inlineStr">
        <is>
          <t>Cozy Bliss</t>
        </is>
      </c>
      <c r="C63" s="32" t="inlineStr">
        <is>
          <t>Cooling Fitted Sheet</t>
        </is>
      </c>
      <c r="D63" s="84" t="inlineStr">
        <is>
          <t>Beatable</t>
        </is>
      </c>
      <c r="E63" s="84" t="inlineStr">
        <is>
          <t>B0DT14Y4VJ</t>
        </is>
      </c>
      <c r="F63" s="84" t="inlineStr">
        <is>
          <t>B0DMNMPVJP</t>
        </is>
      </c>
      <c r="G63" s="84" t="n"/>
      <c r="H63" s="84" t="n"/>
      <c r="I63" s="85" t="n">
        <v>23</v>
      </c>
      <c r="J63" s="32" t="inlineStr">
        <is>
          <t>B0DMNPF218 (54%), B0DMNQDZNB (21%), B0GFDTCKDD (9%)</t>
        </is>
      </c>
      <c r="K63" s="86" t="n">
        <v>74.98999999999999</v>
      </c>
      <c r="L63" s="86" t="n"/>
      <c r="M63" s="87">
        <f>IF(AND(ISNUMBER(L63),ISNUMBER(K63),N(K63)&gt;0),L63/K63-1,"")</f>
        <v/>
      </c>
      <c r="N63" s="88">
        <f>IF(M63="","No List Price",IF(M63&lt;=0,"At/below price",IF(M63&lt;=0.12,"&lt;=12% STR zone",IF(M63&lt;=0.25,"12-25%","&gt;25% over"))))</f>
        <v/>
      </c>
      <c r="O63" s="86" t="n">
        <v>37.95</v>
      </c>
      <c r="P63" s="89">
        <f>IF(AND(ISNUMBER(K63),ISNUMBER(O63),N(O63)&gt;0),K63/O63-1,"")</f>
        <v/>
      </c>
      <c r="Q63" s="32" t="inlineStr">
        <is>
          <t>Size not stated - vs our Queen. Ours live: Helium 10 Xray, 2026-10-13; 11 children</t>
        </is>
      </c>
      <c r="R63" s="85" t="n">
        <v>100300</v>
      </c>
      <c r="S63" s="85" t="n">
        <v>5</v>
      </c>
      <c r="T63" s="90">
        <f>IF(AND(ISNUMBER(K63),ISNUMBER(S63)),K63*S63*52/12,"")</f>
        <v/>
      </c>
      <c r="U63" s="91" t="n">
        <v>4.5</v>
      </c>
      <c r="V63" s="85" t="n">
        <v>456</v>
      </c>
      <c r="W63" s="92" t="n">
        <v>46307</v>
      </c>
      <c r="X63" s="92" t="n"/>
      <c r="Y63" s="84" t="n"/>
      <c r="Z63" s="84" t="n"/>
      <c r="AA63" s="85" t="n">
        <v>14965</v>
      </c>
      <c r="AB63" s="85" t="n">
        <v>410</v>
      </c>
      <c r="AC63" s="93" t="n">
        <v>0.8178404944871368</v>
      </c>
      <c r="AD63" s="93" t="n">
        <v>0.1821595055128634</v>
      </c>
      <c r="AE63" s="32" t="inlineStr">
        <is>
          <t>cooling sheets</t>
        </is>
      </c>
      <c r="AF63" s="93" t="n">
        <v>0.307584363514868</v>
      </c>
      <c r="AG63" s="93" t="n"/>
      <c r="AH63" s="93" t="n">
        <v>0.6962245238890745</v>
      </c>
      <c r="AI63" s="93" t="n">
        <v>0.03200801871032409</v>
      </c>
      <c r="AJ63" s="85" t="n">
        <v>70</v>
      </c>
      <c r="AK63" s="85" t="n">
        <v>24</v>
      </c>
      <c r="AL63" s="85" t="n">
        <v>25</v>
      </c>
      <c r="AM63" s="85" t="n">
        <v>340</v>
      </c>
      <c r="AN63" s="85" t="n">
        <v>70</v>
      </c>
      <c r="AO63" s="85" t="n">
        <v>0</v>
      </c>
      <c r="AP63" s="94" t="n"/>
      <c r="AQ63" s="89" t="n"/>
      <c r="AR63" s="95" t="inlineStr">
        <is>
          <t>N</t>
        </is>
      </c>
      <c r="AS63" s="95" t="inlineStr">
        <is>
          <t>none</t>
        </is>
      </c>
      <c r="AT63" s="101" t="n"/>
      <c r="AU63" s="96" t="n">
        <v>74.98999999999999</v>
      </c>
      <c r="AV63" s="95" t="inlineStr">
        <is>
          <t>none</t>
        </is>
      </c>
      <c r="AW63" s="95" t="inlineStr">
        <is>
          <t>Y</t>
        </is>
      </c>
      <c r="AX63" s="95" t="inlineStr">
        <is>
          <t>2026-10-13 23:36:02</t>
        </is>
      </c>
      <c r="AY63" s="102" t="n"/>
      <c r="AZ63" s="102" t="n"/>
      <c r="BA63" s="101" t="n"/>
      <c r="BB63" s="101" t="n"/>
      <c r="BC63" s="87">
        <f>IF(AND(ISNUMBER(BA63),ISNUMBER(BB63),N(BA63)&gt;0),1-BB63/BA63,"")</f>
        <v/>
      </c>
      <c r="BD63" s="99" t="n">
        <v>144127</v>
      </c>
      <c r="BE63" s="99" t="n">
        <v>128889</v>
      </c>
      <c r="BF63" s="100">
        <f>IF(AND(ISNUMBER(BD63),ISNUMBER(BE63),N(BE63)&gt;0),BD63/BE63,"")</f>
        <v/>
      </c>
      <c r="BG63" s="97" t="inlineStr">
        <is>
          <t>Y</t>
        </is>
      </c>
      <c r="BH63" s="97" t="inlineStr">
        <is>
          <t>No Buy Box history in Keepa for BFCM 2025; List Price $89.99</t>
        </is>
      </c>
    </row>
    <row r="64" ht="62" customHeight="1">
      <c r="A64" s="10">
        <f>_xlfn.IMAGE("https://images-na.ssl-images-amazon.com/images/I/71zrq2AtnUL.jpg")</f>
        <v/>
      </c>
      <c r="B64" s="84" t="inlineStr">
        <is>
          <t>Kickoff Home</t>
        </is>
      </c>
      <c r="C64" s="32" t="inlineStr">
        <is>
          <t>Bamboo Sheets</t>
        </is>
      </c>
      <c r="D64" s="84" t="inlineStr">
        <is>
          <t>Poor</t>
        </is>
      </c>
      <c r="E64" s="84" t="inlineStr">
        <is>
          <t>B0D4KS4MVX</t>
        </is>
      </c>
      <c r="F64" s="84" t="inlineStr">
        <is>
          <t>B0CHN5ZPFH</t>
        </is>
      </c>
      <c r="G64" s="84" t="n"/>
      <c r="H64" s="84" t="n"/>
      <c r="I64" s="85" t="n">
        <v>106</v>
      </c>
      <c r="J64" s="32" t="inlineStr">
        <is>
          <t>B0CHN5ZPFH (27%), B0CHN6N986 (11%), B0G84K7MZQ (9%), B0G84MQQX4 (8%), B0CHN4BSZP (5%)</t>
        </is>
      </c>
      <c r="K64" s="86" t="n">
        <v>76.98999999999999</v>
      </c>
      <c r="L64" s="86" t="n">
        <v>84.98999999999999</v>
      </c>
      <c r="M64" s="87">
        <f>IF(AND(ISNUMBER(L64),ISNUMBER(K64),N(K64)&gt;0),L64/K64-1,"")</f>
        <v/>
      </c>
      <c r="N64" s="88">
        <f>IF(M64="","No List Price",IF(M64&lt;=0,"At/below price",IF(M64&lt;=0.12,"&lt;=12% STR zone",IF(M64&lt;=0.25,"12-25%","&gt;25% over"))))</f>
        <v/>
      </c>
      <c r="O64" s="86" t="n">
        <v>37.95</v>
      </c>
      <c r="P64" s="89">
        <f>IF(AND(ISNUMBER(K64),ISNUMBER(O64),N(O64)&gt;0),K64/O64-1,"")</f>
        <v/>
      </c>
      <c r="Q64" s="32" t="inlineStr">
        <is>
          <t>Size not stated - vs our Queen. Ours live: Helium 10 Xray, 2026-10-13; 11 children</t>
        </is>
      </c>
      <c r="R64" s="85" t="n">
        <v>23579</v>
      </c>
      <c r="S64" s="85" t="n">
        <v>18</v>
      </c>
      <c r="T64" s="90">
        <f>IF(AND(ISNUMBER(K64),ISNUMBER(S64)),K64*S64*52/12,"")</f>
        <v/>
      </c>
      <c r="U64" s="91" t="n">
        <v>4.6</v>
      </c>
      <c r="V64" s="85" t="n">
        <v>688</v>
      </c>
      <c r="W64" s="92" t="n">
        <v>46307</v>
      </c>
      <c r="X64" s="92" t="n"/>
      <c r="Y64" s="84" t="n"/>
      <c r="Z64" s="84" t="n"/>
      <c r="AA64" s="85" t="n">
        <v>58169</v>
      </c>
      <c r="AB64" s="85" t="n">
        <v>1164</v>
      </c>
      <c r="AC64" s="93" t="n">
        <v>0.8765498702057799</v>
      </c>
      <c r="AD64" s="93" t="n">
        <v>0.12345023981846</v>
      </c>
      <c r="AE64" s="32" t="inlineStr">
        <is>
          <t>bamboo sheets</t>
        </is>
      </c>
      <c r="AF64" s="93" t="n">
        <v>0.6749987106534409</v>
      </c>
      <c r="AG64" s="93" t="n"/>
      <c r="AH64" s="93" t="n">
        <v>0.08715982739947395</v>
      </c>
      <c r="AI64" s="93" t="n">
        <v>0.0003782083240213859</v>
      </c>
      <c r="AJ64" s="85" t="n">
        <v>193</v>
      </c>
      <c r="AK64" s="85" t="n">
        <v>28</v>
      </c>
      <c r="AL64" s="85" t="n">
        <v>141</v>
      </c>
      <c r="AM64" s="85" t="n">
        <v>971</v>
      </c>
      <c r="AN64" s="85" t="n">
        <v>125</v>
      </c>
      <c r="AO64" s="85" t="n">
        <v>0</v>
      </c>
      <c r="AP64" s="94" t="n"/>
      <c r="AQ64" s="89" t="n"/>
      <c r="AR64" s="95" t="inlineStr">
        <is>
          <t>N</t>
        </is>
      </c>
      <c r="AS64" s="95" t="inlineStr">
        <is>
          <t>none</t>
        </is>
      </c>
      <c r="AT64" s="101" t="n"/>
      <c r="AU64" s="96" t="n">
        <v>86.98999999999999</v>
      </c>
      <c r="AV64" s="95" t="inlineStr">
        <is>
          <t>none</t>
        </is>
      </c>
      <c r="AW64" s="95" t="inlineStr">
        <is>
          <t>Y</t>
        </is>
      </c>
      <c r="AX64" s="95" t="inlineStr">
        <is>
          <t>2026-10-13 23:36:30</t>
        </is>
      </c>
      <c r="AY64" s="97" t="inlineStr">
        <is>
          <t>Price cut only</t>
        </is>
      </c>
      <c r="AZ64" s="97" t="inlineStr">
        <is>
          <t>11-21 to 12-01</t>
        </is>
      </c>
      <c r="BA64" s="98" t="n">
        <v>118.99</v>
      </c>
      <c r="BB64" s="98" t="n">
        <v>79.13</v>
      </c>
      <c r="BC64" s="87">
        <f>IF(AND(ISNUMBER(BA64),ISNUMBER(BB64),N(BA64)&gt;0),1-BB64/BA64,"")</f>
        <v/>
      </c>
      <c r="BD64" s="99" t="n">
        <v>70541</v>
      </c>
      <c r="BE64" s="99" t="n">
        <v>28546</v>
      </c>
      <c r="BF64" s="100">
        <f>IF(AND(ISNUMBER(BD64),ISNUMBER(BE64),N(BE64)&gt;0),BD64/BE64,"")</f>
        <v/>
      </c>
      <c r="BG64" s="97" t="inlineStr">
        <is>
          <t>N</t>
        </is>
      </c>
      <c r="BH64" s="97" t="inlineStr">
        <is>
          <t>Coupon 25% (11-01 to 11-05); List Price $124.99</t>
        </is>
      </c>
    </row>
    <row r="65" ht="62" customHeight="1">
      <c r="A65" s="10">
        <f>_xlfn.IMAGE("https://images-na.ssl-images-amazon.com/images/I/81L2xb5ly6L.jpg")</f>
        <v/>
      </c>
      <c r="B65" s="84" t="inlineStr">
        <is>
          <t>Bedsure</t>
        </is>
      </c>
      <c r="C65" s="32" t="inlineStr">
        <is>
          <t>Bedsure PureWoven 100% Rayon Derived from Bamboo, Queen Sheets, 4 Pieces</t>
        </is>
      </c>
      <c r="D65" s="84" t="inlineStr">
        <is>
          <t>Untiered</t>
        </is>
      </c>
      <c r="E65" s="84" t="inlineStr">
        <is>
          <t>B0BZ8T5BJ6</t>
        </is>
      </c>
      <c r="F65" s="84" t="inlineStr">
        <is>
          <t>B07YK8VTJV</t>
        </is>
      </c>
      <c r="G65" s="84" t="inlineStr">
        <is>
          <t>Queen</t>
        </is>
      </c>
      <c r="H65" s="84" t="n"/>
      <c r="I65" s="85" t="n">
        <v>131</v>
      </c>
      <c r="J65" s="32" t="inlineStr">
        <is>
          <t>B07YKCZHGK (29%), B07YK8VTJV (19%), B07YKCQBBL (14%), B07YKCB6GL (9%), B08CXWHQT2 (6%)</t>
        </is>
      </c>
      <c r="K65" s="86" t="n">
        <v>62.99</v>
      </c>
      <c r="L65" s="86" t="n">
        <v>69.98999999999999</v>
      </c>
      <c r="M65" s="87">
        <f>IF(AND(ISNUMBER(L65),ISNUMBER(K65),N(K65)&gt;0),L65/K65-1,"")</f>
        <v/>
      </c>
      <c r="N65" s="88">
        <f>IF(M65="","No List Price",IF(M65&lt;=0,"At/below price",IF(M65&lt;=0.12,"&lt;=12% STR zone",IF(M65&lt;=0.25,"12-25%","&gt;25% over"))))</f>
        <v/>
      </c>
      <c r="O65" s="86" t="n">
        <v>37.95</v>
      </c>
      <c r="P65" s="89">
        <f>IF(AND(ISNUMBER(K65),ISNUMBER(O65),N(O65)&gt;0),K65/O65-1,"")</f>
        <v/>
      </c>
      <c r="Q65" s="32" t="inlineStr">
        <is>
          <t>Same size (Queen). Ours live: Helium 10 Xray, 2026-10-13; 11 children</t>
        </is>
      </c>
      <c r="R65" s="85" t="n">
        <v>256</v>
      </c>
      <c r="S65" s="85" t="n">
        <v>809</v>
      </c>
      <c r="T65" s="90">
        <f>IF(AND(ISNUMBER(K65),ISNUMBER(S65)),K65*S65*52/12,"")</f>
        <v/>
      </c>
      <c r="U65" s="91" t="n">
        <v>4.4</v>
      </c>
      <c r="V65" s="85" t="n">
        <v>65061</v>
      </c>
      <c r="W65" s="92" t="n">
        <v>46307</v>
      </c>
      <c r="X65" s="92" t="n">
        <v>43348</v>
      </c>
      <c r="Y65" s="84" t="inlineStr">
        <is>
          <t>FBA</t>
        </is>
      </c>
      <c r="Z65" s="84" t="inlineStr">
        <is>
          <t>US</t>
        </is>
      </c>
      <c r="AA65" s="85" t="n">
        <v>2166046</v>
      </c>
      <c r="AB65" s="85" t="n">
        <v>6935</v>
      </c>
      <c r="AC65" s="93" t="n">
        <v>0.5902383405984899</v>
      </c>
      <c r="AD65" s="93" t="n">
        <v>0.4097618027040986</v>
      </c>
      <c r="AE65" s="32" t="inlineStr">
        <is>
          <t>bamboo sheets</t>
        </is>
      </c>
      <c r="AF65" s="93" t="n">
        <v>0.9388327856379781</v>
      </c>
      <c r="AG65" s="93" t="n">
        <v>0.9371818511702891</v>
      </c>
      <c r="AH65" s="93" t="n">
        <v>0.6488394059959945</v>
      </c>
      <c r="AI65" s="93" t="n">
        <v>0.3206907886536112</v>
      </c>
      <c r="AJ65" s="85" t="n">
        <v>323</v>
      </c>
      <c r="AK65" s="85" t="n">
        <v>41</v>
      </c>
      <c r="AL65" s="85" t="n">
        <v>261</v>
      </c>
      <c r="AM65" s="85" t="n">
        <v>6612</v>
      </c>
      <c r="AN65" s="85" t="n">
        <v>3494</v>
      </c>
      <c r="AO65" s="85" t="n">
        <v>0</v>
      </c>
      <c r="AP65" s="94" t="n">
        <v>1.066623404715553</v>
      </c>
      <c r="AQ65" s="89" t="n">
        <v>-0.05727665706051865</v>
      </c>
      <c r="AR65" s="95" t="inlineStr">
        <is>
          <t>Y</t>
        </is>
      </c>
      <c r="AS65" s="95" t="inlineStr">
        <is>
          <t>List Price</t>
        </is>
      </c>
      <c r="AT65" s="96" t="n">
        <v>69.98999999999999</v>
      </c>
      <c r="AU65" s="96" t="n">
        <v>62.99</v>
      </c>
      <c r="AV65" s="95" t="inlineStr">
        <is>
          <t>none</t>
        </is>
      </c>
      <c r="AW65" s="95" t="inlineStr">
        <is>
          <t>Y</t>
        </is>
      </c>
      <c r="AX65" s="95" t="inlineStr">
        <is>
          <t>2026-10-13 12:10:35</t>
        </is>
      </c>
      <c r="AY65" s="97" t="inlineStr">
        <is>
          <t>Prime Exclusive Discount</t>
        </is>
      </c>
      <c r="AZ65" s="97" t="inlineStr">
        <is>
          <t>11-23 to 12-01</t>
        </is>
      </c>
      <c r="BA65" s="98" t="n">
        <v>66.48999999999999</v>
      </c>
      <c r="BB65" s="98" t="n">
        <v>55.99</v>
      </c>
      <c r="BC65" s="87">
        <f>IF(AND(ISNUMBER(BA65),ISNUMBER(BB65),N(BA65)&gt;0),1-BB65/BA65,"")</f>
        <v/>
      </c>
      <c r="BD65" s="99" t="n">
        <v>156</v>
      </c>
      <c r="BE65" s="99" t="n">
        <v>228</v>
      </c>
      <c r="BF65" s="100">
        <f>IF(AND(ISNUMBER(BD65),ISNUMBER(BE65),N(BE65)&gt;0),BD65/BE65,"")</f>
        <v/>
      </c>
      <c r="BG65" s="97" t="inlineStr">
        <is>
          <t>N</t>
        </is>
      </c>
      <c r="BH65" s="97" t="inlineStr">
        <is>
          <t>Buy Box RAISED in BFCM week (median $69.99 vs $66.49 before); List Price $78.99</t>
        </is>
      </c>
    </row>
    <row r="66" ht="62" customHeight="1">
      <c r="A66" s="10">
        <f>_xlfn.IMAGE("https://images-na.ssl-images-amazon.com/images/I/61fbapIObwL.jpg")</f>
        <v/>
      </c>
      <c r="B66" s="84" t="inlineStr">
        <is>
          <t>BAMPURE</t>
        </is>
      </c>
      <c r="C66" s="32" t="inlineStr">
        <is>
          <t>BAMPURE 100% Rayon from Bamboo Sheets King Size - 4pc Cooling King Sheets</t>
        </is>
      </c>
      <c r="D66" s="84" t="inlineStr">
        <is>
          <t>Untiered</t>
        </is>
      </c>
      <c r="E66" s="84" t="inlineStr">
        <is>
          <t>B0HC778XB4</t>
        </is>
      </c>
      <c r="F66" s="84" t="inlineStr">
        <is>
          <t>B07XFP6BY2</t>
        </is>
      </c>
      <c r="G66" s="84" t="inlineStr">
        <is>
          <t>King</t>
        </is>
      </c>
      <c r="H66" s="84" t="n"/>
      <c r="I66" s="85" t="n">
        <v>40</v>
      </c>
      <c r="J66" s="32" t="inlineStr">
        <is>
          <t>B07XBJY2JR (65%), B07XFP6BY2 (21%)</t>
        </is>
      </c>
      <c r="K66" s="86" t="n">
        <v>67.98</v>
      </c>
      <c r="L66" s="86" t="n">
        <v>99.98999999999999</v>
      </c>
      <c r="M66" s="87">
        <f>IF(AND(ISNUMBER(L66),ISNUMBER(K66),N(K66)&gt;0),L66/K66-1,"")</f>
        <v/>
      </c>
      <c r="N66" s="88">
        <f>IF(M66="","No List Price",IF(M66&lt;=0,"At/below price",IF(M66&lt;=0.12,"&lt;=12% STR zone",IF(M66&lt;=0.25,"12-25%","&gt;25% over"))))</f>
        <v/>
      </c>
      <c r="O66" s="86" t="n">
        <v>39.95</v>
      </c>
      <c r="P66" s="89">
        <f>IF(AND(ISNUMBER(K66),ISNUMBER(O66),N(O66)&gt;0),K66/O66-1,"")</f>
        <v/>
      </c>
      <c r="Q66" s="32" t="inlineStr">
        <is>
          <t>Same size (King). Ours live: Helium 10 Xray, 2026-10-13; 11 children</t>
        </is>
      </c>
      <c r="R66" s="85" t="n">
        <v>14479</v>
      </c>
      <c r="S66" s="85" t="n">
        <v>81</v>
      </c>
      <c r="T66" s="90">
        <f>IF(AND(ISNUMBER(K66),ISNUMBER(S66)),K66*S66*52/12,"")</f>
        <v/>
      </c>
      <c r="U66" s="91" t="n">
        <v>4.4</v>
      </c>
      <c r="V66" s="85" t="n">
        <v>4095</v>
      </c>
      <c r="W66" s="92" t="n">
        <v>46307</v>
      </c>
      <c r="X66" s="92" t="n">
        <v>43776</v>
      </c>
      <c r="Y66" s="84" t="inlineStr">
        <is>
          <t>FBA</t>
        </is>
      </c>
      <c r="Z66" s="84" t="inlineStr">
        <is>
          <t>US</t>
        </is>
      </c>
      <c r="AA66" s="85" t="n">
        <v>67699</v>
      </c>
      <c r="AB66" s="85" t="n">
        <v>1687</v>
      </c>
      <c r="AC66" s="93" t="n">
        <v>0.8589487052984534</v>
      </c>
      <c r="AD66" s="93" t="n">
        <v>0.1410512947015465</v>
      </c>
      <c r="AE66" s="32" t="inlineStr">
        <is>
          <t>bamboo sheets</t>
        </is>
      </c>
      <c r="AF66" s="93" t="n">
        <v>0.9117121375500377</v>
      </c>
      <c r="AG66" s="93" t="n"/>
      <c r="AH66" s="93" t="n"/>
      <c r="AI66" s="93" t="n"/>
      <c r="AJ66" s="85" t="n">
        <v>208</v>
      </c>
      <c r="AK66" s="85" t="n">
        <v>41</v>
      </c>
      <c r="AL66" s="85" t="n">
        <v>139</v>
      </c>
      <c r="AM66" s="85" t="n">
        <v>1479</v>
      </c>
      <c r="AN66" s="85" t="n">
        <v>307</v>
      </c>
      <c r="AO66" s="85" t="n">
        <v>0</v>
      </c>
      <c r="AP66" s="94" t="n">
        <v>1.016706443914081</v>
      </c>
      <c r="AQ66" s="89" t="n">
        <v>-0.2868217054263565</v>
      </c>
      <c r="AR66" s="95" t="inlineStr">
        <is>
          <t>Y</t>
        </is>
      </c>
      <c r="AS66" s="95" t="inlineStr">
        <is>
          <t>List Price</t>
        </is>
      </c>
      <c r="AT66" s="96" t="n">
        <v>99.98999999999999</v>
      </c>
      <c r="AU66" s="96" t="n">
        <v>67.98</v>
      </c>
      <c r="AV66" s="95" t="inlineStr">
        <is>
          <t>Limited time deal</t>
        </is>
      </c>
      <c r="AW66" s="95" t="inlineStr">
        <is>
          <t>Y</t>
        </is>
      </c>
      <c r="AX66" s="95" t="inlineStr">
        <is>
          <t>2026-10-13 12:10:12</t>
        </is>
      </c>
      <c r="AY66" s="97" t="inlineStr">
        <is>
          <t>Prime Exclusive Discount</t>
        </is>
      </c>
      <c r="AZ66" s="97" t="inlineStr">
        <is>
          <t>11-22 to 12-01</t>
        </is>
      </c>
      <c r="BA66" s="98" t="n">
        <v>84.98999999999999</v>
      </c>
      <c r="BB66" s="98" t="n">
        <v>79.98999999999999</v>
      </c>
      <c r="BC66" s="87">
        <f>IF(AND(ISNUMBER(BA66),ISNUMBER(BB66),N(BA66)&gt;0),1-BB66/BA66,"")</f>
        <v/>
      </c>
      <c r="BD66" s="99" t="n">
        <v>31768</v>
      </c>
      <c r="BE66" s="99" t="n">
        <v>27833</v>
      </c>
      <c r="BF66" s="100">
        <f>IF(AND(ISNUMBER(BD66),ISNUMBER(BE66),N(BE66)&gt;0),BD66/BE66,"")</f>
        <v/>
      </c>
      <c r="BG66" s="97" t="inlineStr">
        <is>
          <t>N</t>
        </is>
      </c>
      <c r="BH66" s="97" t="inlineStr">
        <is>
          <t>Coupon 5.00 USD (11-01 to 11-04); Buy Box RAISED in BFCM week (median $99.99 vs $84.99 before); List Price $99.99</t>
        </is>
      </c>
    </row>
    <row r="68" ht="20" customHeight="1">
      <c r="A68" s="54" t="inlineStr">
        <is>
          <t>5 · WHAT THIS MEANS FOR BFCM</t>
        </is>
      </c>
    </row>
    <row r="69" ht="30" customHeight="1">
      <c r="A69" s="104" t="inlineStr">
        <is>
          <t>•  Who sells most: Pure Bamboo ~809/wk at $109.99; Bedsure ~809/wk at $62.99 (List $69.99, +11%); Bambaw ~104/wk at $89.99; Bedsure ~104/wk at $89.99 (List $119.99, +33%); SONORO KATE ~104/wk at $79.99. Tracked rivals ~2,428 units/wk; we sell ~26/wk (1.0% of the tracked set).</t>
        </is>
      </c>
    </row>
    <row r="70" ht="18" customHeight="1">
      <c r="A70" s="104" t="inlineStr">
        <is>
          <t>•  Strikethrough: 5 of 15 rivals set a List Price above price; 2 within 12%: Kickoff Home +10%, Bedsure +11%.</t>
        </is>
      </c>
    </row>
    <row r="71" ht="18" customHeight="1">
      <c r="A71" s="104" t="inlineStr">
        <is>
          <t>•  Price: 1 of 15 rivals sit below our price today (same size where the title states one). Cheapest strong rivals: Zaizaihome $29.99.</t>
        </is>
      </c>
    </row>
    <row r="72" ht="30" customHeight="1">
      <c r="A72" s="104" t="inlineStr">
        <is>
          <t>•  Strikethrough on the page today (Oct 13 check): 5 of 15 checked rivals show one: REST List Price $139.00 vs $111.20 (+25%), Bedsure List Price $119.99 vs $89.99 (+33%),  List Price $49.99 vs $44.99 (+11%), Bedsure List Price $69.99 vs $62.99 (+11%), BAMPURE List Price $99.99 vs $67.98 (+47%) with deal.</t>
        </is>
      </c>
    </row>
    <row r="73" ht="30" customHeight="1">
      <c r="A73" s="104" t="inlineStr">
        <is>
          <t>•  Search: we lose most shared keywords to Pure Bamboo (we win 29, lose 266), Bedsure (we win 35, lose 261), Bedsure (we win 41, lose 261). Biggest ad gaps (they advertise where we don't or harder): Pure Bamboo 3,819 + 0 KWs, Bedsure 3,494 + 0 KWs, Bedsure 2,487 + 1 KWs.</t>
        </is>
      </c>
    </row>
    <row r="74" ht="30" customHeight="1">
      <c r="A74" s="104" t="inlineStr">
        <is>
          <t>•  Brand ads: Pure Bamboo (SB 82%, SBV 88%), GOKOTTA (SB 7%, SBV 74%), REST (SB 60%, SBV 0%), Bedsure (SB 98%, SBV 53%), BC BELLA COTERIE (SB 57%, SBV 56%) hold Sponsored Brands / video on most of their traffic - the plan has our SB, SBV and display live by Nov 1.</t>
        </is>
      </c>
    </row>
    <row r="75" ht="30" customHeight="1">
      <c r="A75" s="104" t="inlineStr">
        <is>
          <t>•  BFCM 2025, 13 rivals with Keepa history: Prime Exclusive Discount 5, None 4, Price cut only 4. Median depth vs their Nov 1-19 price 14%; median BSR lift 1.17x. 3 raised their Buy Box in BFCM week, so their deal looked deeper than it was.</t>
        </is>
      </c>
    </row>
    <row r="76" ht="18" customHeight="1">
      <c r="A76" s="104" t="inlineStr">
        <is>
          <t>•  1 rival not in the Keepa pulls yet (yellow BFCM 2025 columns) - remaining P2 batches, AGENT_PROMPTS Prompt 2.</t>
        </is>
      </c>
    </row>
  </sheetData>
  <autoFilter ref="B51:BH66"/>
  <mergeCells count="63">
    <mergeCell ref="A15:BH15"/>
    <mergeCell ref="A73:BH73"/>
    <mergeCell ref="L5:Q5"/>
    <mergeCell ref="A49:BH49"/>
    <mergeCell ref="A1:BH1"/>
    <mergeCell ref="Q11:T11"/>
    <mergeCell ref="L8:Q8"/>
    <mergeCell ref="A70:BH70"/>
    <mergeCell ref="L4:Q4"/>
    <mergeCell ref="D7:I7"/>
    <mergeCell ref="A13:D13"/>
    <mergeCell ref="A69:BH69"/>
    <mergeCell ref="I13:L13"/>
    <mergeCell ref="A42:C42"/>
    <mergeCell ref="A16:BH16"/>
    <mergeCell ref="AR50:AX50"/>
    <mergeCell ref="D4:I4"/>
    <mergeCell ref="L10:Q10"/>
    <mergeCell ref="E12:H12"/>
    <mergeCell ref="Q13:T13"/>
    <mergeCell ref="A41:BH41"/>
    <mergeCell ref="D9:I9"/>
    <mergeCell ref="A46:BH46"/>
    <mergeCell ref="U12:X12"/>
    <mergeCell ref="L9:Q9"/>
    <mergeCell ref="Q12:T12"/>
    <mergeCell ref="X50:Z50"/>
    <mergeCell ref="A11:D11"/>
    <mergeCell ref="A74:BH74"/>
    <mergeCell ref="A75:BH75"/>
    <mergeCell ref="I11:L11"/>
    <mergeCell ref="A43:C43"/>
    <mergeCell ref="A3:BH3"/>
    <mergeCell ref="L6:Q6"/>
    <mergeCell ref="D8:I8"/>
    <mergeCell ref="A4:B9"/>
    <mergeCell ref="A50:H50"/>
    <mergeCell ref="T6:Y6"/>
    <mergeCell ref="A44:C44"/>
    <mergeCell ref="D5:I5"/>
    <mergeCell ref="A76:BH76"/>
    <mergeCell ref="A71:BH71"/>
    <mergeCell ref="M11:P11"/>
    <mergeCell ref="U11:X11"/>
    <mergeCell ref="AY50:BH50"/>
    <mergeCell ref="E13:H13"/>
    <mergeCell ref="D10:I10"/>
    <mergeCell ref="L7:Q7"/>
    <mergeCell ref="T5:Y5"/>
    <mergeCell ref="K50:W50"/>
    <mergeCell ref="A72:BH72"/>
    <mergeCell ref="A45:C45"/>
    <mergeCell ref="A12:D12"/>
    <mergeCell ref="M13:P13"/>
    <mergeCell ref="AA50:AQ50"/>
    <mergeCell ref="A68:BH68"/>
    <mergeCell ref="I12:L12"/>
    <mergeCell ref="U13:X13"/>
    <mergeCell ref="M12:P12"/>
    <mergeCell ref="T4:Y4"/>
    <mergeCell ref="D6:I6"/>
    <mergeCell ref="E11:H11"/>
    <mergeCell ref="A48:BH48"/>
  </mergeCells>
  <conditionalFormatting sqref="N52:N66">
    <cfRule type="expression" priority="1" dxfId="1">
      <formula>N52="&lt;=12% STR zone"</formula>
    </cfRule>
  </conditionalFormatting>
  <conditionalFormatting sqref="W52:W66">
    <cfRule type="expression" priority="2" dxfId="0">
      <formula>AND(ISNUMBER(W52),W52&lt;DATE(2026,10,6))</formula>
    </cfRule>
  </conditionalFormatting>
  <conditionalFormatting sqref="Q52:Q66">
    <cfRule type="expression" priority="3" dxfId="0">
      <formula>ISNUMBER(SEARCH("STALE",Q52))</formula>
    </cfRule>
  </conditionalFormatting>
  <conditionalFormatting sqref="P52:P66">
    <cfRule type="expression" priority="4" dxfId="0">
      <formula>AND(ISNUMBER(P52),P52&lt;0)</formula>
    </cfRule>
  </conditionalFormatting>
  <dataValidations count="3">
    <dataValidation sqref="AR52:AR66 BG52:BG66" showDropDown="0" showInputMessage="0" showErrorMessage="0" allowBlank="1" type="list">
      <formula1>"Y,N"</formula1>
    </dataValidation>
    <dataValidation sqref="AS52:AS66" showDropDown="0" showInputMessage="0" showErrorMessage="0" allowBlank="1" type="list">
      <formula1>"List Price,Typical price,Was price,None"</formula1>
    </dataValidation>
    <dataValidation sqref="AY52:AY6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BH9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Bamboo Pillowcases  ·  Amazon.com (US)  ·  Bamboo  ·  BFCM role: Other  ·  Scope: Not launched</t>
        </is>
      </c>
    </row>
    <row r="2">
      <c r="A2" s="53" t="inlineStr">
        <is>
          <t>← Dashboard</t>
        </is>
      </c>
      <c r="C2" s="106" t="inlineStr">
        <is>
          <t>NOT LAUNCHED YET (confirmed Oct 14, 2026): no live price, rating or sales expected; excluded from the gap counts on Data Check.</t>
        </is>
      </c>
    </row>
    <row r="3" ht="20" customHeight="1">
      <c r="A3" s="54" t="inlineStr">
        <is>
          <t>1 · OUR PRODUCT</t>
        </is>
      </c>
    </row>
    <row r="4" ht="34" customHeight="1">
      <c r="A4" s="39" t="inlineStr">
        <is>
          <t>IMAGE MISSING</t>
        </is>
      </c>
      <c r="C4" s="11" t="inlineStr">
        <is>
          <t>Title</t>
        </is>
      </c>
      <c r="D4" s="12" t="inlineStr">
        <is>
          <t>SLEEPHORIA 100% Viscose Dervied from Bamboo Pillowcase King Size 2-Pieces (Black)</t>
        </is>
      </c>
      <c r="K4" s="11" t="inlineStr">
        <is>
          <t>Sizes</t>
        </is>
      </c>
      <c r="L4" s="55" t="inlineStr">
        <is>
          <t>King, Queen, Standard</t>
        </is>
      </c>
      <c r="S4" s="11" t="inlineStr">
        <is>
          <t>Break-even ACoS</t>
        </is>
      </c>
      <c r="T4" s="55" t="inlineStr">
        <is>
          <t>n/a</t>
        </is>
      </c>
    </row>
    <row r="5" ht="22" customHeight="1">
      <c r="C5" s="11" t="inlineStr">
        <is>
          <t>Brand</t>
        </is>
      </c>
      <c r="D5" s="55" t="inlineStr">
        <is>
          <t>Sleephoria</t>
        </is>
      </c>
      <c r="K5" s="11" t="inlineStr">
        <is>
          <t>Colours</t>
        </is>
      </c>
      <c r="L5" s="55" t="inlineStr">
        <is>
          <t>Black, Charcoal, Cobalt Blue, Cream, Dark Grey, Dune, Haze Blue, Ivory, Jacquard Sand, Light Grey, Navy Blue, Sage Green, Sand, Sea Glass, Silver Grey, Sterling Blue, Terracotta,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B0FX2RDXXR (one of our child ASINs, not the Amazon parent)</t>
        </is>
      </c>
    </row>
    <row r="7" ht="22" customHeight="1">
      <c r="C7" s="11" t="inlineStr">
        <is>
          <t>Parent ASIN (Amazon)</t>
        </is>
      </c>
      <c r="D7" s="55" t="inlineStr">
        <is>
          <t>B0FX2RDXXR</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54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54</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6</t>
        </is>
      </c>
      <c r="Q12" s="57" t="inlineStr">
        <is>
          <t>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(54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9" t="inlineStr">
        <is>
          <t>IMAGE MISSING</t>
        </is>
      </c>
      <c r="B18" s="32" t="inlineStr">
        <is>
          <t>B0FX2RDXXR</t>
        </is>
      </c>
      <c r="C18" s="32" t="inlineStr">
        <is>
          <t>SL-BMB-PC-KING-BLACK-2PC</t>
        </is>
      </c>
      <c r="D18" s="32" t="inlineStr">
        <is>
          <t>SLEEPHORIA 100% Viscose Dervied from Bamboo Pillowcase King Size 2-Pieces (Black)</t>
        </is>
      </c>
      <c r="E18" s="32" t="inlineStr">
        <is>
          <t>King</t>
        </is>
      </c>
      <c r="F18" s="32" t="inlineStr">
        <is>
          <t>Black</t>
        </is>
      </c>
      <c r="G18" s="33" t="n"/>
      <c r="H18" s="32" t="n"/>
      <c r="I18" s="33" t="n"/>
      <c r="J18" s="32" t="n"/>
      <c r="K18" s="33" t="n"/>
      <c r="L18" s="63" t="n"/>
      <c r="M18" s="64" t="n"/>
      <c r="N18" s="32" t="inlineStr">
        <is>
          <t>Inactive</t>
        </is>
      </c>
      <c r="O18" s="32" t="n"/>
      <c r="P18" s="65" t="n"/>
      <c r="Q18" s="64" t="n"/>
      <c r="R18" s="64" t="n"/>
      <c r="S18" s="64" t="n"/>
      <c r="T18" s="32" t="n"/>
    </row>
    <row r="19" ht="62" customHeight="1">
      <c r="A19" s="39" t="inlineStr">
        <is>
          <t>IMAGE MISSING</t>
        </is>
      </c>
      <c r="B19" s="32" t="inlineStr">
        <is>
          <t>B0FX2Q2VDB</t>
        </is>
      </c>
      <c r="C19" s="32" t="inlineStr">
        <is>
          <t>SL-BMB-PC-KING-CHARCOAL-2PC</t>
        </is>
      </c>
      <c r="D19" s="32" t="inlineStr">
        <is>
          <t>SLEEPHORIA 100% Viscose Dervied from Bamboo Pillowcase King Size 2-Pieces (Charcoal)</t>
        </is>
      </c>
      <c r="E19" s="32" t="inlineStr">
        <is>
          <t>King</t>
        </is>
      </c>
      <c r="F19" s="32" t="inlineStr">
        <is>
          <t>Charcoal</t>
        </is>
      </c>
      <c r="G19" s="33" t="n"/>
      <c r="H19" s="32" t="n"/>
      <c r="I19" s="33" t="n"/>
      <c r="J19" s="32" t="n"/>
      <c r="K19" s="33" t="n"/>
      <c r="L19" s="63" t="n"/>
      <c r="M19" s="64" t="n"/>
      <c r="N19" s="32" t="inlineStr">
        <is>
          <t>Inactive</t>
        </is>
      </c>
      <c r="O19" s="32" t="n"/>
      <c r="P19" s="65" t="n"/>
      <c r="Q19" s="64" t="n"/>
      <c r="R19" s="64" t="n"/>
      <c r="S19" s="64" t="n"/>
      <c r="T19" s="32" t="n"/>
    </row>
    <row r="20" ht="62" customHeight="1">
      <c r="A20" s="39" t="inlineStr">
        <is>
          <t>IMAGE MISSING</t>
        </is>
      </c>
      <c r="B20" s="32" t="inlineStr">
        <is>
          <t>B0FX2TL4TL</t>
        </is>
      </c>
      <c r="C20" s="32" t="inlineStr">
        <is>
          <t>SL-BMB-PC-KING-COBALT-BLUE-2PC</t>
        </is>
      </c>
      <c r="D20" s="32" t="inlineStr">
        <is>
          <t>SLEEPHORIA 100% Viscose Dervied from Bamboo Pillowcase King Size 2-Pieces (Cobalt Blue)</t>
        </is>
      </c>
      <c r="E20" s="32" t="inlineStr">
        <is>
          <t>King</t>
        </is>
      </c>
      <c r="F20" s="32" t="inlineStr">
        <is>
          <t>Cobalt Blue</t>
        </is>
      </c>
      <c r="G20" s="33" t="n"/>
      <c r="H20" s="32" t="n"/>
      <c r="I20" s="33" t="n"/>
      <c r="J20" s="32" t="n"/>
      <c r="K20" s="33" t="n"/>
      <c r="L20" s="63" t="n"/>
      <c r="M20" s="64" t="n"/>
      <c r="N20" s="32" t="inlineStr">
        <is>
          <t>Inactive</t>
        </is>
      </c>
      <c r="O20" s="32" t="n"/>
      <c r="P20" s="65" t="n"/>
      <c r="Q20" s="64" t="n"/>
      <c r="R20" s="64" t="n"/>
      <c r="S20" s="64" t="n"/>
      <c r="T20" s="32" t="n"/>
    </row>
    <row r="21" ht="62" customHeight="1">
      <c r="A21" s="39" t="inlineStr">
        <is>
          <t>IMAGE MISSING</t>
        </is>
      </c>
      <c r="B21" s="32" t="inlineStr">
        <is>
          <t>B0FX2QQ15N</t>
        </is>
      </c>
      <c r="C21" s="32" t="inlineStr">
        <is>
          <t>SL-BMB-PC-KING-CREAM-2PC</t>
        </is>
      </c>
      <c r="D21" s="32" t="inlineStr">
        <is>
          <t>SLEEPHORIA 100% Viscose Dervied from Bamboo Pillowcase King Size 2-Pieces (Cream)</t>
        </is>
      </c>
      <c r="E21" s="32" t="inlineStr">
        <is>
          <t>King</t>
        </is>
      </c>
      <c r="F21" s="32" t="inlineStr">
        <is>
          <t>Cream</t>
        </is>
      </c>
      <c r="G21" s="33" t="n"/>
      <c r="H21" s="32" t="n"/>
      <c r="I21" s="33" t="n"/>
      <c r="J21" s="32" t="n"/>
      <c r="K21" s="33" t="n"/>
      <c r="L21" s="63" t="n"/>
      <c r="M21" s="64" t="n"/>
      <c r="N21" s="32" t="inlineStr">
        <is>
          <t>Inactive</t>
        </is>
      </c>
      <c r="O21" s="32" t="n"/>
      <c r="P21" s="65" t="n"/>
      <c r="Q21" s="64" t="n"/>
      <c r="R21" s="64" t="n"/>
      <c r="S21" s="64" t="n"/>
      <c r="T21" s="32" t="n"/>
    </row>
    <row r="22" ht="62" customHeight="1">
      <c r="A22" s="39" t="inlineStr">
        <is>
          <t>IMAGE MISSING</t>
        </is>
      </c>
      <c r="B22" s="32" t="inlineStr">
        <is>
          <t>B0FX2VR11H</t>
        </is>
      </c>
      <c r="C22" s="32" t="inlineStr">
        <is>
          <t>SL-BMB-PC-KING-DARK-GREY-2PC</t>
        </is>
      </c>
      <c r="D22" s="32" t="inlineStr">
        <is>
          <t>SLEEPHORIA 100% Viscose Dervied from Bamboo Pillowcase King Size 2-Pieces (Dark Grey)</t>
        </is>
      </c>
      <c r="E22" s="32" t="inlineStr">
        <is>
          <t>King</t>
        </is>
      </c>
      <c r="F22" s="32" t="inlineStr">
        <is>
          <t>Dark Grey</t>
        </is>
      </c>
      <c r="G22" s="33" t="n"/>
      <c r="H22" s="32" t="n"/>
      <c r="I22" s="33" t="n"/>
      <c r="J22" s="32" t="n"/>
      <c r="K22" s="33" t="n"/>
      <c r="L22" s="63" t="n"/>
      <c r="M22" s="64" t="n"/>
      <c r="N22" s="32" t="inlineStr">
        <is>
          <t>Inactive</t>
        </is>
      </c>
      <c r="O22" s="32" t="n"/>
      <c r="P22" s="65" t="n"/>
      <c r="Q22" s="64" t="n"/>
      <c r="R22" s="64" t="n"/>
      <c r="S22" s="64" t="n"/>
      <c r="T22" s="32" t="n"/>
    </row>
    <row r="23" ht="62" customHeight="1">
      <c r="A23" s="39" t="inlineStr">
        <is>
          <t>IMAGE MISSING</t>
        </is>
      </c>
      <c r="B23" s="32" t="inlineStr">
        <is>
          <t>B0FX2PB6R7</t>
        </is>
      </c>
      <c r="C23" s="32" t="inlineStr">
        <is>
          <t>SL-BMB-PC-KING-DUNE-2PC</t>
        </is>
      </c>
      <c r="D23" s="32" t="inlineStr">
        <is>
          <t>SLEEPHORIA 100% Viscose Dervied from Bamboo Pillowcase King Size 2-Pieces (Dune)</t>
        </is>
      </c>
      <c r="E23" s="32" t="inlineStr">
        <is>
          <t>King</t>
        </is>
      </c>
      <c r="F23" s="32" t="inlineStr">
        <is>
          <t>Dune</t>
        </is>
      </c>
      <c r="G23" s="33" t="n"/>
      <c r="H23" s="32" t="n"/>
      <c r="I23" s="33" t="n"/>
      <c r="J23" s="32" t="n"/>
      <c r="K23" s="33" t="n"/>
      <c r="L23" s="63" t="n"/>
      <c r="M23" s="64" t="n"/>
      <c r="N23" s="32" t="inlineStr">
        <is>
          <t>Inactive</t>
        </is>
      </c>
      <c r="O23" s="32" t="n"/>
      <c r="P23" s="65" t="n"/>
      <c r="Q23" s="64" t="n"/>
      <c r="R23" s="64" t="n"/>
      <c r="S23" s="64" t="n"/>
      <c r="T23" s="32" t="n"/>
    </row>
    <row r="24" ht="62" customHeight="1">
      <c r="A24" s="39" t="inlineStr">
        <is>
          <t>IMAGE MISSING</t>
        </is>
      </c>
      <c r="B24" s="32" t="inlineStr">
        <is>
          <t>B0FX2N2ZBS</t>
        </is>
      </c>
      <c r="C24" s="32" t="inlineStr">
        <is>
          <t>SL-BMB-PC-KING-HAZE-BLUE-2PC</t>
        </is>
      </c>
      <c r="D24" s="32" t="inlineStr">
        <is>
          <t>SLEEPHORIA 100% Viscose Dervied from Bamboo Pillowcase King Size 2-Pieces (Haze Blue)</t>
        </is>
      </c>
      <c r="E24" s="32" t="inlineStr">
        <is>
          <t>King</t>
        </is>
      </c>
      <c r="F24" s="32" t="inlineStr">
        <is>
          <t>Haze Blue</t>
        </is>
      </c>
      <c r="G24" s="33" t="n"/>
      <c r="H24" s="32" t="n"/>
      <c r="I24" s="33" t="n"/>
      <c r="J24" s="32" t="n"/>
      <c r="K24" s="33" t="n"/>
      <c r="L24" s="63" t="n"/>
      <c r="M24" s="64" t="n"/>
      <c r="N24" s="32" t="inlineStr">
        <is>
          <t>Inactive</t>
        </is>
      </c>
      <c r="O24" s="32" t="n"/>
      <c r="P24" s="65" t="n"/>
      <c r="Q24" s="64" t="n"/>
      <c r="R24" s="64" t="n"/>
      <c r="S24" s="64" t="n"/>
      <c r="T24" s="32" t="n"/>
    </row>
    <row r="25" ht="62" customHeight="1">
      <c r="A25" s="39" t="inlineStr">
        <is>
          <t>IMAGE MISSING</t>
        </is>
      </c>
      <c r="B25" s="32" t="inlineStr">
        <is>
          <t>B0FX2PW1B5</t>
        </is>
      </c>
      <c r="C25" s="32" t="inlineStr">
        <is>
          <t>SL-BMB-PC-KING-IVORY-2PC</t>
        </is>
      </c>
      <c r="D25" s="32" t="inlineStr">
        <is>
          <t>SLEEPHORIA 100% Viscose Dervied from Bamboo Pillowcase King Size 2-Pieces (Ivory)</t>
        </is>
      </c>
      <c r="E25" s="32" t="inlineStr">
        <is>
          <t>King</t>
        </is>
      </c>
      <c r="F25" s="32" t="inlineStr">
        <is>
          <t>Ivory</t>
        </is>
      </c>
      <c r="G25" s="33" t="n"/>
      <c r="H25" s="32" t="n"/>
      <c r="I25" s="33" t="n"/>
      <c r="J25" s="32" t="n"/>
      <c r="K25" s="33" t="n"/>
      <c r="L25" s="63" t="n"/>
      <c r="M25" s="64" t="n"/>
      <c r="N25" s="32" t="inlineStr">
        <is>
          <t>Inactive</t>
        </is>
      </c>
      <c r="O25" s="32" t="n"/>
      <c r="P25" s="65" t="n"/>
      <c r="Q25" s="64" t="n"/>
      <c r="R25" s="64" t="n"/>
      <c r="S25" s="64" t="n"/>
      <c r="T25" s="32" t="n"/>
    </row>
    <row r="26" ht="62" customHeight="1">
      <c r="A26" s="39" t="inlineStr">
        <is>
          <t>IMAGE MISSING</t>
        </is>
      </c>
      <c r="B26" s="32" t="inlineStr">
        <is>
          <t>B0FX2R6L58</t>
        </is>
      </c>
      <c r="C26" s="32" t="inlineStr">
        <is>
          <t>SL-BMB-PC-KING-JACQUARD-SAND-2PC</t>
        </is>
      </c>
      <c r="D26" s="32" t="inlineStr">
        <is>
          <t>SLEEPHORIA 100% Viscose Dervied from Bamboo Pillowcase King Size 2-Pieces (Jacquard Sand)</t>
        </is>
      </c>
      <c r="E26" s="32" t="inlineStr">
        <is>
          <t>King</t>
        </is>
      </c>
      <c r="F26" s="32" t="inlineStr">
        <is>
          <t>Jacquard Sand</t>
        </is>
      </c>
      <c r="G26" s="33" t="n"/>
      <c r="H26" s="32" t="n"/>
      <c r="I26" s="33" t="n"/>
      <c r="J26" s="32" t="n"/>
      <c r="K26" s="33" t="n"/>
      <c r="L26" s="63" t="n"/>
      <c r="M26" s="64" t="n"/>
      <c r="N26" s="32" t="inlineStr">
        <is>
          <t>Inactive</t>
        </is>
      </c>
      <c r="O26" s="32" t="n"/>
      <c r="P26" s="65" t="n"/>
      <c r="Q26" s="64" t="n"/>
      <c r="R26" s="64" t="n"/>
      <c r="S26" s="64" t="n"/>
      <c r="T26" s="32" t="n"/>
    </row>
    <row r="27" ht="62" customHeight="1">
      <c r="A27" s="39" t="inlineStr">
        <is>
          <t>IMAGE MISSING</t>
        </is>
      </c>
      <c r="B27" s="32" t="inlineStr">
        <is>
          <t>B0FX2S477K</t>
        </is>
      </c>
      <c r="C27" s="32" t="inlineStr">
        <is>
          <t>SL-BMB-PC-KING-LIGHT-GREY-2PC</t>
        </is>
      </c>
      <c r="D27" s="32" t="inlineStr">
        <is>
          <t>SLEEPHORIA 100% Viscose Dervied from Bamboo Pillowcase King Size 2-Pieces (Light Grey)</t>
        </is>
      </c>
      <c r="E27" s="32" t="inlineStr">
        <is>
          <t>King</t>
        </is>
      </c>
      <c r="F27" s="32" t="inlineStr">
        <is>
          <t>Light Grey</t>
        </is>
      </c>
      <c r="G27" s="33" t="n"/>
      <c r="H27" s="32" t="n"/>
      <c r="I27" s="33" t="n"/>
      <c r="J27" s="32" t="n"/>
      <c r="K27" s="33" t="n"/>
      <c r="L27" s="63" t="n"/>
      <c r="M27" s="64" t="n"/>
      <c r="N27" s="32" t="inlineStr">
        <is>
          <t>Inactive</t>
        </is>
      </c>
      <c r="O27" s="32" t="n"/>
      <c r="P27" s="65" t="n"/>
      <c r="Q27" s="64" t="n"/>
      <c r="R27" s="64" t="n"/>
      <c r="S27" s="64" t="n"/>
      <c r="T27" s="32" t="n"/>
    </row>
    <row r="28" ht="62" customHeight="1">
      <c r="A28" s="39" t="inlineStr">
        <is>
          <t>IMAGE MISSING</t>
        </is>
      </c>
      <c r="B28" s="32" t="inlineStr">
        <is>
          <t>B0FX2NCY9J</t>
        </is>
      </c>
      <c r="C28" s="32" t="inlineStr">
        <is>
          <t>SL-BMB-PC-KING-NAVY-BLUE-2PC</t>
        </is>
      </c>
      <c r="D28" s="32" t="inlineStr">
        <is>
          <t>SLEEPHORIA 100% Viscose Dervied from Bamboo Pillowcase King Size 2-Pieces (Navy Blue)</t>
        </is>
      </c>
      <c r="E28" s="32" t="inlineStr">
        <is>
          <t>King</t>
        </is>
      </c>
      <c r="F28" s="32" t="inlineStr">
        <is>
          <t>Navy Blue</t>
        </is>
      </c>
      <c r="G28" s="33" t="n"/>
      <c r="H28" s="32" t="n"/>
      <c r="I28" s="33" t="n"/>
      <c r="J28" s="32" t="n"/>
      <c r="K28" s="33" t="n"/>
      <c r="L28" s="63" t="n"/>
      <c r="M28" s="64" t="n"/>
      <c r="N28" s="32" t="inlineStr">
        <is>
          <t>Inactive</t>
        </is>
      </c>
      <c r="O28" s="32" t="n"/>
      <c r="P28" s="65" t="n"/>
      <c r="Q28" s="64" t="n"/>
      <c r="R28" s="64" t="n"/>
      <c r="S28" s="64" t="n"/>
      <c r="T28" s="32" t="n"/>
    </row>
    <row r="29" ht="62" customHeight="1">
      <c r="A29" s="39" t="inlineStr">
        <is>
          <t>IMAGE MISSING</t>
        </is>
      </c>
      <c r="B29" s="32" t="inlineStr">
        <is>
          <t>B0FX2PJYF1</t>
        </is>
      </c>
      <c r="C29" s="32" t="inlineStr">
        <is>
          <t>SL-BMB-PC-KING-SAGE-GREEN-2PC</t>
        </is>
      </c>
      <c r="D29" s="32" t="inlineStr">
        <is>
          <t>SLEEPHORIA 100% Viscose Dervied from Bamboo Pillowcase King Size 2-Pieces (Sage Green)</t>
        </is>
      </c>
      <c r="E29" s="32" t="inlineStr">
        <is>
          <t>King</t>
        </is>
      </c>
      <c r="F29" s="32" t="inlineStr">
        <is>
          <t>Sage Green</t>
        </is>
      </c>
      <c r="G29" s="33" t="n"/>
      <c r="H29" s="32" t="n"/>
      <c r="I29" s="33" t="n"/>
      <c r="J29" s="32" t="n"/>
      <c r="K29" s="33" t="n"/>
      <c r="L29" s="63" t="n"/>
      <c r="M29" s="64" t="n"/>
      <c r="N29" s="32" t="inlineStr">
        <is>
          <t>Inactive</t>
        </is>
      </c>
      <c r="O29" s="32" t="n"/>
      <c r="P29" s="65" t="n"/>
      <c r="Q29" s="64" t="n"/>
      <c r="R29" s="64" t="n"/>
      <c r="S29" s="64" t="n"/>
      <c r="T29" s="32" t="n"/>
    </row>
    <row r="30" ht="62" customHeight="1">
      <c r="A30" s="39" t="inlineStr">
        <is>
          <t>IMAGE MISSING</t>
        </is>
      </c>
      <c r="B30" s="32" t="inlineStr">
        <is>
          <t>B0FX2RGF46</t>
        </is>
      </c>
      <c r="C30" s="32" t="inlineStr">
        <is>
          <t>SL-BMB-PC-KING-SAND-2PC</t>
        </is>
      </c>
      <c r="D30" s="32" t="inlineStr">
        <is>
          <t>SLEEPHORIA 100% Viscose Dervied from Bamboo Pillowcase King Size 2-Pieces (Sand)</t>
        </is>
      </c>
      <c r="E30" s="32" t="inlineStr">
        <is>
          <t>King</t>
        </is>
      </c>
      <c r="F30" s="32" t="inlineStr">
        <is>
          <t>Sand</t>
        </is>
      </c>
      <c r="G30" s="33" t="n"/>
      <c r="H30" s="32" t="n"/>
      <c r="I30" s="33" t="n"/>
      <c r="J30" s="32" t="n"/>
      <c r="K30" s="33" t="n"/>
      <c r="L30" s="63" t="n"/>
      <c r="M30" s="64" t="n"/>
      <c r="N30" s="32" t="inlineStr">
        <is>
          <t>Inactive</t>
        </is>
      </c>
      <c r="O30" s="32" t="n"/>
      <c r="P30" s="65" t="n"/>
      <c r="Q30" s="64" t="n"/>
      <c r="R30" s="64" t="n"/>
      <c r="S30" s="64" t="n"/>
      <c r="T30" s="32" t="n"/>
    </row>
    <row r="31" ht="62" customHeight="1">
      <c r="A31" s="39" t="inlineStr">
        <is>
          <t>IMAGE MISSING</t>
        </is>
      </c>
      <c r="B31" s="32" t="inlineStr">
        <is>
          <t>B0FX2VHG7S</t>
        </is>
      </c>
      <c r="C31" s="32" t="inlineStr">
        <is>
          <t>SL-BMB-PC-KING-SEA-GLASS-2PC</t>
        </is>
      </c>
      <c r="D31" s="32" t="inlineStr">
        <is>
          <t>SLEEPHORIA 100% Viscose Dervied from Bamboo Pillowcase King Size 2-Pieces (Sea Glass)</t>
        </is>
      </c>
      <c r="E31" s="32" t="inlineStr">
        <is>
          <t>King</t>
        </is>
      </c>
      <c r="F31" s="32" t="inlineStr">
        <is>
          <t>Sea Glass</t>
        </is>
      </c>
      <c r="G31" s="33" t="n"/>
      <c r="H31" s="32" t="n"/>
      <c r="I31" s="33" t="n"/>
      <c r="J31" s="32" t="n"/>
      <c r="K31" s="33" t="n"/>
      <c r="L31" s="63" t="n"/>
      <c r="M31" s="64" t="n"/>
      <c r="N31" s="32" t="inlineStr">
        <is>
          <t>Inactive</t>
        </is>
      </c>
      <c r="O31" s="32" t="n"/>
      <c r="P31" s="65" t="n"/>
      <c r="Q31" s="64" t="n"/>
      <c r="R31" s="64" t="n"/>
      <c r="S31" s="64" t="n"/>
      <c r="T31" s="32" t="n"/>
    </row>
    <row r="32" ht="62" customHeight="1">
      <c r="A32" s="39" t="inlineStr">
        <is>
          <t>IMAGE MISSING</t>
        </is>
      </c>
      <c r="B32" s="32" t="inlineStr">
        <is>
          <t>B0FX2R2CLQ</t>
        </is>
      </c>
      <c r="C32" s="32" t="inlineStr">
        <is>
          <t>SL-BMB-PC-KING-SILVER-GREY-2PC</t>
        </is>
      </c>
      <c r="D32" s="32" t="inlineStr">
        <is>
          <t>SLEEPHORIA 100% Viscose Dervied from Bamboo Pillowcase King Size 2-Pieces (Silver Grey)</t>
        </is>
      </c>
      <c r="E32" s="32" t="inlineStr">
        <is>
          <t>King</t>
        </is>
      </c>
      <c r="F32" s="32" t="inlineStr">
        <is>
          <t>Silver Grey</t>
        </is>
      </c>
      <c r="G32" s="33" t="n"/>
      <c r="H32" s="32" t="n"/>
      <c r="I32" s="33" t="n"/>
      <c r="J32" s="32" t="n"/>
      <c r="K32" s="33" t="n"/>
      <c r="L32" s="63" t="n"/>
      <c r="M32" s="64" t="n"/>
      <c r="N32" s="32" t="inlineStr">
        <is>
          <t>Inactive</t>
        </is>
      </c>
      <c r="O32" s="32" t="n"/>
      <c r="P32" s="65" t="n"/>
      <c r="Q32" s="64" t="n"/>
      <c r="R32" s="64" t="n"/>
      <c r="S32" s="64" t="n"/>
      <c r="T32" s="32" t="n"/>
    </row>
    <row r="33" ht="62" customHeight="1">
      <c r="A33" s="39" t="inlineStr">
        <is>
          <t>IMAGE MISSING</t>
        </is>
      </c>
      <c r="B33" s="32" t="inlineStr">
        <is>
          <t>B0FX2RP1DF</t>
        </is>
      </c>
      <c r="C33" s="32" t="inlineStr">
        <is>
          <t>SL-BMB-PC-KING-STERLING-BLUE-2PC</t>
        </is>
      </c>
      <c r="D33" s="32" t="inlineStr">
        <is>
          <t>SLEEPHORIA 100% Viscose Dervied from Bamboo Pillowcase King Size 2-Pieces (Sterling Blue)</t>
        </is>
      </c>
      <c r="E33" s="32" t="inlineStr">
        <is>
          <t>King</t>
        </is>
      </c>
      <c r="F33" s="32" t="inlineStr">
        <is>
          <t>Sterling Blue</t>
        </is>
      </c>
      <c r="G33" s="33" t="n"/>
      <c r="H33" s="32" t="n"/>
      <c r="I33" s="33" t="n"/>
      <c r="J33" s="32" t="n"/>
      <c r="K33" s="33" t="n"/>
      <c r="L33" s="63" t="n"/>
      <c r="M33" s="64" t="n"/>
      <c r="N33" s="32" t="inlineStr">
        <is>
          <t>Inactive</t>
        </is>
      </c>
      <c r="O33" s="32" t="n"/>
      <c r="P33" s="65" t="n"/>
      <c r="Q33" s="64" t="n"/>
      <c r="R33" s="64" t="n"/>
      <c r="S33" s="64" t="n"/>
      <c r="T33" s="32" t="n"/>
    </row>
    <row r="34" ht="62" customHeight="1">
      <c r="A34" s="39" t="inlineStr">
        <is>
          <t>IMAGE MISSING</t>
        </is>
      </c>
      <c r="B34" s="32" t="inlineStr">
        <is>
          <t>B0FX2PBVLP</t>
        </is>
      </c>
      <c r="C34" s="32" t="inlineStr">
        <is>
          <t>SL-BMB-PC-KING-TERRACOTTA-2PC</t>
        </is>
      </c>
      <c r="D34" s="32" t="inlineStr">
        <is>
          <t>SLEEPHORIA 100% Viscose Dervied from Bamboo Pillowcase King Size 2-Pieces (Terracotta)</t>
        </is>
      </c>
      <c r="E34" s="32" t="inlineStr">
        <is>
          <t>King</t>
        </is>
      </c>
      <c r="F34" s="32" t="inlineStr">
        <is>
          <t>Terracotta</t>
        </is>
      </c>
      <c r="G34" s="33" t="n"/>
      <c r="H34" s="32" t="n"/>
      <c r="I34" s="33" t="n"/>
      <c r="J34" s="32" t="n"/>
      <c r="K34" s="33" t="n"/>
      <c r="L34" s="63" t="n"/>
      <c r="M34" s="64" t="n"/>
      <c r="N34" s="32" t="inlineStr">
        <is>
          <t>Inactive</t>
        </is>
      </c>
      <c r="O34" s="32" t="n"/>
      <c r="P34" s="65" t="n"/>
      <c r="Q34" s="64" t="n"/>
      <c r="R34" s="64" t="n"/>
      <c r="S34" s="64" t="n"/>
      <c r="T34" s="32" t="n"/>
    </row>
    <row r="35" ht="62" customHeight="1">
      <c r="A35" s="39" t="inlineStr">
        <is>
          <t>IMAGE MISSING</t>
        </is>
      </c>
      <c r="B35" s="32" t="inlineStr">
        <is>
          <t>B0FX2RYML4</t>
        </is>
      </c>
      <c r="C35" s="32" t="inlineStr">
        <is>
          <t>SL-BMB-PC-KING-WHITE-2PC</t>
        </is>
      </c>
      <c r="D35" s="32" t="inlineStr">
        <is>
          <t>SLEEPHORIA 100% Viscose Dervied from Bamboo Pillowcase King Size 2-Pieces (White)</t>
        </is>
      </c>
      <c r="E35" s="32" t="inlineStr">
        <is>
          <t>King</t>
        </is>
      </c>
      <c r="F35" s="32" t="inlineStr">
        <is>
          <t>White</t>
        </is>
      </c>
      <c r="G35" s="33" t="n"/>
      <c r="H35" s="32" t="n"/>
      <c r="I35" s="33" t="n"/>
      <c r="J35" s="32" t="n"/>
      <c r="K35" s="33" t="n"/>
      <c r="L35" s="63" t="n"/>
      <c r="M35" s="64" t="n"/>
      <c r="N35" s="32" t="inlineStr">
        <is>
          <t>Inactive</t>
        </is>
      </c>
      <c r="O35" s="32" t="n"/>
      <c r="P35" s="65" t="n"/>
      <c r="Q35" s="64" t="n"/>
      <c r="R35" s="64" t="n"/>
      <c r="S35" s="64" t="n"/>
      <c r="T35" s="32" t="n"/>
    </row>
    <row r="36" ht="62" customHeight="1">
      <c r="A36" s="39" t="inlineStr">
        <is>
          <t>IMAGE MISSING</t>
        </is>
      </c>
      <c r="B36" s="32" t="inlineStr">
        <is>
          <t>B0FX2RX7WX</t>
        </is>
      </c>
      <c r="C36" s="32" t="inlineStr">
        <is>
          <t>SL-BMB-PC-QUEEN-BLACK-2PC</t>
        </is>
      </c>
      <c r="D36" s="32" t="inlineStr">
        <is>
          <t>SLEEPHORIA 100% Viscose Dervied from Bamboo Pillowcase Queen Size 2-Pieces (Black)</t>
        </is>
      </c>
      <c r="E36" s="32" t="inlineStr">
        <is>
          <t>Queen</t>
        </is>
      </c>
      <c r="F36" s="32" t="inlineStr">
        <is>
          <t>Black</t>
        </is>
      </c>
      <c r="G36" s="33" t="n"/>
      <c r="H36" s="32" t="n"/>
      <c r="I36" s="33" t="n"/>
      <c r="J36" s="32" t="n"/>
      <c r="K36" s="33" t="n"/>
      <c r="L36" s="63" t="n"/>
      <c r="M36" s="64" t="n"/>
      <c r="N36" s="32" t="inlineStr">
        <is>
          <t>Inactive</t>
        </is>
      </c>
      <c r="O36" s="32" t="n"/>
      <c r="P36" s="65" t="n"/>
      <c r="Q36" s="64" t="n"/>
      <c r="R36" s="64" t="n"/>
      <c r="S36" s="64" t="n"/>
      <c r="T36" s="32" t="n"/>
    </row>
    <row r="37" ht="62" customHeight="1">
      <c r="A37" s="39" t="inlineStr">
        <is>
          <t>IMAGE MISSING</t>
        </is>
      </c>
      <c r="B37" s="32" t="inlineStr">
        <is>
          <t>B0FX2SWWKL</t>
        </is>
      </c>
      <c r="C37" s="32" t="inlineStr">
        <is>
          <t>SL-BMB-PC-QUEEN-CHARCOAL-2PC</t>
        </is>
      </c>
      <c r="D37" s="32" t="inlineStr">
        <is>
          <t>SLEEPHORIA 100% Viscose Dervied from Bamboo Pillowcase Queen Size 2-Pieces (Charcoal)</t>
        </is>
      </c>
      <c r="E37" s="32" t="inlineStr">
        <is>
          <t>Queen</t>
        </is>
      </c>
      <c r="F37" s="32" t="inlineStr">
        <is>
          <t>Charcoal</t>
        </is>
      </c>
      <c r="G37" s="33" t="n"/>
      <c r="H37" s="32" t="n"/>
      <c r="I37" s="33" t="n"/>
      <c r="J37" s="32" t="n"/>
      <c r="K37" s="33" t="n"/>
      <c r="L37" s="63" t="n"/>
      <c r="M37" s="64" t="n"/>
      <c r="N37" s="32" t="inlineStr">
        <is>
          <t>Inactive</t>
        </is>
      </c>
      <c r="O37" s="32" t="n"/>
      <c r="P37" s="65" t="n"/>
      <c r="Q37" s="64" t="n"/>
      <c r="R37" s="64" t="n"/>
      <c r="S37" s="64" t="n"/>
      <c r="T37" s="32" t="n"/>
    </row>
    <row r="38" ht="62" customHeight="1">
      <c r="A38" s="39" t="inlineStr">
        <is>
          <t>IMAGE MISSING</t>
        </is>
      </c>
      <c r="B38" s="32" t="inlineStr">
        <is>
          <t>B0FX2SBFTH</t>
        </is>
      </c>
      <c r="C38" s="32" t="inlineStr">
        <is>
          <t>SL-BMB-PC-QUEEN-COBALT-BLUE-2PC</t>
        </is>
      </c>
      <c r="D38" s="32" t="inlineStr">
        <is>
          <t>SLEEPHORIA 100% Viscose Dervied from Bamboo Pillowcase Queen Size 2-Pieces (Cobalt Blue)</t>
        </is>
      </c>
      <c r="E38" s="32" t="inlineStr">
        <is>
          <t>Queen</t>
        </is>
      </c>
      <c r="F38" s="32" t="inlineStr">
        <is>
          <t>Cobalt Blue</t>
        </is>
      </c>
      <c r="G38" s="33" t="n"/>
      <c r="H38" s="32" t="n"/>
      <c r="I38" s="33" t="n"/>
      <c r="J38" s="32" t="n"/>
      <c r="K38" s="33" t="n"/>
      <c r="L38" s="63" t="n"/>
      <c r="M38" s="64" t="n"/>
      <c r="N38" s="32" t="inlineStr">
        <is>
          <t>Inactive</t>
        </is>
      </c>
      <c r="O38" s="32" t="n"/>
      <c r="P38" s="65" t="n"/>
      <c r="Q38" s="64" t="n"/>
      <c r="R38" s="64" t="n"/>
      <c r="S38" s="64" t="n"/>
      <c r="T38" s="32" t="n"/>
    </row>
    <row r="39" ht="62" customHeight="1">
      <c r="A39" s="39" t="inlineStr">
        <is>
          <t>IMAGE MISSING</t>
        </is>
      </c>
      <c r="B39" s="32" t="inlineStr">
        <is>
          <t>B0FX2Q55FG</t>
        </is>
      </c>
      <c r="C39" s="32" t="inlineStr">
        <is>
          <t>SL-BMB-PC-QUEEN-CREAM-2PC</t>
        </is>
      </c>
      <c r="D39" s="32" t="inlineStr">
        <is>
          <t>SLEEPHORIA 100% Viscose Dervied from Bamboo Pillowcase Queen Size 2-Pieces (Cream)</t>
        </is>
      </c>
      <c r="E39" s="32" t="inlineStr">
        <is>
          <t>Queen</t>
        </is>
      </c>
      <c r="F39" s="32" t="inlineStr">
        <is>
          <t>Cream</t>
        </is>
      </c>
      <c r="G39" s="33" t="n"/>
      <c r="H39" s="32" t="n"/>
      <c r="I39" s="33" t="n"/>
      <c r="J39" s="32" t="n"/>
      <c r="K39" s="33" t="n"/>
      <c r="L39" s="63" t="n"/>
      <c r="M39" s="64" t="n"/>
      <c r="N39" s="32" t="inlineStr">
        <is>
          <t>Inactive</t>
        </is>
      </c>
      <c r="O39" s="32" t="n"/>
      <c r="P39" s="65" t="n"/>
      <c r="Q39" s="64" t="n"/>
      <c r="R39" s="64" t="n"/>
      <c r="S39" s="64" t="n"/>
      <c r="T39" s="32" t="n"/>
    </row>
    <row r="40" ht="62" customHeight="1">
      <c r="A40" s="39" t="inlineStr">
        <is>
          <t>IMAGE MISSING</t>
        </is>
      </c>
      <c r="B40" s="32" t="inlineStr">
        <is>
          <t>B0FX2S2N5H</t>
        </is>
      </c>
      <c r="C40" s="32" t="inlineStr">
        <is>
          <t>SL-BMB-PC-QUEEN-DARK-GREY-2PC</t>
        </is>
      </c>
      <c r="D40" s="32" t="inlineStr">
        <is>
          <t>SLEEPHORIA 100% Viscose Dervied from Bamboo Pillowcase Queen Size 2-Pieces (Dark Grey)</t>
        </is>
      </c>
      <c r="E40" s="32" t="inlineStr">
        <is>
          <t>Queen</t>
        </is>
      </c>
      <c r="F40" s="32" t="inlineStr">
        <is>
          <t>Dark Grey</t>
        </is>
      </c>
      <c r="G40" s="33" t="n"/>
      <c r="H40" s="32" t="n"/>
      <c r="I40" s="33" t="n"/>
      <c r="J40" s="32" t="n"/>
      <c r="K40" s="33" t="n"/>
      <c r="L40" s="63" t="n"/>
      <c r="M40" s="64" t="n"/>
      <c r="N40" s="32" t="inlineStr">
        <is>
          <t>Inactive</t>
        </is>
      </c>
      <c r="O40" s="32" t="n"/>
      <c r="P40" s="65" t="n"/>
      <c r="Q40" s="64" t="n"/>
      <c r="R40" s="64" t="n"/>
      <c r="S40" s="64" t="n"/>
      <c r="T40" s="32" t="n"/>
    </row>
    <row r="41" ht="62" customHeight="1">
      <c r="A41" s="39" t="inlineStr">
        <is>
          <t>IMAGE MISSING</t>
        </is>
      </c>
      <c r="B41" s="32" t="inlineStr">
        <is>
          <t>B0FX2NDPVM</t>
        </is>
      </c>
      <c r="C41" s="32" t="inlineStr">
        <is>
          <t>SL-BMB-PC-QUEEN-DUNE-2PC</t>
        </is>
      </c>
      <c r="D41" s="32" t="inlineStr">
        <is>
          <t>SLEEPHORIA 100% Viscose Dervied from Bamboo Pillowcase Queen Size 2-Pieces (Dune)</t>
        </is>
      </c>
      <c r="E41" s="32" t="inlineStr">
        <is>
          <t>Queen</t>
        </is>
      </c>
      <c r="F41" s="32" t="inlineStr">
        <is>
          <t>Dune</t>
        </is>
      </c>
      <c r="G41" s="33" t="n"/>
      <c r="H41" s="32" t="n"/>
      <c r="I41" s="33" t="n"/>
      <c r="J41" s="32" t="n"/>
      <c r="K41" s="33" t="n"/>
      <c r="L41" s="63" t="n"/>
      <c r="M41" s="64" t="n"/>
      <c r="N41" s="32" t="inlineStr">
        <is>
          <t>Inactive</t>
        </is>
      </c>
      <c r="O41" s="32" t="n"/>
      <c r="P41" s="65" t="n"/>
      <c r="Q41" s="64" t="n"/>
      <c r="R41" s="64" t="n"/>
      <c r="S41" s="64" t="n"/>
      <c r="T41" s="32" t="n"/>
    </row>
    <row r="42" ht="62" customHeight="1">
      <c r="A42" s="39" t="inlineStr">
        <is>
          <t>IMAGE MISSING</t>
        </is>
      </c>
      <c r="B42" s="32" t="inlineStr">
        <is>
          <t>B0FX2RJMZZ</t>
        </is>
      </c>
      <c r="C42" s="32" t="inlineStr">
        <is>
          <t>SL-BMB-PC-QUEEN-HAZE-BLUE-2PC</t>
        </is>
      </c>
      <c r="D42" s="32" t="inlineStr">
        <is>
          <t>SLEEPHORIA 100% Viscose Dervied from Bamboo Pillowcase Queen Size 2-Pieces (Haze Blue)</t>
        </is>
      </c>
      <c r="E42" s="32" t="inlineStr">
        <is>
          <t>Queen</t>
        </is>
      </c>
      <c r="F42" s="32" t="inlineStr">
        <is>
          <t>Haze Blue</t>
        </is>
      </c>
      <c r="G42" s="33" t="n"/>
      <c r="H42" s="32" t="n"/>
      <c r="I42" s="33" t="n"/>
      <c r="J42" s="32" t="n"/>
      <c r="K42" s="33" t="n"/>
      <c r="L42" s="63" t="n"/>
      <c r="M42" s="64" t="n"/>
      <c r="N42" s="32" t="inlineStr">
        <is>
          <t>Inactive</t>
        </is>
      </c>
      <c r="O42" s="32" t="n"/>
      <c r="P42" s="65" t="n"/>
      <c r="Q42" s="64" t="n"/>
      <c r="R42" s="64" t="n"/>
      <c r="S42" s="64" t="n"/>
      <c r="T42" s="32" t="n"/>
    </row>
    <row r="43" ht="62" customHeight="1">
      <c r="A43" s="39" t="inlineStr">
        <is>
          <t>IMAGE MISSING</t>
        </is>
      </c>
      <c r="B43" s="32" t="inlineStr">
        <is>
          <t>B0FX2RNR4M</t>
        </is>
      </c>
      <c r="C43" s="32" t="inlineStr">
        <is>
          <t>SL-BMB-PC-QUEEN-IVORY-2PC</t>
        </is>
      </c>
      <c r="D43" s="32" t="inlineStr">
        <is>
          <t>SLEEPHORIA 100% Viscose Dervied from Bamboo Pillowcase Queen Size 2-Pieces (Ivory)</t>
        </is>
      </c>
      <c r="E43" s="32" t="inlineStr">
        <is>
          <t>Queen</t>
        </is>
      </c>
      <c r="F43" s="32" t="inlineStr">
        <is>
          <t>Ivory</t>
        </is>
      </c>
      <c r="G43" s="33" t="n"/>
      <c r="H43" s="32" t="n"/>
      <c r="I43" s="33" t="n"/>
      <c r="J43" s="32" t="n"/>
      <c r="K43" s="33" t="n"/>
      <c r="L43" s="63" t="n"/>
      <c r="M43" s="64" t="n"/>
      <c r="N43" s="32" t="inlineStr">
        <is>
          <t>Inactive</t>
        </is>
      </c>
      <c r="O43" s="32" t="n"/>
      <c r="P43" s="65" t="n"/>
      <c r="Q43" s="64" t="n"/>
      <c r="R43" s="64" t="n"/>
      <c r="S43" s="64" t="n"/>
      <c r="T43" s="32" t="n"/>
    </row>
    <row r="44" ht="62" customHeight="1">
      <c r="A44" s="39" t="inlineStr">
        <is>
          <t>IMAGE MISSING</t>
        </is>
      </c>
      <c r="B44" s="32" t="inlineStr">
        <is>
          <t>B0FX2T8RFV</t>
        </is>
      </c>
      <c r="C44" s="32" t="inlineStr">
        <is>
          <t>SL-BMB-PC-QUEEN-JACQUARD-SAND-2PC</t>
        </is>
      </c>
      <c r="D44" s="32" t="inlineStr">
        <is>
          <t>SLEEPHORIA 100% Viscose Dervied from Bamboo Pillowcase Queen Size 2-Pieces (Jacquard Sand)</t>
        </is>
      </c>
      <c r="E44" s="32" t="inlineStr">
        <is>
          <t>Queen</t>
        </is>
      </c>
      <c r="F44" s="32" t="inlineStr">
        <is>
          <t>Jacquard Sand</t>
        </is>
      </c>
      <c r="G44" s="33" t="n"/>
      <c r="H44" s="32" t="n"/>
      <c r="I44" s="33" t="n"/>
      <c r="J44" s="32" t="n"/>
      <c r="K44" s="33" t="n"/>
      <c r="L44" s="63" t="n"/>
      <c r="M44" s="64" t="n"/>
      <c r="N44" s="32" t="inlineStr">
        <is>
          <t>Inactive</t>
        </is>
      </c>
      <c r="O44" s="32" t="n"/>
      <c r="P44" s="65" t="n"/>
      <c r="Q44" s="64" t="n"/>
      <c r="R44" s="64" t="n"/>
      <c r="S44" s="64" t="n"/>
      <c r="T44" s="32" t="n"/>
    </row>
    <row r="45" ht="62" customHeight="1">
      <c r="A45" s="39" t="inlineStr">
        <is>
          <t>IMAGE MISSING</t>
        </is>
      </c>
      <c r="B45" s="32" t="inlineStr">
        <is>
          <t>B0FX2SQWY9</t>
        </is>
      </c>
      <c r="C45" s="32" t="inlineStr">
        <is>
          <t>SL-BMB-PC-QUEEN-LIGHT-GREY-2PC</t>
        </is>
      </c>
      <c r="D45" s="32" t="inlineStr">
        <is>
          <t>SLEEPHORIA 100% Viscose Dervied from Bamboo Pillowcase Queen Size 2-Pieces (Light Grey)</t>
        </is>
      </c>
      <c r="E45" s="32" t="inlineStr">
        <is>
          <t>Queen</t>
        </is>
      </c>
      <c r="F45" s="32" t="inlineStr">
        <is>
          <t>Light Grey</t>
        </is>
      </c>
      <c r="G45" s="33" t="n"/>
      <c r="H45" s="32" t="n"/>
      <c r="I45" s="33" t="n"/>
      <c r="J45" s="32" t="n"/>
      <c r="K45" s="33" t="n"/>
      <c r="L45" s="63" t="n"/>
      <c r="M45" s="64" t="n"/>
      <c r="N45" s="32" t="inlineStr">
        <is>
          <t>Inactive</t>
        </is>
      </c>
      <c r="O45" s="32" t="n"/>
      <c r="P45" s="65" t="n"/>
      <c r="Q45" s="64" t="n"/>
      <c r="R45" s="64" t="n"/>
      <c r="S45" s="64" t="n"/>
      <c r="T45" s="32" t="n"/>
    </row>
    <row r="46" ht="62" customHeight="1">
      <c r="A46" s="39" t="inlineStr">
        <is>
          <t>IMAGE MISSING</t>
        </is>
      </c>
      <c r="B46" s="32" t="inlineStr">
        <is>
          <t>B0FX2NKYC7</t>
        </is>
      </c>
      <c r="C46" s="32" t="inlineStr">
        <is>
          <t>SL-BMB-PC-QUEEN-NAVY-BLUE-2PC</t>
        </is>
      </c>
      <c r="D46" s="32" t="inlineStr">
        <is>
          <t>SLEEPHORIA 100% Viscose Dervied from Bamboo Pillowcase Queen Size 2-Pieces (Navy Blue)</t>
        </is>
      </c>
      <c r="E46" s="32" t="inlineStr">
        <is>
          <t>Queen</t>
        </is>
      </c>
      <c r="F46" s="32" t="inlineStr">
        <is>
          <t>Navy Blue</t>
        </is>
      </c>
      <c r="G46" s="33" t="n"/>
      <c r="H46" s="32" t="n"/>
      <c r="I46" s="33" t="n"/>
      <c r="J46" s="32" t="n"/>
      <c r="K46" s="33" t="n"/>
      <c r="L46" s="63" t="n"/>
      <c r="M46" s="64" t="n"/>
      <c r="N46" s="32" t="inlineStr">
        <is>
          <t>Inactive</t>
        </is>
      </c>
      <c r="O46" s="32" t="n"/>
      <c r="P46" s="65" t="n"/>
      <c r="Q46" s="64" t="n"/>
      <c r="R46" s="64" t="n"/>
      <c r="S46" s="64" t="n"/>
      <c r="T46" s="32" t="n"/>
    </row>
    <row r="47" ht="62" customHeight="1">
      <c r="A47" s="39" t="inlineStr">
        <is>
          <t>IMAGE MISSING</t>
        </is>
      </c>
      <c r="B47" s="32" t="inlineStr">
        <is>
          <t>B0FX2R75R3</t>
        </is>
      </c>
      <c r="C47" s="32" t="inlineStr">
        <is>
          <t>SL-BMB-PC-QUEEN-SAGE-GREEN-2PC</t>
        </is>
      </c>
      <c r="D47" s="32" t="inlineStr">
        <is>
          <t>SLEEPHORIA 100% Viscose Dervied from Bamboo Pillowcase Queen Size 2-Pieces (Sage Green)</t>
        </is>
      </c>
      <c r="E47" s="32" t="inlineStr">
        <is>
          <t>Queen</t>
        </is>
      </c>
      <c r="F47" s="32" t="inlineStr">
        <is>
          <t>Sage Green</t>
        </is>
      </c>
      <c r="G47" s="33" t="n"/>
      <c r="H47" s="32" t="n"/>
      <c r="I47" s="33" t="n"/>
      <c r="J47" s="32" t="n"/>
      <c r="K47" s="33" t="n"/>
      <c r="L47" s="63" t="n"/>
      <c r="M47" s="64" t="n"/>
      <c r="N47" s="32" t="inlineStr">
        <is>
          <t>Inactive</t>
        </is>
      </c>
      <c r="O47" s="32" t="n"/>
      <c r="P47" s="65" t="n"/>
      <c r="Q47" s="64" t="n"/>
      <c r="R47" s="64" t="n"/>
      <c r="S47" s="64" t="n"/>
      <c r="T47" s="32" t="n"/>
    </row>
    <row r="48" ht="62" customHeight="1">
      <c r="A48" s="39" t="inlineStr">
        <is>
          <t>IMAGE MISSING</t>
        </is>
      </c>
      <c r="B48" s="32" t="inlineStr">
        <is>
          <t>B0FX2RH4JZ</t>
        </is>
      </c>
      <c r="C48" s="32" t="inlineStr">
        <is>
          <t>SL-BMB-PC-QUEEN-SAND-2PC</t>
        </is>
      </c>
      <c r="D48" s="32" t="inlineStr">
        <is>
          <t>SLEEPHORIA 100% Viscose Dervied from Bamboo Pillowcase Queen Size 2-Pieces (Sand)</t>
        </is>
      </c>
      <c r="E48" s="32" t="inlineStr">
        <is>
          <t>Queen</t>
        </is>
      </c>
      <c r="F48" s="32" t="inlineStr">
        <is>
          <t>Sand</t>
        </is>
      </c>
      <c r="G48" s="33" t="n"/>
      <c r="H48" s="32" t="n"/>
      <c r="I48" s="33" t="n"/>
      <c r="J48" s="32" t="n"/>
      <c r="K48" s="33" t="n"/>
      <c r="L48" s="63" t="n"/>
      <c r="M48" s="64" t="n"/>
      <c r="N48" s="32" t="inlineStr">
        <is>
          <t>Inactive</t>
        </is>
      </c>
      <c r="O48" s="32" t="n"/>
      <c r="P48" s="65" t="n"/>
      <c r="Q48" s="64" t="n"/>
      <c r="R48" s="64" t="n"/>
      <c r="S48" s="64" t="n"/>
      <c r="T48" s="32" t="n"/>
    </row>
    <row r="49" ht="62" customHeight="1">
      <c r="A49" s="39" t="inlineStr">
        <is>
          <t>IMAGE MISSING</t>
        </is>
      </c>
      <c r="B49" s="32" t="inlineStr">
        <is>
          <t>B0FX2P1D32</t>
        </is>
      </c>
      <c r="C49" s="32" t="inlineStr">
        <is>
          <t>SL-BMB-PC-QUEEN-SEA-GLASS-2PC</t>
        </is>
      </c>
      <c r="D49" s="32" t="inlineStr">
        <is>
          <t>SLEEPHORIA 100% Viscose Dervied from Bamboo Pillowcase Queen Size 2-Pieces (Sea Glass)</t>
        </is>
      </c>
      <c r="E49" s="32" t="inlineStr">
        <is>
          <t>Queen</t>
        </is>
      </c>
      <c r="F49" s="32" t="inlineStr">
        <is>
          <t>Sea Glass</t>
        </is>
      </c>
      <c r="G49" s="33" t="n"/>
      <c r="H49" s="32" t="n"/>
      <c r="I49" s="33" t="n"/>
      <c r="J49" s="32" t="n"/>
      <c r="K49" s="33" t="n"/>
      <c r="L49" s="63" t="n"/>
      <c r="M49" s="64" t="n"/>
      <c r="N49" s="32" t="inlineStr">
        <is>
          <t>Inactive</t>
        </is>
      </c>
      <c r="O49" s="32" t="n"/>
      <c r="P49" s="65" t="n"/>
      <c r="Q49" s="64" t="n"/>
      <c r="R49" s="64" t="n"/>
      <c r="S49" s="64" t="n"/>
      <c r="T49" s="32" t="n"/>
    </row>
    <row r="50" ht="62" customHeight="1">
      <c r="A50" s="39" t="inlineStr">
        <is>
          <t>IMAGE MISSING</t>
        </is>
      </c>
      <c r="B50" s="32" t="inlineStr">
        <is>
          <t>B0FX2S4MJY</t>
        </is>
      </c>
      <c r="C50" s="32" t="inlineStr">
        <is>
          <t>SL-BMB-PC-QUEEN-SILVER-GREY-2PC</t>
        </is>
      </c>
      <c r="D50" s="32" t="inlineStr">
        <is>
          <t>SLEEPHORIA 100% Viscose Dervied from Bamboo Pillowcase Queen Size 2-Pieces (Silver Grey)</t>
        </is>
      </c>
      <c r="E50" s="32" t="inlineStr">
        <is>
          <t>Queen</t>
        </is>
      </c>
      <c r="F50" s="32" t="inlineStr">
        <is>
          <t>Silver Grey</t>
        </is>
      </c>
      <c r="G50" s="33" t="n"/>
      <c r="H50" s="32" t="n"/>
      <c r="I50" s="33" t="n"/>
      <c r="J50" s="32" t="n"/>
      <c r="K50" s="33" t="n"/>
      <c r="L50" s="63" t="n"/>
      <c r="M50" s="64" t="n"/>
      <c r="N50" s="32" t="inlineStr">
        <is>
          <t>Inactive</t>
        </is>
      </c>
      <c r="O50" s="32" t="n"/>
      <c r="P50" s="65" t="n"/>
      <c r="Q50" s="64" t="n"/>
      <c r="R50" s="64" t="n"/>
      <c r="S50" s="64" t="n"/>
      <c r="T50" s="32" t="n"/>
    </row>
    <row r="51" ht="62" customHeight="1">
      <c r="A51" s="39" t="inlineStr">
        <is>
          <t>IMAGE MISSING</t>
        </is>
      </c>
      <c r="B51" s="32" t="inlineStr">
        <is>
          <t>B0FX2SKYR6</t>
        </is>
      </c>
      <c r="C51" s="32" t="inlineStr">
        <is>
          <t>SL-BMB-PC-QUEEN-STERLING-BLUE-2PC</t>
        </is>
      </c>
      <c r="D51" s="32" t="inlineStr">
        <is>
          <t>SLEEPHORIA 100% Viscose Dervied from Bamboo Pillowcase Queen Size 2-Pieces (Sterling Blue)</t>
        </is>
      </c>
      <c r="E51" s="32" t="inlineStr">
        <is>
          <t>Queen</t>
        </is>
      </c>
      <c r="F51" s="32" t="inlineStr">
        <is>
          <t>Sterling Blue</t>
        </is>
      </c>
      <c r="G51" s="33" t="n"/>
      <c r="H51" s="32" t="n"/>
      <c r="I51" s="33" t="n"/>
      <c r="J51" s="32" t="n"/>
      <c r="K51" s="33" t="n"/>
      <c r="L51" s="63" t="n"/>
      <c r="M51" s="64" t="n"/>
      <c r="N51" s="32" t="inlineStr">
        <is>
          <t>Inactive</t>
        </is>
      </c>
      <c r="O51" s="32" t="n"/>
      <c r="P51" s="65" t="n"/>
      <c r="Q51" s="64" t="n"/>
      <c r="R51" s="64" t="n"/>
      <c r="S51" s="64" t="n"/>
      <c r="T51" s="32" t="n"/>
    </row>
    <row r="52" ht="62" customHeight="1">
      <c r="A52" s="39" t="inlineStr">
        <is>
          <t>IMAGE MISSING</t>
        </is>
      </c>
      <c r="B52" s="32" t="inlineStr">
        <is>
          <t>B0FX2MWK57</t>
        </is>
      </c>
      <c r="C52" s="32" t="inlineStr">
        <is>
          <t>SL-BMB-PC-QUEEN-TERRACOTTA-2PC</t>
        </is>
      </c>
      <c r="D52" s="32" t="inlineStr">
        <is>
          <t>SLEEPHORIA 100% Viscose Dervied from Bamboo Pillowcase Queen Size 2-Pieces (Terracotta)</t>
        </is>
      </c>
      <c r="E52" s="32" t="inlineStr">
        <is>
          <t>Queen</t>
        </is>
      </c>
      <c r="F52" s="32" t="inlineStr">
        <is>
          <t>Terracotta</t>
        </is>
      </c>
      <c r="G52" s="33" t="n"/>
      <c r="H52" s="32" t="n"/>
      <c r="I52" s="33" t="n"/>
      <c r="J52" s="32" t="n"/>
      <c r="K52" s="33" t="n"/>
      <c r="L52" s="63" t="n"/>
      <c r="M52" s="64" t="n"/>
      <c r="N52" s="32" t="inlineStr">
        <is>
          <t>Inactive</t>
        </is>
      </c>
      <c r="O52" s="32" t="n"/>
      <c r="P52" s="65" t="n"/>
      <c r="Q52" s="64" t="n"/>
      <c r="R52" s="64" t="n"/>
      <c r="S52" s="64" t="n"/>
      <c r="T52" s="32" t="n"/>
    </row>
    <row r="53" ht="62" customHeight="1">
      <c r="A53" s="39" t="inlineStr">
        <is>
          <t>IMAGE MISSING</t>
        </is>
      </c>
      <c r="B53" s="32" t="inlineStr">
        <is>
          <t>B0FX2RHW11</t>
        </is>
      </c>
      <c r="C53" s="32" t="inlineStr">
        <is>
          <t>SL-BMB-PC-QUEEN-WHITE-2PC</t>
        </is>
      </c>
      <c r="D53" s="32" t="inlineStr">
        <is>
          <t>SLEEPHORIA 100% Viscose Dervied from Bamboo Pillowcase Queen Size 2-Pieces (White)</t>
        </is>
      </c>
      <c r="E53" s="32" t="inlineStr">
        <is>
          <t>Queen</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9" t="inlineStr">
        <is>
          <t>IMAGE MISSING</t>
        </is>
      </c>
      <c r="B54" s="32" t="inlineStr">
        <is>
          <t>B0FX2S3YLG</t>
        </is>
      </c>
      <c r="C54" s="32" t="inlineStr">
        <is>
          <t>SL-BMB-PC-STANDARD-BLACK-2PC</t>
        </is>
      </c>
      <c r="D54" s="32" t="inlineStr">
        <is>
          <t>SLEEPHORIA 100% Viscose Dervied from Bamboo Pillowcase Standard Size 2-Pieces (Black)</t>
        </is>
      </c>
      <c r="E54" s="32" t="inlineStr">
        <is>
          <t>Standard</t>
        </is>
      </c>
      <c r="F54" s="32" t="inlineStr">
        <is>
          <t>Black</t>
        </is>
      </c>
      <c r="G54" s="33" t="n"/>
      <c r="H54" s="32" t="n"/>
      <c r="I54" s="33" t="n"/>
      <c r="J54" s="32" t="n"/>
      <c r="K54" s="33" t="n"/>
      <c r="L54" s="63" t="n"/>
      <c r="M54" s="64" t="n"/>
      <c r="N54" s="32" t="inlineStr">
        <is>
          <t>Inactive</t>
        </is>
      </c>
      <c r="O54" s="32" t="n"/>
      <c r="P54" s="65" t="n"/>
      <c r="Q54" s="64" t="n"/>
      <c r="R54" s="64" t="n"/>
      <c r="S54" s="64" t="n"/>
      <c r="T54" s="32" t="n"/>
    </row>
    <row r="55" ht="62" customHeight="1">
      <c r="A55" s="39" t="inlineStr">
        <is>
          <t>IMAGE MISSING</t>
        </is>
      </c>
      <c r="B55" s="32" t="inlineStr">
        <is>
          <t>B0FX2PJYFB</t>
        </is>
      </c>
      <c r="C55" s="32" t="inlineStr">
        <is>
          <t>SL-BMB-PC-STANDARD-CHARCOAL-2PC</t>
        </is>
      </c>
      <c r="D55" s="32" t="inlineStr">
        <is>
          <t>SLEEPHORIA 100% Viscose Dervied from Bamboo Pillowcase Standard Size 2-Pieces (Charcoal)</t>
        </is>
      </c>
      <c r="E55" s="32" t="inlineStr">
        <is>
          <t>Standard</t>
        </is>
      </c>
      <c r="F55" s="32" t="inlineStr">
        <is>
          <t>Charcoal</t>
        </is>
      </c>
      <c r="G55" s="33" t="n"/>
      <c r="H55" s="32" t="n"/>
      <c r="I55" s="33" t="n"/>
      <c r="J55" s="32" t="n"/>
      <c r="K55" s="33" t="n"/>
      <c r="L55" s="63" t="n"/>
      <c r="M55" s="64" t="n"/>
      <c r="N55" s="32" t="inlineStr">
        <is>
          <t>Inactive</t>
        </is>
      </c>
      <c r="O55" s="32" t="n"/>
      <c r="P55" s="65" t="n"/>
      <c r="Q55" s="64" t="n"/>
      <c r="R55" s="64" t="n"/>
      <c r="S55" s="64" t="n"/>
      <c r="T55" s="32" t="n"/>
    </row>
    <row r="56" ht="62" customHeight="1">
      <c r="A56" s="39" t="inlineStr">
        <is>
          <t>IMAGE MISSING</t>
        </is>
      </c>
      <c r="B56" s="32" t="inlineStr">
        <is>
          <t>B0FX2TFSLV</t>
        </is>
      </c>
      <c r="C56" s="32" t="inlineStr">
        <is>
          <t>SL-BMB-PC-STANDARD-COBALT-BLUE-2PC</t>
        </is>
      </c>
      <c r="D56" s="32" t="inlineStr">
        <is>
          <t>SLEEPHORIA 100% Viscose Dervied from Bamboo Pillowcase Standard Size 2-Pieces (Cobalt Blue)</t>
        </is>
      </c>
      <c r="E56" s="32" t="inlineStr">
        <is>
          <t>Standard</t>
        </is>
      </c>
      <c r="F56" s="32" t="inlineStr">
        <is>
          <t>Cobalt Blue</t>
        </is>
      </c>
      <c r="G56" s="33" t="n"/>
      <c r="H56" s="32" t="n"/>
      <c r="I56" s="33" t="n"/>
      <c r="J56" s="32" t="n"/>
      <c r="K56" s="33" t="n"/>
      <c r="L56" s="63" t="n"/>
      <c r="M56" s="64" t="n"/>
      <c r="N56" s="32" t="inlineStr">
        <is>
          <t>Inactive</t>
        </is>
      </c>
      <c r="O56" s="32" t="n"/>
      <c r="P56" s="65" t="n"/>
      <c r="Q56" s="64" t="n"/>
      <c r="R56" s="64" t="n"/>
      <c r="S56" s="64" t="n"/>
      <c r="T56" s="32" t="n"/>
    </row>
    <row r="57" ht="62" customHeight="1">
      <c r="A57" s="39" t="inlineStr">
        <is>
          <t>IMAGE MISSING</t>
        </is>
      </c>
      <c r="B57" s="32" t="inlineStr">
        <is>
          <t>B0FX2QG92P</t>
        </is>
      </c>
      <c r="C57" s="32" t="inlineStr">
        <is>
          <t>SL-BMB-PC-STANDARD-CREAM-2PC</t>
        </is>
      </c>
      <c r="D57" s="32" t="inlineStr">
        <is>
          <t>SLEEPHORIA 100% Viscose Dervied from Bamboo Pillowcase Standard Size 2-Pieces (Cream)</t>
        </is>
      </c>
      <c r="E57" s="32" t="inlineStr">
        <is>
          <t>Standard</t>
        </is>
      </c>
      <c r="F57" s="32" t="inlineStr">
        <is>
          <t>Cream</t>
        </is>
      </c>
      <c r="G57" s="33" t="n"/>
      <c r="H57" s="32" t="n"/>
      <c r="I57" s="33" t="n"/>
      <c r="J57" s="32" t="n"/>
      <c r="K57" s="33" t="n"/>
      <c r="L57" s="63" t="n"/>
      <c r="M57" s="64" t="n"/>
      <c r="N57" s="32" t="inlineStr">
        <is>
          <t>Inactive</t>
        </is>
      </c>
      <c r="O57" s="32" t="n"/>
      <c r="P57" s="65" t="n"/>
      <c r="Q57" s="64" t="n"/>
      <c r="R57" s="64" t="n"/>
      <c r="S57" s="64" t="n"/>
      <c r="T57" s="32" t="n"/>
    </row>
    <row r="58" ht="62" customHeight="1">
      <c r="A58" s="39" t="inlineStr">
        <is>
          <t>IMAGE MISSING</t>
        </is>
      </c>
      <c r="B58" s="32" t="inlineStr">
        <is>
          <t>B0FX2RLSJM</t>
        </is>
      </c>
      <c r="C58" s="32" t="inlineStr">
        <is>
          <t>SL-BMB-PC-STANDARD-DARK-GREY-2PC</t>
        </is>
      </c>
      <c r="D58" s="32" t="inlineStr">
        <is>
          <t>SLEEPHORIA 100% Viscose Dervied from Bamboo Pillowcase Standard Size 2-Pieces (Dark Grey)</t>
        </is>
      </c>
      <c r="E58" s="32" t="inlineStr">
        <is>
          <t>Standard</t>
        </is>
      </c>
      <c r="F58" s="32" t="inlineStr">
        <is>
          <t>Dark Grey</t>
        </is>
      </c>
      <c r="G58" s="33" t="n"/>
      <c r="H58" s="32" t="n"/>
      <c r="I58" s="33" t="n"/>
      <c r="J58" s="32" t="n"/>
      <c r="K58" s="33" t="n"/>
      <c r="L58" s="63" t="n"/>
      <c r="M58" s="64" t="n"/>
      <c r="N58" s="32" t="inlineStr">
        <is>
          <t>Inactive</t>
        </is>
      </c>
      <c r="O58" s="32" t="n"/>
      <c r="P58" s="65" t="n"/>
      <c r="Q58" s="64" t="n"/>
      <c r="R58" s="64" t="n"/>
      <c r="S58" s="64" t="n"/>
      <c r="T58" s="32" t="n"/>
    </row>
    <row r="59" ht="62" customHeight="1">
      <c r="A59" s="39" t="inlineStr">
        <is>
          <t>IMAGE MISSING</t>
        </is>
      </c>
      <c r="B59" s="32" t="inlineStr">
        <is>
          <t>B0FX2SJW11</t>
        </is>
      </c>
      <c r="C59" s="32" t="inlineStr">
        <is>
          <t>SL-BMB-PC-STANDARD-DUNE-2PC</t>
        </is>
      </c>
      <c r="D59" s="32" t="inlineStr">
        <is>
          <t>SLEEPHORIA 100% Viscose Dervied from Bamboo Pillowcase Standard Size 2-Pieces (Dune)</t>
        </is>
      </c>
      <c r="E59" s="32" t="inlineStr">
        <is>
          <t>Standard</t>
        </is>
      </c>
      <c r="F59" s="32" t="inlineStr">
        <is>
          <t>Dune</t>
        </is>
      </c>
      <c r="G59" s="33" t="n"/>
      <c r="H59" s="32" t="n"/>
      <c r="I59" s="33" t="n"/>
      <c r="J59" s="32" t="n"/>
      <c r="K59" s="33" t="n"/>
      <c r="L59" s="63" t="n"/>
      <c r="M59" s="64" t="n"/>
      <c r="N59" s="32" t="inlineStr">
        <is>
          <t>Inactive</t>
        </is>
      </c>
      <c r="O59" s="32" t="n"/>
      <c r="P59" s="65" t="n"/>
      <c r="Q59" s="64" t="n"/>
      <c r="R59" s="64" t="n"/>
      <c r="S59" s="64" t="n"/>
      <c r="T59" s="32" t="n"/>
    </row>
    <row r="60" ht="62" customHeight="1">
      <c r="A60" s="39" t="inlineStr">
        <is>
          <t>IMAGE MISSING</t>
        </is>
      </c>
      <c r="B60" s="32" t="inlineStr">
        <is>
          <t>B0FX2RPMY2</t>
        </is>
      </c>
      <c r="C60" s="32" t="inlineStr">
        <is>
          <t>SL-BMB-PC-STANDARD-HAZE-BLUE-2PC</t>
        </is>
      </c>
      <c r="D60" s="32" t="inlineStr">
        <is>
          <t>SLEEPHORIA 100% Viscose Dervied from Bamboo Pillowcase Standard Size 2-Pieces (Haze Blue)</t>
        </is>
      </c>
      <c r="E60" s="32" t="inlineStr">
        <is>
          <t>Standard</t>
        </is>
      </c>
      <c r="F60" s="32" t="inlineStr">
        <is>
          <t>Haze Blue</t>
        </is>
      </c>
      <c r="G60" s="33" t="n"/>
      <c r="H60" s="32" t="n"/>
      <c r="I60" s="33" t="n"/>
      <c r="J60" s="32" t="n"/>
      <c r="K60" s="33" t="n"/>
      <c r="L60" s="63" t="n"/>
      <c r="M60" s="64" t="n"/>
      <c r="N60" s="32" t="inlineStr">
        <is>
          <t>Inactive</t>
        </is>
      </c>
      <c r="O60" s="32" t="n"/>
      <c r="P60" s="65" t="n"/>
      <c r="Q60" s="64" t="n"/>
      <c r="R60" s="64" t="n"/>
      <c r="S60" s="64" t="n"/>
      <c r="T60" s="32" t="n"/>
    </row>
    <row r="61" ht="62" customHeight="1">
      <c r="A61" s="39" t="inlineStr">
        <is>
          <t>IMAGE MISSING</t>
        </is>
      </c>
      <c r="B61" s="32" t="inlineStr">
        <is>
          <t>B0FX2T47XX</t>
        </is>
      </c>
      <c r="C61" s="32" t="inlineStr">
        <is>
          <t>SL-BMB-PC-STANDARD-IVORY-2PC</t>
        </is>
      </c>
      <c r="D61" s="32" t="inlineStr">
        <is>
          <t>SLEEPHORIA 100% Viscose Dervied from Bamboo Pillowcase Standard Size 2-Pieces (Ivory)</t>
        </is>
      </c>
      <c r="E61" s="32" t="inlineStr">
        <is>
          <t>Standard</t>
        </is>
      </c>
      <c r="F61" s="32" t="inlineStr">
        <is>
          <t>Ivory</t>
        </is>
      </c>
      <c r="G61" s="33" t="n"/>
      <c r="H61" s="32" t="n"/>
      <c r="I61" s="33" t="n"/>
      <c r="J61" s="32" t="n"/>
      <c r="K61" s="33" t="n"/>
      <c r="L61" s="63" t="n"/>
      <c r="M61" s="64" t="n"/>
      <c r="N61" s="32" t="inlineStr">
        <is>
          <t>Inactive</t>
        </is>
      </c>
      <c r="O61" s="32" t="n"/>
      <c r="P61" s="65" t="n"/>
      <c r="Q61" s="64" t="n"/>
      <c r="R61" s="64" t="n"/>
      <c r="S61" s="64" t="n"/>
      <c r="T61" s="32" t="n"/>
    </row>
    <row r="62" ht="62" customHeight="1">
      <c r="A62" s="39" t="inlineStr">
        <is>
          <t>IMAGE MISSING</t>
        </is>
      </c>
      <c r="B62" s="32" t="inlineStr">
        <is>
          <t>B0FX2THV38</t>
        </is>
      </c>
      <c r="C62" s="32" t="inlineStr">
        <is>
          <t>SL-BMB-PC-STANDARD-JACQUARD-SAND-2PC</t>
        </is>
      </c>
      <c r="D62" s="32" t="inlineStr">
        <is>
          <t>SLEEPHORIA 100% Viscose Dervied from Bamboo Pillowcase Standard Size 2-Pieces (Jacquard Sand)</t>
        </is>
      </c>
      <c r="E62" s="32" t="inlineStr">
        <is>
          <t>Standard</t>
        </is>
      </c>
      <c r="F62" s="32" t="inlineStr">
        <is>
          <t>Jacquard Sand</t>
        </is>
      </c>
      <c r="G62" s="33" t="n"/>
      <c r="H62" s="32" t="n"/>
      <c r="I62" s="33" t="n"/>
      <c r="J62" s="32" t="n"/>
      <c r="K62" s="33" t="n"/>
      <c r="L62" s="63" t="n"/>
      <c r="M62" s="64" t="n"/>
      <c r="N62" s="32" t="inlineStr">
        <is>
          <t>Inactive</t>
        </is>
      </c>
      <c r="O62" s="32" t="n"/>
      <c r="P62" s="65" t="n"/>
      <c r="Q62" s="64" t="n"/>
      <c r="R62" s="64" t="n"/>
      <c r="S62" s="64" t="n"/>
      <c r="T62" s="32" t="n"/>
    </row>
    <row r="63" ht="62" customHeight="1">
      <c r="A63" s="39" t="inlineStr">
        <is>
          <t>IMAGE MISSING</t>
        </is>
      </c>
      <c r="B63" s="32" t="inlineStr">
        <is>
          <t>B0FX2QWH2B</t>
        </is>
      </c>
      <c r="C63" s="32" t="inlineStr">
        <is>
          <t>SL-BMB-PC-STANDARD-LIGHT-GREY-2PC</t>
        </is>
      </c>
      <c r="D63" s="32" t="inlineStr">
        <is>
          <t>SLEEPHORIA 100% Viscose Dervied from Bamboo Pillowcase Standard Size 2-Pieces (Light Grey)</t>
        </is>
      </c>
      <c r="E63" s="32" t="inlineStr">
        <is>
          <t>Standard</t>
        </is>
      </c>
      <c r="F63" s="32" t="inlineStr">
        <is>
          <t>Light Grey</t>
        </is>
      </c>
      <c r="G63" s="33" t="n"/>
      <c r="H63" s="32" t="n"/>
      <c r="I63" s="33" t="n"/>
      <c r="J63" s="32" t="n"/>
      <c r="K63" s="33" t="n"/>
      <c r="L63" s="63" t="n"/>
      <c r="M63" s="64" t="n"/>
      <c r="N63" s="32" t="inlineStr">
        <is>
          <t>Inactive</t>
        </is>
      </c>
      <c r="O63" s="32" t="n"/>
      <c r="P63" s="65" t="n"/>
      <c r="Q63" s="64" t="n"/>
      <c r="R63" s="64" t="n"/>
      <c r="S63" s="64" t="n"/>
      <c r="T63" s="32" t="n"/>
    </row>
    <row r="64" ht="62" customHeight="1">
      <c r="A64" s="39" t="inlineStr">
        <is>
          <t>IMAGE MISSING</t>
        </is>
      </c>
      <c r="B64" s="32" t="inlineStr">
        <is>
          <t>B0FX2N6BTT</t>
        </is>
      </c>
      <c r="C64" s="32" t="inlineStr">
        <is>
          <t>SL-BMB-PC-STANDARD-NAVY-BLUE-2PC</t>
        </is>
      </c>
      <c r="D64" s="32" t="inlineStr">
        <is>
          <t>SLEEPHORIA 100% Viscose Dervied from Bamboo Pillowcase Standard Size 2-Pieces (Navy Blue)</t>
        </is>
      </c>
      <c r="E64" s="32" t="inlineStr">
        <is>
          <t>Standard</t>
        </is>
      </c>
      <c r="F64" s="32" t="inlineStr">
        <is>
          <t>Navy Blue</t>
        </is>
      </c>
      <c r="G64" s="33" t="n"/>
      <c r="H64" s="32" t="n"/>
      <c r="I64" s="33" t="n"/>
      <c r="J64" s="32" t="n"/>
      <c r="K64" s="33" t="n"/>
      <c r="L64" s="63" t="n"/>
      <c r="M64" s="64" t="n"/>
      <c r="N64" s="32" t="inlineStr">
        <is>
          <t>Inactive</t>
        </is>
      </c>
      <c r="O64" s="32" t="n"/>
      <c r="P64" s="65" t="n"/>
      <c r="Q64" s="64" t="n"/>
      <c r="R64" s="64" t="n"/>
      <c r="S64" s="64" t="n"/>
      <c r="T64" s="32" t="n"/>
    </row>
    <row r="65" ht="62" customHeight="1">
      <c r="A65" s="39" t="inlineStr">
        <is>
          <t>IMAGE MISSING</t>
        </is>
      </c>
      <c r="B65" s="32" t="inlineStr">
        <is>
          <t>B0FX2NFFGS</t>
        </is>
      </c>
      <c r="C65" s="32" t="inlineStr">
        <is>
          <t>SL-BMB-PC-STANDARD-SAGE-GREEN-2PC</t>
        </is>
      </c>
      <c r="D65" s="32" t="inlineStr">
        <is>
          <t>SLEEPHORIA 100% Viscose Dervied from Bamboo Pillowcase Standard Size 2-Pieces (Sage Green)</t>
        </is>
      </c>
      <c r="E65" s="32" t="inlineStr">
        <is>
          <t>Standard</t>
        </is>
      </c>
      <c r="F65" s="32" t="inlineStr">
        <is>
          <t>Sage Green</t>
        </is>
      </c>
      <c r="G65" s="33" t="n"/>
      <c r="H65" s="32" t="n"/>
      <c r="I65" s="33" t="n"/>
      <c r="J65" s="32" t="n"/>
      <c r="K65" s="33" t="n"/>
      <c r="L65" s="63" t="n"/>
      <c r="M65" s="64" t="n"/>
      <c r="N65" s="32" t="inlineStr">
        <is>
          <t>Inactive</t>
        </is>
      </c>
      <c r="O65" s="32" t="n"/>
      <c r="P65" s="65" t="n"/>
      <c r="Q65" s="64" t="n"/>
      <c r="R65" s="64" t="n"/>
      <c r="S65" s="64" t="n"/>
      <c r="T65" s="32" t="n"/>
    </row>
    <row r="66" ht="62" customHeight="1">
      <c r="A66" s="39" t="inlineStr">
        <is>
          <t>IMAGE MISSING</t>
        </is>
      </c>
      <c r="B66" s="32" t="inlineStr">
        <is>
          <t>B0FX2PBVLS</t>
        </is>
      </c>
      <c r="C66" s="32" t="inlineStr">
        <is>
          <t>SL-BMB-PC-STANDARD-SAND-2PC</t>
        </is>
      </c>
      <c r="D66" s="32" t="inlineStr">
        <is>
          <t>SLEEPHORIA 100% Viscose Dervied from Bamboo Pillowcase Standard Size 2-Pieces (Sand)</t>
        </is>
      </c>
      <c r="E66" s="32" t="inlineStr">
        <is>
          <t>Standard</t>
        </is>
      </c>
      <c r="F66" s="32" t="inlineStr">
        <is>
          <t>Sand</t>
        </is>
      </c>
      <c r="G66" s="33" t="n"/>
      <c r="H66" s="32" t="n"/>
      <c r="I66" s="33" t="n"/>
      <c r="J66" s="32" t="n"/>
      <c r="K66" s="33" t="n"/>
      <c r="L66" s="63" t="n"/>
      <c r="M66" s="64" t="n"/>
      <c r="N66" s="32" t="inlineStr">
        <is>
          <t>Inactive</t>
        </is>
      </c>
      <c r="O66" s="32" t="n"/>
      <c r="P66" s="65" t="n"/>
      <c r="Q66" s="64" t="n"/>
      <c r="R66" s="64" t="n"/>
      <c r="S66" s="64" t="n"/>
      <c r="T66" s="32" t="n"/>
    </row>
    <row r="67" ht="62" customHeight="1">
      <c r="A67" s="39" t="inlineStr">
        <is>
          <t>IMAGE MISSING</t>
        </is>
      </c>
      <c r="B67" s="32" t="inlineStr">
        <is>
          <t>B0FX2SCP4H</t>
        </is>
      </c>
      <c r="C67" s="32" t="inlineStr">
        <is>
          <t>SL-BMB-PC-STANDARD-SEA-GLASS-2PC</t>
        </is>
      </c>
      <c r="D67" s="32" t="inlineStr">
        <is>
          <t>SLEEPHORIA 100% Viscose Dervied from Bamboo Pillowcase Standard Size 2-Pieces (Sea Glass)</t>
        </is>
      </c>
      <c r="E67" s="32" t="inlineStr">
        <is>
          <t>Standard</t>
        </is>
      </c>
      <c r="F67" s="32" t="inlineStr">
        <is>
          <t>Sea Glass</t>
        </is>
      </c>
      <c r="G67" s="33" t="n"/>
      <c r="H67" s="32" t="n"/>
      <c r="I67" s="33" t="n"/>
      <c r="J67" s="32" t="n"/>
      <c r="K67" s="33" t="n"/>
      <c r="L67" s="63" t="n"/>
      <c r="M67" s="64" t="n"/>
      <c r="N67" s="32" t="inlineStr">
        <is>
          <t>Inactive</t>
        </is>
      </c>
      <c r="O67" s="32" t="n"/>
      <c r="P67" s="65" t="n"/>
      <c r="Q67" s="64" t="n"/>
      <c r="R67" s="64" t="n"/>
      <c r="S67" s="64" t="n"/>
      <c r="T67" s="32" t="n"/>
    </row>
    <row r="68" ht="62" customHeight="1">
      <c r="A68" s="39" t="inlineStr">
        <is>
          <t>IMAGE MISSING</t>
        </is>
      </c>
      <c r="B68" s="32" t="inlineStr">
        <is>
          <t>B0FX2RQ3DH</t>
        </is>
      </c>
      <c r="C68" s="32" t="inlineStr">
        <is>
          <t>SL-BMB-PC-STANDARD-SILVER-GREY-2PC</t>
        </is>
      </c>
      <c r="D68" s="32" t="inlineStr">
        <is>
          <t>SLEEPHORIA 100% Viscose Dervied from Bamboo Pillowcase Standard Size 2-Pieces (Silver Grey)</t>
        </is>
      </c>
      <c r="E68" s="32" t="inlineStr">
        <is>
          <t>Standard</t>
        </is>
      </c>
      <c r="F68" s="32" t="inlineStr">
        <is>
          <t>Silver Grey</t>
        </is>
      </c>
      <c r="G68" s="33" t="n"/>
      <c r="H68" s="32" t="n"/>
      <c r="I68" s="33" t="n"/>
      <c r="J68" s="32" t="n"/>
      <c r="K68" s="33" t="n"/>
      <c r="L68" s="63" t="n"/>
      <c r="M68" s="64" t="n"/>
      <c r="N68" s="32" t="inlineStr">
        <is>
          <t>Inactive</t>
        </is>
      </c>
      <c r="O68" s="32" t="n"/>
      <c r="P68" s="65" t="n"/>
      <c r="Q68" s="64" t="n"/>
      <c r="R68" s="64" t="n"/>
      <c r="S68" s="64" t="n"/>
      <c r="T68" s="32" t="n"/>
    </row>
    <row r="69" ht="62" customHeight="1">
      <c r="A69" s="39" t="inlineStr">
        <is>
          <t>IMAGE MISSING</t>
        </is>
      </c>
      <c r="B69" s="32" t="inlineStr">
        <is>
          <t>B0FX2SR21Z</t>
        </is>
      </c>
      <c r="C69" s="32" t="inlineStr">
        <is>
          <t>SL-BMB-PC-STANDARD-STERLING-BLUE-2PC</t>
        </is>
      </c>
      <c r="D69" s="32" t="inlineStr">
        <is>
          <t>SLEEPHORIA 100% Viscose Dervied from Bamboo Pillowcase Standard Size 2-Pieces (Sterling Blue)</t>
        </is>
      </c>
      <c r="E69" s="32" t="inlineStr">
        <is>
          <t>Standard</t>
        </is>
      </c>
      <c r="F69" s="32" t="inlineStr">
        <is>
          <t>Sterling Blue</t>
        </is>
      </c>
      <c r="G69" s="33" t="n"/>
      <c r="H69" s="32" t="n"/>
      <c r="I69" s="33" t="n"/>
      <c r="J69" s="32" t="n"/>
      <c r="K69" s="33" t="n"/>
      <c r="L69" s="63" t="n"/>
      <c r="M69" s="64" t="n"/>
      <c r="N69" s="32" t="inlineStr">
        <is>
          <t>Inactive</t>
        </is>
      </c>
      <c r="O69" s="32" t="n"/>
      <c r="P69" s="65" t="n"/>
      <c r="Q69" s="64" t="n"/>
      <c r="R69" s="64" t="n"/>
      <c r="S69" s="64" t="n"/>
      <c r="T69" s="32" t="n"/>
    </row>
    <row r="70" ht="62" customHeight="1">
      <c r="A70" s="39" t="inlineStr">
        <is>
          <t>IMAGE MISSING</t>
        </is>
      </c>
      <c r="B70" s="32" t="inlineStr">
        <is>
          <t>B0FX2V4K2G</t>
        </is>
      </c>
      <c r="C70" s="32" t="inlineStr">
        <is>
          <t>SL-BMB-PC-STANDARD-TERRACOTTA-2PC</t>
        </is>
      </c>
      <c r="D70" s="32" t="inlineStr">
        <is>
          <t>SLEEPHORIA 100% Viscose Dervied from Bamboo Pillowcase Standard Size 2-Pieces (Terracotta)</t>
        </is>
      </c>
      <c r="E70" s="32" t="inlineStr">
        <is>
          <t>Standard</t>
        </is>
      </c>
      <c r="F70" s="32" t="inlineStr">
        <is>
          <t>Terracotta</t>
        </is>
      </c>
      <c r="G70" s="33" t="n"/>
      <c r="H70" s="32" t="n"/>
      <c r="I70" s="33" t="n"/>
      <c r="J70" s="32" t="n"/>
      <c r="K70" s="33" t="n"/>
      <c r="L70" s="63" t="n"/>
      <c r="M70" s="64" t="n"/>
      <c r="N70" s="32" t="inlineStr">
        <is>
          <t>Inactive</t>
        </is>
      </c>
      <c r="O70" s="32" t="n"/>
      <c r="P70" s="65" t="n"/>
      <c r="Q70" s="64" t="n"/>
      <c r="R70" s="64" t="n"/>
      <c r="S70" s="64" t="n"/>
      <c r="T70" s="32" t="n"/>
    </row>
    <row r="71" ht="62" customHeight="1">
      <c r="A71" s="39" t="inlineStr">
        <is>
          <t>IMAGE MISSING</t>
        </is>
      </c>
      <c r="B71" s="32" t="inlineStr">
        <is>
          <t>B0FX2T23GD</t>
        </is>
      </c>
      <c r="C71" s="32" t="inlineStr">
        <is>
          <t>SL-BMB-PC-STANDARD-WHITE-2PC</t>
        </is>
      </c>
      <c r="D71" s="32" t="inlineStr">
        <is>
          <t>SLEEPHORIA 100% Viscose Dervied from Bamboo Pillowcase Standard Size 2-Pieces (White)</t>
        </is>
      </c>
      <c r="E71" s="32" t="inlineStr">
        <is>
          <t>Standard</t>
        </is>
      </c>
      <c r="F71" s="32" t="inlineStr">
        <is>
          <t>White</t>
        </is>
      </c>
      <c r="G71" s="33" t="n"/>
      <c r="H71" s="32" t="n"/>
      <c r="I71" s="33" t="n"/>
      <c r="J71" s="32" t="n"/>
      <c r="K71" s="33" t="n"/>
      <c r="L71" s="63" t="n"/>
      <c r="M71" s="64" t="n"/>
      <c r="N71" s="32" t="inlineStr">
        <is>
          <t>Inactive</t>
        </is>
      </c>
      <c r="O71" s="32" t="n"/>
      <c r="P71" s="65" t="n"/>
      <c r="Q71" s="64" t="n"/>
      <c r="R71" s="64" t="n"/>
      <c r="S71" s="64" t="n"/>
      <c r="T71" s="32" t="n"/>
    </row>
    <row r="73" ht="20" customHeight="1">
      <c r="A73" s="54" t="inlineStr">
        <is>
          <t>3 · OUR BFCM 2025 RESULT &amp; EVENT VISIBILITY</t>
        </is>
      </c>
    </row>
    <row r="74">
      <c r="A74" s="67" t="inlineStr">
        <is>
          <t>Window</t>
        </is>
      </c>
      <c r="B74" s="68" t="n"/>
      <c r="C74" s="69" t="n"/>
      <c r="D74" s="67" t="inlineStr">
        <is>
          <t>Ad spend</t>
        </is>
      </c>
      <c r="E74" s="67" t="inlineStr">
        <is>
          <t>Ad sales</t>
        </is>
      </c>
      <c r="F74" s="67" t="inlineStr">
        <is>
          <t>ACoS</t>
        </is>
      </c>
      <c r="G74" s="67" t="inlineStr">
        <is>
          <t>TACoS</t>
        </is>
      </c>
      <c r="H74" s="67" t="inlineStr">
        <is>
          <t>Total sales (derived)</t>
        </is>
      </c>
      <c r="J74" s="67" t="inlineStr">
        <is>
          <t>Ad orders</t>
        </is>
      </c>
      <c r="K74" s="67" t="inlineStr">
        <is>
          <t>CVR</t>
        </is>
      </c>
    </row>
    <row r="75">
      <c r="A75" s="70" t="inlineStr">
        <is>
          <t>Pre-event Oct 21 - Nov 19, 2025 (30d)</t>
        </is>
      </c>
      <c r="B75" s="68" t="n"/>
      <c r="C75" s="69" t="n"/>
      <c r="D75" s="71" t="n"/>
      <c r="E75" s="71" t="n"/>
      <c r="F75" s="72" t="n"/>
      <c r="G75" s="72" t="n"/>
      <c r="H75" s="71" t="n"/>
      <c r="J75" s="73" t="n"/>
      <c r="K75" s="74" t="n"/>
    </row>
    <row r="76">
      <c r="A76" s="70" t="inlineStr">
        <is>
          <t>BFCM week Nov 20 - Dec 1, 2025 (12d)</t>
        </is>
      </c>
      <c r="B76" s="68" t="n"/>
      <c r="C76" s="69" t="n"/>
      <c r="D76" s="71" t="n"/>
      <c r="E76" s="71" t="n"/>
      <c r="F76" s="72" t="n"/>
      <c r="G76" s="72" t="n"/>
      <c r="H76" s="71" t="n"/>
      <c r="J76" s="73" t="n"/>
      <c r="K76" s="74" t="n"/>
    </row>
    <row r="77">
      <c r="A77" s="70" t="inlineStr">
        <is>
          <t>December 2 - 31, 2025 (30d)</t>
        </is>
      </c>
      <c r="B77" s="68" t="n"/>
      <c r="C77" s="69" t="n"/>
      <c r="D77" s="71" t="n"/>
      <c r="E77" s="71" t="n"/>
      <c r="F77" s="72" t="n"/>
      <c r="G77" s="72" t="n"/>
      <c r="H77" s="71" t="n"/>
      <c r="J77" s="73" t="n"/>
      <c r="K77" s="74" t="n"/>
    </row>
    <row r="78">
      <c r="A78" s="59" t="inlineStr">
        <is>
          <t>No Command Center visibility history for our best child ASIN.</t>
        </is>
      </c>
    </row>
    <row r="79">
      <c r="A79" s="107" t="inlineStr">
        <is>
          <t>No BFCM 2025 PPC data for this product (not advertised or launched after BFCM 2025).</t>
        </is>
      </c>
    </row>
    <row r="81" ht="20" customHeight="1">
      <c r="A81" s="54" t="inlineStr">
        <is>
          <t>4 · COMPETITOR LANDSCAPE (6 mapped)</t>
        </is>
      </c>
    </row>
    <row r="82">
      <c r="A82" s="59" t="inlineStr">
        <is>
          <t>Sorted by tier, then estimated weekly units. Green = Command Center price/sales; blue = Data Dive listing; purple = Command Center search strategy (ASINsight); yellow = fill from Keepa / page check.</t>
        </is>
      </c>
    </row>
    <row r="83">
      <c r="A83" s="78" t="inlineStr">
        <is>
          <t>COMPETITOR</t>
        </is>
      </c>
      <c r="I83" s="79" t="inlineStr">
        <is>
          <t>LISTING - Data Dive</t>
        </is>
      </c>
      <c r="J83" s="80" t="inlineStr">
        <is>
          <t>SEARCH STRATEGY - Command Center ASINsight</t>
        </is>
      </c>
      <c r="K83" s="81" t="inlineStr">
        <is>
          <t>PRICE &amp; SALES - Command Center snapshot (date per row)</t>
        </is>
      </c>
      <c r="X83" s="79" t="inlineStr">
        <is>
          <t>LISTING - Data Dive</t>
        </is>
      </c>
      <c r="AA83" s="80" t="inlineStr">
        <is>
          <t>SEARCH STRATEGY - Command Center ASINsight</t>
        </is>
      </c>
      <c r="AR83" s="82" t="inlineStr">
        <is>
          <t>STR NOW - Amazon page check (Oct 13, P1 + P2)</t>
        </is>
      </c>
      <c r="AY83" s="83" t="inlineStr">
        <is>
          <t>BFCM 2025 - Keepa (P1 filled; yellow = not pulled yet)</t>
        </is>
      </c>
    </row>
    <row r="84" ht="48" customHeight="1">
      <c r="A84" s="22" t="inlineStr">
        <is>
          <t>Image</t>
        </is>
      </c>
      <c r="B84" s="22" t="inlineStr">
        <is>
          <t>Brand</t>
        </is>
      </c>
      <c r="C84" s="22" t="inlineStr">
        <is>
          <t>Product title</t>
        </is>
      </c>
      <c r="D84" s="22" t="inlineStr">
        <is>
          <t>Tier</t>
        </is>
      </c>
      <c r="E84" s="22" t="inlineStr">
        <is>
          <t>Parent ASIN</t>
        </is>
      </c>
      <c r="F84" s="22" t="inlineStr">
        <is>
          <t>Tracked child ASIN</t>
        </is>
      </c>
      <c r="G84" s="22" t="inlineStr">
        <is>
          <t>Size (title)</t>
        </is>
      </c>
      <c r="H84" s="22" t="inlineStr">
        <is>
          <t>Colour (title)</t>
        </is>
      </c>
      <c r="I84" s="22" t="inlineStr">
        <is>
          <t>Variations</t>
        </is>
      </c>
      <c r="J84" s="22" t="inlineStr">
        <is>
          <t>Hero child ASINs (share of their visibility)</t>
        </is>
      </c>
      <c r="K84" s="22" t="inlineStr">
        <is>
          <t>Price ($)</t>
        </is>
      </c>
      <c r="L84" s="22" t="inlineStr">
        <is>
          <t>List Price ($)</t>
        </is>
      </c>
      <c r="M84" s="22" t="inlineStr">
        <is>
          <t>List Price % over</t>
        </is>
      </c>
      <c r="N84" s="22" t="inlineStr">
        <is>
          <t>STR band</t>
        </is>
      </c>
      <c r="O84" s="22" t="inlineStr">
        <is>
          <t>Our price, same size ($)</t>
        </is>
      </c>
      <c r="P84" s="22" t="inlineStr">
        <is>
          <t>Their price vs ours</t>
        </is>
      </c>
      <c r="Q84" s="22" t="inlineStr">
        <is>
          <t>Comparison basis</t>
        </is>
      </c>
      <c r="R84" s="22" t="inlineStr">
        <is>
          <t>BSR</t>
        </is>
      </c>
      <c r="S84" s="22" t="inlineStr">
        <is>
          <t>Est weekly units</t>
        </is>
      </c>
      <c r="T84" s="22" t="inlineStr">
        <is>
          <t>Est monthly revenue ($)</t>
        </is>
      </c>
      <c r="U84" s="22" t="inlineStr">
        <is>
          <t>Rating</t>
        </is>
      </c>
      <c r="V84" s="22" t="inlineStr">
        <is>
          <t>Reviews</t>
        </is>
      </c>
      <c r="W84" s="22" t="inlineStr">
        <is>
          <t>Snapshot date</t>
        </is>
      </c>
      <c r="X84" s="22" t="inlineStr">
        <is>
          <t>Listed</t>
        </is>
      </c>
      <c r="Y84" s="22" t="inlineStr">
        <is>
          <t>Fulfil.</t>
        </is>
      </c>
      <c r="Z84" s="22" t="inlineStr">
        <is>
          <t>Seller country</t>
        </is>
      </c>
      <c r="AA84" s="22" t="inlineStr">
        <is>
          <t>ASINsight 7d traffic</t>
        </is>
      </c>
      <c r="AB84" s="22" t="inlineStr">
        <is>
          <t>Keywords ranked</t>
        </is>
      </c>
      <c r="AC84" s="22" t="inlineStr">
        <is>
          <t>Organic share of traffic</t>
        </is>
      </c>
      <c r="AD84" s="22" t="inlineStr">
        <is>
          <t>Ad share of traffic</t>
        </is>
      </c>
      <c r="AE84" s="22" t="inlineStr">
        <is>
          <t>Top keyword</t>
        </is>
      </c>
      <c r="AF84" s="22" t="inlineStr">
        <is>
          <t>SP reach</t>
        </is>
      </c>
      <c r="AG84" s="22" t="inlineStr">
        <is>
          <t>SB reach</t>
        </is>
      </c>
      <c r="AH84" s="22" t="inlineStr">
        <is>
          <t>SB video reach</t>
        </is>
      </c>
      <c r="AI84" s="22" t="inlineStr">
        <is>
          <t>Amazon's Choice reach</t>
        </is>
      </c>
      <c r="AJ84" s="22" t="inlineStr">
        <is>
          <t>Shared keywords</t>
        </is>
      </c>
      <c r="AK84" s="22" t="inlineStr">
        <is>
          <t>We win</t>
        </is>
      </c>
      <c r="AL84" s="22" t="inlineStr">
        <is>
          <t>We lose</t>
        </is>
      </c>
      <c r="AM84" s="22" t="inlineStr">
        <is>
          <t>Their keywords we miss</t>
        </is>
      </c>
      <c r="AN84" s="22" t="inlineStr">
        <is>
          <t>KWs they advertise, we don't</t>
        </is>
      </c>
      <c r="AO84" s="22" t="inlineStr">
        <is>
          <t>KWs they out-advertise us</t>
        </is>
      </c>
      <c r="AP84" s="22" t="inlineStr">
        <is>
          <t>Prime Day 2026 organic vis lift</t>
        </is>
      </c>
      <c r="AQ84" s="22" t="inlineStr">
        <is>
          <t>Organic trend (Aug-Sep vs Q2)</t>
        </is>
      </c>
      <c r="AR84" s="22" t="inlineStr">
        <is>
          <t>STR showing now? (Y/N)</t>
        </is>
      </c>
      <c r="AS84" s="22" t="inlineStr">
        <is>
          <t>STR label</t>
        </is>
      </c>
      <c r="AT84" s="22" t="inlineStr">
        <is>
          <t>Strikethrough price ($)</t>
        </is>
      </c>
      <c r="AU84" s="22" t="inlineStr">
        <is>
          <t>Page price at check ($)</t>
        </is>
      </c>
      <c r="AV84" s="22" t="inlineStr">
        <is>
          <t>Deal / coupon now</t>
        </is>
      </c>
      <c r="AW84" s="22" t="inlineStr">
        <is>
          <t>Orderable now (Y/N)</t>
        </is>
      </c>
      <c r="AX84" s="22" t="inlineStr">
        <is>
          <t>Checked (ET)</t>
        </is>
      </c>
      <c r="AY84" s="22" t="inlineStr">
        <is>
          <t>BFCM 2025 deal type</t>
        </is>
      </c>
      <c r="AZ84" s="22" t="inlineStr">
        <is>
          <t>BFCM 2025 deal dates</t>
        </is>
      </c>
      <c r="BA84" s="22" t="inlineStr">
        <is>
          <t>Pre-event price ($)</t>
        </is>
      </c>
      <c r="BB84" s="22" t="inlineStr">
        <is>
          <t>BFCM 2025 low ($)</t>
        </is>
      </c>
      <c r="BC84" s="22" t="inlineStr">
        <is>
          <t>BFCM 2025 discount</t>
        </is>
      </c>
      <c r="BD84" s="22" t="inlineStr">
        <is>
          <t>BSR pre-event</t>
        </is>
      </c>
      <c r="BE84" s="22" t="inlineStr">
        <is>
          <t>BSR BFCM wk</t>
        </is>
      </c>
      <c r="BF84" s="22" t="inlineStr">
        <is>
          <t>BSR lift (x)</t>
        </is>
      </c>
      <c r="BG84" s="22" t="inlineStr">
        <is>
          <t>OOS in BFCM? (Y/N)</t>
        </is>
      </c>
      <c r="BH84" s="22" t="inlineStr">
        <is>
          <t>Notes</t>
        </is>
      </c>
    </row>
    <row r="85" ht="62" customHeight="1">
      <c r="A85" s="10">
        <f>_xlfn.IMAGE("https://images-na.ssl-images-amazon.com/images/I/71xcauK1dlL.jpg")</f>
        <v/>
      </c>
      <c r="B85" s="84" t="inlineStr"/>
      <c r="C85" s="32" t="inlineStr">
        <is>
          <t>Bedsure PureWoven Pillow Cases Queen Set of 2, Rayon Derived from Bamboo</t>
        </is>
      </c>
      <c r="D85" s="84" t="inlineStr">
        <is>
          <t>Untiered</t>
        </is>
      </c>
      <c r="E85" s="84" t="inlineStr">
        <is>
          <t>B0DCZYVLFC</t>
        </is>
      </c>
      <c r="F85" s="84" t="inlineStr">
        <is>
          <t>B07JP2L1TG</t>
        </is>
      </c>
      <c r="G85" s="84" t="inlineStr">
        <is>
          <t>Queen</t>
        </is>
      </c>
      <c r="H85" s="84" t="n"/>
      <c r="I85" s="85" t="n">
        <v>64</v>
      </c>
      <c r="J85" s="32" t="inlineStr"/>
      <c r="K85" s="86" t="n">
        <v>12.99</v>
      </c>
      <c r="L85" s="86" t="n">
        <v>17.49</v>
      </c>
      <c r="M85" s="87">
        <f>IF(AND(ISNUMBER(L85),ISNUMBER(K85),N(K85)&gt;0),L85/K85-1,"")</f>
        <v/>
      </c>
      <c r="N85" s="88">
        <f>IF(M85="","No List Price",IF(M85&lt;=0,"At/below price",IF(M85&lt;=0.12,"&lt;=12% STR zone",IF(M85&lt;=0.25,"12-25%","&gt;25% over"))))</f>
        <v/>
      </c>
      <c r="O85" s="86" t="n"/>
      <c r="P85" s="89">
        <f>IF(AND(ISNUMBER(K85),ISNUMBER(O85),N(O85)&gt;0),K85/O85-1,"")</f>
        <v/>
      </c>
      <c r="Q85" s="32" t="inlineStr">
        <is>
          <t>No price for us</t>
        </is>
      </c>
      <c r="R85" s="85" t="n">
        <v>559</v>
      </c>
      <c r="S85" s="85" t="n">
        <v>1040</v>
      </c>
      <c r="T85" s="90">
        <f>IF(AND(ISNUMBER(K85),ISNUMBER(S85)),K85*S85*52/12,"")</f>
        <v/>
      </c>
      <c r="U85" s="91" t="n">
        <v>4.4</v>
      </c>
      <c r="V85" s="85" t="n">
        <v>37593</v>
      </c>
      <c r="W85" s="92" t="n">
        <v>46307</v>
      </c>
      <c r="X85" s="92" t="n">
        <v>43397</v>
      </c>
      <c r="Y85" s="84" t="inlineStr">
        <is>
          <t>FBA</t>
        </is>
      </c>
      <c r="Z85" s="84" t="inlineStr">
        <is>
          <t>US</t>
        </is>
      </c>
      <c r="AA85" s="85" t="n"/>
      <c r="AB85" s="85" t="n"/>
      <c r="AC85" s="93" t="n"/>
      <c r="AD85" s="93" t="n"/>
      <c r="AE85" s="32" t="n"/>
      <c r="AF85" s="93" t="n"/>
      <c r="AG85" s="93" t="n"/>
      <c r="AH85" s="93" t="n"/>
      <c r="AI85" s="93" t="n"/>
      <c r="AJ85" s="85" t="n"/>
      <c r="AK85" s="85" t="n"/>
      <c r="AL85" s="85" t="n"/>
      <c r="AM85" s="85" t="n"/>
      <c r="AN85" s="85" t="n"/>
      <c r="AO85" s="85" t="n"/>
      <c r="AP85" s="94" t="n"/>
      <c r="AQ85" s="89" t="n"/>
      <c r="AR85" s="95" t="inlineStr">
        <is>
          <t>Y</t>
        </is>
      </c>
      <c r="AS85" s="95" t="inlineStr">
        <is>
          <t>List Price</t>
        </is>
      </c>
      <c r="AT85" s="96" t="n">
        <v>17.49</v>
      </c>
      <c r="AU85" s="96" t="n">
        <v>12.99</v>
      </c>
      <c r="AV85" s="95" t="inlineStr">
        <is>
          <t>none</t>
        </is>
      </c>
      <c r="AW85" s="95" t="inlineStr">
        <is>
          <t>Y</t>
        </is>
      </c>
      <c r="AX85" s="95" t="inlineStr">
        <is>
          <t>2026-10-13 23:35:22</t>
        </is>
      </c>
      <c r="AY85" s="97" t="inlineStr">
        <is>
          <t>Prime Exclusive Discount</t>
        </is>
      </c>
      <c r="AZ85" s="97" t="inlineStr">
        <is>
          <t>11-25 to 12-01</t>
        </is>
      </c>
      <c r="BA85" s="98" t="n">
        <v>11.19</v>
      </c>
      <c r="BB85" s="98" t="n">
        <v>9.99</v>
      </c>
      <c r="BC85" s="87">
        <f>IF(AND(ISNUMBER(BA85),ISNUMBER(BB85),N(BA85)&gt;0),1-BB85/BA85,"")</f>
        <v/>
      </c>
      <c r="BD85" s="99" t="n">
        <v>314</v>
      </c>
      <c r="BE85" s="99" t="n">
        <v>652</v>
      </c>
      <c r="BF85" s="100">
        <f>IF(AND(ISNUMBER(BD85),ISNUMBER(BE85),N(BE85)&gt;0),BD85/BE85,"")</f>
        <v/>
      </c>
      <c r="BG85" s="97" t="inlineStr">
        <is>
          <t>N</t>
        </is>
      </c>
      <c r="BH85" s="97" t="inlineStr">
        <is>
          <t>Buy Box RAISED in BFCM week (median $14.99 vs $11.19 before); List Price $14.99</t>
        </is>
      </c>
    </row>
    <row r="86" ht="62" customHeight="1">
      <c r="A86" s="39" t="inlineStr">
        <is>
          <t>IMAGE MISSING</t>
        </is>
      </c>
      <c r="B86" s="84" t="inlineStr">
        <is>
          <t>BEDELITE</t>
        </is>
      </c>
      <c r="C86" s="32" t="inlineStr">
        <is>
          <t>BEDELITE Cooling Pillow Cases for Hot Sleepers &amp; Night Sweats, Rayon Derived fro</t>
        </is>
      </c>
      <c r="D86" s="84" t="inlineStr">
        <is>
          <t>Untiered</t>
        </is>
      </c>
      <c r="E86" s="84" t="inlineStr">
        <is>
          <t>B0BZ8RQ9RQ</t>
        </is>
      </c>
      <c r="F86" s="84" t="inlineStr">
        <is>
          <t>B08GWQY7B3</t>
        </is>
      </c>
      <c r="G86" s="84" t="n"/>
      <c r="H86" s="84" t="n"/>
      <c r="I86" s="85" t="n"/>
      <c r="J86" s="32" t="inlineStr"/>
      <c r="K86" s="86" t="n">
        <v>8.49</v>
      </c>
      <c r="L86" s="86" t="n"/>
      <c r="M86" s="87">
        <f>IF(AND(ISNUMBER(L86),ISNUMBER(K86),N(K86)&gt;0),L86/K86-1,"")</f>
        <v/>
      </c>
      <c r="N86" s="88">
        <f>IF(M86="","No List Price",IF(M86&lt;=0,"At/below price",IF(M86&lt;=0.12,"&lt;=12% STR zone",IF(M86&lt;=0.25,"12-25%","&gt;25% over"))))</f>
        <v/>
      </c>
      <c r="O86" s="86" t="n"/>
      <c r="P86" s="89">
        <f>IF(AND(ISNUMBER(K86),ISNUMBER(O86),N(O86)&gt;0),K86/O86-1,"")</f>
        <v/>
      </c>
      <c r="Q86" s="32" t="inlineStr">
        <is>
          <t>No price for us</t>
        </is>
      </c>
      <c r="R86" s="85" t="n">
        <v>1250</v>
      </c>
      <c r="S86" s="85" t="n">
        <v>924</v>
      </c>
      <c r="T86" s="90">
        <f>IF(AND(ISNUMBER(K86),ISNUMBER(S86)),K86*S86*52/12,"")</f>
        <v/>
      </c>
      <c r="U86" s="91" t="n">
        <v>4.4</v>
      </c>
      <c r="V86" s="85" t="n">
        <v>12316</v>
      </c>
      <c r="W86" s="92" t="n">
        <v>46307</v>
      </c>
      <c r="X86" s="92" t="n"/>
      <c r="Y86" s="84" t="n"/>
      <c r="Z86" s="84" t="n"/>
      <c r="AA86" s="85" t="n"/>
      <c r="AB86" s="85" t="n"/>
      <c r="AC86" s="93" t="n"/>
      <c r="AD86" s="93" t="n"/>
      <c r="AE86" s="32" t="n"/>
      <c r="AF86" s="93" t="n"/>
      <c r="AG86" s="93" t="n"/>
      <c r="AH86" s="93" t="n"/>
      <c r="AI86" s="93" t="n"/>
      <c r="AJ86" s="85" t="n"/>
      <c r="AK86" s="85" t="n"/>
      <c r="AL86" s="85" t="n"/>
      <c r="AM86" s="85" t="n"/>
      <c r="AN86" s="85" t="n"/>
      <c r="AO86" s="85" t="n"/>
      <c r="AP86" s="94" t="n"/>
      <c r="AQ86" s="89" t="n"/>
      <c r="AR86" s="95" t="inlineStr">
        <is>
          <t>Y</t>
        </is>
      </c>
      <c r="AS86" s="95" t="inlineStr">
        <is>
          <t>List Price</t>
        </is>
      </c>
      <c r="AT86" s="96" t="n">
        <v>9.99</v>
      </c>
      <c r="AU86" s="96" t="n">
        <v>8.49</v>
      </c>
      <c r="AV86" s="95" t="inlineStr">
        <is>
          <t>none</t>
        </is>
      </c>
      <c r="AW86" s="95" t="inlineStr">
        <is>
          <t>Y</t>
        </is>
      </c>
      <c r="AX86" s="95" t="inlineStr">
        <is>
          <t>2026-10-13 23:35:41</t>
        </is>
      </c>
      <c r="AY86" s="97" t="inlineStr">
        <is>
          <t>Price cut only</t>
        </is>
      </c>
      <c r="AZ86" s="97" t="inlineStr">
        <is>
          <t>11-20 to 12-01</t>
        </is>
      </c>
      <c r="BA86" s="98" t="n">
        <v>8.49</v>
      </c>
      <c r="BB86" s="98" t="n">
        <v>7.98</v>
      </c>
      <c r="BC86" s="87">
        <f>IF(AND(ISNUMBER(BA86),ISNUMBER(BB86),N(BA86)&gt;0),1-BB86/BA86,"")</f>
        <v/>
      </c>
      <c r="BD86" s="99" t="n">
        <v>1284</v>
      </c>
      <c r="BE86" s="99" t="n">
        <v>1992</v>
      </c>
      <c r="BF86" s="100">
        <f>IF(AND(ISNUMBER(BD86),ISNUMBER(BE86),N(BE86)&gt;0),BD86/BE86,"")</f>
        <v/>
      </c>
      <c r="BG86" s="97" t="inlineStr">
        <is>
          <t>N</t>
        </is>
      </c>
      <c r="BH86" s="97" t="inlineStr">
        <is>
          <t>Prime Exclusive 11-03 to 12-05; Lightning Deal 11-09 to 11-12; Prime Exclusive already running before BFCM week; List Price $9.99</t>
        </is>
      </c>
    </row>
    <row r="87" ht="62" customHeight="1">
      <c r="A87" s="39" t="inlineStr">
        <is>
          <t>IMAGE MISSING</t>
        </is>
      </c>
      <c r="B87" s="84" t="inlineStr">
        <is>
          <t>WISHSMILE</t>
        </is>
      </c>
      <c r="C87" s="32" t="inlineStr">
        <is>
          <t>WishSmile Cooling Queen Pillowcases Set of 2 Breathable Cool Silky Soft Rayon De</t>
        </is>
      </c>
      <c r="D87" s="84" t="inlineStr">
        <is>
          <t>Untiered</t>
        </is>
      </c>
      <c r="E87" s="84" t="inlineStr">
        <is>
          <t>B09BKQK7RZ</t>
        </is>
      </c>
      <c r="F87" s="84" t="inlineStr">
        <is>
          <t>B09BL2SMVG</t>
        </is>
      </c>
      <c r="G87" s="84" t="inlineStr">
        <is>
          <t>Queen</t>
        </is>
      </c>
      <c r="H87" s="84" t="n"/>
      <c r="I87" s="85" t="n">
        <v>41</v>
      </c>
      <c r="J87" s="32" t="inlineStr">
        <is>
          <t>B09BL2SMVG (51%), B09BKY53J5 (20%), B09BKXKF1P (6%), B09BKV27TP (4%)</t>
        </is>
      </c>
      <c r="K87" s="86" t="n">
        <v>12.99</v>
      </c>
      <c r="L87" s="86" t="n"/>
      <c r="M87" s="87">
        <f>IF(AND(ISNUMBER(L87),ISNUMBER(K87),N(K87)&gt;0),L87/K87-1,"")</f>
        <v/>
      </c>
      <c r="N87" s="88">
        <f>IF(M87="","No List Price",IF(M87&lt;=0,"At/below price",IF(M87&lt;=0.12,"&lt;=12% STR zone",IF(M87&lt;=0.25,"12-25%","&gt;25% over"))))</f>
        <v/>
      </c>
      <c r="O87" s="86" t="n"/>
      <c r="P87" s="89">
        <f>IF(AND(ISNUMBER(K87),ISNUMBER(O87),N(O87)&gt;0),K87/O87-1,"")</f>
        <v/>
      </c>
      <c r="Q87" s="32" t="inlineStr">
        <is>
          <t>No price for us</t>
        </is>
      </c>
      <c r="R87" s="85" t="n">
        <v>2467</v>
      </c>
      <c r="S87" s="85" t="n">
        <v>809</v>
      </c>
      <c r="T87" s="90">
        <f>IF(AND(ISNUMBER(K87),ISNUMBER(S87)),K87*S87*52/12,"")</f>
        <v/>
      </c>
      <c r="U87" s="91" t="n">
        <v>4.4</v>
      </c>
      <c r="V87" s="85" t="n">
        <v>7225</v>
      </c>
      <c r="W87" s="92" t="n">
        <v>46307</v>
      </c>
      <c r="X87" s="92" t="n"/>
      <c r="Y87" s="84" t="n"/>
      <c r="Z87" s="84" t="n"/>
      <c r="AA87" s="85" t="n">
        <v>151964</v>
      </c>
      <c r="AB87" s="85" t="n">
        <v>1980</v>
      </c>
      <c r="AC87" s="93" t="n">
        <v>0.8020060705167013</v>
      </c>
      <c r="AD87" s="93" t="n">
        <v>0.1979940979442499</v>
      </c>
      <c r="AE87" s="32" t="inlineStr">
        <is>
          <t>body pillow pillowcase</t>
        </is>
      </c>
      <c r="AF87" s="93" t="n">
        <v>0.8215695822694848</v>
      </c>
      <c r="AG87" s="93" t="n">
        <v>0.5012437156168567</v>
      </c>
      <c r="AH87" s="93" t="n">
        <v>0.8610986812666158</v>
      </c>
      <c r="AI87" s="93" t="n">
        <v>0.02574951962306862</v>
      </c>
      <c r="AJ87" s="85" t="n"/>
      <c r="AK87" s="85" t="n"/>
      <c r="AL87" s="85" t="n"/>
      <c r="AM87" s="85" t="n"/>
      <c r="AN87" s="85" t="n"/>
      <c r="AO87" s="85" t="n"/>
      <c r="AP87" s="94" t="n">
        <v>1.226522481502561</v>
      </c>
      <c r="AQ87" s="89" t="n">
        <v>1.045692883895131</v>
      </c>
      <c r="AR87" s="95" t="inlineStr">
        <is>
          <t>N</t>
        </is>
      </c>
      <c r="AS87" s="95" t="inlineStr">
        <is>
          <t>none</t>
        </is>
      </c>
      <c r="AT87" s="101" t="n"/>
      <c r="AU87" s="96" t="n">
        <v>12.99</v>
      </c>
      <c r="AV87" s="95" t="inlineStr">
        <is>
          <t>none</t>
        </is>
      </c>
      <c r="AW87" s="95" t="inlineStr">
        <is>
          <t>Y</t>
        </is>
      </c>
      <c r="AX87" s="95" t="inlineStr">
        <is>
          <t>2026-10-13 23:37:09</t>
        </is>
      </c>
      <c r="AY87" s="97" t="inlineStr">
        <is>
          <t>Prime Exclusive Discount</t>
        </is>
      </c>
      <c r="AZ87" s="97" t="inlineStr">
        <is>
          <t>11-20 to 12-01</t>
        </is>
      </c>
      <c r="BA87" s="98" t="n">
        <v>11.99</v>
      </c>
      <c r="BB87" s="98" t="n">
        <v>10.19</v>
      </c>
      <c r="BC87" s="87">
        <f>IF(AND(ISNUMBER(BA87),ISNUMBER(BB87),N(BA87)&gt;0),1-BB87/BA87,"")</f>
        <v/>
      </c>
      <c r="BD87" s="99" t="n">
        <v>4924</v>
      </c>
      <c r="BE87" s="99" t="n">
        <v>4617</v>
      </c>
      <c r="BF87" s="100">
        <f>IF(AND(ISNUMBER(BD87),ISNUMBER(BE87),N(BE87)&gt;0),BD87/BE87,"")</f>
        <v/>
      </c>
      <c r="BG87" s="97" t="inlineStr">
        <is>
          <t>N</t>
        </is>
      </c>
      <c r="BH87" s="97" t="inlineStr">
        <is>
          <t>Buy Box RAISED in BFCM week (median $13.99 vs $11.99 before); List Price $17.99</t>
        </is>
      </c>
    </row>
    <row r="88" ht="62" customHeight="1">
      <c r="A88" s="39" t="inlineStr">
        <is>
          <t>IMAGE MISSING</t>
        </is>
      </c>
      <c r="B88" s="84" t="inlineStr"/>
      <c r="C88" s="32" t="inlineStr">
        <is>
          <t>Bedsure Zipper Pillow Cases Queen, Cooling Pillow Cases Queen Size Set of 2, Ray</t>
        </is>
      </c>
      <c r="D88" s="84" t="inlineStr">
        <is>
          <t>Untiered</t>
        </is>
      </c>
      <c r="E88" s="84" t="inlineStr">
        <is>
          <t>B0DD7BMGZ7</t>
        </is>
      </c>
      <c r="F88" s="84" t="inlineStr">
        <is>
          <t>B0CRR369GQ</t>
        </is>
      </c>
      <c r="G88" s="84" t="inlineStr">
        <is>
          <t>Queen</t>
        </is>
      </c>
      <c r="H88" s="84" t="n"/>
      <c r="I88" s="85" t="n"/>
      <c r="J88" s="32" t="inlineStr"/>
      <c r="K88" s="86" t="n">
        <v>14.99</v>
      </c>
      <c r="L88" s="86" t="n">
        <v>23.15</v>
      </c>
      <c r="M88" s="87">
        <f>IF(AND(ISNUMBER(L88),ISNUMBER(K88),N(K88)&gt;0),L88/K88-1,"")</f>
        <v/>
      </c>
      <c r="N88" s="88">
        <f>IF(M88="","No List Price",IF(M88&lt;=0,"At/below price",IF(M88&lt;=0.12,"&lt;=12% STR zone",IF(M88&lt;=0.25,"12-25%","&gt;25% over"))))</f>
        <v/>
      </c>
      <c r="O88" s="86" t="n"/>
      <c r="P88" s="89">
        <f>IF(AND(ISNUMBER(K88),ISNUMBER(O88),N(O88)&gt;0),K88/O88-1,"")</f>
        <v/>
      </c>
      <c r="Q88" s="32" t="inlineStr">
        <is>
          <t>No price for us</t>
        </is>
      </c>
      <c r="R88" s="85" t="n">
        <v>3133</v>
      </c>
      <c r="S88" s="85" t="n">
        <v>347</v>
      </c>
      <c r="T88" s="90">
        <f>IF(AND(ISNUMBER(K88),ISNUMBER(S88)),K88*S88*52/12,"")</f>
        <v/>
      </c>
      <c r="U88" s="91" t="n">
        <v>4.6</v>
      </c>
      <c r="V88" s="85" t="n">
        <v>1289</v>
      </c>
      <c r="W88" s="92" t="n">
        <v>46307</v>
      </c>
      <c r="X88" s="92" t="n"/>
      <c r="Y88" s="84" t="n"/>
      <c r="Z88" s="84" t="n"/>
      <c r="AA88" s="85" t="n"/>
      <c r="AB88" s="85" t="n"/>
      <c r="AC88" s="93" t="n"/>
      <c r="AD88" s="93" t="n"/>
      <c r="AE88" s="32" t="n"/>
      <c r="AF88" s="93" t="n"/>
      <c r="AG88" s="93" t="n"/>
      <c r="AH88" s="93" t="n"/>
      <c r="AI88" s="93" t="n"/>
      <c r="AJ88" s="85" t="n"/>
      <c r="AK88" s="85" t="n"/>
      <c r="AL88" s="85" t="n"/>
      <c r="AM88" s="85" t="n"/>
      <c r="AN88" s="85" t="n"/>
      <c r="AO88" s="85" t="n"/>
      <c r="AP88" s="94" t="n"/>
      <c r="AQ88" s="89" t="n"/>
      <c r="AR88" s="95" t="inlineStr">
        <is>
          <t>Y</t>
        </is>
      </c>
      <c r="AS88" s="95" t="inlineStr">
        <is>
          <t>List Price</t>
        </is>
      </c>
      <c r="AT88" s="96" t="n">
        <v>23.15</v>
      </c>
      <c r="AU88" s="96" t="n">
        <v>14.99</v>
      </c>
      <c r="AV88" s="95" t="inlineStr">
        <is>
          <t>Limited time deal</t>
        </is>
      </c>
      <c r="AW88" s="95" t="inlineStr">
        <is>
          <t>Y</t>
        </is>
      </c>
      <c r="AX88" s="95" t="inlineStr">
        <is>
          <t>2026-10-13 23:35:25</t>
        </is>
      </c>
      <c r="AY88" s="97" t="inlineStr">
        <is>
          <t>Prime Exclusive Discount</t>
        </is>
      </c>
      <c r="AZ88" s="97" t="inlineStr">
        <is>
          <t>11-26 to 12-01</t>
        </is>
      </c>
      <c r="BA88" s="98" t="n">
        <v>14.24</v>
      </c>
      <c r="BB88" s="98" t="n">
        <v>13.29</v>
      </c>
      <c r="BC88" s="87">
        <f>IF(AND(ISNUMBER(BA88),ISNUMBER(BB88),N(BA88)&gt;0),1-BB88/BA88,"")</f>
        <v/>
      </c>
      <c r="BD88" s="99" t="n">
        <v>17277</v>
      </c>
      <c r="BE88" s="99" t="n">
        <v>20240</v>
      </c>
      <c r="BF88" s="100">
        <f>IF(AND(ISNUMBER(BD88),ISNUMBER(BE88),N(BE88)&gt;0),BD88/BE88,"")</f>
        <v/>
      </c>
      <c r="BG88" s="97" t="inlineStr">
        <is>
          <t>N</t>
        </is>
      </c>
      <c r="BH88" s="97" t="inlineStr">
        <is>
          <t>Buy Box RAISED in BFCM week (median $16.99 vs $14.24 before); List Price $16.99</t>
        </is>
      </c>
    </row>
    <row r="89" ht="62" customHeight="1">
      <c r="A89" s="39" t="inlineStr">
        <is>
          <t>IMAGE MISSING</t>
        </is>
      </c>
      <c r="B89" s="84" t="inlineStr">
        <is>
          <t>ELIBABA</t>
        </is>
      </c>
      <c r="C89" s="32" t="inlineStr">
        <is>
          <t>Cooling Side Sleeper Pillow Cases - Curved Rayon Derived from Bamboo Pillowcase</t>
        </is>
      </c>
      <c r="D89" s="84" t="inlineStr">
        <is>
          <t>Untiered</t>
        </is>
      </c>
      <c r="E89" s="84" t="inlineStr">
        <is>
          <t>B0HGLD1P8V</t>
        </is>
      </c>
      <c r="F89" s="84" t="inlineStr">
        <is>
          <t>B0CQK3KHHH</t>
        </is>
      </c>
      <c r="G89" s="84" t="n"/>
      <c r="H89" s="84" t="n"/>
      <c r="I89" s="85" t="n">
        <v>25</v>
      </c>
      <c r="J89" s="32" t="inlineStr">
        <is>
          <t>B0CQK3KHHH (38%), B0B8Y484FV (19%), B0BJ6PPDL4 (12%), B0DSSYCX22 (9%), B0DSVP4PKM (5%)</t>
        </is>
      </c>
      <c r="K89" s="86" t="n">
        <v>17.99</v>
      </c>
      <c r="L89" s="86" t="n"/>
      <c r="M89" s="87">
        <f>IF(AND(ISNUMBER(L89),ISNUMBER(K89),N(K89)&gt;0),L89/K89-1,"")</f>
        <v/>
      </c>
      <c r="N89" s="88">
        <f>IF(M89="","No List Price",IF(M89&lt;=0,"At/below price",IF(M89&lt;=0.12,"&lt;=12% STR zone",IF(M89&lt;=0.25,"12-25%","&gt;25% over"))))</f>
        <v/>
      </c>
      <c r="O89" s="86" t="n"/>
      <c r="P89" s="89">
        <f>IF(AND(ISNUMBER(K89),ISNUMBER(O89),N(O89)&gt;0),K89/O89-1,"")</f>
        <v/>
      </c>
      <c r="Q89" s="32" t="inlineStr">
        <is>
          <t>No price for us</t>
        </is>
      </c>
      <c r="R89" s="85" t="n">
        <v>12744</v>
      </c>
      <c r="S89" s="85" t="n">
        <v>92</v>
      </c>
      <c r="T89" s="90">
        <f>IF(AND(ISNUMBER(K89),ISNUMBER(S89)),K89*S89*52/12,"")</f>
        <v/>
      </c>
      <c r="U89" s="91" t="n">
        <v>4.2</v>
      </c>
      <c r="V89" s="85" t="n">
        <v>1630</v>
      </c>
      <c r="W89" s="92" t="n">
        <v>46307</v>
      </c>
      <c r="X89" s="92" t="n"/>
      <c r="Y89" s="84" t="n"/>
      <c r="Z89" s="84" t="n"/>
      <c r="AA89" s="85" t="n">
        <v>15537</v>
      </c>
      <c r="AB89" s="85" t="n">
        <v>438</v>
      </c>
      <c r="AC89" s="93" t="n">
        <v>0.770486258608483</v>
      </c>
      <c r="AD89" s="93" t="n">
        <v>0.229513741391517</v>
      </c>
      <c r="AE89" s="32" t="inlineStr">
        <is>
          <t>curved pillow case</t>
        </is>
      </c>
      <c r="AF89" s="93" t="n">
        <v>0.7482783034047757</v>
      </c>
      <c r="AG89" s="93" t="n">
        <v>0.4866447834202227</v>
      </c>
      <c r="AH89" s="93" t="n">
        <v>0.2338289245027998</v>
      </c>
      <c r="AI89" s="93" t="n">
        <v>0.3666087404260797</v>
      </c>
      <c r="AJ89" s="85" t="n"/>
      <c r="AK89" s="85" t="n"/>
      <c r="AL89" s="85" t="n"/>
      <c r="AM89" s="85" t="n"/>
      <c r="AN89" s="85" t="n"/>
      <c r="AO89" s="85" t="n"/>
      <c r="AP89" s="94" t="n">
        <v>0.8564593301435407</v>
      </c>
      <c r="AQ89" s="89" t="n">
        <v>-0.2191358024691358</v>
      </c>
      <c r="AR89" s="95" t="inlineStr">
        <is>
          <t>N</t>
        </is>
      </c>
      <c r="AS89" s="95" t="inlineStr">
        <is>
          <t>none</t>
        </is>
      </c>
      <c r="AT89" s="101" t="n"/>
      <c r="AU89" s="96" t="n">
        <v>17.99</v>
      </c>
      <c r="AV89" s="95" t="inlineStr">
        <is>
          <t>none</t>
        </is>
      </c>
      <c r="AW89" s="95" t="inlineStr">
        <is>
          <t>Y</t>
        </is>
      </c>
      <c r="AX89" s="95" t="inlineStr">
        <is>
          <t>2026-10-13 23:36:15</t>
        </is>
      </c>
      <c r="AY89" s="97" t="inlineStr">
        <is>
          <t>Prime Exclusive Discount</t>
        </is>
      </c>
      <c r="AZ89" s="97" t="inlineStr">
        <is>
          <t>11-26 to 12-01</t>
        </is>
      </c>
      <c r="BA89" s="98" t="n">
        <v>18.99</v>
      </c>
      <c r="BB89" s="98" t="n">
        <v>15.19</v>
      </c>
      <c r="BC89" s="87">
        <f>IF(AND(ISNUMBER(BA89),ISNUMBER(BB89),N(BA89)&gt;0),1-BB89/BA89,"")</f>
        <v/>
      </c>
      <c r="BD89" s="99" t="n">
        <v>14286</v>
      </c>
      <c r="BE89" s="99" t="n">
        <v>13324</v>
      </c>
      <c r="BF89" s="100">
        <f>IF(AND(ISNUMBER(BD89),ISNUMBER(BE89),N(BE89)&gt;0),BD89/BE89,"")</f>
        <v/>
      </c>
      <c r="BG89" s="97" t="inlineStr">
        <is>
          <t>N</t>
        </is>
      </c>
      <c r="BH89" s="97" t="inlineStr">
        <is>
          <t>List Price $22.99</t>
        </is>
      </c>
    </row>
    <row r="90" ht="62" customHeight="1">
      <c r="A90" s="39" t="inlineStr">
        <is>
          <t>IMAGE MISSING</t>
        </is>
      </c>
      <c r="B90" s="84" t="inlineStr">
        <is>
          <t>Shunjie.Home</t>
        </is>
      </c>
      <c r="C90" s="32" t="inlineStr">
        <is>
          <t>2 Pack Cooling Pillowcases for Hot Sleepers &amp; Night Sweats, 400 TC Bamboo Viscos</t>
        </is>
      </c>
      <c r="D90" s="84" t="inlineStr">
        <is>
          <t>Untiered</t>
        </is>
      </c>
      <c r="E90" s="84" t="inlineStr">
        <is>
          <t>B0CZFCD9CJ</t>
        </is>
      </c>
      <c r="F90" s="84" t="inlineStr">
        <is>
          <t>B0C2BNK3JD</t>
        </is>
      </c>
      <c r="G90" s="84" t="n"/>
      <c r="H90" s="84" t="n"/>
      <c r="I90" s="85" t="n"/>
      <c r="J90" s="32" t="inlineStr"/>
      <c r="K90" s="86" t="n">
        <v>13.99</v>
      </c>
      <c r="L90" s="86" t="n"/>
      <c r="M90" s="87">
        <f>IF(AND(ISNUMBER(L90),ISNUMBER(K90),N(K90)&gt;0),L90/K90-1,"")</f>
        <v/>
      </c>
      <c r="N90" s="88">
        <f>IF(M90="","No List Price",IF(M90&lt;=0,"At/below price",IF(M90&lt;=0.12,"&lt;=12% STR zone",IF(M90&lt;=0.25,"12-25%","&gt;25% over"))))</f>
        <v/>
      </c>
      <c r="O90" s="86" t="n"/>
      <c r="P90" s="89">
        <f>IF(AND(ISNUMBER(K90),ISNUMBER(O90),N(O90)&gt;0),K90/O90-1,"")</f>
        <v/>
      </c>
      <c r="Q90" s="32" t="inlineStr">
        <is>
          <t>No price for us</t>
        </is>
      </c>
      <c r="R90" s="85" t="n">
        <v>50401</v>
      </c>
      <c r="S90" s="85" t="n">
        <v>5</v>
      </c>
      <c r="T90" s="90">
        <f>IF(AND(ISNUMBER(K90),ISNUMBER(S90)),K90*S90*52/12,"")</f>
        <v/>
      </c>
      <c r="U90" s="91" t="n">
        <v>4.5</v>
      </c>
      <c r="V90" s="85" t="n">
        <v>622</v>
      </c>
      <c r="W90" s="92" t="n">
        <v>46307</v>
      </c>
      <c r="X90" s="92" t="n"/>
      <c r="Y90" s="84" t="n"/>
      <c r="Z90" s="84" t="n"/>
      <c r="AA90" s="85" t="n"/>
      <c r="AB90" s="85" t="n"/>
      <c r="AC90" s="93" t="n"/>
      <c r="AD90" s="93" t="n"/>
      <c r="AE90" s="32" t="n"/>
      <c r="AF90" s="93" t="n"/>
      <c r="AG90" s="93" t="n"/>
      <c r="AH90" s="93" t="n"/>
      <c r="AI90" s="93" t="n"/>
      <c r="AJ90" s="85" t="n"/>
      <c r="AK90" s="85" t="n"/>
      <c r="AL90" s="85" t="n"/>
      <c r="AM90" s="85" t="n"/>
      <c r="AN90" s="85" t="n"/>
      <c r="AO90" s="85" t="n"/>
      <c r="AP90" s="94" t="n"/>
      <c r="AQ90" s="89" t="n"/>
      <c r="AR90" s="95" t="inlineStr">
        <is>
          <t>N</t>
        </is>
      </c>
      <c r="AS90" s="95" t="inlineStr">
        <is>
          <t>none</t>
        </is>
      </c>
      <c r="AT90" s="101" t="n"/>
      <c r="AU90" s="96" t="n">
        <v>13.99</v>
      </c>
      <c r="AV90" s="95" t="inlineStr">
        <is>
          <t>none</t>
        </is>
      </c>
      <c r="AW90" s="95" t="inlineStr">
        <is>
          <t>Y</t>
        </is>
      </c>
      <c r="AX90" s="95" t="inlineStr">
        <is>
          <t>2026-10-13 23:36:55</t>
        </is>
      </c>
      <c r="AY90" s="97" t="inlineStr">
        <is>
          <t>Prime Exclusive Discount</t>
        </is>
      </c>
      <c r="AZ90" s="97" t="inlineStr">
        <is>
          <t>11-22 to 11-26</t>
        </is>
      </c>
      <c r="BA90" s="98" t="n">
        <v>13.99</v>
      </c>
      <c r="BB90" s="98" t="n">
        <v>10.63</v>
      </c>
      <c r="BC90" s="87">
        <f>IF(AND(ISNUMBER(BA90),ISNUMBER(BB90),N(BA90)&gt;0),1-BB90/BA90,"")</f>
        <v/>
      </c>
      <c r="BD90" s="99" t="n">
        <v>54472</v>
      </c>
      <c r="BE90" s="99" t="n">
        <v>59520</v>
      </c>
      <c r="BF90" s="100">
        <f>IF(AND(ISNUMBER(BD90),ISNUMBER(BE90),N(BE90)&gt;0),BD90/BE90,"")</f>
        <v/>
      </c>
      <c r="BG90" s="97" t="inlineStr">
        <is>
          <t>N</t>
        </is>
      </c>
      <c r="BH90" s="97" t="inlineStr">
        <is>
          <t>List Price $13.99</t>
        </is>
      </c>
    </row>
    <row r="92" ht="20" customHeight="1">
      <c r="A92" s="54" t="inlineStr">
        <is>
          <t>5 · WHAT THIS MEANS FOR BFCM</t>
        </is>
      </c>
    </row>
    <row r="93" ht="30" customHeight="1">
      <c r="A93" s="104" t="inlineStr">
        <is>
          <t>•  Who sells most:  ~1,040/wk at $12.99 (List $17.49, +35%); BEDELITE ~924/wk at $8.49; WISHSMILE ~809/wk at $12.99;  ~347/wk at $14.99 (List $23.15, +54%); ELIBABA ~92/wk at $17.99. Tracked rivals ~3,217 units/wk; we sell ~0/wk (0.0% of the tracked set).</t>
        </is>
      </c>
    </row>
    <row r="94" ht="18" customHeight="1">
      <c r="A94" s="104" t="inlineStr">
        <is>
          <t>•  Strikethrough: 2 of 6 rivals set a List Price above price; 0 within 12%.</t>
        </is>
      </c>
    </row>
    <row r="95" ht="18" customHeight="1">
      <c r="A95" s="104" t="inlineStr">
        <is>
          <t>•  Price: 0 of 6 rivals sit below our price today (same size where the title states one). Cheapest strong rivals: .</t>
        </is>
      </c>
    </row>
    <row r="96" ht="30" customHeight="1">
      <c r="A96" s="104" t="inlineStr">
        <is>
          <t>•  Strikethrough on the page today (Oct 13 check): 3 of 6 checked rivals show one:  List Price $17.49 vs $12.99 (+35%), BEDELITE List Price $9.99 vs $8.49 (+18%),  List Price $23.15 vs $14.99 (+54%) with deal.</t>
        </is>
      </c>
    </row>
    <row r="97" ht="30" customHeight="1">
      <c r="A97" s="104" t="inlineStr">
        <is>
          <t>•  BFCM 2025, 6 rivals with Keepa history: Prime Exclusive Discount 5, Price cut only 1. Median depth vs their Nov 1-19 price 13%; median BSR lift 0.88x. 3 raised their Buy Box in BFCM week, so their deal looked deeper than it was.</t>
        </is>
      </c>
    </row>
  </sheetData>
  <autoFilter ref="B84:BH90"/>
  <mergeCells count="61">
    <mergeCell ref="A15:BH15"/>
    <mergeCell ref="A73:BH73"/>
    <mergeCell ref="A83:H83"/>
    <mergeCell ref="A75:C75"/>
    <mergeCell ref="A82:BH82"/>
    <mergeCell ref="L5:Q5"/>
    <mergeCell ref="A74:C74"/>
    <mergeCell ref="A1:BH1"/>
    <mergeCell ref="A94:BH94"/>
    <mergeCell ref="Q11:T11"/>
    <mergeCell ref="X83:Z83"/>
    <mergeCell ref="L8:Q8"/>
    <mergeCell ref="L4:Q4"/>
    <mergeCell ref="D7:I7"/>
    <mergeCell ref="C2:BH2"/>
    <mergeCell ref="A13:D13"/>
    <mergeCell ref="A78:BH78"/>
    <mergeCell ref="I13:L13"/>
    <mergeCell ref="A76:C76"/>
    <mergeCell ref="A16:BH16"/>
    <mergeCell ref="AR83:AX83"/>
    <mergeCell ref="D4:I4"/>
    <mergeCell ref="L10:Q10"/>
    <mergeCell ref="E12:H12"/>
    <mergeCell ref="Q13:T13"/>
    <mergeCell ref="D9:I9"/>
    <mergeCell ref="U12:X12"/>
    <mergeCell ref="L9:Q9"/>
    <mergeCell ref="Q12:T12"/>
    <mergeCell ref="K83:W83"/>
    <mergeCell ref="A11:D11"/>
    <mergeCell ref="I11:L11"/>
    <mergeCell ref="D8:I8"/>
    <mergeCell ref="L6:Q6"/>
    <mergeCell ref="A3:BH3"/>
    <mergeCell ref="A4:B9"/>
    <mergeCell ref="T6:Y6"/>
    <mergeCell ref="A95:BH95"/>
    <mergeCell ref="D5:I5"/>
    <mergeCell ref="M11:P11"/>
    <mergeCell ref="U11:X11"/>
    <mergeCell ref="A77:C77"/>
    <mergeCell ref="A97:BH97"/>
    <mergeCell ref="E13:H13"/>
    <mergeCell ref="D10:I10"/>
    <mergeCell ref="L7:Q7"/>
    <mergeCell ref="T5:Y5"/>
    <mergeCell ref="A81:BH81"/>
    <mergeCell ref="AA83:AQ83"/>
    <mergeCell ref="A96:BH96"/>
    <mergeCell ref="A12:D12"/>
    <mergeCell ref="M13:P13"/>
    <mergeCell ref="I12:L12"/>
    <mergeCell ref="U13:X13"/>
    <mergeCell ref="M12:P12"/>
    <mergeCell ref="A93:BH93"/>
    <mergeCell ref="T4:Y4"/>
    <mergeCell ref="AY83:BH83"/>
    <mergeCell ref="D6:I6"/>
    <mergeCell ref="E11:H11"/>
    <mergeCell ref="A92:BH92"/>
  </mergeCells>
  <conditionalFormatting sqref="N85:N90">
    <cfRule type="expression" priority="1" dxfId="1">
      <formula>N85="&lt;=12% STR zone"</formula>
    </cfRule>
  </conditionalFormatting>
  <conditionalFormatting sqref="W85:W90">
    <cfRule type="expression" priority="2" dxfId="0">
      <formula>AND(ISNUMBER(W85),W85&lt;DATE(2026,10,6))</formula>
    </cfRule>
  </conditionalFormatting>
  <conditionalFormatting sqref="Q85:Q90">
    <cfRule type="expression" priority="3" dxfId="0">
      <formula>ISNUMBER(SEARCH("STALE",Q85))</formula>
    </cfRule>
  </conditionalFormatting>
  <conditionalFormatting sqref="P85:P90">
    <cfRule type="expression" priority="4" dxfId="0">
      <formula>AND(ISNUMBER(P85),P85&lt;0)</formula>
    </cfRule>
  </conditionalFormatting>
  <dataValidations count="3">
    <dataValidation sqref="AR85:AR90 BG85:BG90" showDropDown="0" showInputMessage="0" showErrorMessage="0" allowBlank="1" type="list">
      <formula1>"Y,N"</formula1>
    </dataValidation>
    <dataValidation sqref="AS85:AS90" showDropDown="0" showInputMessage="0" showErrorMessage="0" allowBlank="1" type="list">
      <formula1>"List Price,Typical price,Was price,None"</formula1>
    </dataValidation>
    <dataValidation sqref="AY85:AY9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H19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Sheets Queen Size | Softer Than Silk | Luxury 4 Pc Bed Set</t>
        </is>
      </c>
      <c r="K4" s="11" t="inlineStr">
        <is>
          <t>Sizes</t>
        </is>
      </c>
      <c r="L4" s="55" t="inlineStr">
        <is>
          <t>Full, King, Queen, Twin</t>
        </is>
      </c>
      <c r="S4" s="11" t="inlineStr">
        <is>
          <t>Break-even ACoS</t>
        </is>
      </c>
      <c r="T4" s="55" t="inlineStr">
        <is>
          <t>34%</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2,620</t>
        </is>
      </c>
    </row>
    <row r="6" ht="22" customHeight="1">
      <c r="C6" s="11" t="inlineStr">
        <is>
          <t>Marketplace</t>
        </is>
      </c>
      <c r="D6" s="55" t="inlineStr">
        <is>
          <t>Amazon.com (US)</t>
        </is>
      </c>
      <c r="K6" s="11" t="inlineStr">
        <is>
          <t>Price now, best child</t>
        </is>
      </c>
      <c r="L6" s="55" t="inlineStr">
        <is>
          <t>$29.95 (Helium 10 Xray, 2026-10-13)</t>
        </is>
      </c>
      <c r="S6" s="11" t="inlineStr">
        <is>
          <t>Command Center product ASIN</t>
        </is>
      </c>
      <c r="T6" s="55" t="inlineStr">
        <is>
          <t>B0CQRY9WLD (one of our child ASINs, not the Amazon parent)</t>
        </is>
      </c>
    </row>
    <row r="7" ht="22" customHeight="1">
      <c r="C7" s="11" t="inlineStr">
        <is>
          <t>Parent ASIN (Amazon)</t>
        </is>
      </c>
      <c r="D7" s="55" t="inlineStr">
        <is>
          <t>B0H631FLT8</t>
        </is>
      </c>
      <c r="K7" s="11" t="inlineStr">
        <is>
          <t>Rating / reviews now</t>
        </is>
      </c>
      <c r="L7" s="55" t="inlineStr">
        <is>
          <t>4.4 / 18,632 (Helium 10 Xray, 2026-10-13)</t>
        </is>
      </c>
    </row>
    <row r="8" ht="22" customHeight="1">
      <c r="C8" s="11" t="inlineStr">
        <is>
          <t>Best-selling child ASIN</t>
        </is>
      </c>
      <c r="D8" s="55" t="inlineStr">
        <is>
          <t>B0839MKJMV</t>
        </is>
      </c>
      <c r="K8" s="11" t="inlineStr">
        <is>
          <t>Live prices held</t>
        </is>
      </c>
      <c r="L8" s="55" t="inlineStr">
        <is>
          <t>115 of 118 variations</t>
        </is>
      </c>
    </row>
    <row r="9" ht="22" customHeight="1">
      <c r="C9" s="11" t="inlineStr">
        <is>
          <t>Stage</t>
        </is>
      </c>
      <c r="D9" s="55" t="inlineStr">
        <is>
          <t>Maintenance</t>
        </is>
      </c>
      <c r="K9" s="11" t="inlineStr">
        <is>
          <t>Blended price (Command Center)</t>
        </is>
      </c>
      <c r="L9" s="55" t="inlineStr">
        <is>
          <t>$32.04 - fee feed as of 2026-03-30, STALE</t>
        </is>
      </c>
    </row>
    <row r="10">
      <c r="C10" s="11" t="inlineStr">
        <is>
          <t>Total variations (SKUs)</t>
        </is>
      </c>
      <c r="D10" s="55" t="n">
        <v>118</v>
      </c>
      <c r="K10" s="11" t="inlineStr">
        <is>
          <t>Contribution / unit</t>
        </is>
      </c>
      <c r="L10" s="55" t="inlineStr">
        <is>
          <t>$10.82</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2.64x</t>
        </is>
      </c>
      <c r="E12" s="57" t="inlineStr">
        <is>
          <t>4.9%</t>
        </is>
      </c>
      <c r="I12" s="57" t="inlineStr">
        <is>
          <t>1.93x</t>
        </is>
      </c>
      <c r="M12" s="57" t="inlineStr">
        <is>
          <t>26</t>
        </is>
      </c>
      <c r="Q12" s="57" t="inlineStr">
        <is>
          <t>26</t>
        </is>
      </c>
      <c r="U12" s="57" t="inlineStr">
        <is>
          <t>0</t>
        </is>
      </c>
    </row>
    <row r="13">
      <c r="A13" s="58" t="inlineStr">
        <is>
          <t>daily sales, BFCM wk vs 30 days before (SellerBoard actual)</t>
        </is>
      </c>
      <c r="E13" s="58" t="inlineStr">
        <is>
          <t>vs 10.4%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Sheets Queen Size | Softer Than Silk | Luxury 4 Pc Bed Set</t>
        </is>
      </c>
      <c r="E18" s="32" t="inlineStr">
        <is>
          <t>Queen</t>
        </is>
      </c>
      <c r="F18" s="32" t="inlineStr">
        <is>
          <t>Black</t>
        </is>
      </c>
      <c r="G18" s="60" t="n">
        <v>29.95</v>
      </c>
      <c r="H18" s="32" t="inlineStr">
        <is>
          <t>Helium 10 Xray, 2026-10-13</t>
        </is>
      </c>
      <c r="I18" s="61" t="n">
        <v>29.95</v>
      </c>
      <c r="J18" s="62" t="inlineStr">
        <is>
          <t>2026-03-30</t>
        </is>
      </c>
      <c r="K18" s="33" t="n">
        <v>9.350000000000001</v>
      </c>
      <c r="L18" s="63" t="n">
        <v>0.312186978297162</v>
      </c>
      <c r="M18" s="64" t="n">
        <v>438</v>
      </c>
      <c r="N18" s="32" t="inlineStr">
        <is>
          <t>Active</t>
        </is>
      </c>
      <c r="O18" s="32" t="inlineStr">
        <is>
          <t>Yes (42%)</t>
        </is>
      </c>
      <c r="P18" s="65" t="n">
        <v>4.4</v>
      </c>
      <c r="Q18" s="64" t="n">
        <v>18632</v>
      </c>
      <c r="R18" s="64" t="n">
        <v>10009</v>
      </c>
      <c r="S18" s="64" t="n">
        <v>529</v>
      </c>
      <c r="T18" s="32" t="n"/>
    </row>
    <row r="19" ht="62" customHeight="1">
      <c r="A19" s="10">
        <f>_xlfn.IMAGE("https://m.media-amazon.com/images/I/81s3ROxMWEL.jpg")</f>
        <v/>
      </c>
      <c r="B19" s="32" t="inlineStr">
        <is>
          <t>B0839LCXBP</t>
        </is>
      </c>
      <c r="C19" s="32" t="inlineStr">
        <is>
          <t>SATIN-FULL-BLACK</t>
        </is>
      </c>
      <c r="D19" s="32" t="inlineStr">
        <is>
          <t>DECOLURE Satin Sheets Full Size | Softer Than Silk | Luxury 4 Pc Bed Set</t>
        </is>
      </c>
      <c r="E19" s="32" t="inlineStr">
        <is>
          <t>Full</t>
        </is>
      </c>
      <c r="F19" s="32" t="inlineStr">
        <is>
          <t>Black</t>
        </is>
      </c>
      <c r="G19" s="60" t="n">
        <v>29.95</v>
      </c>
      <c r="H19" s="32" t="inlineStr">
        <is>
          <t>Helium 10 Xray, 2026-10-13</t>
        </is>
      </c>
      <c r="I19" s="61" t="n">
        <v>29.95</v>
      </c>
      <c r="J19" s="62" t="inlineStr">
        <is>
          <t>2026-03-30</t>
        </is>
      </c>
      <c r="K19" s="33" t="n">
        <v>10.81</v>
      </c>
      <c r="L19" s="63" t="n">
        <v>0.3609348914858097</v>
      </c>
      <c r="M19" s="64" t="n">
        <v>220</v>
      </c>
      <c r="N19" s="32" t="inlineStr">
        <is>
          <t>Active</t>
        </is>
      </c>
      <c r="O19" s="32" t="inlineStr">
        <is>
          <t>Yes (19%)</t>
        </is>
      </c>
      <c r="P19" s="65" t="n">
        <v>4.4</v>
      </c>
      <c r="Q19" s="64" t="n">
        <v>18632</v>
      </c>
      <c r="R19" s="64" t="n">
        <v>10009</v>
      </c>
      <c r="S19" s="64" t="n">
        <v>182</v>
      </c>
      <c r="T19" s="32" t="n"/>
    </row>
    <row r="20" ht="62" customHeight="1">
      <c r="A20" s="10">
        <f>_xlfn.IMAGE("https://m.media-amazon.com/images/I/81s3ROxMWEL.jpg")</f>
        <v/>
      </c>
      <c r="B20" s="32" t="inlineStr">
        <is>
          <t>B0839LD2WQ</t>
        </is>
      </c>
      <c r="C20" s="32" t="inlineStr">
        <is>
          <t>SATIN-KING-BLACK</t>
        </is>
      </c>
      <c r="D20" s="32" t="inlineStr">
        <is>
          <t>DECOLURE Satin Sheets King Size | Softer Than Silk | Luxury 4 Pc Bed Set</t>
        </is>
      </c>
      <c r="E20" s="32" t="inlineStr">
        <is>
          <t>King</t>
        </is>
      </c>
      <c r="F20" s="32" t="inlineStr">
        <is>
          <t>Black</t>
        </is>
      </c>
      <c r="G20" s="60" t="n">
        <v>33.95</v>
      </c>
      <c r="H20" s="32" t="inlineStr">
        <is>
          <t>Helium 10 Xray, 2026-10-13</t>
        </is>
      </c>
      <c r="I20" s="61" t="n">
        <v>33.95</v>
      </c>
      <c r="J20" s="62" t="inlineStr">
        <is>
          <t>2026-03-30</t>
        </is>
      </c>
      <c r="K20" s="33" t="n">
        <v>10.95</v>
      </c>
      <c r="L20" s="63" t="n">
        <v>0.3225331369661267</v>
      </c>
      <c r="M20" s="64" t="n">
        <v>159</v>
      </c>
      <c r="N20" s="32" t="inlineStr">
        <is>
          <t>Active</t>
        </is>
      </c>
      <c r="O20" s="32" t="inlineStr">
        <is>
          <t>Yes (4%)</t>
        </is>
      </c>
      <c r="P20" s="65" t="n">
        <v>4.4</v>
      </c>
      <c r="Q20" s="64" t="n">
        <v>18632</v>
      </c>
      <c r="R20" s="64" t="n">
        <v>10009</v>
      </c>
      <c r="S20" s="64" t="n">
        <v>79</v>
      </c>
      <c r="T20" s="32" t="n"/>
    </row>
    <row r="21" ht="62" customHeight="1">
      <c r="A21" s="10">
        <f>_xlfn.IMAGE("https://m.media-amazon.com/images/I/81RxsA0xn7L.jpg")</f>
        <v/>
      </c>
      <c r="B21" s="32" t="inlineStr">
        <is>
          <t>B0839LQK8K</t>
        </is>
      </c>
      <c r="C21" s="32" t="inlineStr">
        <is>
          <t>SATIN-QUEEN-GREY</t>
        </is>
      </c>
      <c r="D21" s="32" t="inlineStr">
        <is>
          <t>DECOLURE Satin Sheets Queen Size | Softer Than Silk | Luxury 4 Pc Bed Set</t>
        </is>
      </c>
      <c r="E21" s="32" t="inlineStr">
        <is>
          <t>Queen</t>
        </is>
      </c>
      <c r="F21" s="32" t="inlineStr">
        <is>
          <t>Grey</t>
        </is>
      </c>
      <c r="G21" s="60" t="n">
        <v>29.95</v>
      </c>
      <c r="H21" s="32" t="inlineStr">
        <is>
          <t>Helium 10 Xray, 2026-10-13</t>
        </is>
      </c>
      <c r="I21" s="61" t="n">
        <v>29.95</v>
      </c>
      <c r="J21" s="62" t="inlineStr">
        <is>
          <t>2026-03-30</t>
        </is>
      </c>
      <c r="K21" s="33" t="n">
        <v>8.890000000000001</v>
      </c>
      <c r="L21" s="63" t="n">
        <v>0.2968280467445743</v>
      </c>
      <c r="M21" s="64" t="n">
        <v>96</v>
      </c>
      <c r="N21" s="32" t="inlineStr">
        <is>
          <t>Active</t>
        </is>
      </c>
      <c r="O21" s="32" t="inlineStr">
        <is>
          <t>Yes (11%)</t>
        </is>
      </c>
      <c r="P21" s="65" t="n">
        <v>4.4</v>
      </c>
      <c r="Q21" s="64" t="n">
        <v>18632</v>
      </c>
      <c r="R21" s="64" t="n">
        <v>10006</v>
      </c>
      <c r="S21" s="64" t="n">
        <v>97</v>
      </c>
      <c r="T21" s="32" t="n"/>
    </row>
    <row r="22" ht="62" customHeight="1">
      <c r="A22" s="10">
        <f>_xlfn.IMAGE("https://m.media-amazon.com/images/I/81RxsA0xn7L.jpg")</f>
        <v/>
      </c>
      <c r="B22" s="32" t="inlineStr">
        <is>
          <t>B0CV4D38W9</t>
        </is>
      </c>
      <c r="C22" s="32" t="inlineStr">
        <is>
          <t>SATIN-4PC-KING-GREY</t>
        </is>
      </c>
      <c r="D22" s="32" t="inlineStr">
        <is>
          <t>DECOLURE Satin Sheets King Size | Softer Than Silk | Luxury 4 Pc Bed Set</t>
        </is>
      </c>
      <c r="E22" s="32" t="inlineStr">
        <is>
          <t>King</t>
        </is>
      </c>
      <c r="F22" s="32" t="inlineStr">
        <is>
          <t>Grey</t>
        </is>
      </c>
      <c r="G22" s="60" t="n">
        <v>33.95</v>
      </c>
      <c r="H22" s="32" t="inlineStr">
        <is>
          <t>Helium 10 Xray, 2026-10-13</t>
        </is>
      </c>
      <c r="I22" s="61" t="n">
        <v>33.95</v>
      </c>
      <c r="J22" s="62" t="inlineStr">
        <is>
          <t>2026-03-30</t>
        </is>
      </c>
      <c r="K22" s="33" t="n">
        <v>10.4</v>
      </c>
      <c r="L22" s="63" t="n">
        <v>0.3063328424153167</v>
      </c>
      <c r="M22" s="64" t="n">
        <v>79</v>
      </c>
      <c r="N22" s="32" t="inlineStr">
        <is>
          <t>Active</t>
        </is>
      </c>
      <c r="O22" s="32" t="n"/>
      <c r="P22" s="65" t="n">
        <v>4.4</v>
      </c>
      <c r="Q22" s="64" t="n">
        <v>18632</v>
      </c>
      <c r="R22" s="64" t="n">
        <v>10009</v>
      </c>
      <c r="S22" s="64" t="n">
        <v>89</v>
      </c>
      <c r="T22" s="32" t="n"/>
    </row>
    <row r="23" ht="62" customHeight="1">
      <c r="A23" s="10">
        <f>_xlfn.IMAGE("https://m.media-amazon.com/images/I/81gmHuZbW4L.jpg")</f>
        <v/>
      </c>
      <c r="B23" s="32" t="inlineStr">
        <is>
          <t>B08KRXDWNN</t>
        </is>
      </c>
      <c r="C23" s="32" t="inlineStr">
        <is>
          <t>SATIN-WHITE-QUEEN</t>
        </is>
      </c>
      <c r="D23" s="32" t="inlineStr">
        <is>
          <t>DECOLURE Satin Sheets Queen Size | Softer Than Silk | Luxury 4 Pc Bed Set</t>
        </is>
      </c>
      <c r="E23" s="32" t="inlineStr">
        <is>
          <t>Queen</t>
        </is>
      </c>
      <c r="F23" s="32" t="inlineStr">
        <is>
          <t>White</t>
        </is>
      </c>
      <c r="G23" s="60" t="n">
        <v>31.95</v>
      </c>
      <c r="H23" s="32" t="inlineStr">
        <is>
          <t>Helium 10 Xray, 2026-10-13</t>
        </is>
      </c>
      <c r="I23" s="61" t="n">
        <v>31.95</v>
      </c>
      <c r="J23" s="62" t="inlineStr">
        <is>
          <t>2026-03-30</t>
        </is>
      </c>
      <c r="K23" s="33" t="n">
        <v>10.33</v>
      </c>
      <c r="L23" s="63" t="n">
        <v>0.3233176838810642</v>
      </c>
      <c r="M23" s="64" t="n">
        <v>69</v>
      </c>
      <c r="N23" s="32" t="inlineStr">
        <is>
          <t>Active</t>
        </is>
      </c>
      <c r="O23" s="32" t="inlineStr">
        <is>
          <t>Yes (5%)</t>
        </is>
      </c>
      <c r="P23" s="65" t="n">
        <v>4.4</v>
      </c>
      <c r="Q23" s="64" t="n">
        <v>18632</v>
      </c>
      <c r="R23" s="64" t="n">
        <v>10006</v>
      </c>
      <c r="S23" s="64" t="n">
        <v>80</v>
      </c>
      <c r="T23" s="32" t="n"/>
    </row>
    <row r="24" ht="62" customHeight="1">
      <c r="A24" s="10">
        <f>_xlfn.IMAGE("https://m.media-amazon.com/images/I/81XsKf7Tk0L.jpg")</f>
        <v/>
      </c>
      <c r="B24" s="32" t="inlineStr">
        <is>
          <t>B0DBQVGKTV</t>
        </is>
      </c>
      <c r="C24" s="32" t="inlineStr">
        <is>
          <t>SATIN-4PCS-KING-RED</t>
        </is>
      </c>
      <c r="D24" s="32" t="inlineStr">
        <is>
          <t>DECOLURE Satin Sheets King Size | Softer Than Silk | Luxury 4 Pc Bed Set</t>
        </is>
      </c>
      <c r="E24" s="32" t="inlineStr">
        <is>
          <t>King</t>
        </is>
      </c>
      <c r="F24" s="32" t="inlineStr">
        <is>
          <t>Red</t>
        </is>
      </c>
      <c r="G24" s="60" t="n">
        <v>33.95</v>
      </c>
      <c r="H24" s="32" t="inlineStr">
        <is>
          <t>Helium 10 Xray, 2026-10-13</t>
        </is>
      </c>
      <c r="I24" s="61" t="n">
        <v>33.95</v>
      </c>
      <c r="J24" s="62" t="inlineStr">
        <is>
          <t>2026-03-30</t>
        </is>
      </c>
      <c r="K24" s="33" t="n">
        <v>11.4</v>
      </c>
      <c r="L24" s="63" t="n">
        <v>0.3357879234167894</v>
      </c>
      <c r="M24" s="64" t="n">
        <v>67</v>
      </c>
      <c r="N24" s="32" t="inlineStr">
        <is>
          <t>Active</t>
        </is>
      </c>
      <c r="O24" s="32" t="n"/>
      <c r="P24" s="65" t="n">
        <v>4.4</v>
      </c>
      <c r="Q24" s="64" t="n">
        <v>18632</v>
      </c>
      <c r="R24" s="64" t="n">
        <v>10006</v>
      </c>
      <c r="S24" s="64" t="n">
        <v>60</v>
      </c>
      <c r="T24" s="32" t="n"/>
    </row>
    <row r="25" ht="62" customHeight="1">
      <c r="A25" s="10">
        <f>_xlfn.IMAGE("https://m.media-amazon.com/images/I/812d7h4NK3L.jpg")</f>
        <v/>
      </c>
      <c r="B25" s="32" t="inlineStr">
        <is>
          <t>B0DD4JMGXN</t>
        </is>
      </c>
      <c r="C25" s="32" t="inlineStr">
        <is>
          <t>SATIN-4PCS-QUEEN-STONE-GREY</t>
        </is>
      </c>
      <c r="D25" s="32" t="inlineStr">
        <is>
          <t>DECOLURE Satin Sheets Queen Size | Softer Than Silk | Luxury 4 Pc Bed Set</t>
        </is>
      </c>
      <c r="E25" s="32" t="inlineStr">
        <is>
          <t>Queen</t>
        </is>
      </c>
      <c r="F25" s="32" t="inlineStr">
        <is>
          <t>Stone Grey</t>
        </is>
      </c>
      <c r="G25" s="60" t="n">
        <v>31.95</v>
      </c>
      <c r="H25" s="32" t="inlineStr">
        <is>
          <t>Helium 10 Xray, 2026-10-13</t>
        </is>
      </c>
      <c r="I25" s="61" t="n">
        <v>31.95</v>
      </c>
      <c r="J25" s="62" t="inlineStr">
        <is>
          <t>2026-03-30</t>
        </is>
      </c>
      <c r="K25" s="33" t="n">
        <v>10.43</v>
      </c>
      <c r="L25" s="63" t="n">
        <v>0.3264475743348983</v>
      </c>
      <c r="M25" s="64" t="n">
        <v>50</v>
      </c>
      <c r="N25" s="32" t="inlineStr">
        <is>
          <t>Active</t>
        </is>
      </c>
      <c r="O25" s="32" t="n"/>
      <c r="P25" s="65" t="n">
        <v>4.4</v>
      </c>
      <c r="Q25" s="64" t="n">
        <v>18632</v>
      </c>
      <c r="R25" s="64" t="n">
        <v>10009</v>
      </c>
      <c r="S25" s="64" t="n"/>
      <c r="T25" s="32" t="n"/>
    </row>
    <row r="26" ht="62" customHeight="1">
      <c r="A26" s="10">
        <f>_xlfn.IMAGE("https://m.media-amazon.com/images/I/81Yn7rZGUhL.jpg")</f>
        <v/>
      </c>
      <c r="B26" s="32" t="inlineStr">
        <is>
          <t>B0839LKZV9</t>
        </is>
      </c>
      <c r="C26" s="32" t="inlineStr">
        <is>
          <t>SATIN-KING-PURPLE</t>
        </is>
      </c>
      <c r="D26" s="32" t="inlineStr">
        <is>
          <t>DECOLURE Satin Bed Sheets - 4 Piece Luxury Silky King Size Bedding Set - Softer Than Silk, Wrinkle-Free with 15” Deep Pocket Fitted Sheet, Perfect for Hair &amp; Skin, Gifts for Women (Purple)</t>
        </is>
      </c>
      <c r="E26" s="32" t="inlineStr">
        <is>
          <t>King</t>
        </is>
      </c>
      <c r="F26" s="32" t="inlineStr">
        <is>
          <t>Purple</t>
        </is>
      </c>
      <c r="G26" s="60" t="n">
        <v>33.95</v>
      </c>
      <c r="H26" s="32" t="inlineStr">
        <is>
          <t>Helium 10 Xray, 2026-10-13</t>
        </is>
      </c>
      <c r="I26" s="61" t="n">
        <v>33.95</v>
      </c>
      <c r="J26" s="62" t="inlineStr">
        <is>
          <t>2026-03-30</t>
        </is>
      </c>
      <c r="K26" s="33" t="n">
        <v>11.09</v>
      </c>
      <c r="L26" s="63" t="n">
        <v>0.3266568483063329</v>
      </c>
      <c r="M26" s="64" t="n">
        <v>49</v>
      </c>
      <c r="N26" s="32" t="inlineStr">
        <is>
          <t>Active</t>
        </is>
      </c>
      <c r="O26" s="32" t="n"/>
      <c r="P26" s="65" t="n">
        <v>4.4</v>
      </c>
      <c r="Q26" s="64" t="n">
        <v>18632</v>
      </c>
      <c r="R26" s="64" t="n">
        <v>10006</v>
      </c>
      <c r="S26" s="64" t="n">
        <v>20</v>
      </c>
      <c r="T26" s="32" t="n"/>
    </row>
    <row r="27" ht="62" customHeight="1">
      <c r="A27" s="10">
        <f>_xlfn.IMAGE("https://m.media-amazon.com/images/I/81gmHuZbW4L.jpg")</f>
        <v/>
      </c>
      <c r="B27" s="32" t="inlineStr">
        <is>
          <t>B0CV4CY67M</t>
        </is>
      </c>
      <c r="C27" s="32" t="inlineStr">
        <is>
          <t>SATIN-4PC-WHITE-KING</t>
        </is>
      </c>
      <c r="D27" s="32" t="inlineStr">
        <is>
          <t>DECOLURE Satin Sheets King Size | Softer Than Silk | Luxury 4 Pc Bed Set</t>
        </is>
      </c>
      <c r="E27" s="32" t="inlineStr">
        <is>
          <t>King</t>
        </is>
      </c>
      <c r="F27" s="32" t="inlineStr">
        <is>
          <t>White</t>
        </is>
      </c>
      <c r="G27" s="60" t="n">
        <v>37.99</v>
      </c>
      <c r="H27" s="32" t="inlineStr">
        <is>
          <t>Helium 10 Xray, 2026-10-13</t>
        </is>
      </c>
      <c r="I27" s="61" t="n">
        <v>33.95</v>
      </c>
      <c r="J27" s="62" t="inlineStr">
        <is>
          <t>2026-03-30</t>
        </is>
      </c>
      <c r="K27" s="33" t="n">
        <v>11</v>
      </c>
      <c r="L27" s="63" t="n">
        <v>0.3240058910162003</v>
      </c>
      <c r="M27" s="64" t="n">
        <v>46</v>
      </c>
      <c r="N27" s="32" t="inlineStr">
        <is>
          <t>Active</t>
        </is>
      </c>
      <c r="O27" s="32" t="n"/>
      <c r="P27" s="65" t="n">
        <v>4.4</v>
      </c>
      <c r="Q27" s="64" t="n">
        <v>18632</v>
      </c>
      <c r="R27" s="64" t="n">
        <v>10009</v>
      </c>
      <c r="S27" s="64" t="n">
        <v>22</v>
      </c>
      <c r="T27" s="32" t="n"/>
    </row>
    <row r="28" ht="62" customHeight="1">
      <c r="A28" s="10">
        <f>_xlfn.IMAGE("https://m.media-amazon.com/images/I/81VtFuMce8L.jpg")</f>
        <v/>
      </c>
      <c r="B28" s="32" t="inlineStr">
        <is>
          <t>B0839L4HWH</t>
        </is>
      </c>
      <c r="C28" s="32" t="inlineStr">
        <is>
          <t>SATIN-QUEEN-BLUE</t>
        </is>
      </c>
      <c r="D28" s="32" t="inlineStr">
        <is>
          <t>DECOLURE Satin Bed Sheets - 4 Piece Luxury Silky Queen Size Bedding Set - Softer Than Silk, Wrinkle-Free with 15” Deep Pocket Fitted Sheet, Perfect for Hair &amp; Skin, Gifts for Women (Blue)</t>
        </is>
      </c>
      <c r="E28" s="32" t="inlineStr">
        <is>
          <t>Queen</t>
        </is>
      </c>
      <c r="F28" s="32" t="inlineStr">
        <is>
          <t>Blue</t>
        </is>
      </c>
      <c r="G28" s="60" t="n">
        <v>34.95</v>
      </c>
      <c r="H28" s="32" t="inlineStr">
        <is>
          <t>Helium 10 Xray, 2026-10-13</t>
        </is>
      </c>
      <c r="I28" s="61" t="n">
        <v>31.95</v>
      </c>
      <c r="J28" s="62" t="inlineStr">
        <is>
          <t>2026-03-30</t>
        </is>
      </c>
      <c r="K28" s="33" t="n">
        <v>11.51</v>
      </c>
      <c r="L28" s="63" t="n">
        <v>0.3602503912363068</v>
      </c>
      <c r="M28" s="64" t="n">
        <v>45</v>
      </c>
      <c r="N28" s="32" t="inlineStr">
        <is>
          <t>Active</t>
        </is>
      </c>
      <c r="O28" s="32" t="n"/>
      <c r="P28" s="65" t="n">
        <v>4.4</v>
      </c>
      <c r="Q28" s="64" t="n">
        <v>18632</v>
      </c>
      <c r="R28" s="64" t="n">
        <v>10006</v>
      </c>
      <c r="S28" s="64" t="n">
        <v>19</v>
      </c>
      <c r="T28" s="32" t="n"/>
    </row>
    <row r="29" ht="62" customHeight="1">
      <c r="A29" s="10">
        <f>_xlfn.IMAGE("https://m.media-amazon.com/images/I/813j5CwQxPL.jpg")</f>
        <v/>
      </c>
      <c r="B29" s="32" t="inlineStr">
        <is>
          <t>B0CQRXDZYF</t>
        </is>
      </c>
      <c r="C29" s="32" t="inlineStr">
        <is>
          <t>SATIN-4PC-QUEEN-NAVY BLUE</t>
        </is>
      </c>
      <c r="D29" s="32" t="inlineStr">
        <is>
          <t>DECOLURE Satin Sheets Queen Size | Softer Than Silk | Luxury 4 Pc Bed Set</t>
        </is>
      </c>
      <c r="E29" s="32" t="inlineStr">
        <is>
          <t>Queen</t>
        </is>
      </c>
      <c r="F29" s="32" t="inlineStr">
        <is>
          <t>Navy Blue</t>
        </is>
      </c>
      <c r="G29" s="60" t="n">
        <v>31.95</v>
      </c>
      <c r="H29" s="32" t="inlineStr">
        <is>
          <t>Helium 10 Xray, 2026-10-13</t>
        </is>
      </c>
      <c r="I29" s="61" t="n">
        <v>31.95</v>
      </c>
      <c r="J29" s="62" t="inlineStr">
        <is>
          <t>2026-03-30</t>
        </is>
      </c>
      <c r="K29" s="33" t="n">
        <v>10.6</v>
      </c>
      <c r="L29" s="63" t="n">
        <v>0.3317683881064163</v>
      </c>
      <c r="M29" s="64" t="n">
        <v>45</v>
      </c>
      <c r="N29" s="32" t="inlineStr">
        <is>
          <t>Active</t>
        </is>
      </c>
      <c r="O29" s="32" t="n"/>
      <c r="P29" s="65" t="n">
        <v>4.4</v>
      </c>
      <c r="Q29" s="64" t="n">
        <v>18632</v>
      </c>
      <c r="R29" s="64" t="n">
        <v>10009</v>
      </c>
      <c r="S29" s="64" t="n">
        <v>72</v>
      </c>
      <c r="T29" s="32" t="n"/>
    </row>
    <row r="30" ht="62" customHeight="1">
      <c r="A30" s="10">
        <f>_xlfn.IMAGE("https://m.media-amazon.com/images/I/81XsKf7Tk0L.jpg")</f>
        <v/>
      </c>
      <c r="B30" s="32" t="inlineStr">
        <is>
          <t>B0CV4D54FV</t>
        </is>
      </c>
      <c r="C30" s="32" t="inlineStr">
        <is>
          <t>SATIN-4PC-RED-QUEEN</t>
        </is>
      </c>
      <c r="D30" s="32" t="inlineStr">
        <is>
          <t>DECOLURE Satin Sheets Queen Size | Softer Than Silk | Luxury 4 Pc Bed Set</t>
        </is>
      </c>
      <c r="E30" s="32" t="inlineStr">
        <is>
          <t>Queen</t>
        </is>
      </c>
      <c r="F30" s="32" t="inlineStr">
        <is>
          <t>Red</t>
        </is>
      </c>
      <c r="G30" s="60" t="n">
        <v>31.95</v>
      </c>
      <c r="H30" s="32" t="inlineStr">
        <is>
          <t>SellerBoard listing price, 2026-10-14</t>
        </is>
      </c>
      <c r="I30" s="61" t="n">
        <v>48.95</v>
      </c>
      <c r="J30" s="62" t="inlineStr">
        <is>
          <t>2026-03-30</t>
        </is>
      </c>
      <c r="K30" s="33" t="n">
        <v>25.36</v>
      </c>
      <c r="L30" s="63" t="n">
        <v>0.5180796731358529</v>
      </c>
      <c r="M30" s="64" t="n">
        <v>45</v>
      </c>
      <c r="N30" s="32" t="inlineStr">
        <is>
          <t>Inactive</t>
        </is>
      </c>
      <c r="O30" s="32" t="n"/>
      <c r="P30" s="65" t="n"/>
      <c r="Q30" s="64" t="n"/>
      <c r="R30" s="64" t="n"/>
      <c r="S30" s="64" t="n"/>
      <c r="T30" s="32" t="n"/>
    </row>
    <row r="31" ht="62" customHeight="1">
      <c r="A31" s="10">
        <f>_xlfn.IMAGE("https://m.media-amazon.com/images/I/81owOVQLwdL.jpg")</f>
        <v/>
      </c>
      <c r="B31" s="32" t="inlineStr">
        <is>
          <t>B0CQRXLH6M</t>
        </is>
      </c>
      <c r="C31" s="32" t="inlineStr">
        <is>
          <t>SATIN-4PC-QUEEN-BABY BLUE</t>
        </is>
      </c>
      <c r="D31" s="32" t="inlineStr">
        <is>
          <t>DECOLURE Satin Sheets Queen Size | Softer Than Silk | Luxury 4 Pc Bed Set</t>
        </is>
      </c>
      <c r="E31" s="32" t="inlineStr">
        <is>
          <t>Queen</t>
        </is>
      </c>
      <c r="F31" s="32" t="inlineStr">
        <is>
          <t>Baby Blue</t>
        </is>
      </c>
      <c r="G31" s="60" t="n">
        <v>31.95</v>
      </c>
      <c r="H31" s="32" t="inlineStr">
        <is>
          <t>Helium 10 Xray, 2026-10-13</t>
        </is>
      </c>
      <c r="I31" s="61" t="n">
        <v>31.95</v>
      </c>
      <c r="J31" s="62" t="inlineStr">
        <is>
          <t>2026-03-30</t>
        </is>
      </c>
      <c r="K31" s="33" t="n">
        <v>10.55</v>
      </c>
      <c r="L31" s="63" t="n">
        <v>0.3302034428794993</v>
      </c>
      <c r="M31" s="64" t="n">
        <v>43</v>
      </c>
      <c r="N31" s="32" t="inlineStr">
        <is>
          <t>Active</t>
        </is>
      </c>
      <c r="O31" s="32" t="n"/>
      <c r="P31" s="65" t="n">
        <v>4.4</v>
      </c>
      <c r="Q31" s="64" t="n">
        <v>18632</v>
      </c>
      <c r="R31" s="64" t="n">
        <v>10009</v>
      </c>
      <c r="S31" s="64" t="n">
        <v>32</v>
      </c>
      <c r="T31" s="32" t="n"/>
    </row>
    <row r="32" ht="62" customHeight="1">
      <c r="A32" s="10">
        <f>_xlfn.IMAGE("https://m.media-amazon.com/images/I/81Ktu4N6y2L.jpg")</f>
        <v/>
      </c>
      <c r="B32" s="32" t="inlineStr">
        <is>
          <t>B0BG21THPM</t>
        </is>
      </c>
      <c r="C32" s="32" t="inlineStr">
        <is>
          <t>SATIN-ROSEWOOD-QUEEN</t>
        </is>
      </c>
      <c r="D32" s="32" t="inlineStr">
        <is>
          <t>DECOLURE Satin Sheets Queen Size | Softer Than Silk | Luxury 4 Pc Bed Set</t>
        </is>
      </c>
      <c r="E32" s="32" t="inlineStr">
        <is>
          <t>Queen</t>
        </is>
      </c>
      <c r="F32" s="32" t="inlineStr">
        <is>
          <t>Rosewood</t>
        </is>
      </c>
      <c r="G32" s="60" t="n">
        <v>34.49</v>
      </c>
      <c r="H32" s="32" t="inlineStr">
        <is>
          <t>Helium 10 Xray, 2026-10-13</t>
        </is>
      </c>
      <c r="I32" s="61" t="n">
        <v>31.95</v>
      </c>
      <c r="J32" s="62" t="inlineStr">
        <is>
          <t>2026-03-30</t>
        </is>
      </c>
      <c r="K32" s="33" t="n">
        <v>10.73</v>
      </c>
      <c r="L32" s="63" t="n">
        <v>0.3358372456964007</v>
      </c>
      <c r="M32" s="64" t="n">
        <v>43</v>
      </c>
      <c r="N32" s="32" t="inlineStr">
        <is>
          <t>Active</t>
        </is>
      </c>
      <c r="O32" s="32" t="n"/>
      <c r="P32" s="65" t="n">
        <v>4.4</v>
      </c>
      <c r="Q32" s="64" t="n">
        <v>18632</v>
      </c>
      <c r="R32" s="64" t="n">
        <v>10009</v>
      </c>
      <c r="S32" s="64" t="n">
        <v>21</v>
      </c>
      <c r="T32" s="32" t="n"/>
    </row>
    <row r="33" ht="62" customHeight="1">
      <c r="A33" s="10">
        <f>_xlfn.IMAGE("https://m.media-amazon.com/images/I/81xinUykzIL.jpg")</f>
        <v/>
      </c>
      <c r="B33" s="32" t="inlineStr">
        <is>
          <t>B0BG225D1J</t>
        </is>
      </c>
      <c r="C33" s="32" t="inlineStr">
        <is>
          <t>SATIN-IVORY-KING</t>
        </is>
      </c>
      <c r="D33" s="32" t="inlineStr">
        <is>
          <t>DECOLURE Satin Sheets King Size | Softer Than Silk | Luxury 4 Pc Bed Set</t>
        </is>
      </c>
      <c r="E33" s="32" t="inlineStr">
        <is>
          <t>King</t>
        </is>
      </c>
      <c r="F33" s="32" t="inlineStr">
        <is>
          <t>Ivory</t>
        </is>
      </c>
      <c r="G33" s="60" t="n">
        <v>35.95</v>
      </c>
      <c r="H33" s="32" t="inlineStr">
        <is>
          <t>Helium 10 Xray, 2026-10-13</t>
        </is>
      </c>
      <c r="I33" s="61" t="n">
        <v>33.95</v>
      </c>
      <c r="J33" s="62" t="inlineStr">
        <is>
          <t>2026-03-30</t>
        </is>
      </c>
      <c r="K33" s="33" t="n">
        <v>8.710000000000003</v>
      </c>
      <c r="L33" s="63" t="n">
        <v>0.2565537555228277</v>
      </c>
      <c r="M33" s="64" t="n">
        <v>41</v>
      </c>
      <c r="N33" s="32" t="inlineStr">
        <is>
          <t>Active</t>
        </is>
      </c>
      <c r="O33" s="32" t="n"/>
      <c r="P33" s="65" t="n">
        <v>4.4</v>
      </c>
      <c r="Q33" s="64" t="n">
        <v>18632</v>
      </c>
      <c r="R33" s="64" t="n">
        <v>10009</v>
      </c>
      <c r="S33" s="64" t="n">
        <v>15</v>
      </c>
      <c r="T33" s="32" t="n"/>
    </row>
    <row r="34" ht="62" customHeight="1">
      <c r="A34" s="10">
        <f>_xlfn.IMAGE("https://m.media-amazon.com/images/I/81xinUykzIL.jpg")</f>
        <v/>
      </c>
      <c r="B34" s="32" t="inlineStr">
        <is>
          <t>B0BG1YXQGT</t>
        </is>
      </c>
      <c r="C34" s="32" t="inlineStr">
        <is>
          <t>SATIN-IVORY-QUEEN</t>
        </is>
      </c>
      <c r="D34" s="32" t="inlineStr">
        <is>
          <t>DECOLURE Satin Sheets Queen Size | Softer Than Silk | Luxury 4 Pc Bed Set</t>
        </is>
      </c>
      <c r="E34" s="32" t="inlineStr">
        <is>
          <t>Queen</t>
        </is>
      </c>
      <c r="F34" s="32" t="inlineStr">
        <is>
          <t>Ivory</t>
        </is>
      </c>
      <c r="G34" s="60" t="n">
        <v>32.99</v>
      </c>
      <c r="H34" s="32" t="inlineStr">
        <is>
          <t>Helium 10 Xray, 2026-10-13</t>
        </is>
      </c>
      <c r="I34" s="61" t="n">
        <v>31.95</v>
      </c>
      <c r="J34" s="62" t="inlineStr">
        <is>
          <t>2026-03-30</t>
        </is>
      </c>
      <c r="K34" s="33" t="n">
        <v>10.83</v>
      </c>
      <c r="L34" s="63" t="n">
        <v>0.3389671361502348</v>
      </c>
      <c r="M34" s="64" t="n">
        <v>40</v>
      </c>
      <c r="N34" s="32" t="inlineStr">
        <is>
          <t>Active</t>
        </is>
      </c>
      <c r="O34" s="32" t="n"/>
      <c r="P34" s="65" t="n">
        <v>4.4</v>
      </c>
      <c r="Q34" s="64" t="n">
        <v>18632</v>
      </c>
      <c r="R34" s="64" t="n">
        <v>10006</v>
      </c>
      <c r="S34" s="64" t="n">
        <v>6</v>
      </c>
      <c r="T34" s="32" t="n"/>
    </row>
    <row r="35" ht="62" customHeight="1">
      <c r="A35" s="10">
        <f>_xlfn.IMAGE("https://m.media-amazon.com/images/I/81VtFuMce8L.jpg")</f>
        <v/>
      </c>
      <c r="B35" s="32" t="inlineStr">
        <is>
          <t>B0839L5PDJ</t>
        </is>
      </c>
      <c r="C35" s="32" t="inlineStr">
        <is>
          <t>SATIN-KING-BLUE</t>
        </is>
      </c>
      <c r="D35" s="32" t="inlineStr">
        <is>
          <t>DECOLURE Satin Sheets King Size | Softer Than Silk | Luxury 4 Pc Bed Set</t>
        </is>
      </c>
      <c r="E35" s="32" t="inlineStr">
        <is>
          <t>King</t>
        </is>
      </c>
      <c r="F35" s="32" t="inlineStr">
        <is>
          <t>Blue</t>
        </is>
      </c>
      <c r="G35" s="60" t="n">
        <v>33.95</v>
      </c>
      <c r="H35" s="32" t="inlineStr">
        <is>
          <t>Helium 10 Xray, 2026-10-13</t>
        </is>
      </c>
      <c r="I35" s="61" t="n">
        <v>33.95</v>
      </c>
      <c r="J35" s="62" t="inlineStr">
        <is>
          <t>2026-03-30</t>
        </is>
      </c>
      <c r="K35" s="33" t="n">
        <v>10.92</v>
      </c>
      <c r="L35" s="63" t="n">
        <v>0.3216494845360824</v>
      </c>
      <c r="M35" s="64" t="n">
        <v>38</v>
      </c>
      <c r="N35" s="32" t="inlineStr">
        <is>
          <t>Active</t>
        </is>
      </c>
      <c r="O35" s="32" t="n"/>
      <c r="P35" s="65" t="n">
        <v>4.4</v>
      </c>
      <c r="Q35" s="64" t="n">
        <v>18632</v>
      </c>
      <c r="R35" s="64" t="n">
        <v>10006</v>
      </c>
      <c r="S35" s="64" t="n">
        <v>5</v>
      </c>
      <c r="T35" s="32" t="n"/>
    </row>
    <row r="36" ht="62" customHeight="1">
      <c r="A36" s="10">
        <f>_xlfn.IMAGE("https://m.media-amazon.com/images/I/81Yn7rZGUhL.jpg")</f>
        <v/>
      </c>
      <c r="B36" s="32" t="inlineStr">
        <is>
          <t>B0839L6R8Y</t>
        </is>
      </c>
      <c r="C36" s="32" t="inlineStr">
        <is>
          <t>SATIN-QUEEN-PURPLE</t>
        </is>
      </c>
      <c r="D36" s="32" t="inlineStr">
        <is>
          <t>DECOLURE Satin Sheets Queen Size | Softer Than Silk | Luxury 4 Pc Bed Set</t>
        </is>
      </c>
      <c r="E36" s="32" t="inlineStr">
        <is>
          <t>Queen</t>
        </is>
      </c>
      <c r="F36" s="32" t="inlineStr">
        <is>
          <t>Purple</t>
        </is>
      </c>
      <c r="G36" s="60" t="n">
        <v>31.95</v>
      </c>
      <c r="H36" s="32" t="inlineStr">
        <is>
          <t>Helium 10 Xray, 2026-10-13</t>
        </is>
      </c>
      <c r="I36" s="61" t="n">
        <v>31.95</v>
      </c>
      <c r="J36" s="62" t="inlineStr">
        <is>
          <t>2026-03-30</t>
        </is>
      </c>
      <c r="K36" s="33" t="n">
        <v>11.07</v>
      </c>
      <c r="L36" s="63" t="n">
        <v>0.3464788732394367</v>
      </c>
      <c r="M36" s="64" t="n">
        <v>37</v>
      </c>
      <c r="N36" s="32" t="inlineStr">
        <is>
          <t>Active</t>
        </is>
      </c>
      <c r="O36" s="32" t="n"/>
      <c r="P36" s="65" t="n">
        <v>4.4</v>
      </c>
      <c r="Q36" s="64" t="n">
        <v>18632</v>
      </c>
      <c r="R36" s="64" t="n">
        <v>10006</v>
      </c>
      <c r="S36" s="64" t="n">
        <v>48</v>
      </c>
      <c r="T36" s="32" t="n"/>
    </row>
    <row r="37" ht="62" customHeight="1">
      <c r="A37" s="10">
        <f>_xlfn.IMAGE("https://m.media-amazon.com/images/I/811r8QX1AiL.jpg")</f>
        <v/>
      </c>
      <c r="B37" s="32" t="inlineStr">
        <is>
          <t>B0839L7PJL</t>
        </is>
      </c>
      <c r="C37" s="32" t="inlineStr">
        <is>
          <t>SATIN-TWIN-BLACK-NEW</t>
        </is>
      </c>
      <c r="D37" s="32" t="inlineStr">
        <is>
          <t>DECOLURE Satin Sheets Twin Size | Softer Than Silk | Luxury 3 Pc Bed Set</t>
        </is>
      </c>
      <c r="E37" s="32" t="inlineStr">
        <is>
          <t>Twin</t>
        </is>
      </c>
      <c r="F37" s="32" t="inlineStr">
        <is>
          <t>Black</t>
        </is>
      </c>
      <c r="G37" s="60" t="n">
        <v>27.95</v>
      </c>
      <c r="H37" s="32" t="inlineStr">
        <is>
          <t>Helium 10 Xray, 2026-10-13</t>
        </is>
      </c>
      <c r="I37" s="61" t="n">
        <v>27.95</v>
      </c>
      <c r="J37" s="62" t="inlineStr">
        <is>
          <t>2026-03-30</t>
        </is>
      </c>
      <c r="K37" s="33" t="n">
        <v>10.6</v>
      </c>
      <c r="L37" s="63" t="n">
        <v>0.3792486583184257</v>
      </c>
      <c r="M37" s="64" t="n">
        <v>37</v>
      </c>
      <c r="N37" s="32" t="inlineStr">
        <is>
          <t>Active</t>
        </is>
      </c>
      <c r="O37" s="32" t="n"/>
      <c r="P37" s="65" t="n">
        <v>4.4</v>
      </c>
      <c r="Q37" s="64" t="n">
        <v>18632</v>
      </c>
      <c r="R37" s="64" t="n">
        <v>10009</v>
      </c>
      <c r="S37" s="64" t="n">
        <v>61</v>
      </c>
      <c r="T37" s="32" t="n"/>
    </row>
    <row r="38" ht="62" customHeight="1">
      <c r="A38" s="10">
        <f>_xlfn.IMAGE("https://m.media-amazon.com/images/I/81RxsA0xn7L.jpg")</f>
        <v/>
      </c>
      <c r="B38" s="32" t="inlineStr">
        <is>
          <t>B0839LMS13</t>
        </is>
      </c>
      <c r="C38" s="32" t="inlineStr">
        <is>
          <t>SATIN-FULL-GREY</t>
        </is>
      </c>
      <c r="D38" s="32" t="inlineStr">
        <is>
          <t>DECOLURE Satin Sheets Full Size | Softer Than Silk | Luxury 4 Pc Bed Set | Gentle on Hair &amp; Skin | Silky, Shiny Weave | 15 In Deep Pocket w Corner Straps | Full Sheet Set | Grey</t>
        </is>
      </c>
      <c r="E38" s="32" t="inlineStr">
        <is>
          <t>Full</t>
        </is>
      </c>
      <c r="F38" s="32" t="inlineStr">
        <is>
          <t>Grey</t>
        </is>
      </c>
      <c r="G38" s="60" t="n">
        <v>29.95</v>
      </c>
      <c r="H38" s="32" t="inlineStr">
        <is>
          <t>Helium 10 Xray, 2026-10-13</t>
        </is>
      </c>
      <c r="I38" s="61" t="n">
        <v>29.95</v>
      </c>
      <c r="J38" s="62" t="inlineStr">
        <is>
          <t>2026-03-30</t>
        </is>
      </c>
      <c r="K38" s="33" t="n">
        <v>10.57</v>
      </c>
      <c r="L38" s="63" t="n">
        <v>0.3529215358931552</v>
      </c>
      <c r="M38" s="64" t="n">
        <v>33</v>
      </c>
      <c r="N38" s="32" t="inlineStr">
        <is>
          <t>Active</t>
        </is>
      </c>
      <c r="O38" s="32" t="n"/>
      <c r="P38" s="65" t="n">
        <v>4.4</v>
      </c>
      <c r="Q38" s="64" t="n">
        <v>18632</v>
      </c>
      <c r="R38" s="64" t="n">
        <v>10009</v>
      </c>
      <c r="S38" s="64" t="n">
        <v>11</v>
      </c>
      <c r="T38" s="32" t="n"/>
    </row>
    <row r="39" ht="62" customHeight="1">
      <c r="A39" s="10">
        <f>_xlfn.IMAGE("https://m.media-amazon.com/images/I/81UtPaYWlbL.jpg")</f>
        <v/>
      </c>
      <c r="B39" s="32" t="inlineStr">
        <is>
          <t>B0BG228RDJ</t>
        </is>
      </c>
      <c r="C39" s="32" t="inlineStr">
        <is>
          <t>SATIN-SEA-TEAL-QUEEN</t>
        </is>
      </c>
      <c r="D39" s="32" t="inlineStr">
        <is>
          <t>DECOLURE Satin Sheets Queen Size | Softer Than Silk | Luxury 4 Pc Bed Set</t>
        </is>
      </c>
      <c r="E39" s="32" t="inlineStr">
        <is>
          <t>Queen</t>
        </is>
      </c>
      <c r="F39" s="32" t="inlineStr">
        <is>
          <t>Sea Teal</t>
        </is>
      </c>
      <c r="G39" s="60" t="n">
        <v>31.95</v>
      </c>
      <c r="H39" s="32" t="inlineStr">
        <is>
          <t>Helium 10 Xray, 2026-10-13</t>
        </is>
      </c>
      <c r="I39" s="61" t="n">
        <v>31.95</v>
      </c>
      <c r="J39" s="62" t="inlineStr">
        <is>
          <t>2026-03-30</t>
        </is>
      </c>
      <c r="K39" s="33" t="n">
        <v>10.54</v>
      </c>
      <c r="L39" s="63" t="n">
        <v>0.3298904538341158</v>
      </c>
      <c r="M39" s="64" t="n">
        <v>33</v>
      </c>
      <c r="N39" s="32" t="inlineStr">
        <is>
          <t>Active</t>
        </is>
      </c>
      <c r="O39" s="32" t="n"/>
      <c r="P39" s="65" t="n">
        <v>4.4</v>
      </c>
      <c r="Q39" s="64" t="n">
        <v>18632</v>
      </c>
      <c r="R39" s="64" t="n">
        <v>10009</v>
      </c>
      <c r="S39" s="64" t="n">
        <v>7</v>
      </c>
      <c r="T39" s="32" t="n"/>
    </row>
    <row r="40" ht="62" customHeight="1">
      <c r="A40" s="10">
        <f>_xlfn.IMAGE("https://m.media-amazon.com/images/I/81owOVQLwdL.jpg")</f>
        <v/>
      </c>
      <c r="B40" s="32" t="inlineStr">
        <is>
          <t>B0CQRYDFC1</t>
        </is>
      </c>
      <c r="C40" s="32" t="inlineStr">
        <is>
          <t>SATIN-4PC-KING-BABY BLUE</t>
        </is>
      </c>
      <c r="D40" s="32" t="inlineStr">
        <is>
          <t>DECOLURE Satin Sheets King Size | Softer Than Silk | Luxury 4 Pc Bed Set</t>
        </is>
      </c>
      <c r="E40" s="32" t="inlineStr">
        <is>
          <t>King</t>
        </is>
      </c>
      <c r="F40" s="32" t="inlineStr">
        <is>
          <t>Baby Blue</t>
        </is>
      </c>
      <c r="G40" s="60" t="n">
        <v>36.49</v>
      </c>
      <c r="H40" s="32" t="inlineStr">
        <is>
          <t>Helium 10 Xray, 2026-10-13</t>
        </is>
      </c>
      <c r="I40" s="61" t="n">
        <v>33.95</v>
      </c>
      <c r="J40" s="62" t="inlineStr">
        <is>
          <t>2026-03-30</t>
        </is>
      </c>
      <c r="K40" s="33" t="n">
        <v>11.1</v>
      </c>
      <c r="L40" s="63" t="n">
        <v>0.3269513991163476</v>
      </c>
      <c r="M40" s="64" t="n">
        <v>32</v>
      </c>
      <c r="N40" s="32" t="inlineStr">
        <is>
          <t>Active</t>
        </is>
      </c>
      <c r="O40" s="32" t="n"/>
      <c r="P40" s="65" t="n">
        <v>4.4</v>
      </c>
      <c r="Q40" s="64" t="n">
        <v>18632</v>
      </c>
      <c r="R40" s="64" t="n">
        <v>10009</v>
      </c>
      <c r="S40" s="64" t="n">
        <v>5</v>
      </c>
      <c r="T40" s="32" t="n"/>
    </row>
    <row r="41" ht="62" customHeight="1">
      <c r="A41" s="10">
        <f>_xlfn.IMAGE("https://m.media-amazon.com/images/I/81Omquwv1WL.jpg")</f>
        <v/>
      </c>
      <c r="B41" s="32" t="inlineStr">
        <is>
          <t>B0CQRXKRPN</t>
        </is>
      </c>
      <c r="C41" s="32" t="inlineStr">
        <is>
          <t>SATIN-4PC-QUEEN-LAVENDER</t>
        </is>
      </c>
      <c r="D41" s="32" t="inlineStr">
        <is>
          <t>DECOLURE Satin Sheets Queen Size | Softer Than Silk | Luxury 4 Pc Bed Set</t>
        </is>
      </c>
      <c r="E41" s="32" t="inlineStr">
        <is>
          <t>Queen</t>
        </is>
      </c>
      <c r="F41" s="32" t="inlineStr">
        <is>
          <t>Lavender</t>
        </is>
      </c>
      <c r="G41" s="60" t="n">
        <v>31.95</v>
      </c>
      <c r="H41" s="32" t="inlineStr">
        <is>
          <t>Helium 10 Xray, 2026-10-13</t>
        </is>
      </c>
      <c r="I41" s="61" t="n">
        <v>31.95</v>
      </c>
      <c r="J41" s="62" t="inlineStr">
        <is>
          <t>2026-03-30</t>
        </is>
      </c>
      <c r="K41" s="33" t="n">
        <v>11</v>
      </c>
      <c r="L41" s="63" t="n">
        <v>0.3442879499217528</v>
      </c>
      <c r="M41" s="64" t="n">
        <v>29</v>
      </c>
      <c r="N41" s="32" t="inlineStr">
        <is>
          <t>Active</t>
        </is>
      </c>
      <c r="O41" s="32" t="n"/>
      <c r="P41" s="65" t="n">
        <v>4.4</v>
      </c>
      <c r="Q41" s="64" t="n">
        <v>18632</v>
      </c>
      <c r="R41" s="64" t="n">
        <v>10006</v>
      </c>
      <c r="S41" s="64" t="n">
        <v>37</v>
      </c>
      <c r="T41" s="32" t="n"/>
    </row>
    <row r="42" ht="62" customHeight="1">
      <c r="A42" s="10">
        <f>_xlfn.IMAGE("https://m.media-amazon.com/images/I/814U4uyFqnL.jpg")</f>
        <v/>
      </c>
      <c r="B42" s="32" t="inlineStr">
        <is>
          <t>B0CQRWGHJN</t>
        </is>
      </c>
      <c r="C42" s="32" t="inlineStr">
        <is>
          <t>SATIN-4PC-QUEEN-DARK GREEN</t>
        </is>
      </c>
      <c r="D42" s="32" t="inlineStr">
        <is>
          <t>DECOLURE Satin Sheets Queen Size | Softer Than Silk | Luxury 4 Pc Bed Set</t>
        </is>
      </c>
      <c r="E42" s="32" t="inlineStr">
        <is>
          <t>Queen</t>
        </is>
      </c>
      <c r="F42" s="32" t="inlineStr">
        <is>
          <t>Dark Green</t>
        </is>
      </c>
      <c r="G42" s="60" t="n">
        <v>31.95</v>
      </c>
      <c r="H42" s="32" t="inlineStr">
        <is>
          <t>SellerBoard listing price, 2026-10-14</t>
        </is>
      </c>
      <c r="I42" s="61" t="n">
        <v>31.95</v>
      </c>
      <c r="J42" s="62" t="inlineStr">
        <is>
          <t>2026-03-28</t>
        </is>
      </c>
      <c r="K42" s="33" t="n">
        <v>10.85</v>
      </c>
      <c r="L42" s="63" t="n">
        <v>0.3395931142410016</v>
      </c>
      <c r="M42" s="64" t="n">
        <v>28</v>
      </c>
      <c r="N42" s="32" t="inlineStr">
        <is>
          <t>Inactive</t>
        </is>
      </c>
      <c r="O42" s="32" t="n"/>
      <c r="P42" s="65" t="n"/>
      <c r="Q42" s="64" t="n"/>
      <c r="R42" s="64" t="n"/>
      <c r="S42" s="64" t="n"/>
      <c r="T42" s="32" t="n"/>
    </row>
    <row r="43" ht="62" customHeight="1">
      <c r="A43" s="10">
        <f>_xlfn.IMAGE("https://m.media-amazon.com/images/I/81zvGkE8vhL.jpg")</f>
        <v/>
      </c>
      <c r="B43" s="32" t="inlineStr">
        <is>
          <t>B0839LQG4C</t>
        </is>
      </c>
      <c r="C43" s="32" t="inlineStr">
        <is>
          <t>SATIN-QUEEN-PINK</t>
        </is>
      </c>
      <c r="D43" s="32" t="inlineStr">
        <is>
          <t>DECOLURE Satin Sheets Queen Size | Softer Than Silk | Luxury 4 Pc Bed Set</t>
        </is>
      </c>
      <c r="E43" s="32" t="inlineStr">
        <is>
          <t>Queen</t>
        </is>
      </c>
      <c r="F43" s="32" t="inlineStr">
        <is>
          <t>Pink</t>
        </is>
      </c>
      <c r="G43" s="60" t="n">
        <v>31.95</v>
      </c>
      <c r="H43" s="32" t="inlineStr">
        <is>
          <t>Helium 10 Xray, 2026-10-13</t>
        </is>
      </c>
      <c r="I43" s="61" t="n">
        <v>31.95</v>
      </c>
      <c r="J43" s="62" t="inlineStr">
        <is>
          <t>2026-03-30</t>
        </is>
      </c>
      <c r="K43" s="33" t="n">
        <v>10.53</v>
      </c>
      <c r="L43" s="63" t="n">
        <v>0.3295774647887324</v>
      </c>
      <c r="M43" s="64" t="n">
        <v>28</v>
      </c>
      <c r="N43" s="32" t="inlineStr">
        <is>
          <t>Active</t>
        </is>
      </c>
      <c r="O43" s="32" t="n"/>
      <c r="P43" s="65" t="n">
        <v>4.4</v>
      </c>
      <c r="Q43" s="64" t="n">
        <v>18632</v>
      </c>
      <c r="R43" s="64" t="n">
        <v>10006</v>
      </c>
      <c r="S43" s="64" t="n">
        <v>38</v>
      </c>
      <c r="T43" s="32" t="n"/>
    </row>
    <row r="44" ht="62" customHeight="1">
      <c r="A44" s="10">
        <f>_xlfn.IMAGE("https://m.media-amazon.com/images/I/813j5CwQxPL.jpg")</f>
        <v/>
      </c>
      <c r="B44" s="32" t="inlineStr">
        <is>
          <t>B0CQRXNLN6</t>
        </is>
      </c>
      <c r="C44" s="32" t="inlineStr">
        <is>
          <t>SATIN-4PC-KING-NAVY BLUE</t>
        </is>
      </c>
      <c r="D44" s="32" t="inlineStr">
        <is>
          <t>DECOLURE Satin Sheets King Size | Softer Than Silk | Luxury 4 Pc Bed Set</t>
        </is>
      </c>
      <c r="E44" s="32" t="inlineStr">
        <is>
          <t>King</t>
        </is>
      </c>
      <c r="F44" s="32" t="inlineStr">
        <is>
          <t>Navy Blue</t>
        </is>
      </c>
      <c r="G44" s="60" t="n">
        <v>37.99</v>
      </c>
      <c r="H44" s="32" t="inlineStr">
        <is>
          <t>Helium 10 Xray, 2026-10-13</t>
        </is>
      </c>
      <c r="I44" s="61" t="n">
        <v>33.95</v>
      </c>
      <c r="J44" s="62" t="inlineStr">
        <is>
          <t>2026-03-30</t>
        </is>
      </c>
      <c r="K44" s="33" t="n">
        <v>11.02</v>
      </c>
      <c r="L44" s="63" t="n">
        <v>0.3245949926362298</v>
      </c>
      <c r="M44" s="64" t="n">
        <v>27</v>
      </c>
      <c r="N44" s="32" t="inlineStr">
        <is>
          <t>Active</t>
        </is>
      </c>
      <c r="O44" s="32" t="n"/>
      <c r="P44" s="65" t="n">
        <v>4.4</v>
      </c>
      <c r="Q44" s="64" t="n">
        <v>18632</v>
      </c>
      <c r="R44" s="64" t="n">
        <v>10009</v>
      </c>
      <c r="S44" s="64" t="n">
        <v>3</v>
      </c>
      <c r="T44" s="32" t="n"/>
    </row>
    <row r="45" ht="62" customHeight="1">
      <c r="A45" s="10">
        <f>_xlfn.IMAGE("https://m.media-amazon.com/images/I/81Owp6T1ibL.jpg")</f>
        <v/>
      </c>
      <c r="B45" s="32" t="inlineStr">
        <is>
          <t>B0BZPV84V7</t>
        </is>
      </c>
      <c r="C45" s="32" t="inlineStr">
        <is>
          <t>SATIN-CHAMPAGNE-QUEEN</t>
        </is>
      </c>
      <c r="D45" s="32" t="inlineStr">
        <is>
          <t>DECOLURE Satin Sheets Queen Size | Softer Than Silk | Luxury 4 Pc Bed Set</t>
        </is>
      </c>
      <c r="E45" s="32" t="inlineStr">
        <is>
          <t>Queen</t>
        </is>
      </c>
      <c r="F45" s="32" t="inlineStr">
        <is>
          <t>Champagne</t>
        </is>
      </c>
      <c r="G45" s="60" t="n">
        <v>35.95</v>
      </c>
      <c r="H45" s="32" t="inlineStr">
        <is>
          <t>Helium 10 Xray, 2026-10-13</t>
        </is>
      </c>
      <c r="I45" s="61" t="n">
        <v>31.95</v>
      </c>
      <c r="J45" s="62" t="inlineStr">
        <is>
          <t>2026-03-30</t>
        </is>
      </c>
      <c r="K45" s="33" t="n">
        <v>10.86</v>
      </c>
      <c r="L45" s="63" t="n">
        <v>0.339906103286385</v>
      </c>
      <c r="M45" s="64" t="n">
        <v>26</v>
      </c>
      <c r="N45" s="32" t="inlineStr">
        <is>
          <t>Active</t>
        </is>
      </c>
      <c r="O45" s="32" t="n"/>
      <c r="P45" s="65" t="n">
        <v>4.4</v>
      </c>
      <c r="Q45" s="64" t="n">
        <v>18632</v>
      </c>
      <c r="R45" s="64" t="n">
        <v>10009</v>
      </c>
      <c r="S45" s="64" t="n">
        <v>7</v>
      </c>
      <c r="T45" s="32" t="n"/>
    </row>
    <row r="46" ht="62" customHeight="1">
      <c r="A46" s="10">
        <f>_xlfn.IMAGE("https://m.media-amazon.com/images/I/812d7h4NK3L.jpg")</f>
        <v/>
      </c>
      <c r="B46" s="32" t="inlineStr">
        <is>
          <t>B0BG23H2QY</t>
        </is>
      </c>
      <c r="C46" s="32" t="inlineStr">
        <is>
          <t>SATIN-STONEGREY-FULL</t>
        </is>
      </c>
      <c r="D46" s="32" t="inlineStr">
        <is>
          <t>DECOLURE Satin Sheets Full Size | Softer Than Silk | Luxury 4 Pc Bed Set</t>
        </is>
      </c>
      <c r="E46" s="32" t="inlineStr">
        <is>
          <t>Full</t>
        </is>
      </c>
      <c r="F46" s="32" t="inlineStr">
        <is>
          <t>Stone Grey</t>
        </is>
      </c>
      <c r="G46" s="60" t="n">
        <v>29.95</v>
      </c>
      <c r="H46" s="32" t="inlineStr">
        <is>
          <t>Helium 10 Xray, 2026-10-13</t>
        </is>
      </c>
      <c r="I46" s="61" t="n">
        <v>29.95</v>
      </c>
      <c r="J46" s="62" t="inlineStr">
        <is>
          <t>2026-03-30</t>
        </is>
      </c>
      <c r="K46" s="33" t="n">
        <v>9.84</v>
      </c>
      <c r="L46" s="63" t="n">
        <v>0.3285475792988313</v>
      </c>
      <c r="M46" s="64" t="n">
        <v>25</v>
      </c>
      <c r="N46" s="32" t="inlineStr">
        <is>
          <t>Active</t>
        </is>
      </c>
      <c r="O46" s="32" t="n"/>
      <c r="P46" s="65" t="n">
        <v>4.4</v>
      </c>
      <c r="Q46" s="64" t="n">
        <v>18632</v>
      </c>
      <c r="R46" s="64" t="n">
        <v>10009</v>
      </c>
      <c r="S46" s="64" t="n">
        <v>36</v>
      </c>
      <c r="T46" s="32" t="n"/>
    </row>
    <row r="47" ht="62" customHeight="1">
      <c r="A47" s="10">
        <f>_xlfn.IMAGE("https://m.media-amazon.com/images/I/81Ktu4N6y2L.jpg")</f>
        <v/>
      </c>
      <c r="B47" s="32" t="inlineStr">
        <is>
          <t>B0DBR1DWPP</t>
        </is>
      </c>
      <c r="C47" s="32" t="inlineStr">
        <is>
          <t>SATIN-4PCS-KING-ROSEWOOD</t>
        </is>
      </c>
      <c r="D47" s="32" t="inlineStr">
        <is>
          <t>DECOLURE Satin Sheets King Size | Softer Than Silk | Luxury 4 Pc Bed Set</t>
        </is>
      </c>
      <c r="E47" s="32" t="inlineStr">
        <is>
          <t>King</t>
        </is>
      </c>
      <c r="F47" s="32" t="inlineStr">
        <is>
          <t>Rosewood</t>
        </is>
      </c>
      <c r="G47" s="60" t="n">
        <v>36.95</v>
      </c>
      <c r="H47" s="32" t="inlineStr">
        <is>
          <t>Helium 10 Xray, 2026-10-13</t>
        </is>
      </c>
      <c r="I47" s="61" t="n">
        <v>33.95</v>
      </c>
      <c r="J47" s="62" t="inlineStr">
        <is>
          <t>2026-03-30</t>
        </is>
      </c>
      <c r="K47" s="33" t="n">
        <v>10.47</v>
      </c>
      <c r="L47" s="63" t="n">
        <v>0.3083946980854198</v>
      </c>
      <c r="M47" s="64" t="n">
        <v>24</v>
      </c>
      <c r="N47" s="32" t="inlineStr">
        <is>
          <t>Active</t>
        </is>
      </c>
      <c r="O47" s="32" t="n"/>
      <c r="P47" s="65" t="n">
        <v>4.4</v>
      </c>
      <c r="Q47" s="64" t="n">
        <v>18632</v>
      </c>
      <c r="R47" s="64" t="n">
        <v>10006</v>
      </c>
      <c r="S47" s="64" t="n">
        <v>69</v>
      </c>
      <c r="T47" s="32" t="n"/>
    </row>
    <row r="48" ht="62" customHeight="1">
      <c r="A48" s="10">
        <f>_xlfn.IMAGE("https://m.media-amazon.com/images/I/81Yn7rZGUhL.jpg")</f>
        <v/>
      </c>
      <c r="B48" s="32" t="inlineStr">
        <is>
          <t>B0839LP6TM</t>
        </is>
      </c>
      <c r="C48" s="32" t="inlineStr">
        <is>
          <t>SATIN-FULL-PURPLE</t>
        </is>
      </c>
      <c r="D48" s="32" t="inlineStr">
        <is>
          <t>DECOLURE Satin Sheets Full Size | Softer Than Silk | Luxury 4 Pc Bed Set</t>
        </is>
      </c>
      <c r="E48" s="32" t="inlineStr">
        <is>
          <t>Full</t>
        </is>
      </c>
      <c r="F48" s="32" t="inlineStr">
        <is>
          <t>Purple</t>
        </is>
      </c>
      <c r="G48" s="60" t="n">
        <v>29.95</v>
      </c>
      <c r="H48" s="32" t="inlineStr">
        <is>
          <t>Helium 10 Xray, 2026-10-13</t>
        </is>
      </c>
      <c r="I48" s="61" t="n">
        <v>29.95</v>
      </c>
      <c r="J48" s="62" t="inlineStr">
        <is>
          <t>2026-03-30</t>
        </is>
      </c>
      <c r="K48" s="33" t="n">
        <v>11.26</v>
      </c>
      <c r="L48" s="63" t="n">
        <v>0.3759599332220367</v>
      </c>
      <c r="M48" s="64" t="n">
        <v>23</v>
      </c>
      <c r="N48" s="32" t="inlineStr">
        <is>
          <t>Active</t>
        </is>
      </c>
      <c r="O48" s="32" t="n"/>
      <c r="P48" s="65" t="n">
        <v>4.4</v>
      </c>
      <c r="Q48" s="64" t="n">
        <v>18632</v>
      </c>
      <c r="R48" s="64" t="n">
        <v>10006</v>
      </c>
      <c r="S48" s="64" t="n">
        <v>11</v>
      </c>
      <c r="T48" s="32" t="n"/>
    </row>
    <row r="49" ht="62" customHeight="1">
      <c r="A49" s="10">
        <f>_xlfn.IMAGE("https://m.media-amazon.com/images/I/814U4uyFqnL.jpg")</f>
        <v/>
      </c>
      <c r="B49" s="32" t="inlineStr">
        <is>
          <t>B0CQPPJFWN</t>
        </is>
      </c>
      <c r="C49" s="32" t="inlineStr">
        <is>
          <t>SATIN-4PC-KING-DARK GREEN</t>
        </is>
      </c>
      <c r="D49" s="32" t="inlineStr">
        <is>
          <t>DECOLURE Satin Sheets King Size | Softer Than Silk | Luxury 4 Pc Bed Set</t>
        </is>
      </c>
      <c r="E49" s="32" t="inlineStr">
        <is>
          <t>King</t>
        </is>
      </c>
      <c r="F49" s="32" t="inlineStr">
        <is>
          <t>Dark Green</t>
        </is>
      </c>
      <c r="G49" s="60" t="n">
        <v>33.95</v>
      </c>
      <c r="H49" s="32" t="inlineStr">
        <is>
          <t>Helium 10 Xray, 2026-10-13</t>
        </is>
      </c>
      <c r="I49" s="61" t="n">
        <v>33.95</v>
      </c>
      <c r="J49" s="62" t="inlineStr">
        <is>
          <t>2026-03-30</t>
        </is>
      </c>
      <c r="K49" s="33" t="n">
        <v>10.71</v>
      </c>
      <c r="L49" s="63" t="n">
        <v>0.3154639175257732</v>
      </c>
      <c r="M49" s="64" t="n">
        <v>23</v>
      </c>
      <c r="N49" s="32" t="inlineStr">
        <is>
          <t>Active</t>
        </is>
      </c>
      <c r="O49" s="32" t="n"/>
      <c r="P49" s="65" t="n">
        <v>4.4</v>
      </c>
      <c r="Q49" s="64" t="n">
        <v>18632</v>
      </c>
      <c r="R49" s="64" t="n">
        <v>10009</v>
      </c>
      <c r="S49" s="64" t="n">
        <v>4</v>
      </c>
      <c r="T49" s="32" t="n"/>
    </row>
    <row r="50" ht="62" customHeight="1">
      <c r="A50" s="10">
        <f>_xlfn.IMAGE("https://m.media-amazon.com/images/I/812d7h4NK3L.jpg")</f>
        <v/>
      </c>
      <c r="B50" s="32" t="inlineStr">
        <is>
          <t>B0DBR1X2XQ</t>
        </is>
      </c>
      <c r="C50" s="32" t="inlineStr">
        <is>
          <t>SATIN-4PCS-KING-STONEGREY</t>
        </is>
      </c>
      <c r="D50" s="32" t="inlineStr">
        <is>
          <t>DECOLURE Satin Sheets King Size | Softer Than Silk | Luxury 4 Pc Bed Set</t>
        </is>
      </c>
      <c r="E50" s="32" t="inlineStr">
        <is>
          <t>King</t>
        </is>
      </c>
      <c r="F50" s="32" t="inlineStr">
        <is>
          <t>Stone Grey</t>
        </is>
      </c>
      <c r="G50" s="60" t="n">
        <v>33.95</v>
      </c>
      <c r="H50" s="32" t="inlineStr">
        <is>
          <t>Helium 10 Xray, 2026-10-13</t>
        </is>
      </c>
      <c r="I50" s="61" t="n">
        <v>33.95</v>
      </c>
      <c r="J50" s="62" t="inlineStr">
        <is>
          <t>2026-03-30</t>
        </is>
      </c>
      <c r="K50" s="33" t="n">
        <v>10.46</v>
      </c>
      <c r="L50" s="63" t="n">
        <v>0.3081001472754051</v>
      </c>
      <c r="M50" s="64" t="n">
        <v>23</v>
      </c>
      <c r="N50" s="32" t="inlineStr">
        <is>
          <t>Active</t>
        </is>
      </c>
      <c r="O50" s="32" t="n"/>
      <c r="P50" s="65" t="n">
        <v>4.4</v>
      </c>
      <c r="Q50" s="64" t="n">
        <v>18632</v>
      </c>
      <c r="R50" s="64" t="n">
        <v>10009</v>
      </c>
      <c r="S50" s="64" t="n">
        <v>39</v>
      </c>
      <c r="T50" s="32" t="n"/>
    </row>
    <row r="51" ht="62" customHeight="1">
      <c r="A51" s="10">
        <f>_xlfn.IMAGE("https://m.media-amazon.com/images/I/81NOa451cTL.jpg")</f>
        <v/>
      </c>
      <c r="B51" s="32" t="inlineStr">
        <is>
          <t>B08KRW2BX3</t>
        </is>
      </c>
      <c r="C51" s="32" t="inlineStr">
        <is>
          <t>SATIN-GOLD-QUEEN</t>
        </is>
      </c>
      <c r="D51" s="32" t="inlineStr">
        <is>
          <t>DECOLURE Satin Sheets Queen Size | Softer Than Silk | Luxury 4 Pc Bed Set</t>
        </is>
      </c>
      <c r="E51" s="32" t="inlineStr">
        <is>
          <t>Queen</t>
        </is>
      </c>
      <c r="F51" s="32" t="inlineStr">
        <is>
          <t>Gold</t>
        </is>
      </c>
      <c r="G51" s="60" t="n">
        <v>31.95</v>
      </c>
      <c r="H51" s="32" t="inlineStr">
        <is>
          <t>Helium 10 Xray, 2026-10-13</t>
        </is>
      </c>
      <c r="I51" s="61" t="n">
        <v>31.95</v>
      </c>
      <c r="J51" s="62" t="inlineStr">
        <is>
          <t>2026-03-30</t>
        </is>
      </c>
      <c r="K51" s="33" t="n">
        <v>10.99</v>
      </c>
      <c r="L51" s="63" t="n">
        <v>0.3439749608763694</v>
      </c>
      <c r="M51" s="64" t="n">
        <v>22</v>
      </c>
      <c r="N51" s="32" t="inlineStr">
        <is>
          <t>Active</t>
        </is>
      </c>
      <c r="O51" s="32" t="n"/>
      <c r="P51" s="65" t="n">
        <v>4.4</v>
      </c>
      <c r="Q51" s="64" t="n">
        <v>18632</v>
      </c>
      <c r="R51" s="64" t="n">
        <v>10006</v>
      </c>
      <c r="S51" s="64" t="n">
        <v>10</v>
      </c>
      <c r="T51" s="32" t="n"/>
    </row>
    <row r="52" ht="62" customHeight="1">
      <c r="A52" s="10">
        <f>_xlfn.IMAGE("https://m.media-amazon.com/images/I/81gmHuZbW4L.jpg")</f>
        <v/>
      </c>
      <c r="B52" s="32" t="inlineStr">
        <is>
          <t>B08KRNYD9B</t>
        </is>
      </c>
      <c r="C52" s="32" t="inlineStr">
        <is>
          <t>SATIN-WHITE-FULL</t>
        </is>
      </c>
      <c r="D52" s="32" t="inlineStr">
        <is>
          <t>DECOLURE Satin Sheets Full Size | Softer Than Silk | Luxury 4 Pc Bed Set | Gentle on Hair &amp; Skin | Silky, Shiny Weave | 15 In Deep Pocket w Corner Straps | Full Sheet Set | White</t>
        </is>
      </c>
      <c r="E52" s="32" t="inlineStr">
        <is>
          <t>Full</t>
        </is>
      </c>
      <c r="F52" s="32" t="inlineStr">
        <is>
          <t>White</t>
        </is>
      </c>
      <c r="G52" s="60" t="n">
        <v>29.95</v>
      </c>
      <c r="H52" s="32" t="inlineStr">
        <is>
          <t>Helium 10 Xray, 2026-10-13</t>
        </is>
      </c>
      <c r="I52" s="61" t="n">
        <v>29.95</v>
      </c>
      <c r="J52" s="62" t="inlineStr">
        <is>
          <t>2026-03-30</t>
        </is>
      </c>
      <c r="K52" s="33" t="n">
        <v>10.55</v>
      </c>
      <c r="L52" s="63" t="n">
        <v>0.3522537562604341</v>
      </c>
      <c r="M52" s="64" t="n">
        <v>19</v>
      </c>
      <c r="N52" s="32" t="inlineStr">
        <is>
          <t>Active</t>
        </is>
      </c>
      <c r="O52" s="32" t="n"/>
      <c r="P52" s="65" t="n">
        <v>4.4</v>
      </c>
      <c r="Q52" s="64" t="n">
        <v>18632</v>
      </c>
      <c r="R52" s="64" t="n">
        <v>10009</v>
      </c>
      <c r="S52" s="64" t="n">
        <v>15</v>
      </c>
      <c r="T52" s="32" t="n"/>
    </row>
    <row r="53" ht="62" customHeight="1">
      <c r="A53" s="10">
        <f>_xlfn.IMAGE("https://m.media-amazon.com/images/I/81zgEKHZOlL.jpg")</f>
        <v/>
      </c>
      <c r="B53" s="32" t="inlineStr">
        <is>
          <t>B0CNS8T4ZK</t>
        </is>
      </c>
      <c r="C53" s="32" t="inlineStr">
        <is>
          <t>SATIN-QUEEN-BLUSH PINK</t>
        </is>
      </c>
      <c r="D53" s="32" t="inlineStr">
        <is>
          <t>DECOLURE Satin Sheets Queen Size | Softer Than Silk | Luxury 4 Pc Bed Set</t>
        </is>
      </c>
      <c r="E53" s="32" t="inlineStr">
        <is>
          <t>Queen</t>
        </is>
      </c>
      <c r="F53" s="32" t="inlineStr">
        <is>
          <t>Blush Pink</t>
        </is>
      </c>
      <c r="G53" s="60" t="n">
        <v>36.95</v>
      </c>
      <c r="H53" s="32" t="inlineStr">
        <is>
          <t>Helium 10 Xray, 2026-10-13</t>
        </is>
      </c>
      <c r="I53" s="61" t="n">
        <v>31.95</v>
      </c>
      <c r="J53" s="62" t="inlineStr">
        <is>
          <t>2026-03-30</t>
        </is>
      </c>
      <c r="K53" s="33" t="n">
        <v>10.96</v>
      </c>
      <c r="L53" s="63" t="n">
        <v>0.3430359937402191</v>
      </c>
      <c r="M53" s="64" t="n">
        <v>19</v>
      </c>
      <c r="N53" s="32" t="inlineStr">
        <is>
          <t>Active</t>
        </is>
      </c>
      <c r="O53" s="32" t="n"/>
      <c r="P53" s="65" t="n">
        <v>4.4</v>
      </c>
      <c r="Q53" s="64" t="n">
        <v>18632</v>
      </c>
      <c r="R53" s="64" t="n">
        <v>10006</v>
      </c>
      <c r="S53" s="64" t="n">
        <v>40</v>
      </c>
      <c r="T53" s="32" t="n"/>
    </row>
    <row r="54" ht="62" customHeight="1">
      <c r="A54" s="10">
        <f>_xlfn.IMAGE("https://m.media-amazon.com/images/I/81VtFuMce8L.jpg")</f>
        <v/>
      </c>
      <c r="B54" s="32" t="inlineStr">
        <is>
          <t>B0839L9RSB</t>
        </is>
      </c>
      <c r="C54" s="32" t="inlineStr">
        <is>
          <t>SATIN-FULL-BLUE</t>
        </is>
      </c>
      <c r="D54" s="32" t="inlineStr">
        <is>
          <t>DECOLURE Satin Bed Sheets - 4 Piece Luxury Silky Full Size Bedding Set - Softer Than Silk, Wrinkle-Free with 15” Deep Pocket Fitted Sheet, Perfect for Hair &amp; Skin, Gifts for Women (Blue)</t>
        </is>
      </c>
      <c r="E54" s="32" t="inlineStr">
        <is>
          <t>Full</t>
        </is>
      </c>
      <c r="F54" s="32" t="inlineStr">
        <is>
          <t>Blue</t>
        </is>
      </c>
      <c r="G54" s="60" t="n">
        <v>29.95</v>
      </c>
      <c r="H54" s="32" t="inlineStr">
        <is>
          <t>Helium 10 Xray, 2026-10-13</t>
        </is>
      </c>
      <c r="I54" s="61" t="n">
        <v>29.95</v>
      </c>
      <c r="J54" s="62" t="inlineStr">
        <is>
          <t>2026-03-30</t>
        </is>
      </c>
      <c r="K54" s="33" t="n">
        <v>10.67</v>
      </c>
      <c r="L54" s="63" t="n">
        <v>0.3562604340567613</v>
      </c>
      <c r="M54" s="64" t="n">
        <v>18</v>
      </c>
      <c r="N54" s="32" t="inlineStr">
        <is>
          <t>Active</t>
        </is>
      </c>
      <c r="O54" s="32" t="n"/>
      <c r="P54" s="65" t="n">
        <v>4.4</v>
      </c>
      <c r="Q54" s="64" t="n">
        <v>18632</v>
      </c>
      <c r="R54" s="64" t="n">
        <v>10006</v>
      </c>
      <c r="S54" s="64" t="n">
        <v>12</v>
      </c>
      <c r="T54" s="32" t="n"/>
    </row>
    <row r="55" ht="62" customHeight="1">
      <c r="A55" s="10">
        <f>_xlfn.IMAGE("https://m.media-amazon.com/images/I/81xinUykzIL.jpg")</f>
        <v/>
      </c>
      <c r="B55" s="32" t="inlineStr">
        <is>
          <t>B0BG22CYFP</t>
        </is>
      </c>
      <c r="C55" s="32" t="inlineStr">
        <is>
          <t>SATIN-IVORY-FULL</t>
        </is>
      </c>
      <c r="D55" s="32" t="inlineStr">
        <is>
          <t>DECOLURE Satin Sheets Full Size | Softer Than Silk | Luxury 4 Pc Bed Set</t>
        </is>
      </c>
      <c r="E55" s="32" t="inlineStr">
        <is>
          <t>Full</t>
        </is>
      </c>
      <c r="F55" s="32" t="inlineStr">
        <is>
          <t>Ivory</t>
        </is>
      </c>
      <c r="G55" s="60" t="n">
        <v>31.95</v>
      </c>
      <c r="H55" s="32" t="inlineStr">
        <is>
          <t>Helium 10 Xray, 2026-10-13</t>
        </is>
      </c>
      <c r="I55" s="61" t="n">
        <v>29.95</v>
      </c>
      <c r="J55" s="62" t="inlineStr">
        <is>
          <t>2026-03-30</t>
        </is>
      </c>
      <c r="K55" s="33" t="n">
        <v>9.32</v>
      </c>
      <c r="L55" s="63" t="n">
        <v>0.3111853088480802</v>
      </c>
      <c r="M55" s="64" t="n">
        <v>18</v>
      </c>
      <c r="N55" s="32" t="inlineStr">
        <is>
          <t>Active</t>
        </is>
      </c>
      <c r="O55" s="32" t="n"/>
      <c r="P55" s="65" t="n">
        <v>4.4</v>
      </c>
      <c r="Q55" s="64" t="n">
        <v>18632</v>
      </c>
      <c r="R55" s="64" t="n">
        <v>10006</v>
      </c>
      <c r="S55" s="64" t="n">
        <v>8</v>
      </c>
      <c r="T55" s="32" t="n"/>
    </row>
    <row r="56" ht="62" customHeight="1">
      <c r="A56" s="10">
        <f>_xlfn.IMAGE("https://m.media-amazon.com/images/I/81XsKf7Tk0L.jpg")</f>
        <v/>
      </c>
      <c r="B56" s="32" t="inlineStr">
        <is>
          <t>B08KRHBD49</t>
        </is>
      </c>
      <c r="C56" s="32" t="inlineStr">
        <is>
          <t>SATIN-RED-FULL</t>
        </is>
      </c>
      <c r="D56" s="32" t="inlineStr">
        <is>
          <t>DECOLURE Satin Sheets Full Size | Softer Than Silk | Luxury 4 Pc Bed Set</t>
        </is>
      </c>
      <c r="E56" s="32" t="inlineStr">
        <is>
          <t>Full</t>
        </is>
      </c>
      <c r="F56" s="32" t="inlineStr">
        <is>
          <t>Red</t>
        </is>
      </c>
      <c r="G56" s="60" t="n">
        <v>31.95</v>
      </c>
      <c r="H56" s="32" t="inlineStr">
        <is>
          <t>Helium 10 Xray, 2026-10-13</t>
        </is>
      </c>
      <c r="I56" s="61" t="n">
        <v>47.95</v>
      </c>
      <c r="J56" s="62" t="inlineStr">
        <is>
          <t>2026-03-30</t>
        </is>
      </c>
      <c r="K56" s="33" t="n">
        <v>26.04000000000001</v>
      </c>
      <c r="L56" s="63" t="n">
        <v>0.543065693430657</v>
      </c>
      <c r="M56" s="64" t="n">
        <v>18</v>
      </c>
      <c r="N56" s="32" t="inlineStr">
        <is>
          <t>Active</t>
        </is>
      </c>
      <c r="O56" s="32" t="n"/>
      <c r="P56" s="65" t="n">
        <v>4.4</v>
      </c>
      <c r="Q56" s="64" t="n">
        <v>18632</v>
      </c>
      <c r="R56" s="64" t="n">
        <v>10006</v>
      </c>
      <c r="S56" s="64" t="n">
        <v>10</v>
      </c>
      <c r="T56" s="32" t="n"/>
    </row>
    <row r="57" ht="62" customHeight="1">
      <c r="A57" s="10">
        <f>_xlfn.IMAGE("https://m.media-amazon.com/images/I/81b2FINCUgL.jpg")</f>
        <v/>
      </c>
      <c r="B57" s="32" t="inlineStr">
        <is>
          <t>B0CQRY9WLG</t>
        </is>
      </c>
      <c r="C57" s="32" t="inlineStr">
        <is>
          <t>SATIN-4PC-FULL-SAGE GREEN</t>
        </is>
      </c>
      <c r="D57" s="32" t="inlineStr">
        <is>
          <t>DECOLURE Satin Sheets Full Size | Softer Than Silk | Luxury 4 Pc Bed Set</t>
        </is>
      </c>
      <c r="E57" s="32" t="inlineStr">
        <is>
          <t>Full</t>
        </is>
      </c>
      <c r="F57" s="32" t="inlineStr">
        <is>
          <t>Sage Green</t>
        </is>
      </c>
      <c r="G57" s="60" t="n">
        <v>29.95</v>
      </c>
      <c r="H57" s="32" t="inlineStr">
        <is>
          <t>Helium 10 Xray, 2026-10-13</t>
        </is>
      </c>
      <c r="I57" s="61" t="n">
        <v>29.95</v>
      </c>
      <c r="J57" s="62" t="inlineStr">
        <is>
          <t>2026-03-30</t>
        </is>
      </c>
      <c r="K57" s="33" t="n">
        <v>9.77</v>
      </c>
      <c r="L57" s="63" t="n">
        <v>0.3262103505843072</v>
      </c>
      <c r="M57" s="64" t="n">
        <v>18</v>
      </c>
      <c r="N57" s="32" t="inlineStr">
        <is>
          <t>Active</t>
        </is>
      </c>
      <c r="O57" s="32" t="n"/>
      <c r="P57" s="65" t="n">
        <v>4.4</v>
      </c>
      <c r="Q57" s="64" t="n">
        <v>18632</v>
      </c>
      <c r="R57" s="64" t="n">
        <v>10006</v>
      </c>
      <c r="S57" s="64" t="n">
        <v>9</v>
      </c>
      <c r="T57" s="32" t="n"/>
    </row>
    <row r="58" ht="62" customHeight="1">
      <c r="A58" s="10">
        <f>_xlfn.IMAGE("https://m.media-amazon.com/images/I/81NiOUuge2L.jpg")</f>
        <v/>
      </c>
      <c r="B58" s="32" t="inlineStr">
        <is>
          <t>B0CQRZ6JQ3</t>
        </is>
      </c>
      <c r="C58" s="32" t="inlineStr">
        <is>
          <t>SATIN-4PC-QUEEN-BURNT ORANGE</t>
        </is>
      </c>
      <c r="D58" s="32" t="inlineStr">
        <is>
          <t>DECOLURE Satin Sheets Queen Size | Softer Than Silk | Luxury 4 Pc Bed Set</t>
        </is>
      </c>
      <c r="E58" s="32" t="inlineStr">
        <is>
          <t>Queen</t>
        </is>
      </c>
      <c r="F58" s="32" t="inlineStr">
        <is>
          <t>Burnt Orange</t>
        </is>
      </c>
      <c r="G58" s="60" t="n">
        <v>31.95</v>
      </c>
      <c r="H58" s="32" t="inlineStr">
        <is>
          <t>Helium 10 Xray, 2026-10-13</t>
        </is>
      </c>
      <c r="I58" s="61" t="n">
        <v>31.95</v>
      </c>
      <c r="J58" s="62" t="inlineStr">
        <is>
          <t>2026-03-30</t>
        </is>
      </c>
      <c r="K58" s="33" t="n">
        <v>10.91</v>
      </c>
      <c r="L58" s="63" t="n">
        <v>0.341471048513302</v>
      </c>
      <c r="M58" s="64" t="n">
        <v>18</v>
      </c>
      <c r="N58" s="32" t="inlineStr">
        <is>
          <t>Active</t>
        </is>
      </c>
      <c r="O58" s="32" t="n"/>
      <c r="P58" s="65" t="n">
        <v>4.4</v>
      </c>
      <c r="Q58" s="64" t="n">
        <v>18632</v>
      </c>
      <c r="R58" s="64" t="n">
        <v>10006</v>
      </c>
      <c r="S58" s="64" t="n">
        <v>5</v>
      </c>
      <c r="T58" s="32" t="n"/>
    </row>
    <row r="59" ht="62" customHeight="1">
      <c r="A59" s="10">
        <f>_xlfn.IMAGE("https://m.media-amazon.com/images/I/813j5CwQxPL.jpg")</f>
        <v/>
      </c>
      <c r="B59" s="32" t="inlineStr">
        <is>
          <t>B0CQRYGLY3</t>
        </is>
      </c>
      <c r="C59" s="32" t="inlineStr">
        <is>
          <t>SATIN-4PC-FULL-NAVY BLUE</t>
        </is>
      </c>
      <c r="D59" s="32" t="inlineStr">
        <is>
          <t>DECOLURE Satin Sheets Full Size | Softer Than Silk | Luxury 4 Pc Bed Set</t>
        </is>
      </c>
      <c r="E59" s="32" t="inlineStr">
        <is>
          <t>Full</t>
        </is>
      </c>
      <c r="F59" s="32" t="inlineStr">
        <is>
          <t>Navy Blue</t>
        </is>
      </c>
      <c r="G59" s="60" t="n">
        <v>32.95</v>
      </c>
      <c r="H59" s="32" t="inlineStr">
        <is>
          <t>Helium 10 Xray, 2026-10-13</t>
        </is>
      </c>
      <c r="I59" s="61" t="n">
        <v>29.95</v>
      </c>
      <c r="J59" s="62" t="inlineStr">
        <is>
          <t>2026-03-30</t>
        </is>
      </c>
      <c r="K59" s="33" t="n">
        <v>10.62</v>
      </c>
      <c r="L59" s="63" t="n">
        <v>0.3545909849749582</v>
      </c>
      <c r="M59" s="64" t="n">
        <v>17</v>
      </c>
      <c r="N59" s="32" t="inlineStr">
        <is>
          <t>Active</t>
        </is>
      </c>
      <c r="O59" s="32" t="n"/>
      <c r="P59" s="65" t="n">
        <v>4.4</v>
      </c>
      <c r="Q59" s="64" t="n">
        <v>18632</v>
      </c>
      <c r="R59" s="64" t="n">
        <v>10006</v>
      </c>
      <c r="S59" s="64" t="n">
        <v>9</v>
      </c>
      <c r="T59" s="32" t="n"/>
    </row>
    <row r="60" ht="62" customHeight="1">
      <c r="A60" s="10">
        <f>_xlfn.IMAGE("https://m.media-amazon.com/images/I/81zvGkE8vhL.jpg")</f>
        <v/>
      </c>
      <c r="B60" s="32" t="inlineStr">
        <is>
          <t>B0839L6QG5</t>
        </is>
      </c>
      <c r="C60" s="32" t="inlineStr">
        <is>
          <t>SATIN-FULL-PINK</t>
        </is>
      </c>
      <c r="D60" s="32" t="inlineStr">
        <is>
          <t>DECOLURE Satin Sheets Full Size | Softer Than Silk | Luxury 4 Pc Bed Set</t>
        </is>
      </c>
      <c r="E60" s="32" t="inlineStr">
        <is>
          <t>Full</t>
        </is>
      </c>
      <c r="F60" s="32" t="inlineStr">
        <is>
          <t>Pink</t>
        </is>
      </c>
      <c r="G60" s="60" t="n">
        <v>29.95</v>
      </c>
      <c r="H60" s="32" t="inlineStr">
        <is>
          <t>Helium 10 Xray, 2026-10-13</t>
        </is>
      </c>
      <c r="I60" s="61" t="n">
        <v>29.95</v>
      </c>
      <c r="J60" s="62" t="inlineStr">
        <is>
          <t>2026-03-30</t>
        </is>
      </c>
      <c r="K60" s="33" t="n">
        <v>10.37</v>
      </c>
      <c r="L60" s="63" t="n">
        <v>0.3462437395659432</v>
      </c>
      <c r="M60" s="64" t="n">
        <v>17</v>
      </c>
      <c r="N60" s="32" t="inlineStr">
        <is>
          <t>Active</t>
        </is>
      </c>
      <c r="O60" s="32" t="n"/>
      <c r="P60" s="65" t="n">
        <v>4.4</v>
      </c>
      <c r="Q60" s="64" t="n">
        <v>18632</v>
      </c>
      <c r="R60" s="64" t="n">
        <v>10006</v>
      </c>
      <c r="S60" s="64" t="n">
        <v>11</v>
      </c>
      <c r="T60" s="32" t="n"/>
    </row>
    <row r="61" ht="62" customHeight="1">
      <c r="A61" s="10">
        <f>_xlfn.IMAGE("https://m.media-amazon.com/images/I/81NiOUuge2L.jpg")</f>
        <v/>
      </c>
      <c r="B61" s="32" t="inlineStr">
        <is>
          <t>B0CQRXP69H</t>
        </is>
      </c>
      <c r="C61" s="32" t="inlineStr">
        <is>
          <t>SATIN-4PC-KING-BURNT ORANGE</t>
        </is>
      </c>
      <c r="D61" s="32" t="inlineStr">
        <is>
          <t>DECOLURE Satin Sheets King Size | Softer Than Silk | Luxury 4 Pc Bed Set</t>
        </is>
      </c>
      <c r="E61" s="32" t="inlineStr">
        <is>
          <t>King</t>
        </is>
      </c>
      <c r="F61" s="32" t="inlineStr">
        <is>
          <t>Burnt Orange</t>
        </is>
      </c>
      <c r="G61" s="60" t="n">
        <v>33.95</v>
      </c>
      <c r="H61" s="32" t="inlineStr">
        <is>
          <t>Helium 10 Xray, 2026-10-13</t>
        </is>
      </c>
      <c r="I61" s="61" t="n">
        <v>33.95</v>
      </c>
      <c r="J61" s="62" t="inlineStr">
        <is>
          <t>2026-03-30</t>
        </is>
      </c>
      <c r="K61" s="33" t="n">
        <v>11.07</v>
      </c>
      <c r="L61" s="63" t="n">
        <v>0.3260677466863033</v>
      </c>
      <c r="M61" s="64" t="n">
        <v>17</v>
      </c>
      <c r="N61" s="32" t="inlineStr">
        <is>
          <t>Active</t>
        </is>
      </c>
      <c r="O61" s="32" t="n"/>
      <c r="P61" s="65" t="n">
        <v>4.4</v>
      </c>
      <c r="Q61" s="64" t="n">
        <v>18632</v>
      </c>
      <c r="R61" s="64" t="n">
        <v>10006</v>
      </c>
      <c r="S61" s="64" t="n">
        <v>3</v>
      </c>
      <c r="T61" s="32" t="n"/>
    </row>
    <row r="62" ht="62" customHeight="1">
      <c r="A62" s="10">
        <f>_xlfn.IMAGE("https://m.media-amazon.com/images/I/81Omquwv1WL.jpg")</f>
        <v/>
      </c>
      <c r="B62" s="32" t="inlineStr">
        <is>
          <t>B0CQRX1Q8Z</t>
        </is>
      </c>
      <c r="C62" s="32" t="inlineStr">
        <is>
          <t>SATIN-4PC-KING-LAVENDER</t>
        </is>
      </c>
      <c r="D62" s="32" t="inlineStr">
        <is>
          <t>DECOLURE Satin Sheets King Size | Softer Than Silk | Luxury 4 Pc Bed Set</t>
        </is>
      </c>
      <c r="E62" s="32" t="inlineStr">
        <is>
          <t>King</t>
        </is>
      </c>
      <c r="F62" s="32" t="inlineStr">
        <is>
          <t>Lavender</t>
        </is>
      </c>
      <c r="G62" s="60" t="n">
        <v>33.95</v>
      </c>
      <c r="H62" s="32" t="inlineStr">
        <is>
          <t>Helium 10 Xray, 2026-10-13</t>
        </is>
      </c>
      <c r="I62" s="61" t="n">
        <v>33.95</v>
      </c>
      <c r="J62" s="62" t="inlineStr">
        <is>
          <t>2026-03-30</t>
        </is>
      </c>
      <c r="K62" s="33" t="n">
        <v>10.78</v>
      </c>
      <c r="L62" s="63" t="n">
        <v>0.3175257731958763</v>
      </c>
      <c r="M62" s="64" t="n">
        <v>17</v>
      </c>
      <c r="N62" s="32" t="inlineStr">
        <is>
          <t>Active</t>
        </is>
      </c>
      <c r="O62" s="32" t="n"/>
      <c r="P62" s="65" t="n">
        <v>4.4</v>
      </c>
      <c r="Q62" s="64" t="n">
        <v>18632</v>
      </c>
      <c r="R62" s="64" t="n">
        <v>10006</v>
      </c>
      <c r="S62" s="64" t="n">
        <v>4</v>
      </c>
      <c r="T62" s="32" t="n"/>
    </row>
    <row r="63" ht="62" customHeight="1">
      <c r="A63" s="10">
        <f>_xlfn.IMAGE("https://m.media-amazon.com/images/I/81hy0m4qaGL.jpg")</f>
        <v/>
      </c>
      <c r="B63" s="32" t="inlineStr">
        <is>
          <t>B09G6N2PNK</t>
        </is>
      </c>
      <c r="C63" s="32" t="inlineStr">
        <is>
          <t>SATIN-STRIPE-KING-WHITE</t>
        </is>
      </c>
      <c r="D63" s="32" t="inlineStr">
        <is>
          <t>DECOLURE Satin Sheets King Size | Softer Than Silk | Luxury 4 Pc Bed Set</t>
        </is>
      </c>
      <c r="E63" s="32" t="inlineStr">
        <is>
          <t>King</t>
        </is>
      </c>
      <c r="F63" s="32" t="inlineStr">
        <is>
          <t>Striped White</t>
        </is>
      </c>
      <c r="G63" s="60" t="n">
        <v>33.95</v>
      </c>
      <c r="H63" s="32" t="inlineStr">
        <is>
          <t>Helium 10 Xray, 2026-10-13</t>
        </is>
      </c>
      <c r="I63" s="61" t="n">
        <v>33.95</v>
      </c>
      <c r="J63" s="62" t="inlineStr">
        <is>
          <t>2026-03-30</t>
        </is>
      </c>
      <c r="K63" s="33" t="n">
        <v>9.790000000000003</v>
      </c>
      <c r="L63" s="63" t="n">
        <v>0.2883652430044183</v>
      </c>
      <c r="M63" s="64" t="n">
        <v>17</v>
      </c>
      <c r="N63" s="32" t="inlineStr">
        <is>
          <t>Active</t>
        </is>
      </c>
      <c r="O63" s="32" t="n"/>
      <c r="P63" s="65" t="n">
        <v>4.4</v>
      </c>
      <c r="Q63" s="64" t="n">
        <v>18632</v>
      </c>
      <c r="R63" s="64" t="n">
        <v>10006</v>
      </c>
      <c r="S63" s="64" t="n">
        <v>5</v>
      </c>
      <c r="T63" s="32" t="n"/>
    </row>
    <row r="64" ht="62" customHeight="1">
      <c r="A64" s="10">
        <f>_xlfn.IMAGE("https://m.media-amazon.com/images/I/81b2FINCUgL.jpg")</f>
        <v/>
      </c>
      <c r="B64" s="32" t="inlineStr">
        <is>
          <t>B0CQRWY3Y7</t>
        </is>
      </c>
      <c r="C64" s="32" t="inlineStr">
        <is>
          <t>SATIN-4PC-KING-SAGE GREEN</t>
        </is>
      </c>
      <c r="D64" s="32" t="inlineStr">
        <is>
          <t>DECOLURE Satin Sheets King Size | Softer Than Silk | Luxury 4 Pc Bed Set</t>
        </is>
      </c>
      <c r="E64" s="32" t="inlineStr">
        <is>
          <t>King</t>
        </is>
      </c>
      <c r="F64" s="32" t="inlineStr">
        <is>
          <t>Sage Green</t>
        </is>
      </c>
      <c r="G64" s="60" t="n">
        <v>33.95</v>
      </c>
      <c r="H64" s="32" t="inlineStr">
        <is>
          <t>Helium 10 Xray, 2026-10-13</t>
        </is>
      </c>
      <c r="I64" s="61" t="n">
        <v>33.95</v>
      </c>
      <c r="J64" s="62" t="inlineStr">
        <is>
          <t>2026-03-30</t>
        </is>
      </c>
      <c r="K64" s="33" t="n">
        <v>10.56</v>
      </c>
      <c r="L64" s="63" t="n">
        <v>0.3110456553755523</v>
      </c>
      <c r="M64" s="64" t="n">
        <v>16</v>
      </c>
      <c r="N64" s="32" t="inlineStr">
        <is>
          <t>Active</t>
        </is>
      </c>
      <c r="O64" s="32" t="n"/>
      <c r="P64" s="65" t="n">
        <v>4.4</v>
      </c>
      <c r="Q64" s="64" t="n">
        <v>18632</v>
      </c>
      <c r="R64" s="64" t="n">
        <v>10006</v>
      </c>
      <c r="S64" s="64" t="n">
        <v>4</v>
      </c>
      <c r="T64" s="32" t="n"/>
    </row>
    <row r="65" ht="62" customHeight="1">
      <c r="A65" s="10">
        <f>_xlfn.IMAGE("https://m.media-amazon.com/images/I/81UtPaYWlbL.jpg")</f>
        <v/>
      </c>
      <c r="B65" s="32" t="inlineStr">
        <is>
          <t>B0BG1Z32KQ</t>
        </is>
      </c>
      <c r="C65" s="32" t="inlineStr">
        <is>
          <t>SATIN-SEA-TEAL-FULL</t>
        </is>
      </c>
      <c r="D65" s="32" t="inlineStr">
        <is>
          <t>DECOLURE Satin Sheets Full Size | Softer Than Silk | Luxury 4 Pc Bed Set</t>
        </is>
      </c>
      <c r="E65" s="32" t="inlineStr">
        <is>
          <t>Full</t>
        </is>
      </c>
      <c r="F65" s="32" t="inlineStr">
        <is>
          <t>Sea Teal</t>
        </is>
      </c>
      <c r="G65" s="60" t="n">
        <v>29.95</v>
      </c>
      <c r="H65" s="32" t="inlineStr">
        <is>
          <t>Helium 10 Xray, 2026-10-13</t>
        </is>
      </c>
      <c r="I65" s="61" t="n">
        <v>29.95</v>
      </c>
      <c r="J65" s="62" t="inlineStr">
        <is>
          <t>2026-03-30</t>
        </is>
      </c>
      <c r="K65" s="33" t="n">
        <v>9.75</v>
      </c>
      <c r="L65" s="63" t="n">
        <v>0.3255425709515861</v>
      </c>
      <c r="M65" s="64" t="n">
        <v>15</v>
      </c>
      <c r="N65" s="32" t="inlineStr">
        <is>
          <t>Active</t>
        </is>
      </c>
      <c r="O65" s="32" t="n"/>
      <c r="P65" s="65" t="n">
        <v>4.4</v>
      </c>
      <c r="Q65" s="64" t="n">
        <v>18632</v>
      </c>
      <c r="R65" s="64" t="n">
        <v>10006</v>
      </c>
      <c r="S65" s="64" t="n">
        <v>10</v>
      </c>
      <c r="T65" s="32" t="n"/>
    </row>
    <row r="66" ht="62" customHeight="1">
      <c r="A66" s="10">
        <f>_xlfn.IMAGE("https://m.media-amazon.com/images/I/81owOVQLwdL.jpg")</f>
        <v/>
      </c>
      <c r="B66" s="32" t="inlineStr">
        <is>
          <t>B0CQRY9WLD</t>
        </is>
      </c>
      <c r="C66" s="32" t="inlineStr">
        <is>
          <t>SATIN-4PC-FULL-BABY BLUE</t>
        </is>
      </c>
      <c r="D66" s="32" t="inlineStr">
        <is>
          <t>DECOLURE Satin Sheets Full Size | Softer Than Silk | Luxury 4 Pc Bed Set</t>
        </is>
      </c>
      <c r="E66" s="32" t="inlineStr">
        <is>
          <t>Full</t>
        </is>
      </c>
      <c r="F66" s="32" t="inlineStr">
        <is>
          <t>Baby Blue</t>
        </is>
      </c>
      <c r="G66" s="60" t="n">
        <v>29.95</v>
      </c>
      <c r="H66" s="32" t="inlineStr">
        <is>
          <t>Helium 10 Xray, 2026-10-13</t>
        </is>
      </c>
      <c r="I66" s="61" t="n">
        <v>29.95</v>
      </c>
      <c r="J66" s="62" t="inlineStr">
        <is>
          <t>2026-03-30</t>
        </is>
      </c>
      <c r="K66" s="33" t="n">
        <v>10.33</v>
      </c>
      <c r="L66" s="63" t="n">
        <v>0.3449081803005009</v>
      </c>
      <c r="M66" s="64" t="n">
        <v>14</v>
      </c>
      <c r="N66" s="32" t="inlineStr">
        <is>
          <t>Active</t>
        </is>
      </c>
      <c r="O66" s="32" t="n"/>
      <c r="P66" s="65" t="n">
        <v>4.4</v>
      </c>
      <c r="Q66" s="64" t="n">
        <v>18632</v>
      </c>
      <c r="R66" s="64" t="n">
        <v>10006</v>
      </c>
      <c r="S66" s="64" t="n">
        <v>9</v>
      </c>
      <c r="T66" s="32" t="n"/>
    </row>
    <row r="67" ht="62" customHeight="1">
      <c r="A67" s="10">
        <f>_xlfn.IMAGE("https://m.media-amazon.com/images/I/81hy0m4qaGL.jpg")</f>
        <v/>
      </c>
      <c r="B67" s="32" t="inlineStr">
        <is>
          <t>B09G6K328B</t>
        </is>
      </c>
      <c r="C67" s="32" t="inlineStr">
        <is>
          <t>SATIN-STRIPE-QUEEN-WHITE</t>
        </is>
      </c>
      <c r="D67" s="32" t="inlineStr">
        <is>
          <t>DECOLURE Satin Sheets Queen Size | Softer Than Silk | Luxury 4 Pc Bed Set</t>
        </is>
      </c>
      <c r="E67" s="32" t="inlineStr">
        <is>
          <t>Queen</t>
        </is>
      </c>
      <c r="F67" s="32" t="inlineStr">
        <is>
          <t>Striped White</t>
        </is>
      </c>
      <c r="G67" s="60" t="n">
        <v>31.95</v>
      </c>
      <c r="H67" s="32" t="inlineStr">
        <is>
          <t>Helium 10 Xray, 2026-10-13</t>
        </is>
      </c>
      <c r="I67" s="61" t="n">
        <v>31.95</v>
      </c>
      <c r="J67" s="62" t="inlineStr">
        <is>
          <t>2026-03-30</t>
        </is>
      </c>
      <c r="K67" s="33" t="n">
        <v>9.529999999999999</v>
      </c>
      <c r="L67" s="63" t="n">
        <v>0.2982785602503912</v>
      </c>
      <c r="M67" s="64" t="n">
        <v>14</v>
      </c>
      <c r="N67" s="32" t="inlineStr">
        <is>
          <t>Active</t>
        </is>
      </c>
      <c r="O67" s="32" t="n"/>
      <c r="P67" s="65" t="n">
        <v>4.4</v>
      </c>
      <c r="Q67" s="64" t="n">
        <v>18632</v>
      </c>
      <c r="R67" s="64" t="n">
        <v>10006</v>
      </c>
      <c r="S67" s="64" t="n">
        <v>6</v>
      </c>
      <c r="T67" s="32" t="n"/>
    </row>
    <row r="68" ht="62" customHeight="1">
      <c r="A68" s="10">
        <f>_xlfn.IMAGE("https://m.media-amazon.com/images/I/81Bv43jZjZL.jpg")</f>
        <v/>
      </c>
      <c r="B68" s="32" t="inlineStr">
        <is>
          <t>B09G6LBXRX</t>
        </is>
      </c>
      <c r="C68" s="32" t="inlineStr">
        <is>
          <t>SATIN-STRIPE-QUEEN-BLACK</t>
        </is>
      </c>
      <c r="D68" s="32" t="inlineStr">
        <is>
          <t>DECOLURE Satin Sheets Queen Size | Softer Than Silk | Luxury 4 Pc Bed Set</t>
        </is>
      </c>
      <c r="E68" s="32" t="inlineStr">
        <is>
          <t>Queen</t>
        </is>
      </c>
      <c r="F68" s="32" t="inlineStr">
        <is>
          <t>Striped Black</t>
        </is>
      </c>
      <c r="G68" s="60" t="n">
        <v>31.95</v>
      </c>
      <c r="H68" s="32" t="inlineStr">
        <is>
          <t>Helium 10 Xray, 2026-10-13</t>
        </is>
      </c>
      <c r="I68" s="61" t="n">
        <v>45.95</v>
      </c>
      <c r="J68" s="62" t="inlineStr">
        <is>
          <t>2026-03-30</t>
        </is>
      </c>
      <c r="K68" s="33" t="n">
        <v>21.89</v>
      </c>
      <c r="L68" s="63" t="n">
        <v>0.4763873775843309</v>
      </c>
      <c r="M68" s="64" t="n">
        <v>13</v>
      </c>
      <c r="N68" s="32" t="inlineStr">
        <is>
          <t>Active</t>
        </is>
      </c>
      <c r="O68" s="32" t="n"/>
      <c r="P68" s="65" t="n">
        <v>4.4</v>
      </c>
      <c r="Q68" s="64" t="n">
        <v>18632</v>
      </c>
      <c r="R68" s="64" t="n">
        <v>10006</v>
      </c>
      <c r="S68" s="64" t="n">
        <v>5</v>
      </c>
      <c r="T68" s="32" t="n"/>
    </row>
    <row r="69" ht="62" customHeight="1">
      <c r="A69" s="10">
        <f>_xlfn.IMAGE("https://m.media-amazon.com/images/I/81oeTNry2PL.jpg")</f>
        <v/>
      </c>
      <c r="B69" s="32" t="inlineStr">
        <is>
          <t>B0DBR4XYLB</t>
        </is>
      </c>
      <c r="C69" s="32" t="inlineStr">
        <is>
          <t>SATIN-4PCS-QUEEN-STRIPE-GRAY</t>
        </is>
      </c>
      <c r="D69" s="32" t="inlineStr">
        <is>
          <t>DECOLURE Satin Sheets Queen Size | Softer Than Silk | Luxury 4 Pc Bed Set</t>
        </is>
      </c>
      <c r="E69" s="32" t="inlineStr">
        <is>
          <t>Queen</t>
        </is>
      </c>
      <c r="F69" s="32" t="inlineStr">
        <is>
          <t>Striped Grey</t>
        </is>
      </c>
      <c r="G69" s="60" t="n">
        <v>31.95</v>
      </c>
      <c r="H69" s="32" t="inlineStr">
        <is>
          <t>SellerBoard listing price, 2026-10-14</t>
        </is>
      </c>
      <c r="I69" s="61" t="n">
        <v>25.49</v>
      </c>
      <c r="J69" s="62" t="inlineStr">
        <is>
          <t>2026-03-30</t>
        </is>
      </c>
      <c r="K69" s="33" t="n">
        <v>3.789999999999997</v>
      </c>
      <c r="L69" s="63" t="n">
        <v>0.1486857591212239</v>
      </c>
      <c r="M69" s="64" t="n">
        <v>13</v>
      </c>
      <c r="N69" s="32" t="inlineStr">
        <is>
          <t>Active</t>
        </is>
      </c>
      <c r="O69" s="32" t="n"/>
      <c r="P69" s="65" t="n"/>
      <c r="Q69" s="64" t="n"/>
      <c r="R69" s="64" t="n"/>
      <c r="S69" s="64" t="n"/>
      <c r="T69" s="32" t="n"/>
    </row>
    <row r="70" ht="62" customHeight="1">
      <c r="A70" s="10">
        <f>_xlfn.IMAGE("https://m.media-amazon.com/images/I/814U4uyFqnL.jpg")</f>
        <v/>
      </c>
      <c r="B70" s="32" t="inlineStr">
        <is>
          <t>B0CQRX2Z2G</t>
        </is>
      </c>
      <c r="C70" s="32" t="inlineStr">
        <is>
          <t>SATIN-4PC-FULL-DARK GREEN</t>
        </is>
      </c>
      <c r="D70" s="32" t="inlineStr">
        <is>
          <t>DECOLURE Satin Sheets Full Size | Softer Than Silk | Luxury 4 Pc Bed Set</t>
        </is>
      </c>
      <c r="E70" s="32" t="inlineStr">
        <is>
          <t>Full</t>
        </is>
      </c>
      <c r="F70" s="32" t="inlineStr">
        <is>
          <t>Dark Green</t>
        </is>
      </c>
      <c r="G70" s="60" t="n">
        <v>29.95</v>
      </c>
      <c r="H70" s="32" t="inlineStr">
        <is>
          <t>Helium 10 Xray, 2026-10-13</t>
        </is>
      </c>
      <c r="I70" s="61" t="n">
        <v>29.95</v>
      </c>
      <c r="J70" s="62" t="inlineStr">
        <is>
          <t>2026-03-30</t>
        </is>
      </c>
      <c r="K70" s="33" t="n">
        <v>10.33</v>
      </c>
      <c r="L70" s="63" t="n">
        <v>0.3449081803005009</v>
      </c>
      <c r="M70" s="64" t="n">
        <v>12</v>
      </c>
      <c r="N70" s="32" t="inlineStr">
        <is>
          <t>Active</t>
        </is>
      </c>
      <c r="O70" s="32" t="n"/>
      <c r="P70" s="65" t="n">
        <v>4.4</v>
      </c>
      <c r="Q70" s="64" t="n">
        <v>18632</v>
      </c>
      <c r="R70" s="64" t="n">
        <v>10009</v>
      </c>
      <c r="S70" s="64" t="n">
        <v>8</v>
      </c>
      <c r="T70" s="32" t="n"/>
    </row>
    <row r="71" ht="62" customHeight="1">
      <c r="A71" s="10">
        <f>_xlfn.IMAGE("https://m.media-amazon.com/images/I/81Ktu4N6y2L.jpg")</f>
        <v/>
      </c>
      <c r="B71" s="32" t="inlineStr">
        <is>
          <t>B0DBQVFTZS</t>
        </is>
      </c>
      <c r="C71" s="32" t="inlineStr">
        <is>
          <t>SATIN-4PCS-FULL-ROSEWOOD</t>
        </is>
      </c>
      <c r="D71" s="32" t="inlineStr">
        <is>
          <t>DECOLURE Satin Sheets Full Size | Softer Than Silk | Luxury 4 Pc Bed Set</t>
        </is>
      </c>
      <c r="E71" s="32" t="inlineStr">
        <is>
          <t>Full</t>
        </is>
      </c>
      <c r="F71" s="32" t="inlineStr">
        <is>
          <t>Rosewood</t>
        </is>
      </c>
      <c r="G71" s="60" t="n">
        <v>32.95</v>
      </c>
      <c r="H71" s="32" t="inlineStr">
        <is>
          <t>Helium 10 Xray, 2026-10-13</t>
        </is>
      </c>
      <c r="I71" s="61" t="n">
        <v>29.95</v>
      </c>
      <c r="J71" s="62" t="inlineStr">
        <is>
          <t>2026-03-30</t>
        </is>
      </c>
      <c r="K71" s="33" t="n">
        <v>9.369999999999999</v>
      </c>
      <c r="L71" s="63" t="n">
        <v>0.3128547579298831</v>
      </c>
      <c r="M71" s="64" t="n">
        <v>12</v>
      </c>
      <c r="N71" s="32" t="inlineStr">
        <is>
          <t>Active</t>
        </is>
      </c>
      <c r="O71" s="32" t="n"/>
      <c r="P71" s="65" t="n">
        <v>4.4</v>
      </c>
      <c r="Q71" s="64" t="n">
        <v>18632</v>
      </c>
      <c r="R71" s="64" t="n">
        <v>10006</v>
      </c>
      <c r="S71" s="64" t="n">
        <v>10</v>
      </c>
      <c r="T71" s="32" t="n"/>
    </row>
    <row r="72" ht="62" customHeight="1">
      <c r="A72" s="10">
        <f>_xlfn.IMAGE("https://m.media-amazon.com/images/I/81-wlwJoLcL.jpg")</f>
        <v/>
      </c>
      <c r="B72" s="32" t="inlineStr">
        <is>
          <t>B09G6KCTXW</t>
        </is>
      </c>
      <c r="C72" s="32" t="inlineStr">
        <is>
          <t>SATIN-STRIPE-QUEEN-RED</t>
        </is>
      </c>
      <c r="D72" s="32" t="inlineStr">
        <is>
          <t>DECOLURE Satin Sheets Queen Size | Softer Than Silk | Luxury 4 Pc Bed Set</t>
        </is>
      </c>
      <c r="E72" s="32" t="inlineStr">
        <is>
          <t>Queen</t>
        </is>
      </c>
      <c r="F72" s="32" t="inlineStr">
        <is>
          <t>Striped Red</t>
        </is>
      </c>
      <c r="G72" s="60" t="n">
        <v>31.95</v>
      </c>
      <c r="H72" s="32" t="inlineStr">
        <is>
          <t>Helium 10 Xray, 2026-10-13</t>
        </is>
      </c>
      <c r="I72" s="61" t="n">
        <v>31.95</v>
      </c>
      <c r="J72" s="62" t="inlineStr">
        <is>
          <t>2026-03-30</t>
        </is>
      </c>
      <c r="K72" s="33" t="n">
        <v>9.879999999999999</v>
      </c>
      <c r="L72" s="63" t="n">
        <v>0.3092331768388106</v>
      </c>
      <c r="M72" s="64" t="n">
        <v>11</v>
      </c>
      <c r="N72" s="32" t="inlineStr">
        <is>
          <t>Active</t>
        </is>
      </c>
      <c r="O72" s="32" t="n"/>
      <c r="P72" s="65" t="n">
        <v>4.4</v>
      </c>
      <c r="Q72" s="64" t="n">
        <v>18632</v>
      </c>
      <c r="R72" s="64" t="n">
        <v>10009</v>
      </c>
      <c r="S72" s="64" t="n">
        <v>5</v>
      </c>
      <c r="T72" s="32" t="n"/>
    </row>
    <row r="73" ht="62" customHeight="1">
      <c r="A73" s="10">
        <f>_xlfn.IMAGE("https://m.media-amazon.com/images/I/81Omquwv1WL.jpg")</f>
        <v/>
      </c>
      <c r="B73" s="32" t="inlineStr">
        <is>
          <t>B0CQRXZLFQ</t>
        </is>
      </c>
      <c r="C73" s="32" t="inlineStr">
        <is>
          <t>SATIN-4PC-FULL-LAVENDER</t>
        </is>
      </c>
      <c r="D73" s="32" t="inlineStr">
        <is>
          <t>DECOLURE Satin Sheets Full Size | Softer Than Silk | Luxury 4 Pc Bed Set</t>
        </is>
      </c>
      <c r="E73" s="32" t="inlineStr">
        <is>
          <t>Full</t>
        </is>
      </c>
      <c r="F73" s="32" t="inlineStr">
        <is>
          <t>Lavender</t>
        </is>
      </c>
      <c r="G73" s="60" t="n">
        <v>29.95</v>
      </c>
      <c r="H73" s="32" t="inlineStr">
        <is>
          <t>Helium 10 Xray, 2026-10-13</t>
        </is>
      </c>
      <c r="I73" s="61" t="n">
        <v>29.95</v>
      </c>
      <c r="J73" s="62" t="inlineStr">
        <is>
          <t>2026-03-30</t>
        </is>
      </c>
      <c r="K73" s="33" t="n">
        <v>10.59</v>
      </c>
      <c r="L73" s="63" t="n">
        <v>0.3535893155258765</v>
      </c>
      <c r="M73" s="64" t="n">
        <v>9</v>
      </c>
      <c r="N73" s="32" t="inlineStr">
        <is>
          <t>Active</t>
        </is>
      </c>
      <c r="O73" s="32" t="n"/>
      <c r="P73" s="65" t="n">
        <v>4.4</v>
      </c>
      <c r="Q73" s="64" t="n">
        <v>18632</v>
      </c>
      <c r="R73" s="64" t="n">
        <v>10006</v>
      </c>
      <c r="S73" s="64" t="n">
        <v>10</v>
      </c>
      <c r="T73" s="32" t="n"/>
    </row>
    <row r="74" ht="62" customHeight="1">
      <c r="A74" s="10">
        <f>_xlfn.IMAGE("https://m.media-amazon.com/images/I/81o+0vlhHBL.jpg")</f>
        <v/>
      </c>
      <c r="B74" s="32" t="inlineStr">
        <is>
          <t>B0HCZKG6Q8</t>
        </is>
      </c>
      <c r="C74" s="32" t="inlineStr">
        <is>
          <t>SATIN-STRIPE-KING-GRAY-4PCS</t>
        </is>
      </c>
      <c r="D74" s="32" t="inlineStr">
        <is>
          <t>DECOLURE Satin Sheets King Size | Softer Than Silk | Luxury 4 Pc Bed Set</t>
        </is>
      </c>
      <c r="E74" s="32" t="inlineStr">
        <is>
          <t>King</t>
        </is>
      </c>
      <c r="F74" s="32" t="inlineStr">
        <is>
          <t>Striped Grey</t>
        </is>
      </c>
      <c r="G74" s="60" t="n">
        <v>33.95</v>
      </c>
      <c r="H74" s="32" t="inlineStr">
        <is>
          <t>Helium 10 Xray, 2026-10-13</t>
        </is>
      </c>
      <c r="I74" s="33" t="n"/>
      <c r="J74" s="32" t="n"/>
      <c r="K74" s="33" t="n"/>
      <c r="L74" s="63" t="n"/>
      <c r="M74" s="64" t="n">
        <v>9</v>
      </c>
      <c r="N74" s="32" t="inlineStr">
        <is>
          <t>Active</t>
        </is>
      </c>
      <c r="O74" s="32" t="n"/>
      <c r="P74" s="65" t="n">
        <v>4.4</v>
      </c>
      <c r="Q74" s="64" t="n">
        <v>18632</v>
      </c>
      <c r="R74" s="64" t="n">
        <v>10009</v>
      </c>
      <c r="S74" s="64" t="n">
        <v>0</v>
      </c>
      <c r="T74" s="32" t="n"/>
    </row>
    <row r="75" ht="62" customHeight="1">
      <c r="A75" s="10">
        <f>_xlfn.IMAGE("https://m.media-amazon.com/images/I/81ljfausmpL.jpg")</f>
        <v/>
      </c>
      <c r="B75" s="32" t="inlineStr">
        <is>
          <t>B0839M8LP5</t>
        </is>
      </c>
      <c r="C75" s="32" t="inlineStr">
        <is>
          <t>SATIN-TWIN-GREY</t>
        </is>
      </c>
      <c r="D75" s="32" t="inlineStr">
        <is>
          <t>DECOLURE Satin Sheets Twin Size | Softer Than Silk | Luxury 3 Pc Bed Set</t>
        </is>
      </c>
      <c r="E75" s="32" t="inlineStr">
        <is>
          <t>Twin</t>
        </is>
      </c>
      <c r="F75" s="32" t="inlineStr">
        <is>
          <t>Grey</t>
        </is>
      </c>
      <c r="G75" s="60" t="n">
        <v>27.95</v>
      </c>
      <c r="H75" s="32" t="inlineStr">
        <is>
          <t>Helium 10 Xray, 2026-10-13</t>
        </is>
      </c>
      <c r="I75" s="61" t="n">
        <v>27.95</v>
      </c>
      <c r="J75" s="62" t="inlineStr">
        <is>
          <t>2026-03-30</t>
        </is>
      </c>
      <c r="K75" s="33" t="n">
        <v>9.619999999999999</v>
      </c>
      <c r="L75" s="63" t="n">
        <v>0.3441860465116279</v>
      </c>
      <c r="M75" s="64" t="n">
        <v>9</v>
      </c>
      <c r="N75" s="32" t="inlineStr">
        <is>
          <t>Active</t>
        </is>
      </c>
      <c r="O75" s="32" t="n"/>
      <c r="P75" s="65" t="n">
        <v>4.4</v>
      </c>
      <c r="Q75" s="64" t="n">
        <v>18632</v>
      </c>
      <c r="R75" s="64" t="n">
        <v>10006</v>
      </c>
      <c r="S75" s="64" t="n">
        <v>17</v>
      </c>
      <c r="T75" s="32" t="n"/>
    </row>
    <row r="76" ht="62" customHeight="1">
      <c r="A76" s="10">
        <f>_xlfn.IMAGE("https://m.media-amazon.com/images/I/81oeTNry2PL.jpg")</f>
        <v/>
      </c>
      <c r="B76" s="32" t="inlineStr">
        <is>
          <t>B09G6J1HVY</t>
        </is>
      </c>
      <c r="C76" s="32" t="inlineStr">
        <is>
          <t>SATIN-STRIPE-FULL-GRAY</t>
        </is>
      </c>
      <c r="D76" s="32" t="inlineStr">
        <is>
          <t>DECOLURE Satin Sheets Full Size | Softer Than Silk | Luxury 4 Pc Bed Set</t>
        </is>
      </c>
      <c r="E76" s="32" t="inlineStr">
        <is>
          <t>Full</t>
        </is>
      </c>
      <c r="F76" s="32" t="inlineStr">
        <is>
          <t>Striped Grey</t>
        </is>
      </c>
      <c r="G76" s="60" t="n">
        <v>29.95</v>
      </c>
      <c r="H76" s="32" t="inlineStr">
        <is>
          <t>Helium 10 Xray, 2026-10-13</t>
        </is>
      </c>
      <c r="I76" s="61" t="n">
        <v>48.95</v>
      </c>
      <c r="J76" s="62" t="inlineStr">
        <is>
          <t>2026-03-30</t>
        </is>
      </c>
      <c r="K76" s="33" t="n">
        <v>25.61</v>
      </c>
      <c r="L76" s="63" t="n">
        <v>0.5231869254341164</v>
      </c>
      <c r="M76" s="64" t="n">
        <v>8</v>
      </c>
      <c r="N76" s="32" t="inlineStr">
        <is>
          <t>Active</t>
        </is>
      </c>
      <c r="O76" s="32" t="n"/>
      <c r="P76" s="65" t="n">
        <v>4.4</v>
      </c>
      <c r="Q76" s="64" t="n">
        <v>18632</v>
      </c>
      <c r="R76" s="64" t="n">
        <v>10009</v>
      </c>
      <c r="S76" s="64" t="n">
        <v>9</v>
      </c>
      <c r="T76" s="32" t="n"/>
    </row>
    <row r="77" ht="62" customHeight="1">
      <c r="A77" s="10">
        <f>_xlfn.IMAGE("https://m.media-amazon.com/images/I/81zvGkE8vhL.jpg")</f>
        <v/>
      </c>
      <c r="B77" s="32" t="inlineStr">
        <is>
          <t>B0839LK8DB</t>
        </is>
      </c>
      <c r="C77" s="32" t="inlineStr">
        <is>
          <t>SATIN-KING-PINK</t>
        </is>
      </c>
      <c r="D77" s="32" t="inlineStr">
        <is>
          <t>DECOLURE Satin Bed Sheets - 4 Piece Luxury Silky King Size Bedding Set - Softer Than Silk, Wrinkle-Free with 15” Deep Pocket Fitted Sheet, Perfect for Hair &amp; Skin, Gifts for Women (Pink)</t>
        </is>
      </c>
      <c r="E77" s="32" t="inlineStr">
        <is>
          <t>King</t>
        </is>
      </c>
      <c r="F77" s="32" t="inlineStr">
        <is>
          <t>Pink</t>
        </is>
      </c>
      <c r="G77" s="60" t="n">
        <v>33.95</v>
      </c>
      <c r="H77" s="32" t="inlineStr">
        <is>
          <t>Helium 10 Xray, 2026-10-13</t>
        </is>
      </c>
      <c r="I77" s="61" t="n">
        <v>33.95</v>
      </c>
      <c r="J77" s="62" t="inlineStr">
        <is>
          <t>2026-03-30</t>
        </is>
      </c>
      <c r="K77" s="33" t="n">
        <v>10.2</v>
      </c>
      <c r="L77" s="63" t="n">
        <v>0.3004418262150221</v>
      </c>
      <c r="M77" s="64" t="n">
        <v>8</v>
      </c>
      <c r="N77" s="32" t="inlineStr">
        <is>
          <t>Active</t>
        </is>
      </c>
      <c r="O77" s="32" t="n"/>
      <c r="P77" s="65" t="n">
        <v>4.4</v>
      </c>
      <c r="Q77" s="64" t="n">
        <v>18632</v>
      </c>
      <c r="R77" s="64" t="n">
        <v>10006</v>
      </c>
      <c r="S77" s="64" t="n">
        <v>4</v>
      </c>
      <c r="T77" s="32" t="n"/>
    </row>
    <row r="78" ht="62" customHeight="1">
      <c r="A78" s="10">
        <f>_xlfn.IMAGE("https://m.media-amazon.com/images/I/81O3uGmaMWL.jpg")</f>
        <v/>
      </c>
      <c r="B78" s="32" t="inlineStr">
        <is>
          <t>B0CQRZ6KRR</t>
        </is>
      </c>
      <c r="C78" s="32" t="inlineStr">
        <is>
          <t>SATIN-3PC-TWIN-NAVY BLUE</t>
        </is>
      </c>
      <c r="D78" s="32" t="inlineStr">
        <is>
          <t>DECOLURE Satin Sheets Twin Size | Softer Than Silk | Luxury 3 Pc Bed Set</t>
        </is>
      </c>
      <c r="E78" s="32" t="inlineStr">
        <is>
          <t>Twin</t>
        </is>
      </c>
      <c r="F78" s="32" t="inlineStr">
        <is>
          <t>Navy Blue</t>
        </is>
      </c>
      <c r="G78" s="60" t="n">
        <v>27.95</v>
      </c>
      <c r="H78" s="32" t="inlineStr">
        <is>
          <t>Helium 10 Xray, 2026-10-13</t>
        </is>
      </c>
      <c r="I78" s="61" t="n">
        <v>27.95</v>
      </c>
      <c r="J78" s="62" t="inlineStr">
        <is>
          <t>2026-03-30</t>
        </is>
      </c>
      <c r="K78" s="33" t="n">
        <v>10.44</v>
      </c>
      <c r="L78" s="63" t="n">
        <v>0.3735241502683364</v>
      </c>
      <c r="M78" s="64" t="n">
        <v>8</v>
      </c>
      <c r="N78" s="32" t="inlineStr">
        <is>
          <t>Active</t>
        </is>
      </c>
      <c r="O78" s="32" t="n"/>
      <c r="P78" s="65" t="n">
        <v>4.4</v>
      </c>
      <c r="Q78" s="64" t="n">
        <v>18632</v>
      </c>
      <c r="R78" s="64" t="n">
        <v>10006</v>
      </c>
      <c r="S78" s="64" t="n">
        <v>15</v>
      </c>
      <c r="T78" s="32" t="n"/>
    </row>
    <row r="79" ht="62" customHeight="1">
      <c r="A79" s="10">
        <f>_xlfn.IMAGE("https://m.media-amazon.com/images/I/81x0CFZ3vUL.jpg")</f>
        <v/>
      </c>
      <c r="B79" s="32" t="inlineStr">
        <is>
          <t>B0BG22FCVJ</t>
        </is>
      </c>
      <c r="C79" s="32" t="inlineStr">
        <is>
          <t>SATIN-ROSEWOOD-TWIN</t>
        </is>
      </c>
      <c r="D79" s="32" t="inlineStr">
        <is>
          <t>DECOLURE Satin Sheets Twin Size | Softer Than Silk | Luxury 3 Pc Bed Set</t>
        </is>
      </c>
      <c r="E79" s="32" t="inlineStr">
        <is>
          <t>Twin</t>
        </is>
      </c>
      <c r="F79" s="32" t="inlineStr">
        <is>
          <t>Rosewood</t>
        </is>
      </c>
      <c r="G79" s="60" t="n">
        <v>27.95</v>
      </c>
      <c r="H79" s="32" t="inlineStr">
        <is>
          <t>Helium 10 Xray, 2026-10-13</t>
        </is>
      </c>
      <c r="I79" s="61" t="n">
        <v>34.95</v>
      </c>
      <c r="J79" s="62" t="inlineStr">
        <is>
          <t>2026-03-30</t>
        </is>
      </c>
      <c r="K79" s="33" t="n">
        <v>16.37</v>
      </c>
      <c r="L79" s="63" t="n">
        <v>0.4683834048640915</v>
      </c>
      <c r="M79" s="64" t="n">
        <v>8</v>
      </c>
      <c r="N79" s="32" t="inlineStr">
        <is>
          <t>Active</t>
        </is>
      </c>
      <c r="O79" s="32" t="n"/>
      <c r="P79" s="65" t="n">
        <v>4.4</v>
      </c>
      <c r="Q79" s="64" t="n">
        <v>18632</v>
      </c>
      <c r="R79" s="64" t="n">
        <v>10009</v>
      </c>
      <c r="S79" s="64" t="n">
        <v>17</v>
      </c>
      <c r="T79" s="32" t="n"/>
    </row>
    <row r="80" ht="62" customHeight="1">
      <c r="A80" s="10">
        <f>_xlfn.IMAGE("https://m.media-amazon.com/images/I/81Owp6T1ibL.jpg")</f>
        <v/>
      </c>
      <c r="B80" s="32" t="inlineStr">
        <is>
          <t>B0BZPYNXPB</t>
        </is>
      </c>
      <c r="C80" s="32" t="inlineStr">
        <is>
          <t>SATIN-CHAMPAGNE-FULL</t>
        </is>
      </c>
      <c r="D80" s="32" t="inlineStr">
        <is>
          <t>DECOLURE Satin Sheets Full Size | Softer Than Silk | Luxury 4 Pc Bed Set</t>
        </is>
      </c>
      <c r="E80" s="32" t="inlineStr">
        <is>
          <t>Full</t>
        </is>
      </c>
      <c r="F80" s="32" t="inlineStr">
        <is>
          <t>Champagne</t>
        </is>
      </c>
      <c r="G80" s="60" t="n">
        <v>29.95</v>
      </c>
      <c r="H80" s="32" t="inlineStr">
        <is>
          <t>Helium 10 Xray, 2026-10-13</t>
        </is>
      </c>
      <c r="I80" s="61" t="n">
        <v>26.95</v>
      </c>
      <c r="J80" s="62" t="inlineStr">
        <is>
          <t>2026-03-30</t>
        </is>
      </c>
      <c r="K80" s="33" t="n">
        <v>7.609999999999999</v>
      </c>
      <c r="L80" s="63" t="n">
        <v>0.2823747680890538</v>
      </c>
      <c r="M80" s="64" t="n">
        <v>7</v>
      </c>
      <c r="N80" s="32" t="inlineStr">
        <is>
          <t>Active</t>
        </is>
      </c>
      <c r="O80" s="32" t="n"/>
      <c r="P80" s="65" t="n">
        <v>4.4</v>
      </c>
      <c r="Q80" s="64" t="n">
        <v>18632</v>
      </c>
      <c r="R80" s="64" t="n">
        <v>10009</v>
      </c>
      <c r="S80" s="64" t="n">
        <v>9</v>
      </c>
      <c r="T80" s="32" t="n"/>
    </row>
    <row r="81" ht="62" customHeight="1">
      <c r="A81" s="10">
        <f>_xlfn.IMAGE("https://m.media-amazon.com/images/I/81zgEKHZOlL.jpg")</f>
        <v/>
      </c>
      <c r="B81" s="32" t="inlineStr">
        <is>
          <t>B0CNS9KLZR</t>
        </is>
      </c>
      <c r="C81" s="32" t="inlineStr">
        <is>
          <t>SATIN-KING-BLUSH PINK</t>
        </is>
      </c>
      <c r="D81" s="32" t="inlineStr">
        <is>
          <t>DECOLURE Satin Sheets King Size | Softer Than Silk | Luxury 4 Pc Bed Set</t>
        </is>
      </c>
      <c r="E81" s="32" t="inlineStr">
        <is>
          <t>King</t>
        </is>
      </c>
      <c r="F81" s="32" t="inlineStr">
        <is>
          <t>Blush Pink</t>
        </is>
      </c>
      <c r="G81" s="60" t="n">
        <v>33.95</v>
      </c>
      <c r="H81" s="32" t="inlineStr">
        <is>
          <t>Helium 10 Xray, 2026-10-13</t>
        </is>
      </c>
      <c r="I81" s="61" t="n">
        <v>33.95</v>
      </c>
      <c r="J81" s="62" t="inlineStr">
        <is>
          <t>2026-03-30</t>
        </is>
      </c>
      <c r="K81" s="33" t="n">
        <v>10.6</v>
      </c>
      <c r="L81" s="63" t="n">
        <v>0.3122238586156112</v>
      </c>
      <c r="M81" s="64" t="n">
        <v>7</v>
      </c>
      <c r="N81" s="32" t="inlineStr">
        <is>
          <t>Active</t>
        </is>
      </c>
      <c r="O81" s="32" t="n"/>
      <c r="P81" s="65" t="n">
        <v>4.4</v>
      </c>
      <c r="Q81" s="64" t="n">
        <v>18632</v>
      </c>
      <c r="R81" s="64" t="n">
        <v>10006</v>
      </c>
      <c r="S81" s="64" t="n">
        <v>6</v>
      </c>
      <c r="T81" s="32" t="n"/>
    </row>
    <row r="82" ht="62" customHeight="1">
      <c r="A82" s="10">
        <f>_xlfn.IMAGE("https://m.media-amazon.com/images/I/81zDJ9hFOlL.jpg")</f>
        <v/>
      </c>
      <c r="B82" s="32" t="inlineStr">
        <is>
          <t>B09G6K9C65</t>
        </is>
      </c>
      <c r="C82" s="32" t="inlineStr">
        <is>
          <t>SATIN-STRIPE-QUEEN-GOLD</t>
        </is>
      </c>
      <c r="D82" s="32" t="inlineStr">
        <is>
          <t>DECOLURE Satin Sheets Queen Size | Softer Than Silk | Luxury 4 Pc Bed Set</t>
        </is>
      </c>
      <c r="E82" s="32" t="inlineStr">
        <is>
          <t>Queen</t>
        </is>
      </c>
      <c r="F82" s="32" t="inlineStr">
        <is>
          <t>Striped Gold</t>
        </is>
      </c>
      <c r="G82" s="60" t="n">
        <v>31.95</v>
      </c>
      <c r="H82" s="32" t="inlineStr">
        <is>
          <t>Helium 10 Xray, 2026-10-13</t>
        </is>
      </c>
      <c r="I82" s="61" t="n">
        <v>31.95</v>
      </c>
      <c r="J82" s="62" t="inlineStr">
        <is>
          <t>2026-03-30</t>
        </is>
      </c>
      <c r="K82" s="33" t="n">
        <v>9.279999999999999</v>
      </c>
      <c r="L82" s="63" t="n">
        <v>0.2904538341158059</v>
      </c>
      <c r="M82" s="64" t="n">
        <v>7</v>
      </c>
      <c r="N82" s="32" t="inlineStr">
        <is>
          <t>Active</t>
        </is>
      </c>
      <c r="O82" s="32" t="n"/>
      <c r="P82" s="65" t="n">
        <v>4.4</v>
      </c>
      <c r="Q82" s="64" t="n">
        <v>18632</v>
      </c>
      <c r="R82" s="64" t="n">
        <v>10006</v>
      </c>
      <c r="S82" s="64" t="n">
        <v>5</v>
      </c>
      <c r="T82" s="32" t="n"/>
    </row>
    <row r="83" ht="62" customHeight="1">
      <c r="A83" s="10">
        <f>_xlfn.IMAGE("https://m.media-amazon.com/images/I/81HKWhCknYL.jpg")</f>
        <v/>
      </c>
      <c r="B83" s="32" t="inlineStr">
        <is>
          <t>B09G6JSW33</t>
        </is>
      </c>
      <c r="C83" s="32" t="inlineStr">
        <is>
          <t>SATIN-STRIPE-QUEEN-PINK</t>
        </is>
      </c>
      <c r="D83" s="32" t="inlineStr">
        <is>
          <t>DECOLURE Satin Sheets Queen Size | Softer Than Silk | Luxury 4 Pc Bed Set</t>
        </is>
      </c>
      <c r="E83" s="32" t="inlineStr">
        <is>
          <t>Queen</t>
        </is>
      </c>
      <c r="F83" s="32" t="inlineStr">
        <is>
          <t>Striped Pink</t>
        </is>
      </c>
      <c r="G83" s="60" t="n">
        <v>31.95</v>
      </c>
      <c r="H83" s="32" t="inlineStr">
        <is>
          <t>Helium 10 Xray, 2026-10-13</t>
        </is>
      </c>
      <c r="I83" s="61" t="n">
        <v>31.95</v>
      </c>
      <c r="J83" s="62" t="inlineStr">
        <is>
          <t>2026-03-30</t>
        </is>
      </c>
      <c r="K83" s="33" t="n">
        <v>10.09</v>
      </c>
      <c r="L83" s="63" t="n">
        <v>0.3158059467918623</v>
      </c>
      <c r="M83" s="64" t="n">
        <v>7</v>
      </c>
      <c r="N83" s="32" t="inlineStr">
        <is>
          <t>Active</t>
        </is>
      </c>
      <c r="O83" s="32" t="n"/>
      <c r="P83" s="65" t="n">
        <v>4.4</v>
      </c>
      <c r="Q83" s="64" t="n">
        <v>18632</v>
      </c>
      <c r="R83" s="64" t="n">
        <v>10006</v>
      </c>
      <c r="S83" s="64" t="n">
        <v>5</v>
      </c>
      <c r="T83" s="32" t="n"/>
    </row>
    <row r="84" ht="62" customHeight="1">
      <c r="A84" s="10">
        <f>_xlfn.IMAGE("https://m.media-amazon.com/images/I/817oa7VO10L.jpg")</f>
        <v/>
      </c>
      <c r="B84" s="32" t="inlineStr">
        <is>
          <t>B0CQRXM35T</t>
        </is>
      </c>
      <c r="C84" s="32" t="inlineStr">
        <is>
          <t>SATIN-3PC-TWIN-BABY BLUE</t>
        </is>
      </c>
      <c r="D84" s="32" t="inlineStr">
        <is>
          <t>DECOLURE Satin Sheets Twin Size | Softer Than Silk | Luxury 3 Pc Bed Set</t>
        </is>
      </c>
      <c r="E84" s="32" t="inlineStr">
        <is>
          <t>Twin</t>
        </is>
      </c>
      <c r="F84" s="32" t="inlineStr">
        <is>
          <t>Baby Blue</t>
        </is>
      </c>
      <c r="G84" s="60" t="n">
        <v>27.95</v>
      </c>
      <c r="H84" s="32" t="inlineStr">
        <is>
          <t>Helium 10 Xray, 2026-10-13</t>
        </is>
      </c>
      <c r="I84" s="61" t="n">
        <v>27.95</v>
      </c>
      <c r="J84" s="62" t="inlineStr">
        <is>
          <t>2026-03-30</t>
        </is>
      </c>
      <c r="K84" s="33" t="n">
        <v>10.66</v>
      </c>
      <c r="L84" s="63" t="n">
        <v>0.3813953488372093</v>
      </c>
      <c r="M84" s="64" t="n">
        <v>7</v>
      </c>
      <c r="N84" s="32" t="inlineStr">
        <is>
          <t>Active</t>
        </is>
      </c>
      <c r="O84" s="32" t="n"/>
      <c r="P84" s="65" t="n">
        <v>4.4</v>
      </c>
      <c r="Q84" s="64" t="n">
        <v>18632</v>
      </c>
      <c r="R84" s="64" t="n">
        <v>10006</v>
      </c>
      <c r="S84" s="64" t="n">
        <v>17</v>
      </c>
      <c r="T84" s="32" t="n"/>
    </row>
    <row r="85" ht="62" customHeight="1">
      <c r="A85" s="10">
        <f>_xlfn.IMAGE("https://m.media-amazon.com/images/I/815ZdEKucfL.jpg")</f>
        <v/>
      </c>
      <c r="B85" s="32" t="inlineStr">
        <is>
          <t>B0CQRY5N4Q</t>
        </is>
      </c>
      <c r="C85" s="32" t="inlineStr">
        <is>
          <t>SATIN-3PC-TWIN-DARK GREEN</t>
        </is>
      </c>
      <c r="D85" s="32" t="inlineStr">
        <is>
          <t>DECOLURE Satin Sheets Twin Size | Softer Than Silk | Luxury 3 Pc Bed Set</t>
        </is>
      </c>
      <c r="E85" s="32" t="inlineStr">
        <is>
          <t>Twin</t>
        </is>
      </c>
      <c r="F85" s="32" t="inlineStr">
        <is>
          <t>Dark Green</t>
        </is>
      </c>
      <c r="G85" s="60" t="n">
        <v>27.95</v>
      </c>
      <c r="H85" s="32" t="inlineStr">
        <is>
          <t>Helium 10 Xray, 2026-10-13</t>
        </is>
      </c>
      <c r="I85" s="61" t="n">
        <v>34.95</v>
      </c>
      <c r="J85" s="62" t="inlineStr">
        <is>
          <t>2026-03-30</t>
        </is>
      </c>
      <c r="K85" s="33" t="n">
        <v>15.72</v>
      </c>
      <c r="L85" s="63" t="n">
        <v>0.4497854077253218</v>
      </c>
      <c r="M85" s="64" t="n">
        <v>7</v>
      </c>
      <c r="N85" s="32" t="inlineStr">
        <is>
          <t>Active</t>
        </is>
      </c>
      <c r="O85" s="32" t="n"/>
      <c r="P85" s="65" t="n">
        <v>4.4</v>
      </c>
      <c r="Q85" s="64" t="n">
        <v>18632</v>
      </c>
      <c r="R85" s="64" t="n">
        <v>10006</v>
      </c>
      <c r="S85" s="64" t="n">
        <v>16</v>
      </c>
      <c r="T85" s="32" t="n"/>
    </row>
    <row r="86" ht="62" customHeight="1">
      <c r="A86" s="10">
        <f>_xlfn.IMAGE("https://m.media-amazon.com/images/I/81hy0m4qaGL.jpg")</f>
        <v/>
      </c>
      <c r="B86" s="32" t="inlineStr">
        <is>
          <t>B09G6KKB4S</t>
        </is>
      </c>
      <c r="C86" s="32" t="inlineStr">
        <is>
          <t>SATIN-STRIPE-FULL-WHITE</t>
        </is>
      </c>
      <c r="D86" s="32" t="inlineStr">
        <is>
          <t>DECOLURE Satin Sheets Full Size | Softer Than Silk | Luxury 4 Pc Bed Set</t>
        </is>
      </c>
      <c r="E86" s="32" t="inlineStr">
        <is>
          <t>Full</t>
        </is>
      </c>
      <c r="F86" s="32" t="inlineStr">
        <is>
          <t>Striped White</t>
        </is>
      </c>
      <c r="G86" s="60" t="n">
        <v>29.95</v>
      </c>
      <c r="H86" s="32" t="inlineStr">
        <is>
          <t>Helium 10 Xray, 2026-10-13</t>
        </is>
      </c>
      <c r="I86" s="61" t="n">
        <v>29.95</v>
      </c>
      <c r="J86" s="62" t="inlineStr">
        <is>
          <t>2026-03-30</t>
        </is>
      </c>
      <c r="K86" s="33" t="n">
        <v>9.760000000000002</v>
      </c>
      <c r="L86" s="63" t="n">
        <v>0.3258764607679466</v>
      </c>
      <c r="M86" s="64" t="n">
        <v>6</v>
      </c>
      <c r="N86" s="32" t="inlineStr">
        <is>
          <t>Active</t>
        </is>
      </c>
      <c r="O86" s="32" t="n"/>
      <c r="P86" s="65" t="n">
        <v>4.4</v>
      </c>
      <c r="Q86" s="64" t="n">
        <v>18632</v>
      </c>
      <c r="R86" s="64" t="n">
        <v>10009</v>
      </c>
      <c r="S86" s="64" t="n">
        <v>10</v>
      </c>
      <c r="T86" s="32" t="n"/>
    </row>
    <row r="87" ht="62" customHeight="1">
      <c r="A87" s="10">
        <f>_xlfn.IMAGE("https://m.media-amazon.com/images/I/81wiiAf6okL.jpg")</f>
        <v/>
      </c>
      <c r="B87" s="32" t="inlineStr">
        <is>
          <t>B09G6L5ZW6</t>
        </is>
      </c>
      <c r="C87" s="32" t="inlineStr">
        <is>
          <t>SATIN-STRIPE-QUEEN-PURPLE</t>
        </is>
      </c>
      <c r="D87" s="32" t="inlineStr">
        <is>
          <t>DECOLURE Satin Sheets Queen Size | Softer Than Silk | Luxury 4 Pc Bed Set</t>
        </is>
      </c>
      <c r="E87" s="32" t="inlineStr">
        <is>
          <t>Queen</t>
        </is>
      </c>
      <c r="F87" s="32" t="inlineStr">
        <is>
          <t>Striped Purple</t>
        </is>
      </c>
      <c r="G87" s="60" t="n">
        <v>31.95</v>
      </c>
      <c r="H87" s="32" t="inlineStr">
        <is>
          <t>Helium 10 Xray, 2026-10-13</t>
        </is>
      </c>
      <c r="I87" s="61" t="n">
        <v>31.95</v>
      </c>
      <c r="J87" s="62" t="inlineStr">
        <is>
          <t>2026-03-30</t>
        </is>
      </c>
      <c r="K87" s="33" t="n">
        <v>8.640000000000001</v>
      </c>
      <c r="L87" s="63" t="n">
        <v>0.2704225352112676</v>
      </c>
      <c r="M87" s="64" t="n">
        <v>6</v>
      </c>
      <c r="N87" s="32" t="inlineStr">
        <is>
          <t>Active</t>
        </is>
      </c>
      <c r="O87" s="32" t="n"/>
      <c r="P87" s="65" t="n">
        <v>4.4</v>
      </c>
      <c r="Q87" s="64" t="n">
        <v>18632</v>
      </c>
      <c r="R87" s="64" t="n">
        <v>10006</v>
      </c>
      <c r="S87" s="64" t="n">
        <v>5</v>
      </c>
      <c r="T87" s="32" t="n"/>
    </row>
    <row r="88" ht="62" customHeight="1">
      <c r="A88" s="10">
        <f>_xlfn.IMAGE("https://m.media-amazon.com/images/I/81rBoUpH30L.jpg")</f>
        <v/>
      </c>
      <c r="B88" s="32" t="inlineStr">
        <is>
          <t>B0839M48YF</t>
        </is>
      </c>
      <c r="C88" s="32" t="inlineStr">
        <is>
          <t>SATIN-TWIN-PURPLE</t>
        </is>
      </c>
      <c r="D88" s="32" t="inlineStr">
        <is>
          <t>DECOLURE Satin Sheets Twin Size | Softer Than Silk | Luxury 3 Pc Bed Set</t>
        </is>
      </c>
      <c r="E88" s="32" t="inlineStr">
        <is>
          <t>Twin</t>
        </is>
      </c>
      <c r="F88" s="32" t="inlineStr">
        <is>
          <t>Purple</t>
        </is>
      </c>
      <c r="G88" s="60" t="n">
        <v>27.95</v>
      </c>
      <c r="H88" s="32" t="inlineStr">
        <is>
          <t>Helium 10 Xray, 2026-10-13</t>
        </is>
      </c>
      <c r="I88" s="61" t="n">
        <v>29.95</v>
      </c>
      <c r="J88" s="62" t="inlineStr">
        <is>
          <t>2026-03-30</t>
        </is>
      </c>
      <c r="K88" s="33" t="n">
        <v>11.32</v>
      </c>
      <c r="L88" s="63" t="n">
        <v>0.3779632721202005</v>
      </c>
      <c r="M88" s="64" t="n">
        <v>6</v>
      </c>
      <c r="N88" s="32" t="inlineStr">
        <is>
          <t>Active</t>
        </is>
      </c>
      <c r="O88" s="32" t="n"/>
      <c r="P88" s="65" t="n">
        <v>4.4</v>
      </c>
      <c r="Q88" s="64" t="n">
        <v>18632</v>
      </c>
      <c r="R88" s="64" t="n">
        <v>10009</v>
      </c>
      <c r="S88" s="64" t="n">
        <v>17</v>
      </c>
      <c r="T88" s="32" t="n"/>
    </row>
    <row r="89" ht="62" customHeight="1">
      <c r="A89" s="10">
        <f>_xlfn.IMAGE("https://m.media-amazon.com/images/I/8111LRuwkSL.jpg")</f>
        <v/>
      </c>
      <c r="B89" s="32" t="inlineStr">
        <is>
          <t>B0CQRYL8Z4</t>
        </is>
      </c>
      <c r="C89" s="32" t="inlineStr">
        <is>
          <t>SATIN-3PC-TWIN-SAGE GREEN</t>
        </is>
      </c>
      <c r="D89" s="32" t="inlineStr">
        <is>
          <t>DECOLURE Satin Sheets Twin Size | Softer Than Silk | Luxury 3 Pc Bed Set</t>
        </is>
      </c>
      <c r="E89" s="32" t="inlineStr">
        <is>
          <t>Twin</t>
        </is>
      </c>
      <c r="F89" s="32" t="inlineStr">
        <is>
          <t>Sage Green</t>
        </is>
      </c>
      <c r="G89" s="60" t="n">
        <v>27.95</v>
      </c>
      <c r="H89" s="32" t="inlineStr">
        <is>
          <t>Helium 10 Xray, 2026-10-13</t>
        </is>
      </c>
      <c r="I89" s="61" t="n">
        <v>27.95</v>
      </c>
      <c r="J89" s="62" t="inlineStr">
        <is>
          <t>2026-03-30</t>
        </is>
      </c>
      <c r="K89" s="33" t="n">
        <v>10.1</v>
      </c>
      <c r="L89" s="63" t="n">
        <v>0.3613595706618962</v>
      </c>
      <c r="M89" s="64" t="n">
        <v>6</v>
      </c>
      <c r="N89" s="32" t="inlineStr">
        <is>
          <t>Active</t>
        </is>
      </c>
      <c r="O89" s="32" t="n"/>
      <c r="P89" s="65" t="n">
        <v>4.4</v>
      </c>
      <c r="Q89" s="64" t="n">
        <v>18632</v>
      </c>
      <c r="R89" s="64" t="n">
        <v>10006</v>
      </c>
      <c r="S89" s="64" t="n">
        <v>16</v>
      </c>
      <c r="T89" s="32" t="n"/>
    </row>
    <row r="90" ht="62" customHeight="1">
      <c r="A90" s="10">
        <f>_xlfn.IMAGE("https://m.media-amazon.com/images/I/81cpDU4ugeL.jpg")</f>
        <v/>
      </c>
      <c r="B90" s="32" t="inlineStr">
        <is>
          <t>B0BG21NBG9</t>
        </is>
      </c>
      <c r="C90" s="32" t="inlineStr">
        <is>
          <t>SATIN-STONEGREY-TWIN</t>
        </is>
      </c>
      <c r="D90" s="32" t="inlineStr">
        <is>
          <t>DECOLURE Satin Sheets Twin Size | Softer Than Silk | Luxury 3 Pc Bed Set</t>
        </is>
      </c>
      <c r="E90" s="32" t="inlineStr">
        <is>
          <t>Twin</t>
        </is>
      </c>
      <c r="F90" s="32" t="inlineStr">
        <is>
          <t>Stone Grey</t>
        </is>
      </c>
      <c r="G90" s="60" t="n">
        <v>27.95</v>
      </c>
      <c r="H90" s="32" t="inlineStr">
        <is>
          <t>Helium 10 Xray, 2026-10-13</t>
        </is>
      </c>
      <c r="I90" s="61" t="n">
        <v>27.95</v>
      </c>
      <c r="J90" s="62" t="inlineStr">
        <is>
          <t>2026-03-30</t>
        </is>
      </c>
      <c r="K90" s="33" t="n">
        <v>9.479999999999997</v>
      </c>
      <c r="L90" s="63" t="n">
        <v>0.3391771019677996</v>
      </c>
      <c r="M90" s="64" t="n">
        <v>6</v>
      </c>
      <c r="N90" s="32" t="inlineStr">
        <is>
          <t>Active</t>
        </is>
      </c>
      <c r="O90" s="32" t="n"/>
      <c r="P90" s="65" t="n">
        <v>4.4</v>
      </c>
      <c r="Q90" s="64" t="n">
        <v>18632</v>
      </c>
      <c r="R90" s="64" t="n">
        <v>10009</v>
      </c>
      <c r="S90" s="64" t="n">
        <v>15</v>
      </c>
      <c r="T90" s="32" t="n"/>
    </row>
    <row r="91" ht="62" customHeight="1">
      <c r="A91" s="10">
        <f>_xlfn.IMAGE("https://m.media-amazon.com/images/I/819ez7t33gL.jpg")</f>
        <v/>
      </c>
      <c r="B91" s="32" t="inlineStr">
        <is>
          <t>B09G6H23C3</t>
        </is>
      </c>
      <c r="C91" s="32" t="inlineStr">
        <is>
          <t>SATIN-STRIPE-TWIN-BLACK</t>
        </is>
      </c>
      <c r="D91" s="32" t="inlineStr">
        <is>
          <t>DECOLURE Satin Sheets Twin Size | Softer Than Silk | Luxury 3 Pc Bed Set</t>
        </is>
      </c>
      <c r="E91" s="32" t="inlineStr">
        <is>
          <t>Twin</t>
        </is>
      </c>
      <c r="F91" s="32" t="inlineStr">
        <is>
          <t>Striped Black</t>
        </is>
      </c>
      <c r="G91" s="60" t="n">
        <v>27.95</v>
      </c>
      <c r="H91" s="32" t="inlineStr">
        <is>
          <t>Helium 10 Xray, 2026-10-13</t>
        </is>
      </c>
      <c r="I91" s="61" t="n">
        <v>27.95</v>
      </c>
      <c r="J91" s="62" t="inlineStr">
        <is>
          <t>2026-03-30</t>
        </is>
      </c>
      <c r="K91" s="33" t="n">
        <v>9.659999999999997</v>
      </c>
      <c r="L91" s="63" t="n">
        <v>0.3456171735241502</v>
      </c>
      <c r="M91" s="64" t="n">
        <v>6</v>
      </c>
      <c r="N91" s="32" t="inlineStr">
        <is>
          <t>Active</t>
        </is>
      </c>
      <c r="O91" s="32" t="n"/>
      <c r="P91" s="65" t="n">
        <v>4.4</v>
      </c>
      <c r="Q91" s="64" t="n">
        <v>18632</v>
      </c>
      <c r="R91" s="64" t="n">
        <v>10006</v>
      </c>
      <c r="S91" s="64" t="n">
        <v>15</v>
      </c>
      <c r="T91" s="32" t="n"/>
    </row>
    <row r="92" ht="62" customHeight="1">
      <c r="A92" s="10">
        <f>_xlfn.IMAGE("https://m.media-amazon.com/images/I/81NOa451cTL.jpg")</f>
        <v/>
      </c>
      <c r="B92" s="32" t="inlineStr">
        <is>
          <t>B08KR9PWK1</t>
        </is>
      </c>
      <c r="C92" s="32" t="inlineStr">
        <is>
          <t>SATIN-GOLD-FULL</t>
        </is>
      </c>
      <c r="D92" s="32" t="inlineStr">
        <is>
          <t>DECOLURE Satin Sheets Full Size | Softer Than Silk | Luxury 4 Pc Bed Set</t>
        </is>
      </c>
      <c r="E92" s="32" t="inlineStr">
        <is>
          <t>Full</t>
        </is>
      </c>
      <c r="F92" s="32" t="inlineStr">
        <is>
          <t>Gold</t>
        </is>
      </c>
      <c r="G92" s="60" t="n">
        <v>29.95</v>
      </c>
      <c r="H92" s="32" t="inlineStr">
        <is>
          <t>Helium 10 Xray, 2026-10-13</t>
        </is>
      </c>
      <c r="I92" s="61" t="n">
        <v>29.95</v>
      </c>
      <c r="J92" s="62" t="inlineStr">
        <is>
          <t>2026-03-30</t>
        </is>
      </c>
      <c r="K92" s="33" t="n">
        <v>10.76</v>
      </c>
      <c r="L92" s="63" t="n">
        <v>0.3592654424040067</v>
      </c>
      <c r="M92" s="64" t="n">
        <v>5</v>
      </c>
      <c r="N92" s="32" t="inlineStr">
        <is>
          <t>Active</t>
        </is>
      </c>
      <c r="O92" s="32" t="n"/>
      <c r="P92" s="65" t="n">
        <v>4.4</v>
      </c>
      <c r="Q92" s="64" t="n">
        <v>18632</v>
      </c>
      <c r="R92" s="64" t="n">
        <v>10006</v>
      </c>
      <c r="S92" s="64" t="n">
        <v>10</v>
      </c>
      <c r="T92" s="32" t="n"/>
    </row>
    <row r="93" ht="62" customHeight="1">
      <c r="A93" s="10">
        <f>_xlfn.IMAGE("https://m.media-amazon.com/images/I/81zDJ9hFOlL.jpg")</f>
        <v/>
      </c>
      <c r="B93" s="32" t="inlineStr">
        <is>
          <t>B09G6LCV5J</t>
        </is>
      </c>
      <c r="C93" s="32" t="inlineStr">
        <is>
          <t>SATIN-STRIPE-FULL-GOLD</t>
        </is>
      </c>
      <c r="D93" s="32" t="inlineStr">
        <is>
          <t>DECOLURE Satin Sheets Full Size | Softer Than Silk | Luxury 4 Pc Bed Set</t>
        </is>
      </c>
      <c r="E93" s="32" t="inlineStr">
        <is>
          <t>Full</t>
        </is>
      </c>
      <c r="F93" s="32" t="inlineStr">
        <is>
          <t>Striped Gold</t>
        </is>
      </c>
      <c r="G93" s="60" t="n">
        <v>29.95</v>
      </c>
      <c r="H93" s="32" t="inlineStr">
        <is>
          <t>Helium 10 Xray, 2026-10-13</t>
        </is>
      </c>
      <c r="I93" s="61" t="n">
        <v>26.95</v>
      </c>
      <c r="J93" s="62" t="inlineStr">
        <is>
          <t>2026-03-30</t>
        </is>
      </c>
      <c r="K93" s="33" t="n">
        <v>6.81</v>
      </c>
      <c r="L93" s="63" t="n">
        <v>0.2526901669758813</v>
      </c>
      <c r="M93" s="64" t="n">
        <v>5</v>
      </c>
      <c r="N93" s="32" t="inlineStr">
        <is>
          <t>Active</t>
        </is>
      </c>
      <c r="O93" s="32" t="n"/>
      <c r="P93" s="65" t="n">
        <v>4.4</v>
      </c>
      <c r="Q93" s="64" t="n">
        <v>18632</v>
      </c>
      <c r="R93" s="64" t="n">
        <v>10006</v>
      </c>
      <c r="S93" s="64" t="n">
        <v>11</v>
      </c>
      <c r="T93" s="32" t="n"/>
    </row>
    <row r="94" ht="62" customHeight="1">
      <c r="A94" s="10">
        <f>_xlfn.IMAGE("https://m.media-amazon.com/images/I/81pznhbbzLL.jpg")</f>
        <v/>
      </c>
      <c r="B94" s="32" t="inlineStr">
        <is>
          <t>B0BZPV4LYC</t>
        </is>
      </c>
      <c r="C94" s="32" t="inlineStr">
        <is>
          <t>SATIN-TAUPE-FULL</t>
        </is>
      </c>
      <c r="D94" s="32" t="inlineStr">
        <is>
          <t>DECOLURE Satin Sheets Full Size | Softer Than Silk | Luxury 4 Pc Bed Set</t>
        </is>
      </c>
      <c r="E94" s="32" t="inlineStr">
        <is>
          <t>Full</t>
        </is>
      </c>
      <c r="F94" s="32" t="inlineStr">
        <is>
          <t>Taupe</t>
        </is>
      </c>
      <c r="G94" s="60" t="n">
        <v>29.95</v>
      </c>
      <c r="H94" s="32" t="inlineStr">
        <is>
          <t>Helium 10 Xray, 2026-10-13</t>
        </is>
      </c>
      <c r="I94" s="61" t="n">
        <v>29.95</v>
      </c>
      <c r="J94" s="62" t="inlineStr">
        <is>
          <t>2026-03-30</t>
        </is>
      </c>
      <c r="K94" s="33" t="n">
        <v>9.92</v>
      </c>
      <c r="L94" s="63" t="n">
        <v>0.3312186978297162</v>
      </c>
      <c r="M94" s="64" t="n">
        <v>5</v>
      </c>
      <c r="N94" s="32" t="inlineStr">
        <is>
          <t>Active</t>
        </is>
      </c>
      <c r="O94" s="32" t="n"/>
      <c r="P94" s="65" t="n">
        <v>4.4</v>
      </c>
      <c r="Q94" s="64" t="n">
        <v>18632</v>
      </c>
      <c r="R94" s="64" t="n">
        <v>10006</v>
      </c>
      <c r="S94" s="64" t="n">
        <v>10</v>
      </c>
      <c r="T94" s="32" t="n"/>
    </row>
    <row r="95" ht="62" customHeight="1">
      <c r="A95" s="10">
        <f>_xlfn.IMAGE("https://m.media-amazon.com/images/I/81rWdw-y40L.jpg")</f>
        <v/>
      </c>
      <c r="B95" s="32" t="inlineStr">
        <is>
          <t>B08KRS1K6H</t>
        </is>
      </c>
      <c r="C95" s="32" t="inlineStr">
        <is>
          <t>SATIN-WHITE-TWIN</t>
        </is>
      </c>
      <c r="D95" s="32" t="inlineStr">
        <is>
          <t>DECOLURE Satin Sheets Twin Size | Softer Than Silk | Luxury 3 Pc Bed Set</t>
        </is>
      </c>
      <c r="E95" s="32" t="inlineStr">
        <is>
          <t>Twin</t>
        </is>
      </c>
      <c r="F95" s="32" t="inlineStr">
        <is>
          <t>White</t>
        </is>
      </c>
      <c r="G95" s="60" t="n">
        <v>27.95</v>
      </c>
      <c r="H95" s="32" t="inlineStr">
        <is>
          <t>Helium 10 Xray, 2026-10-13</t>
        </is>
      </c>
      <c r="I95" s="61" t="n">
        <v>27.95</v>
      </c>
      <c r="J95" s="62" t="inlineStr">
        <is>
          <t>2026-03-30</t>
        </is>
      </c>
      <c r="K95" s="33" t="n">
        <v>9.809999999999999</v>
      </c>
      <c r="L95" s="63" t="n">
        <v>0.3509838998211091</v>
      </c>
      <c r="M95" s="64" t="n">
        <v>5</v>
      </c>
      <c r="N95" s="32" t="inlineStr">
        <is>
          <t>Active</t>
        </is>
      </c>
      <c r="O95" s="32" t="n"/>
      <c r="P95" s="65" t="n">
        <v>4.4</v>
      </c>
      <c r="Q95" s="64" t="n">
        <v>18632</v>
      </c>
      <c r="R95" s="64" t="n">
        <v>10009</v>
      </c>
      <c r="S95" s="64" t="n">
        <v>16</v>
      </c>
      <c r="T95" s="32" t="n"/>
    </row>
    <row r="96" ht="62" customHeight="1">
      <c r="A96" s="10">
        <f>_xlfn.IMAGE("https://m.media-amazon.com/images/I/81NiOUuge2L.jpg")</f>
        <v/>
      </c>
      <c r="B96" s="32" t="inlineStr">
        <is>
          <t>B0CQSJZV7C</t>
        </is>
      </c>
      <c r="C96" s="32" t="inlineStr">
        <is>
          <t>SATIN-4PC-FULL-BURNT ORANGE</t>
        </is>
      </c>
      <c r="D96" s="32" t="inlineStr">
        <is>
          <t>DECOLURE Satin Sheets Full Size | Softer Than Silk | Luxury 4 Pc Bed Set</t>
        </is>
      </c>
      <c r="E96" s="32" t="inlineStr">
        <is>
          <t>Full</t>
        </is>
      </c>
      <c r="F96" s="32" t="inlineStr">
        <is>
          <t>Burnt Orange</t>
        </is>
      </c>
      <c r="G96" s="60" t="n">
        <v>29.95</v>
      </c>
      <c r="H96" s="32" t="inlineStr">
        <is>
          <t>Helium 10 Xray, 2026-10-13</t>
        </is>
      </c>
      <c r="I96" s="61" t="n">
        <v>42.95</v>
      </c>
      <c r="J96" s="62" t="inlineStr">
        <is>
          <t>2026-03-30</t>
        </is>
      </c>
      <c r="K96" s="33" t="n">
        <v>19.26000000000001</v>
      </c>
      <c r="L96" s="63" t="n">
        <v>0.4484284051222353</v>
      </c>
      <c r="M96" s="64" t="n">
        <v>4</v>
      </c>
      <c r="N96" s="32" t="inlineStr">
        <is>
          <t>Active</t>
        </is>
      </c>
      <c r="O96" s="32" t="n"/>
      <c r="P96" s="65" t="n">
        <v>4.4</v>
      </c>
      <c r="Q96" s="64" t="n">
        <v>18632</v>
      </c>
      <c r="R96" s="64" t="n">
        <v>10006</v>
      </c>
      <c r="S96" s="64" t="n">
        <v>9</v>
      </c>
      <c r="T96" s="32" t="n"/>
    </row>
    <row r="97" ht="62" customHeight="1">
      <c r="A97" s="10">
        <f>_xlfn.IMAGE("https://m.media-amazon.com/images/I/81wiiAf6okL.jpg")</f>
        <v/>
      </c>
      <c r="B97" s="32" t="inlineStr">
        <is>
          <t>B09G6K4PXD</t>
        </is>
      </c>
      <c r="C97" s="32" t="inlineStr">
        <is>
          <t>SATIN-STRIPE-FULL-PURPLE</t>
        </is>
      </c>
      <c r="D97" s="32" t="inlineStr">
        <is>
          <t>DECOLURE Satin Sheets Full Size | Softer Than Silk | Luxury 4 Pc Bed Set</t>
        </is>
      </c>
      <c r="E97" s="32" t="inlineStr">
        <is>
          <t>Full</t>
        </is>
      </c>
      <c r="F97" s="32" t="inlineStr">
        <is>
          <t>Striped Purple</t>
        </is>
      </c>
      <c r="G97" s="60" t="n">
        <v>29.95</v>
      </c>
      <c r="H97" s="32" t="inlineStr">
        <is>
          <t>Helium 10 Xray, 2026-10-13</t>
        </is>
      </c>
      <c r="I97" s="61" t="n">
        <v>45.95</v>
      </c>
      <c r="J97" s="62" t="inlineStr">
        <is>
          <t>2026-03-30</t>
        </is>
      </c>
      <c r="K97" s="33" t="n">
        <v>22.94</v>
      </c>
      <c r="L97" s="63" t="n">
        <v>0.4992383025027205</v>
      </c>
      <c r="M97" s="64" t="n">
        <v>4</v>
      </c>
      <c r="N97" s="32" t="inlineStr">
        <is>
          <t>Active</t>
        </is>
      </c>
      <c r="O97" s="32" t="n"/>
      <c r="P97" s="65" t="n">
        <v>4.4</v>
      </c>
      <c r="Q97" s="64" t="n">
        <v>18632</v>
      </c>
      <c r="R97" s="64" t="n">
        <v>10009</v>
      </c>
      <c r="S97" s="64" t="n">
        <v>9</v>
      </c>
      <c r="T97" s="32" t="n"/>
    </row>
    <row r="98" ht="62" customHeight="1">
      <c r="A98" s="10">
        <f>_xlfn.IMAGE("https://m.media-amazon.com/images/I/81-wlwJoLcL.jpg")</f>
        <v/>
      </c>
      <c r="B98" s="32" t="inlineStr">
        <is>
          <t>B09G6KKSK6</t>
        </is>
      </c>
      <c r="C98" s="32" t="inlineStr">
        <is>
          <t>SATIN-STRIPE-FULL-RED</t>
        </is>
      </c>
      <c r="D98" s="32" t="inlineStr">
        <is>
          <t>DECOLURE Satin Sheets Full Size | Softer Than Silk | Luxury 4 Pc Bed Set</t>
        </is>
      </c>
      <c r="E98" s="32" t="inlineStr">
        <is>
          <t>Full</t>
        </is>
      </c>
      <c r="F98" s="32" t="inlineStr">
        <is>
          <t>Striped Red</t>
        </is>
      </c>
      <c r="G98" s="60" t="n">
        <v>29.95</v>
      </c>
      <c r="H98" s="32" t="inlineStr">
        <is>
          <t>Helium 10 Xray, 2026-10-13</t>
        </is>
      </c>
      <c r="I98" s="61" t="n">
        <v>29.95</v>
      </c>
      <c r="J98" s="62" t="inlineStr">
        <is>
          <t>2026-03-30</t>
        </is>
      </c>
      <c r="K98" s="33" t="n">
        <v>9.640000000000002</v>
      </c>
      <c r="L98" s="63" t="n">
        <v>0.3218697829716194</v>
      </c>
      <c r="M98" s="64" t="n">
        <v>4</v>
      </c>
      <c r="N98" s="32" t="inlineStr">
        <is>
          <t>Active</t>
        </is>
      </c>
      <c r="O98" s="32" t="n"/>
      <c r="P98" s="65" t="n">
        <v>4.4</v>
      </c>
      <c r="Q98" s="64" t="n">
        <v>18632</v>
      </c>
      <c r="R98" s="64" t="n">
        <v>10009</v>
      </c>
      <c r="S98" s="64" t="n">
        <v>9</v>
      </c>
      <c r="T98" s="32" t="n"/>
    </row>
    <row r="99" ht="62" customHeight="1">
      <c r="A99" s="10">
        <f>_xlfn.IMAGE("https://m.media-amazon.com/images/I/81CS7BCK-hL.jpg")</f>
        <v/>
      </c>
      <c r="B99" s="32" t="inlineStr">
        <is>
          <t>B0839KG4VY</t>
        </is>
      </c>
      <c r="C99" s="32" t="inlineStr">
        <is>
          <t>SATIN-TWIN-BLUE</t>
        </is>
      </c>
      <c r="D99" s="32" t="inlineStr">
        <is>
          <t>DECOLURE Satin Sheets Twin Size | Softer Than Silk | Luxury 3 Pc Bed Set</t>
        </is>
      </c>
      <c r="E99" s="32" t="inlineStr">
        <is>
          <t>Twin</t>
        </is>
      </c>
      <c r="F99" s="32" t="inlineStr">
        <is>
          <t>Blue</t>
        </is>
      </c>
      <c r="G99" s="60" t="n">
        <v>27.95</v>
      </c>
      <c r="H99" s="32" t="inlineStr">
        <is>
          <t>Helium 10 Xray, 2026-10-13</t>
        </is>
      </c>
      <c r="I99" s="61" t="n">
        <v>27.95</v>
      </c>
      <c r="J99" s="62" t="inlineStr">
        <is>
          <t>2026-03-30</t>
        </is>
      </c>
      <c r="K99" s="33" t="n">
        <v>10.21</v>
      </c>
      <c r="L99" s="63" t="n">
        <v>0.3652951699463327</v>
      </c>
      <c r="M99" s="64" t="n">
        <v>4</v>
      </c>
      <c r="N99" s="32" t="inlineStr">
        <is>
          <t>Active</t>
        </is>
      </c>
      <c r="O99" s="32" t="n"/>
      <c r="P99" s="65" t="n">
        <v>4.4</v>
      </c>
      <c r="Q99" s="64" t="n">
        <v>18632</v>
      </c>
      <c r="R99" s="64" t="n">
        <v>10006</v>
      </c>
      <c r="S99" s="64" t="n">
        <v>17</v>
      </c>
      <c r="T99" s="32" t="n"/>
    </row>
    <row r="100" ht="62" customHeight="1">
      <c r="A100" s="10">
        <f>_xlfn.IMAGE("https://m.media-amazon.com/images/I/81k1CBQWqyL.jpg")</f>
        <v/>
      </c>
      <c r="B100" s="32" t="inlineStr">
        <is>
          <t>B0CNS85C1K</t>
        </is>
      </c>
      <c r="C100" s="32" t="inlineStr">
        <is>
          <t>SATIN-TWIN-BLUSH PINK</t>
        </is>
      </c>
      <c r="D100" s="32" t="inlineStr">
        <is>
          <t>DECOLURE Satin Sheets Twin Size | Softer Than Silk | Luxury 3 Pc Bed Set</t>
        </is>
      </c>
      <c r="E100" s="32" t="inlineStr">
        <is>
          <t>Twin</t>
        </is>
      </c>
      <c r="F100" s="32" t="inlineStr">
        <is>
          <t>Blush Pink</t>
        </is>
      </c>
      <c r="G100" s="60" t="n">
        <v>27.95</v>
      </c>
      <c r="H100" s="32" t="inlineStr">
        <is>
          <t>Helium 10 Xray, 2026-10-13</t>
        </is>
      </c>
      <c r="I100" s="61" t="n">
        <v>27.95</v>
      </c>
      <c r="J100" s="62" t="inlineStr">
        <is>
          <t>2026-03-30</t>
        </is>
      </c>
      <c r="K100" s="33" t="n">
        <v>10.91</v>
      </c>
      <c r="L100" s="63" t="n">
        <v>0.3903398926654739</v>
      </c>
      <c r="M100" s="64" t="n">
        <v>4</v>
      </c>
      <c r="N100" s="32" t="inlineStr">
        <is>
          <t>Active</t>
        </is>
      </c>
      <c r="O100" s="32" t="n"/>
      <c r="P100" s="65" t="n">
        <v>4.4</v>
      </c>
      <c r="Q100" s="64" t="n">
        <v>18632</v>
      </c>
      <c r="R100" s="64" t="n">
        <v>10006</v>
      </c>
      <c r="S100" s="64" t="n">
        <v>16</v>
      </c>
      <c r="T100" s="32" t="n"/>
    </row>
    <row r="101" ht="62" customHeight="1">
      <c r="A101" s="10">
        <f>_xlfn.IMAGE("https://m.media-amazon.com/images/I/81IyOpde-BL.jpg")</f>
        <v/>
      </c>
      <c r="B101" s="32" t="inlineStr">
        <is>
          <t>B09G6K2WSF</t>
        </is>
      </c>
      <c r="C101" s="32" t="inlineStr">
        <is>
          <t>SATIN-STRIPE-TWIN-GOLD</t>
        </is>
      </c>
      <c r="D101" s="32" t="inlineStr">
        <is>
          <t>DECOLURE Satin Sheets Twin Size | Softer Than Silk | Luxury 3 Pc Bed Set</t>
        </is>
      </c>
      <c r="E101" s="32" t="inlineStr">
        <is>
          <t>Twin</t>
        </is>
      </c>
      <c r="F101" s="32" t="inlineStr">
        <is>
          <t>Striped Gold</t>
        </is>
      </c>
      <c r="G101" s="60" t="n">
        <v>27.95</v>
      </c>
      <c r="H101" s="32" t="inlineStr">
        <is>
          <t>Helium 10 Xray, 2026-10-13</t>
        </is>
      </c>
      <c r="I101" s="61" t="n">
        <v>22.49</v>
      </c>
      <c r="J101" s="62" t="inlineStr">
        <is>
          <t>2026-03-30</t>
        </is>
      </c>
      <c r="K101" s="33" t="n">
        <v>3.899999999999997</v>
      </c>
      <c r="L101" s="63" t="n">
        <v>0.1734104046242773</v>
      </c>
      <c r="M101" s="64" t="n">
        <v>4</v>
      </c>
      <c r="N101" s="32" t="inlineStr">
        <is>
          <t>Active</t>
        </is>
      </c>
      <c r="O101" s="32" t="n"/>
      <c r="P101" s="65" t="n">
        <v>4.4</v>
      </c>
      <c r="Q101" s="64" t="n">
        <v>18632</v>
      </c>
      <c r="R101" s="64" t="n">
        <v>10009</v>
      </c>
      <c r="S101" s="64" t="n">
        <v>17</v>
      </c>
      <c r="T101" s="32" t="n"/>
    </row>
    <row r="102" ht="62" customHeight="1">
      <c r="A102" s="10">
        <f>_xlfn.IMAGE("https://m.media-amazon.com/images/I/81DY3DsTJhL.jpg")</f>
        <v/>
      </c>
      <c r="B102" s="32" t="inlineStr">
        <is>
          <t>B09G6M7WJ3</t>
        </is>
      </c>
      <c r="C102" s="32" t="inlineStr">
        <is>
          <t>SATIN-STRIPE-TWIN-RED</t>
        </is>
      </c>
      <c r="D102" s="32" t="inlineStr">
        <is>
          <t>DECOLURE Satin Sheets Twin Size | Softer Than Silk | Luxury 3 Pc Bed Set</t>
        </is>
      </c>
      <c r="E102" s="32" t="inlineStr">
        <is>
          <t>Twin</t>
        </is>
      </c>
      <c r="F102" s="32" t="inlineStr">
        <is>
          <t>Striped Red</t>
        </is>
      </c>
      <c r="G102" s="60" t="n">
        <v>27.95</v>
      </c>
      <c r="H102" s="32" t="inlineStr">
        <is>
          <t>Helium 10 Xray, 2026-10-13</t>
        </is>
      </c>
      <c r="I102" s="61" t="n">
        <v>31.95</v>
      </c>
      <c r="J102" s="62" t="inlineStr">
        <is>
          <t>2026-03-30</t>
        </is>
      </c>
      <c r="K102" s="33" t="n">
        <v>11.79</v>
      </c>
      <c r="L102" s="63" t="n">
        <v>0.3690140845070423</v>
      </c>
      <c r="M102" s="64" t="n">
        <v>4</v>
      </c>
      <c r="N102" s="32" t="inlineStr">
        <is>
          <t>Active</t>
        </is>
      </c>
      <c r="O102" s="32" t="n"/>
      <c r="P102" s="65" t="n">
        <v>4.4</v>
      </c>
      <c r="Q102" s="64" t="n">
        <v>18632</v>
      </c>
      <c r="R102" s="64" t="n">
        <v>10009</v>
      </c>
      <c r="S102" s="64" t="n">
        <v>17</v>
      </c>
      <c r="T102" s="32" t="n"/>
    </row>
    <row r="103" ht="62" customHeight="1">
      <c r="A103" s="10">
        <f>_xlfn.IMAGE("https://m.media-amazon.com/images/I/81bfs+Nmq1L.jpg")</f>
        <v/>
      </c>
      <c r="B103" s="32" t="inlineStr">
        <is>
          <t>B0BZPVYJK4</t>
        </is>
      </c>
      <c r="C103" s="32" t="inlineStr">
        <is>
          <t>SATIN-TAUPE-TWIN</t>
        </is>
      </c>
      <c r="D103" s="32" t="inlineStr">
        <is>
          <t>DECOLURE Satin Sheets Twin Size | Softer Than Silk | Luxury 3 Pc Bed Set</t>
        </is>
      </c>
      <c r="E103" s="32" t="inlineStr">
        <is>
          <t>Twin</t>
        </is>
      </c>
      <c r="F103" s="32" t="inlineStr">
        <is>
          <t>Taupe</t>
        </is>
      </c>
      <c r="G103" s="60" t="n">
        <v>27.95</v>
      </c>
      <c r="H103" s="32" t="inlineStr">
        <is>
          <t>Helium 10 Xray, 2026-10-13</t>
        </is>
      </c>
      <c r="I103" s="61" t="n">
        <v>27.95</v>
      </c>
      <c r="J103" s="62" t="inlineStr">
        <is>
          <t>2026-03-30</t>
        </is>
      </c>
      <c r="K103" s="33" t="n">
        <v>9.519999999999996</v>
      </c>
      <c r="L103" s="63" t="n">
        <v>0.3406082289803219</v>
      </c>
      <c r="M103" s="64" t="n">
        <v>4</v>
      </c>
      <c r="N103" s="32" t="inlineStr">
        <is>
          <t>Active</t>
        </is>
      </c>
      <c r="O103" s="32" t="n"/>
      <c r="P103" s="65" t="n">
        <v>4.4</v>
      </c>
      <c r="Q103" s="64" t="n">
        <v>18632</v>
      </c>
      <c r="R103" s="64" t="n">
        <v>10006</v>
      </c>
      <c r="S103" s="64" t="n">
        <v>16</v>
      </c>
      <c r="T103" s="32" t="n"/>
    </row>
    <row r="104" ht="62" customHeight="1">
      <c r="A104" s="10">
        <f>_xlfn.IMAGE("https://m.media-amazon.com/images/I/81-wlwJoLcL.jpg")</f>
        <v/>
      </c>
      <c r="B104" s="32" t="inlineStr">
        <is>
          <t>B09G6JHW3F</t>
        </is>
      </c>
      <c r="C104" s="32" t="inlineStr">
        <is>
          <t>SATIN-STRIPE-KING-RED</t>
        </is>
      </c>
      <c r="D104" s="32" t="inlineStr">
        <is>
          <t>DECOLURE Satin Sheets King Size | Softer Than Silk | Luxury 4 Pc Bed Set</t>
        </is>
      </c>
      <c r="E104" s="32" t="inlineStr">
        <is>
          <t>King</t>
        </is>
      </c>
      <c r="F104" s="32" t="inlineStr">
        <is>
          <t>Striped Red</t>
        </is>
      </c>
      <c r="G104" s="60" t="n">
        <v>33.95</v>
      </c>
      <c r="H104" s="32" t="inlineStr">
        <is>
          <t>SellerBoard listing price, 2026-10-14</t>
        </is>
      </c>
      <c r="I104" s="61" t="n">
        <v>33.95</v>
      </c>
      <c r="J104" s="62" t="inlineStr">
        <is>
          <t>2026-03-30</t>
        </is>
      </c>
      <c r="K104" s="33" t="n">
        <v>9.430000000000001</v>
      </c>
      <c r="L104" s="63" t="n">
        <v>0.2777614138438881</v>
      </c>
      <c r="M104" s="64" t="n">
        <v>3</v>
      </c>
      <c r="N104" s="32" t="inlineStr">
        <is>
          <t>Inactive</t>
        </is>
      </c>
      <c r="O104" s="32" t="n"/>
      <c r="P104" s="65" t="n"/>
      <c r="Q104" s="64" t="n"/>
      <c r="R104" s="64" t="n"/>
      <c r="S104" s="64" t="n"/>
      <c r="T104" s="32" t="n"/>
    </row>
    <row r="105" ht="62" customHeight="1">
      <c r="A105" s="10">
        <f>_xlfn.IMAGE("https://m.media-amazon.com/images/I/81AsBEWJi8L.jpg")</f>
        <v/>
      </c>
      <c r="B105" s="32" t="inlineStr">
        <is>
          <t>B0CQRXC2YT</t>
        </is>
      </c>
      <c r="C105" s="32" t="inlineStr">
        <is>
          <t>SATIN-3PC-TWIN-BURNT ORANGE</t>
        </is>
      </c>
      <c r="D105" s="32" t="inlineStr">
        <is>
          <t>DECOLURE Satin Sheets Twin Size | Softer Than Silk | Luxury 3 Pc Bed Set</t>
        </is>
      </c>
      <c r="E105" s="32" t="inlineStr">
        <is>
          <t>Twin</t>
        </is>
      </c>
      <c r="F105" s="32" t="inlineStr">
        <is>
          <t>Burnt Orange</t>
        </is>
      </c>
      <c r="G105" s="60" t="n">
        <v>27.95</v>
      </c>
      <c r="H105" s="32" t="inlineStr">
        <is>
          <t>Helium 10 Xray, 2026-10-13</t>
        </is>
      </c>
      <c r="I105" s="61" t="n">
        <v>35.95</v>
      </c>
      <c r="J105" s="62" t="inlineStr">
        <is>
          <t>2026-03-30</t>
        </is>
      </c>
      <c r="K105" s="33" t="n">
        <v>16.05</v>
      </c>
      <c r="L105" s="63" t="n">
        <v>0.4464534075104312</v>
      </c>
      <c r="M105" s="64" t="n">
        <v>3</v>
      </c>
      <c r="N105" s="32" t="inlineStr">
        <is>
          <t>Active</t>
        </is>
      </c>
      <c r="O105" s="32" t="n"/>
      <c r="P105" s="65" t="n">
        <v>4.4</v>
      </c>
      <c r="Q105" s="64" t="n">
        <v>18632</v>
      </c>
      <c r="R105" s="64" t="n">
        <v>10006</v>
      </c>
      <c r="S105" s="64" t="n">
        <v>17</v>
      </c>
      <c r="T105" s="32" t="n"/>
    </row>
    <row r="106" ht="62" customHeight="1">
      <c r="A106" s="10">
        <f>_xlfn.IMAGE("https://m.media-amazon.com/images/I/814bc366nSL.jpg")</f>
        <v/>
      </c>
      <c r="B106" s="32" t="inlineStr">
        <is>
          <t>B08KR9THFG</t>
        </is>
      </c>
      <c r="C106" s="32" t="inlineStr">
        <is>
          <t>SATIN-GOLD-TWIN</t>
        </is>
      </c>
      <c r="D106" s="32" t="inlineStr">
        <is>
          <t>DECOLURE Satin Sheets Twin Size | Softer Than Silk | Luxury 3 Pc Bed Set</t>
        </is>
      </c>
      <c r="E106" s="32" t="inlineStr">
        <is>
          <t>Twin</t>
        </is>
      </c>
      <c r="F106" s="32" t="inlineStr">
        <is>
          <t>Gold</t>
        </is>
      </c>
      <c r="G106" s="60" t="n">
        <v>27.95</v>
      </c>
      <c r="H106" s="32" t="inlineStr">
        <is>
          <t>Helium 10 Xray, 2026-10-13</t>
        </is>
      </c>
      <c r="I106" s="61" t="n">
        <v>27.95</v>
      </c>
      <c r="J106" s="62" t="inlineStr">
        <is>
          <t>2026-03-30</t>
        </is>
      </c>
      <c r="K106" s="33" t="n">
        <v>9.809999999999999</v>
      </c>
      <c r="L106" s="63" t="n">
        <v>0.3509838998211091</v>
      </c>
      <c r="M106" s="64" t="n">
        <v>3</v>
      </c>
      <c r="N106" s="32" t="inlineStr">
        <is>
          <t>Active</t>
        </is>
      </c>
      <c r="O106" s="32" t="n"/>
      <c r="P106" s="65" t="n">
        <v>4.4</v>
      </c>
      <c r="Q106" s="64" t="n">
        <v>18632</v>
      </c>
      <c r="R106" s="64" t="n">
        <v>10009</v>
      </c>
      <c r="S106" s="64" t="n">
        <v>16</v>
      </c>
      <c r="T106" s="32" t="n"/>
    </row>
    <row r="107" ht="62" customHeight="1">
      <c r="A107" s="10">
        <f>_xlfn.IMAGE("https://m.media-amazon.com/images/I/81c6sUJ9JML.jpg")</f>
        <v/>
      </c>
      <c r="B107" s="32" t="inlineStr">
        <is>
          <t>B0BG21MMW9</t>
        </is>
      </c>
      <c r="C107" s="32" t="inlineStr">
        <is>
          <t>SATIN-SEA-TEAL-TWIN</t>
        </is>
      </c>
      <c r="D107" s="32" t="inlineStr">
        <is>
          <t>DECOLURE Satin Sheets Twin Size | Softer Than Silk | Luxury 3 Pc Bed Set</t>
        </is>
      </c>
      <c r="E107" s="32" t="inlineStr">
        <is>
          <t>Twin</t>
        </is>
      </c>
      <c r="F107" s="32" t="inlineStr">
        <is>
          <t>Sea Teal</t>
        </is>
      </c>
      <c r="G107" s="60" t="n">
        <v>27.95</v>
      </c>
      <c r="H107" s="32" t="inlineStr">
        <is>
          <t>Helium 10 Xray, 2026-10-13</t>
        </is>
      </c>
      <c r="I107" s="61" t="n">
        <v>27.95</v>
      </c>
      <c r="J107" s="62" t="inlineStr">
        <is>
          <t>2026-03-30</t>
        </is>
      </c>
      <c r="K107" s="33" t="n">
        <v>9.809999999999999</v>
      </c>
      <c r="L107" s="63" t="n">
        <v>0.3509838998211091</v>
      </c>
      <c r="M107" s="64" t="n">
        <v>3</v>
      </c>
      <c r="N107" s="32" t="inlineStr">
        <is>
          <t>Active</t>
        </is>
      </c>
      <c r="O107" s="32" t="n"/>
      <c r="P107" s="65" t="n">
        <v>4.4</v>
      </c>
      <c r="Q107" s="64" t="n">
        <v>18632</v>
      </c>
      <c r="R107" s="64" t="n">
        <v>10009</v>
      </c>
      <c r="S107" s="64" t="n">
        <v>16</v>
      </c>
      <c r="T107" s="32" t="n"/>
    </row>
    <row r="108" ht="62" customHeight="1">
      <c r="A108" s="10">
        <f>_xlfn.IMAGE("https://m.media-amazon.com/images/I/81zKyEoJxzL.jpg")</f>
        <v/>
      </c>
      <c r="B108" s="32" t="inlineStr">
        <is>
          <t>B09G6L5Z5K</t>
        </is>
      </c>
      <c r="C108" s="32" t="inlineStr">
        <is>
          <t>SATIN-STRIPE-TWIN-BLUE</t>
        </is>
      </c>
      <c r="D108" s="32" t="inlineStr">
        <is>
          <t>DECOLURE Satin Sheets Twin Size | Softer Than Silk | Luxury 3 Pc Bed Set</t>
        </is>
      </c>
      <c r="E108" s="32" t="inlineStr">
        <is>
          <t>Twin</t>
        </is>
      </c>
      <c r="F108" s="32" t="inlineStr">
        <is>
          <t>Striped Blue</t>
        </is>
      </c>
      <c r="G108" s="60" t="n">
        <v>27.95</v>
      </c>
      <c r="H108" s="32" t="inlineStr">
        <is>
          <t>Helium 10 Xray, 2026-10-13</t>
        </is>
      </c>
      <c r="I108" s="61" t="n">
        <v>22.49</v>
      </c>
      <c r="J108" s="62" t="inlineStr">
        <is>
          <t>2026-03-30</t>
        </is>
      </c>
      <c r="K108" s="33" t="n">
        <v>3.519999999999996</v>
      </c>
      <c r="L108" s="63" t="n">
        <v>0.1565140062249887</v>
      </c>
      <c r="M108" s="64" t="n">
        <v>3</v>
      </c>
      <c r="N108" s="32" t="inlineStr">
        <is>
          <t>Active</t>
        </is>
      </c>
      <c r="O108" s="32" t="n"/>
      <c r="P108" s="65" t="n">
        <v>4.4</v>
      </c>
      <c r="Q108" s="64" t="n">
        <v>18632</v>
      </c>
      <c r="R108" s="64" t="n">
        <v>10006</v>
      </c>
      <c r="S108" s="64" t="n">
        <v>16</v>
      </c>
      <c r="T108" s="32" t="n"/>
    </row>
    <row r="109" ht="62" customHeight="1">
      <c r="A109" s="10">
        <f>_xlfn.IMAGE("https://m.media-amazon.com/images/I/81CCAiqMFoL.jpg")</f>
        <v/>
      </c>
      <c r="B109" s="32" t="inlineStr">
        <is>
          <t>B09G6J7WQ8</t>
        </is>
      </c>
      <c r="C109" s="32" t="inlineStr">
        <is>
          <t>SATIN-STRIPE-TWIN-GRAY</t>
        </is>
      </c>
      <c r="D109" s="32" t="inlineStr">
        <is>
          <t>DECOLURE Satin Sheets Twin Size | Softer Than Silk | Luxury 3 Pc Bed Set</t>
        </is>
      </c>
      <c r="E109" s="32" t="inlineStr">
        <is>
          <t>Twin</t>
        </is>
      </c>
      <c r="F109" s="32" t="inlineStr">
        <is>
          <t>Striped Grey</t>
        </is>
      </c>
      <c r="G109" s="60" t="n">
        <v>27.95</v>
      </c>
      <c r="H109" s="32" t="inlineStr">
        <is>
          <t>SellerBoard listing price, 2026-10-14</t>
        </is>
      </c>
      <c r="I109" s="61" t="n">
        <v>31.95</v>
      </c>
      <c r="J109" s="62" t="inlineStr">
        <is>
          <t>2026-03-30</t>
        </is>
      </c>
      <c r="K109" s="33" t="n">
        <v>12.85</v>
      </c>
      <c r="L109" s="63" t="n">
        <v>0.4021909233176839</v>
      </c>
      <c r="M109" s="64" t="n">
        <v>3</v>
      </c>
      <c r="N109" s="32" t="inlineStr">
        <is>
          <t>Inactive</t>
        </is>
      </c>
      <c r="O109" s="32" t="n"/>
      <c r="P109" s="65" t="n"/>
      <c r="Q109" s="64" t="n"/>
      <c r="R109" s="64" t="n"/>
      <c r="S109" s="64" t="n"/>
      <c r="T109" s="32" t="n"/>
    </row>
    <row r="110" ht="62" customHeight="1">
      <c r="A110" s="10">
        <f>_xlfn.IMAGE("https://m.media-amazon.com/images/I/81HKWhCknYL.jpg")</f>
        <v/>
      </c>
      <c r="B110" s="32" t="inlineStr">
        <is>
          <t>B0DBQZWWHB</t>
        </is>
      </c>
      <c r="C110" s="32" t="inlineStr">
        <is>
          <t>SATIN-4PCS-FULL-STRIPE-PINK</t>
        </is>
      </c>
      <c r="D110" s="32" t="inlineStr">
        <is>
          <t>DECOLURE Satin Sheets Full Size | Softer Than Silk | Luxury 4 Pc Bed Set</t>
        </is>
      </c>
      <c r="E110" s="32" t="inlineStr">
        <is>
          <t>Full</t>
        </is>
      </c>
      <c r="F110" s="32" t="inlineStr">
        <is>
          <t>Striped Pink</t>
        </is>
      </c>
      <c r="G110" s="60" t="n">
        <v>29.95</v>
      </c>
      <c r="H110" s="32" t="inlineStr">
        <is>
          <t>Helium 10 Xray, 2026-10-13</t>
        </is>
      </c>
      <c r="I110" s="61" t="n">
        <v>29.95</v>
      </c>
      <c r="J110" s="62" t="inlineStr">
        <is>
          <t>2026-03-30</t>
        </is>
      </c>
      <c r="K110" s="33" t="n">
        <v>9.270000000000003</v>
      </c>
      <c r="L110" s="63" t="n">
        <v>0.3095158597662772</v>
      </c>
      <c r="M110" s="64" t="n">
        <v>2</v>
      </c>
      <c r="N110" s="32" t="inlineStr">
        <is>
          <t>Active</t>
        </is>
      </c>
      <c r="O110" s="32" t="n"/>
      <c r="P110" s="65" t="n">
        <v>4.4</v>
      </c>
      <c r="Q110" s="64" t="n">
        <v>18632</v>
      </c>
      <c r="R110" s="64" t="n">
        <v>10006</v>
      </c>
      <c r="S110" s="64" t="n">
        <v>13</v>
      </c>
      <c r="T110" s="32" t="n"/>
    </row>
    <row r="111" ht="62" customHeight="1">
      <c r="A111" s="10">
        <f>_xlfn.IMAGE("https://m.media-amazon.com/images/I/81HKWhCknYL.jpg")</f>
        <v/>
      </c>
      <c r="B111" s="32" t="inlineStr">
        <is>
          <t>B09G6LBQHH</t>
        </is>
      </c>
      <c r="C111" s="32" t="inlineStr">
        <is>
          <t>SATIN-STRIPE-KING-PINK</t>
        </is>
      </c>
      <c r="D111" s="32" t="inlineStr">
        <is>
          <t>DECOLURE Satin Sheets King Size | Softer Than Silk | Luxury 4 Pc Bed Set</t>
        </is>
      </c>
      <c r="E111" s="32" t="inlineStr">
        <is>
          <t>King</t>
        </is>
      </c>
      <c r="F111" s="32" t="inlineStr">
        <is>
          <t>Striped Pink</t>
        </is>
      </c>
      <c r="G111" s="60" t="n">
        <v>33.95</v>
      </c>
      <c r="H111" s="32" t="inlineStr">
        <is>
          <t>Helium 10 Xray, 2026-10-13</t>
        </is>
      </c>
      <c r="I111" s="61" t="n">
        <v>33.95</v>
      </c>
      <c r="J111" s="62" t="inlineStr">
        <is>
          <t>2026-03-30</t>
        </is>
      </c>
      <c r="K111" s="33" t="n">
        <v>10.16</v>
      </c>
      <c r="L111" s="63" t="n">
        <v>0.2992636229749632</v>
      </c>
      <c r="M111" s="64" t="n">
        <v>2</v>
      </c>
      <c r="N111" s="32" t="inlineStr">
        <is>
          <t>Active</t>
        </is>
      </c>
      <c r="O111" s="32" t="n"/>
      <c r="P111" s="65" t="n">
        <v>4.4</v>
      </c>
      <c r="Q111" s="64" t="n">
        <v>18632</v>
      </c>
      <c r="R111" s="64" t="n">
        <v>10006</v>
      </c>
      <c r="S111" s="64" t="n">
        <v>3</v>
      </c>
      <c r="T111" s="32" t="n"/>
    </row>
    <row r="112" ht="62" customHeight="1">
      <c r="A112" s="10">
        <f>_xlfn.IMAGE("https://m.media-amazon.com/images/I/81eTGAJjLvL.jpg")</f>
        <v/>
      </c>
      <c r="B112" s="32" t="inlineStr">
        <is>
          <t>B0BG25XZHJ</t>
        </is>
      </c>
      <c r="C112" s="32" t="inlineStr">
        <is>
          <t>SATIN-IVORY-TWIN</t>
        </is>
      </c>
      <c r="D112" s="32" t="inlineStr">
        <is>
          <t>DECOLURE Satin Sheets Twin Size | Softer Than Silk | Luxury 3 Pc Bed Set</t>
        </is>
      </c>
      <c r="E112" s="32" t="inlineStr">
        <is>
          <t>Twin</t>
        </is>
      </c>
      <c r="F112" s="32" t="inlineStr">
        <is>
          <t>Ivory</t>
        </is>
      </c>
      <c r="G112" s="60" t="n">
        <v>27.95</v>
      </c>
      <c r="H112" s="32" t="inlineStr">
        <is>
          <t>Helium 10 Xray, 2026-10-13</t>
        </is>
      </c>
      <c r="I112" s="61" t="n">
        <v>31.95</v>
      </c>
      <c r="J112" s="62" t="inlineStr">
        <is>
          <t>2026-03-30</t>
        </is>
      </c>
      <c r="K112" s="33" t="n">
        <v>12.4</v>
      </c>
      <c r="L112" s="63" t="n">
        <v>0.3881064162754304</v>
      </c>
      <c r="M112" s="64" t="n">
        <v>2</v>
      </c>
      <c r="N112" s="32" t="inlineStr">
        <is>
          <t>Active</t>
        </is>
      </c>
      <c r="O112" s="32" t="n"/>
      <c r="P112" s="65" t="n">
        <v>4.4</v>
      </c>
      <c r="Q112" s="64" t="n">
        <v>18632</v>
      </c>
      <c r="R112" s="64" t="n">
        <v>10009</v>
      </c>
      <c r="S112" s="64" t="n"/>
      <c r="T112" s="32" t="n"/>
    </row>
    <row r="113" ht="62" customHeight="1">
      <c r="A113" s="10">
        <f>_xlfn.IMAGE("https://m.media-amazon.com/images/I/81XZJvH2jAL.jpg")</f>
        <v/>
      </c>
      <c r="B113" s="32" t="inlineStr">
        <is>
          <t>B0CQRX8Q2P</t>
        </is>
      </c>
      <c r="C113" s="32" t="inlineStr">
        <is>
          <t>SATIN-3PC-TWIN-LAVENDER</t>
        </is>
      </c>
      <c r="D113" s="32" t="inlineStr">
        <is>
          <t>DECOLURE Satin Sheets Twin Size | Softer Than Silk | Luxury 3 Pc Bed Set</t>
        </is>
      </c>
      <c r="E113" s="32" t="inlineStr">
        <is>
          <t>Twin</t>
        </is>
      </c>
      <c r="F113" s="32" t="inlineStr">
        <is>
          <t>Lavender</t>
        </is>
      </c>
      <c r="G113" s="60" t="n">
        <v>27.95</v>
      </c>
      <c r="H113" s="32" t="inlineStr">
        <is>
          <t>Helium 10 Xray, 2026-10-13</t>
        </is>
      </c>
      <c r="I113" s="61" t="n">
        <v>41.95</v>
      </c>
      <c r="J113" s="62" t="inlineStr">
        <is>
          <t>2026-03-30</t>
        </is>
      </c>
      <c r="K113" s="33" t="n">
        <v>22.64</v>
      </c>
      <c r="L113" s="63" t="n">
        <v>0.5396901072705602</v>
      </c>
      <c r="M113" s="64" t="n">
        <v>2</v>
      </c>
      <c r="N113" s="32" t="inlineStr">
        <is>
          <t>Active</t>
        </is>
      </c>
      <c r="O113" s="32" t="n"/>
      <c r="P113" s="65" t="n">
        <v>4.4</v>
      </c>
      <c r="Q113" s="64" t="n">
        <v>18632</v>
      </c>
      <c r="R113" s="64" t="n">
        <v>10009</v>
      </c>
      <c r="S113" s="64" t="n">
        <v>19</v>
      </c>
      <c r="T113" s="32" t="n"/>
    </row>
    <row r="114" ht="62" customHeight="1">
      <c r="A114" s="10">
        <f>_xlfn.IMAGE("https://m.media-amazon.com/images/I/81YR0C1cluL.jpg")</f>
        <v/>
      </c>
      <c r="B114" s="32" t="inlineStr">
        <is>
          <t>B0839LVHL1</t>
        </is>
      </c>
      <c r="C114" s="32" t="inlineStr">
        <is>
          <t>SATIN-TWIN-PINK</t>
        </is>
      </c>
      <c r="D114" s="32" t="inlineStr">
        <is>
          <t>DECOLURE Satin Sheets Twin Size | Softer Than Silk | Luxury 3 Pc Bed Set</t>
        </is>
      </c>
      <c r="E114" s="32" t="inlineStr">
        <is>
          <t>Twin</t>
        </is>
      </c>
      <c r="F114" s="32" t="inlineStr">
        <is>
          <t>Pink</t>
        </is>
      </c>
      <c r="G114" s="60" t="n">
        <v>27.95</v>
      </c>
      <c r="H114" s="32" t="inlineStr">
        <is>
          <t>Helium 10 Xray, 2026-10-13</t>
        </is>
      </c>
      <c r="I114" s="61" t="n">
        <v>27.95</v>
      </c>
      <c r="J114" s="62" t="inlineStr">
        <is>
          <t>2026-03-30</t>
        </is>
      </c>
      <c r="K114" s="33" t="n">
        <v>10.3</v>
      </c>
      <c r="L114" s="63" t="n">
        <v>0.368515205724508</v>
      </c>
      <c r="M114" s="64" t="n">
        <v>2</v>
      </c>
      <c r="N114" s="32" t="inlineStr">
        <is>
          <t>Active</t>
        </is>
      </c>
      <c r="O114" s="32" t="n"/>
      <c r="P114" s="65" t="n">
        <v>4.4</v>
      </c>
      <c r="Q114" s="64" t="n">
        <v>18632</v>
      </c>
      <c r="R114" s="64" t="n">
        <v>10006</v>
      </c>
      <c r="S114" s="64" t="n">
        <v>15</v>
      </c>
      <c r="T114" s="32" t="n"/>
    </row>
    <row r="115" ht="62" customHeight="1">
      <c r="A115" s="10">
        <f>_xlfn.IMAGE("https://m.media-amazon.com/images/I/81yX5wWsraL.jpg")</f>
        <v/>
      </c>
      <c r="B115" s="32" t="inlineStr">
        <is>
          <t>B08KR7V6TL</t>
        </is>
      </c>
      <c r="C115" s="32" t="inlineStr">
        <is>
          <t>SATIN-RED-TWIN</t>
        </is>
      </c>
      <c r="D115" s="32" t="inlineStr">
        <is>
          <t>DECOLURE Satin Sheets Twin Size | Softer Than Silk | Luxury 3 Pc Bed Set</t>
        </is>
      </c>
      <c r="E115" s="32" t="inlineStr">
        <is>
          <t>Twin</t>
        </is>
      </c>
      <c r="F115" s="32" t="inlineStr">
        <is>
          <t>Red</t>
        </is>
      </c>
      <c r="G115" s="60" t="n">
        <v>27.95</v>
      </c>
      <c r="H115" s="32" t="inlineStr">
        <is>
          <t>Helium 10 Xray, 2026-10-13</t>
        </is>
      </c>
      <c r="I115" s="61" t="n">
        <v>27.95</v>
      </c>
      <c r="J115" s="62" t="inlineStr">
        <is>
          <t>2026-03-30</t>
        </is>
      </c>
      <c r="K115" s="33" t="n">
        <v>10.27</v>
      </c>
      <c r="L115" s="63" t="n">
        <v>0.3674418604651163</v>
      </c>
      <c r="M115" s="64" t="n">
        <v>2</v>
      </c>
      <c r="N115" s="32" t="inlineStr">
        <is>
          <t>Active</t>
        </is>
      </c>
      <c r="O115" s="32" t="n"/>
      <c r="P115" s="65" t="n">
        <v>4.4</v>
      </c>
      <c r="Q115" s="64" t="n">
        <v>18632</v>
      </c>
      <c r="R115" s="64" t="n">
        <v>10006</v>
      </c>
      <c r="S115" s="64" t="n">
        <v>15</v>
      </c>
      <c r="T115" s="32" t="n"/>
    </row>
    <row r="116" ht="62" customHeight="1">
      <c r="A116" s="10">
        <f>_xlfn.IMAGE("https://m.media-amazon.com/images/I/81Bv43jZjZL.jpg")</f>
        <v/>
      </c>
      <c r="B116" s="32" t="inlineStr">
        <is>
          <t>B09G6HZT1K</t>
        </is>
      </c>
      <c r="C116" s="32" t="inlineStr">
        <is>
          <t>SATIN-STRIPE-KING-BLACK</t>
        </is>
      </c>
      <c r="D116" s="32" t="inlineStr">
        <is>
          <t>DECOLURE Satin Sheets King Size | Softer Than Silk | Luxury 4 Pc Bed Set</t>
        </is>
      </c>
      <c r="E116" s="32" t="inlineStr">
        <is>
          <t>King</t>
        </is>
      </c>
      <c r="F116" s="32" t="inlineStr">
        <is>
          <t>Striped Black</t>
        </is>
      </c>
      <c r="G116" s="60" t="n">
        <v>33.95</v>
      </c>
      <c r="H116" s="32" t="inlineStr">
        <is>
          <t>SellerBoard listing price, 2026-10-14</t>
        </is>
      </c>
      <c r="I116" s="61" t="n">
        <v>33.95</v>
      </c>
      <c r="J116" s="62" t="inlineStr">
        <is>
          <t>2026-03-30</t>
        </is>
      </c>
      <c r="K116" s="33" t="n">
        <v>9.700000000000001</v>
      </c>
      <c r="L116" s="63" t="n">
        <v>0.2857142857142857</v>
      </c>
      <c r="M116" s="64" t="n">
        <v>1</v>
      </c>
      <c r="N116" s="32" t="inlineStr">
        <is>
          <t>Inactive</t>
        </is>
      </c>
      <c r="O116" s="32" t="n"/>
      <c r="P116" s="65" t="n"/>
      <c r="Q116" s="64" t="n"/>
      <c r="R116" s="64" t="n"/>
      <c r="S116" s="64" t="n"/>
      <c r="T116" s="32" t="n"/>
    </row>
    <row r="117" ht="62" customHeight="1">
      <c r="A117" s="10">
        <f>_xlfn.IMAGE("https://m.media-amazon.com/images/I/81zKyEoJxzL.jpg")</f>
        <v/>
      </c>
      <c r="B117" s="32" t="inlineStr">
        <is>
          <t>B09G6K8WYQ</t>
        </is>
      </c>
      <c r="C117" s="32" t="inlineStr">
        <is>
          <t>SATIN-STRIPE-QUEEN-BLUE</t>
        </is>
      </c>
      <c r="D117" s="32" t="inlineStr">
        <is>
          <t>DECOLURE Satin Sheets Queen Size | Softer Than Silk | Luxury 4 Pc Bed Set</t>
        </is>
      </c>
      <c r="E117" s="32" t="inlineStr">
        <is>
          <t>Queen</t>
        </is>
      </c>
      <c r="F117" s="32" t="inlineStr">
        <is>
          <t>Striped Blue</t>
        </is>
      </c>
      <c r="G117" s="60" t="n">
        <v>31.95</v>
      </c>
      <c r="H117" s="32" t="inlineStr">
        <is>
          <t>SellerBoard listing price, 2026-10-14</t>
        </is>
      </c>
      <c r="I117" s="61" t="n">
        <v>31.95</v>
      </c>
      <c r="J117" s="62" t="inlineStr">
        <is>
          <t>2026-03-30</t>
        </is>
      </c>
      <c r="K117" s="33" t="n">
        <v>7.559999999999999</v>
      </c>
      <c r="L117" s="63" t="n">
        <v>0.2366197183098591</v>
      </c>
      <c r="M117" s="64" t="n">
        <v>1</v>
      </c>
      <c r="N117" s="32" t="inlineStr">
        <is>
          <t>Inactive</t>
        </is>
      </c>
      <c r="O117" s="32" t="n"/>
      <c r="P117" s="65" t="n"/>
      <c r="Q117" s="64" t="n"/>
      <c r="R117" s="64" t="n"/>
      <c r="S117" s="64" t="n"/>
      <c r="T117" s="32" t="n"/>
    </row>
    <row r="118" ht="62" customHeight="1">
      <c r="A118" s="10">
        <f>_xlfn.IMAGE("https://m.media-amazon.com/images/I/81OrVgMfkxL.jpg")</f>
        <v/>
      </c>
      <c r="B118" s="32" t="inlineStr">
        <is>
          <t>B0BZPVY39R</t>
        </is>
      </c>
      <c r="C118" s="32" t="inlineStr">
        <is>
          <t>SATIN-CHAMPAGNE-TWIN</t>
        </is>
      </c>
      <c r="D118" s="32" t="inlineStr">
        <is>
          <t>DECOLURE Satin Sheets Twin Size | Softer Than Silk | Luxury 3 Pc Bed Set</t>
        </is>
      </c>
      <c r="E118" s="32" t="inlineStr">
        <is>
          <t>Twin</t>
        </is>
      </c>
      <c r="F118" s="32" t="inlineStr">
        <is>
          <t>Champagne</t>
        </is>
      </c>
      <c r="G118" s="60" t="n">
        <v>27.95</v>
      </c>
      <c r="H118" s="32" t="inlineStr">
        <is>
          <t>Helium 10 Xray, 2026-10-13</t>
        </is>
      </c>
      <c r="I118" s="61" t="n">
        <v>43.95</v>
      </c>
      <c r="J118" s="62" t="inlineStr">
        <is>
          <t>2026-03-30</t>
        </is>
      </c>
      <c r="K118" s="33" t="n">
        <v>23.9</v>
      </c>
      <c r="L118" s="63" t="n">
        <v>0.5437997724687144</v>
      </c>
      <c r="M118" s="64" t="n">
        <v>1</v>
      </c>
      <c r="N118" s="32" t="inlineStr">
        <is>
          <t>Active</t>
        </is>
      </c>
      <c r="O118" s="32" t="n"/>
      <c r="P118" s="65" t="n">
        <v>4.4</v>
      </c>
      <c r="Q118" s="64" t="n">
        <v>18632</v>
      </c>
      <c r="R118" s="64" t="n">
        <v>10006</v>
      </c>
      <c r="S118" s="64" t="n">
        <v>15</v>
      </c>
      <c r="T118" s="32" t="n"/>
    </row>
    <row r="119" ht="62" customHeight="1">
      <c r="A119" s="10">
        <f>_xlfn.IMAGE("https://m.media-amazon.com/images/I/81LZ8DaZObL.jpg")</f>
        <v/>
      </c>
      <c r="B119" s="32" t="inlineStr">
        <is>
          <t>B09G6KRX7T</t>
        </is>
      </c>
      <c r="C119" s="32" t="inlineStr">
        <is>
          <t>SATIN-STRIPE-TWIN-PINK</t>
        </is>
      </c>
      <c r="D119" s="32" t="inlineStr">
        <is>
          <t>DECOLURE Satin Sheets Twin Size | Softer Than Silk | Luxury 3 Pc Bed Set</t>
        </is>
      </c>
      <c r="E119" s="32" t="inlineStr">
        <is>
          <t>Twin</t>
        </is>
      </c>
      <c r="F119" s="32" t="inlineStr">
        <is>
          <t>Striped Pink</t>
        </is>
      </c>
      <c r="G119" s="60" t="n">
        <v>27.95</v>
      </c>
      <c r="H119" s="32" t="inlineStr">
        <is>
          <t>Helium 10 Xray, 2026-10-13</t>
        </is>
      </c>
      <c r="I119" s="61" t="n">
        <v>39.95</v>
      </c>
      <c r="J119" s="62" t="inlineStr">
        <is>
          <t>2026-03-30</t>
        </is>
      </c>
      <c r="K119" s="33" t="n">
        <v>19.34</v>
      </c>
      <c r="L119" s="63" t="n">
        <v>0.4841051314142678</v>
      </c>
      <c r="M119" s="64" t="n">
        <v>1</v>
      </c>
      <c r="N119" s="32" t="inlineStr">
        <is>
          <t>Active</t>
        </is>
      </c>
      <c r="O119" s="32" t="n"/>
      <c r="P119" s="65" t="n">
        <v>4.4</v>
      </c>
      <c r="Q119" s="64" t="n">
        <v>18632</v>
      </c>
      <c r="R119" s="64" t="n">
        <v>10009</v>
      </c>
      <c r="S119" s="64" t="n">
        <v>16</v>
      </c>
      <c r="T119" s="32" t="n"/>
    </row>
    <row r="120" ht="62" customHeight="1">
      <c r="A120" s="10">
        <f>_xlfn.IMAGE("https://m.media-amazon.com/images/I/815cN-9mlkL.jpg")</f>
        <v/>
      </c>
      <c r="B120" s="32" t="inlineStr">
        <is>
          <t>B09G6JWVWD</t>
        </is>
      </c>
      <c r="C120" s="32" t="inlineStr">
        <is>
          <t>SATIN-STRIPE-TWIN-PURPLE</t>
        </is>
      </c>
      <c r="D120" s="32" t="inlineStr">
        <is>
          <t>DECOLURE Satin Sheets Twin Size | Softer Than Silk | Luxury 3 Pc Bed Set</t>
        </is>
      </c>
      <c r="E120" s="32" t="inlineStr">
        <is>
          <t>Twin</t>
        </is>
      </c>
      <c r="F120" s="32" t="inlineStr">
        <is>
          <t>Striped Purple</t>
        </is>
      </c>
      <c r="G120" s="60" t="n">
        <v>27.95</v>
      </c>
      <c r="H120" s="32" t="inlineStr">
        <is>
          <t>Helium 10 Xray, 2026-10-13</t>
        </is>
      </c>
      <c r="I120" s="61" t="n">
        <v>42.95</v>
      </c>
      <c r="J120" s="62" t="inlineStr">
        <is>
          <t>2026-03-30</t>
        </is>
      </c>
      <c r="K120" s="33" t="n">
        <v>21.38</v>
      </c>
      <c r="L120" s="63" t="n">
        <v>0.4977881257275902</v>
      </c>
      <c r="M120" s="64" t="n">
        <v>1</v>
      </c>
      <c r="N120" s="32" t="inlineStr">
        <is>
          <t>Active</t>
        </is>
      </c>
      <c r="O120" s="32" t="n"/>
      <c r="P120" s="65" t="n">
        <v>4.4</v>
      </c>
      <c r="Q120" s="64" t="n">
        <v>18632</v>
      </c>
      <c r="R120" s="64" t="n">
        <v>10009</v>
      </c>
      <c r="S120" s="64" t="n">
        <v>15</v>
      </c>
      <c r="T120" s="32" t="n"/>
    </row>
    <row r="121" ht="62" customHeight="1">
      <c r="A121" s="10">
        <f>_xlfn.IMAGE("https://m.media-amazon.com/images/I/81zgEKHZOlL.jpg")</f>
        <v/>
      </c>
      <c r="B121" s="32" t="inlineStr">
        <is>
          <t>B0CNS9FHSD</t>
        </is>
      </c>
      <c r="C121" s="32" t="inlineStr">
        <is>
          <t>SATIN-FULL-BLUSH PINK</t>
        </is>
      </c>
      <c r="D121" s="32" t="inlineStr">
        <is>
          <t>DECOLURE Satin Sheets Full Size | Softer Than Silk | Luxury 4 Pc Bed Set</t>
        </is>
      </c>
      <c r="E121" s="32" t="inlineStr">
        <is>
          <t>Full</t>
        </is>
      </c>
      <c r="F121" s="32" t="inlineStr">
        <is>
          <t>Blush Pink</t>
        </is>
      </c>
      <c r="G121" s="60" t="n">
        <v>29.95</v>
      </c>
      <c r="H121" s="32" t="inlineStr">
        <is>
          <t>SellerBoard listing price, 2026-10-14</t>
        </is>
      </c>
      <c r="I121" s="61" t="n">
        <v>47.95</v>
      </c>
      <c r="J121" s="62" t="inlineStr">
        <is>
          <t>2026-03-30</t>
        </is>
      </c>
      <c r="K121" s="33" t="n">
        <v>25.05</v>
      </c>
      <c r="L121" s="63" t="n">
        <v>0.5224191866527633</v>
      </c>
      <c r="M121" s="64" t="n">
        <v>0</v>
      </c>
      <c r="N121" s="32" t="inlineStr">
        <is>
          <t>Inactive</t>
        </is>
      </c>
      <c r="O121" s="32" t="n"/>
      <c r="P121" s="65" t="n"/>
      <c r="Q121" s="64" t="n"/>
      <c r="R121" s="64" t="n"/>
      <c r="S121" s="64" t="n"/>
      <c r="T121" s="32" t="n"/>
    </row>
    <row r="122" ht="62" customHeight="1">
      <c r="A122" s="10">
        <f>_xlfn.IMAGE("https://m.media-amazon.com/images/I/81Bv43jZjZL.jpg")</f>
        <v/>
      </c>
      <c r="B122" s="32" t="inlineStr">
        <is>
          <t>B09G6KMXVX</t>
        </is>
      </c>
      <c r="C122" s="32" t="inlineStr">
        <is>
          <t>SATIN-STRIPE-FULL-BLACK</t>
        </is>
      </c>
      <c r="D122" s="32" t="inlineStr">
        <is>
          <t>DECOLURE Satin Sheets Full Size | Softer Than Silk | Luxury 4 Pc Bed Set</t>
        </is>
      </c>
      <c r="E122" s="32" t="inlineStr">
        <is>
          <t>Full</t>
        </is>
      </c>
      <c r="F122" s="32" t="inlineStr">
        <is>
          <t>Striped Black</t>
        </is>
      </c>
      <c r="G122" s="60" t="n">
        <v>29.95</v>
      </c>
      <c r="H122" s="32" t="inlineStr">
        <is>
          <t>SellerBoard listing price, 2026-10-14</t>
        </is>
      </c>
      <c r="I122" s="61" t="n">
        <v>29.95</v>
      </c>
      <c r="J122" s="62" t="inlineStr">
        <is>
          <t>2026-03-30</t>
        </is>
      </c>
      <c r="K122" s="33" t="n">
        <v>9.920000000000002</v>
      </c>
      <c r="L122" s="63" t="n">
        <v>0.3312186978297162</v>
      </c>
      <c r="M122" s="64" t="n"/>
      <c r="N122" s="32" t="inlineStr">
        <is>
          <t>Inactive</t>
        </is>
      </c>
      <c r="O122" s="32" t="n"/>
      <c r="P122" s="65" t="n"/>
      <c r="Q122" s="64" t="n"/>
      <c r="R122" s="64" t="n"/>
      <c r="S122" s="64" t="n"/>
      <c r="T122" s="32" t="n"/>
    </row>
    <row r="123" ht="62" customHeight="1">
      <c r="A123" s="10">
        <f>_xlfn.IMAGE("https://m.media-amazon.com/images/I/81HcDE0HThL.jpg")</f>
        <v/>
      </c>
      <c r="B123" s="32" t="inlineStr">
        <is>
          <t>B09G6M7WJ2</t>
        </is>
      </c>
      <c r="C123" s="32" t="inlineStr">
        <is>
          <t>SATIN-STRIPE-FULL-BLUE</t>
        </is>
      </c>
      <c r="D123" s="32" t="inlineStr">
        <is>
          <t>DECOLURE Satin Sheets Full Size | Softer Than Silk | Luxury 4 Pc Bed Set</t>
        </is>
      </c>
      <c r="E123" s="32" t="inlineStr">
        <is>
          <t>Full</t>
        </is>
      </c>
      <c r="F123" s="32" t="inlineStr">
        <is>
          <t>Striped Blue</t>
        </is>
      </c>
      <c r="G123" s="60" t="n">
        <v>29.95</v>
      </c>
      <c r="H123" s="32" t="inlineStr">
        <is>
          <t>Helium 10 Xray, 2026-10-13</t>
        </is>
      </c>
      <c r="I123" s="61" t="n">
        <v>29.95</v>
      </c>
      <c r="J123" s="62" t="inlineStr">
        <is>
          <t>2026-03-30</t>
        </is>
      </c>
      <c r="K123" s="33" t="n">
        <v>9.090000000000002</v>
      </c>
      <c r="L123" s="63" t="n">
        <v>0.3035058430717864</v>
      </c>
      <c r="M123" s="64" t="n">
        <v>0</v>
      </c>
      <c r="N123" s="32" t="inlineStr">
        <is>
          <t>Active</t>
        </is>
      </c>
      <c r="O123" s="32" t="n"/>
      <c r="P123" s="65" t="n">
        <v>4.4</v>
      </c>
      <c r="Q123" s="64" t="n">
        <v>18632</v>
      </c>
      <c r="R123" s="64" t="n">
        <v>10006</v>
      </c>
      <c r="S123" s="64" t="n">
        <v>11</v>
      </c>
      <c r="T123" s="32" t="n"/>
    </row>
    <row r="124" ht="62" customHeight="1">
      <c r="A124" s="10">
        <f>_xlfn.IMAGE("https://m.media-amazon.com/images/I/81Owp6T1ibL.jpg")</f>
        <v/>
      </c>
      <c r="B124" s="32" t="inlineStr">
        <is>
          <t>B0H6QL24T6</t>
        </is>
      </c>
      <c r="C124" s="32" t="inlineStr">
        <is>
          <t>SATIN-CHAMPAGNE-KING-4PCS</t>
        </is>
      </c>
      <c r="D124" s="32" t="inlineStr">
        <is>
          <t>DECOLURE Satin Sheets King Size | Softer Than Silk | Luxury 4 Pc Bed Set</t>
        </is>
      </c>
      <c r="E124" s="32" t="inlineStr">
        <is>
          <t>King</t>
        </is>
      </c>
      <c r="F124" s="32" t="inlineStr">
        <is>
          <t>Champagne</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10">
        <f>_xlfn.IMAGE("https://m.media-amazon.com/images/I/81NOa451cTL.jpg")</f>
        <v/>
      </c>
      <c r="B125" s="32" t="inlineStr">
        <is>
          <t>B08KRYTRHY</t>
        </is>
      </c>
      <c r="C125" s="32" t="inlineStr">
        <is>
          <t>SATIN-GOLD-KING</t>
        </is>
      </c>
      <c r="D125" s="32" t="inlineStr">
        <is>
          <t>DECOLURE Satin Sheets King Size | Softer Than Silk | Luxury 4 Pc Bed Set</t>
        </is>
      </c>
      <c r="E125" s="32" t="inlineStr">
        <is>
          <t>King</t>
        </is>
      </c>
      <c r="F125" s="32" t="inlineStr">
        <is>
          <t>Gold</t>
        </is>
      </c>
      <c r="G125" s="60" t="n">
        <v>28.76</v>
      </c>
      <c r="H125" s="32" t="inlineStr">
        <is>
          <t>SellerBoard listing price, 2026-10-14</t>
        </is>
      </c>
      <c r="I125" s="61" t="n">
        <v>48.95</v>
      </c>
      <c r="J125" s="62" t="inlineStr">
        <is>
          <t>2026-03-30</t>
        </is>
      </c>
      <c r="K125" s="33" t="n">
        <v>23.88999999999999</v>
      </c>
      <c r="L125" s="63" t="n">
        <v>0.4880490296220631</v>
      </c>
      <c r="M125" s="64" t="n"/>
      <c r="N125" s="32" t="inlineStr">
        <is>
          <t>Inactive</t>
        </is>
      </c>
      <c r="O125" s="32" t="n"/>
      <c r="P125" s="65" t="n"/>
      <c r="Q125" s="64" t="n"/>
      <c r="R125" s="64" t="n"/>
      <c r="S125" s="64" t="n"/>
      <c r="T125" s="32" t="n"/>
    </row>
    <row r="126" ht="62" customHeight="1">
      <c r="A126" s="10">
        <f>_xlfn.IMAGE("https://m.media-amazon.com/images/I/81UtPaYWlbL.jpg")</f>
        <v/>
      </c>
      <c r="B126" s="32" t="inlineStr">
        <is>
          <t>B0DBQZ1MMF</t>
        </is>
      </c>
      <c r="C126" s="32" t="inlineStr">
        <is>
          <t>SATIN-4PCS-KING-SEA-TEAL</t>
        </is>
      </c>
      <c r="D126" s="32" t="inlineStr">
        <is>
          <t>DECOLURE Satin Sheets King Size | Softer Than Silk | Luxury 4 Pc Bed Set</t>
        </is>
      </c>
      <c r="E126" s="32" t="inlineStr">
        <is>
          <t>King</t>
        </is>
      </c>
      <c r="F126" s="32" t="inlineStr">
        <is>
          <t>Sea Teal</t>
        </is>
      </c>
      <c r="G126" s="60" t="n">
        <v>25.45</v>
      </c>
      <c r="H126" s="32" t="inlineStr">
        <is>
          <t>SellerBoard listing price, 2026-10-14</t>
        </is>
      </c>
      <c r="I126" s="61" t="n">
        <v>47.95</v>
      </c>
      <c r="J126" s="62" t="inlineStr">
        <is>
          <t>2026-03-30</t>
        </is>
      </c>
      <c r="K126" s="33" t="n">
        <v>22.22000000000001</v>
      </c>
      <c r="L126" s="63" t="n">
        <v>0.4633993743482795</v>
      </c>
      <c r="M126" s="64" t="n">
        <v>0</v>
      </c>
      <c r="N126" s="32" t="inlineStr">
        <is>
          <t>Inactive</t>
        </is>
      </c>
      <c r="O126" s="32" t="n"/>
      <c r="P126" s="65" t="n"/>
      <c r="Q126" s="64" t="n"/>
      <c r="R126" s="64" t="n"/>
      <c r="S126" s="64" t="n"/>
      <c r="T126" s="32" t="n"/>
    </row>
    <row r="127" ht="62" customHeight="1">
      <c r="A127" s="10">
        <f>_xlfn.IMAGE("https://m.media-amazon.com/images/I/81zKyEoJxzL.jpg")</f>
        <v/>
      </c>
      <c r="B127" s="32" t="inlineStr">
        <is>
          <t>B09G6JGMY9</t>
        </is>
      </c>
      <c r="C127" s="32" t="inlineStr">
        <is>
          <t>SATIN-STRIPE-KING-BLUE</t>
        </is>
      </c>
      <c r="D127" s="32" t="inlineStr">
        <is>
          <t>DECOLURE Satin Sheets King Size | Softer Than Silk | Luxury 4 Pc Bed Set</t>
        </is>
      </c>
      <c r="E127" s="32" t="inlineStr">
        <is>
          <t>King</t>
        </is>
      </c>
      <c r="F127" s="32" t="inlineStr">
        <is>
          <t>Striped Blue</t>
        </is>
      </c>
      <c r="G127" s="60" t="n">
        <v>32.25</v>
      </c>
      <c r="H127" s="32" t="inlineStr">
        <is>
          <t>SellerBoard listing price, 2026-10-14</t>
        </is>
      </c>
      <c r="I127" s="61" t="n">
        <v>50.95</v>
      </c>
      <c r="J127" s="62" t="inlineStr">
        <is>
          <t>2026-03-30</t>
        </is>
      </c>
      <c r="K127" s="33" t="n">
        <v>23.65</v>
      </c>
      <c r="L127" s="63" t="n">
        <v>0.4641805691854759</v>
      </c>
      <c r="M127" s="64" t="n"/>
      <c r="N127" s="32" t="inlineStr">
        <is>
          <t>Inactive</t>
        </is>
      </c>
      <c r="O127" s="32" t="n"/>
      <c r="P127" s="65" t="n"/>
      <c r="Q127" s="64" t="n"/>
      <c r="R127" s="64" t="n"/>
      <c r="S127" s="64" t="n"/>
      <c r="T127" s="32" t="n"/>
    </row>
    <row r="128" ht="62" customHeight="1">
      <c r="A128" s="10">
        <f>_xlfn.IMAGE("https://m.media-amazon.com/images/I/81zDJ9hFOlL.jpg")</f>
        <v/>
      </c>
      <c r="B128" s="32" t="inlineStr">
        <is>
          <t>B09G6K4M5V</t>
        </is>
      </c>
      <c r="C128" s="32" t="inlineStr">
        <is>
          <t>SATIN-STRIPE-KING-GOLD</t>
        </is>
      </c>
      <c r="D128" s="32" t="inlineStr">
        <is>
          <t>DECOLURE Satin Sheets King Size | Softer Than Silk | Luxury 4 Pc Bed Set</t>
        </is>
      </c>
      <c r="E128" s="32" t="inlineStr">
        <is>
          <t>King</t>
        </is>
      </c>
      <c r="F128" s="32" t="inlineStr">
        <is>
          <t>Striped Gold</t>
        </is>
      </c>
      <c r="G128" s="60" t="n">
        <v>33.95</v>
      </c>
      <c r="H128" s="32" t="inlineStr">
        <is>
          <t>SellerBoard listing price, 2026-10-14</t>
        </is>
      </c>
      <c r="I128" s="61" t="n">
        <v>33.95</v>
      </c>
      <c r="J128" s="62" t="inlineStr">
        <is>
          <t>2026-03-30</t>
        </is>
      </c>
      <c r="K128" s="33" t="n">
        <v>10</v>
      </c>
      <c r="L128" s="63" t="n">
        <v>0.2945508100147275</v>
      </c>
      <c r="M128" s="64" t="n"/>
      <c r="N128" s="32" t="inlineStr">
        <is>
          <t>Inactive</t>
        </is>
      </c>
      <c r="O128" s="32" t="n"/>
      <c r="P128" s="65" t="n"/>
      <c r="Q128" s="64" t="n"/>
      <c r="R128" s="64" t="n"/>
      <c r="S128" s="64" t="n"/>
      <c r="T128" s="32" t="n"/>
    </row>
    <row r="129" ht="62" customHeight="1">
      <c r="A129" s="10">
        <f>_xlfn.IMAGE("https://m.media-amazon.com/images/I/81oeTNry2PL.jpg")</f>
        <v/>
      </c>
      <c r="B129" s="32" t="inlineStr">
        <is>
          <t>B09G6K53S2</t>
        </is>
      </c>
      <c r="C129" s="32" t="inlineStr">
        <is>
          <t>SATIN-STRIPE-KING-GRAY</t>
        </is>
      </c>
      <c r="D129" s="32" t="inlineStr">
        <is>
          <t>DECOLURE Satin Bed Sheets - 4 Piece Luxury Silky King Size Bedding Set - Softer Than Silk, Wrinkle-Free with 15” Deep Pocket Fitted Sheet, Perfect for Hair &amp; Skin, Gifts for Women (Striped Grey)</t>
        </is>
      </c>
      <c r="E129" s="32" t="inlineStr">
        <is>
          <t>King</t>
        </is>
      </c>
      <c r="F129" s="32" t="inlineStr">
        <is>
          <t>Striped Grey</t>
        </is>
      </c>
      <c r="G129" s="60" t="n">
        <v>33.95</v>
      </c>
      <c r="H129" s="32" t="inlineStr">
        <is>
          <t>SellerBoard listing price, 2026-10-14</t>
        </is>
      </c>
      <c r="I129" s="61" t="n">
        <v>33.95</v>
      </c>
      <c r="J129" s="62" t="inlineStr">
        <is>
          <t>2026-03-30</t>
        </is>
      </c>
      <c r="K129" s="33" t="n">
        <v>9.570000000000004</v>
      </c>
      <c r="L129" s="63" t="n">
        <v>0.2818851251840944</v>
      </c>
      <c r="M129" s="64" t="n"/>
      <c r="N129" s="32" t="inlineStr">
        <is>
          <t>Inactive</t>
        </is>
      </c>
      <c r="O129" s="32" t="n"/>
      <c r="P129" s="65" t="n"/>
      <c r="Q129" s="64" t="n"/>
      <c r="R129" s="64" t="n"/>
      <c r="S129" s="64" t="n"/>
      <c r="T129" s="32" t="n"/>
    </row>
    <row r="130" ht="62" customHeight="1">
      <c r="A130" s="10">
        <f>_xlfn.IMAGE("https://m.media-amazon.com/images/I/81wiiAf6okL.jpg")</f>
        <v/>
      </c>
      <c r="B130" s="32" t="inlineStr">
        <is>
          <t>B09G6JWZCZ</t>
        </is>
      </c>
      <c r="C130" s="32" t="inlineStr">
        <is>
          <t>SATIN-STRIPE-KING-PURPLE</t>
        </is>
      </c>
      <c r="D130" s="32" t="inlineStr">
        <is>
          <t>DECOLURE Satin Sheets King Size | Softer Than Silk | Luxury 4 Pc Bed Set</t>
        </is>
      </c>
      <c r="E130" s="32" t="inlineStr">
        <is>
          <t>King</t>
        </is>
      </c>
      <c r="F130" s="32" t="inlineStr">
        <is>
          <t>Striped Purple</t>
        </is>
      </c>
      <c r="G130" s="60" t="n">
        <v>33.95</v>
      </c>
      <c r="H130" s="32" t="inlineStr">
        <is>
          <t>SellerBoard listing price, 2026-10-14</t>
        </is>
      </c>
      <c r="I130" s="61" t="n">
        <v>33.95</v>
      </c>
      <c r="J130" s="62" t="inlineStr">
        <is>
          <t>2026-03-30</t>
        </is>
      </c>
      <c r="K130" s="33" t="n">
        <v>9.540000000000003</v>
      </c>
      <c r="L130" s="63" t="n">
        <v>0.2810014727540501</v>
      </c>
      <c r="M130" s="64" t="n"/>
      <c r="N130" s="32" t="inlineStr">
        <is>
          <t>Inactive</t>
        </is>
      </c>
      <c r="O130" s="32" t="n"/>
      <c r="P130" s="65" t="n"/>
      <c r="Q130" s="64" t="n"/>
      <c r="R130" s="64" t="n"/>
      <c r="S130" s="64" t="n"/>
      <c r="T130" s="32" t="n"/>
    </row>
    <row r="131" ht="62" customHeight="1">
      <c r="A131" s="10">
        <f>_xlfn.IMAGE("https://m.media-amazon.com/images/I/81bfs+Nmq1L.jpg")</f>
        <v/>
      </c>
      <c r="B131" s="32" t="inlineStr">
        <is>
          <t>B0BZPVZKVS</t>
        </is>
      </c>
      <c r="C131" s="32" t="inlineStr">
        <is>
          <t>SATIN-TAUPE-KING</t>
        </is>
      </c>
      <c r="D131" s="32" t="inlineStr">
        <is>
          <t>DECOLURE Satin Sheets King Size | Softer Than Silk | Luxury 4 Pc Bed Set</t>
        </is>
      </c>
      <c r="E131" s="32" t="inlineStr">
        <is>
          <t>King</t>
        </is>
      </c>
      <c r="F131" s="32" t="inlineStr">
        <is>
          <t>Taupe</t>
        </is>
      </c>
      <c r="G131" s="60" t="n">
        <v>33.95</v>
      </c>
      <c r="H131" s="32" t="inlineStr">
        <is>
          <t>SellerBoard listing price, 2026-10-14</t>
        </is>
      </c>
      <c r="I131" s="61" t="n">
        <v>33.95</v>
      </c>
      <c r="J131" s="62" t="inlineStr">
        <is>
          <t>2026-03-30</t>
        </is>
      </c>
      <c r="K131" s="33" t="n">
        <v>10.55</v>
      </c>
      <c r="L131" s="63" t="n">
        <v>0.3107511045655377</v>
      </c>
      <c r="M131" s="64" t="n"/>
      <c r="N131" s="32" t="inlineStr">
        <is>
          <t>Inactive</t>
        </is>
      </c>
      <c r="O131" s="32" t="n"/>
      <c r="P131" s="65" t="n"/>
      <c r="Q131" s="64" t="n"/>
      <c r="R131" s="64" t="n"/>
      <c r="S131" s="64" t="n"/>
      <c r="T131" s="32" t="n"/>
    </row>
    <row r="132" ht="62" customHeight="1">
      <c r="A132" s="10">
        <f>_xlfn.IMAGE("https://m.media-amazon.com/images/I/81TG-RmUYiL.jpg")</f>
        <v/>
      </c>
      <c r="B132" s="32" t="inlineStr">
        <is>
          <t>B0HKN7814L</t>
        </is>
      </c>
      <c r="C132" s="32" t="inlineStr">
        <is>
          <t>SS-SATIN-GREY-4PCS-QUEEN</t>
        </is>
      </c>
      <c r="D132" s="32" t="inlineStr">
        <is>
          <t>SLEEP SANCTUARY Satin Sheets Queen Size – 4 Piece Luxury Silky Bed Set, Softer Than Silk, 15" Deep Pocket, Cooling &amp; Wrinkle-Free, Moisture-Wicking &amp; Breathable for Hair &amp; Skin (Grey)</t>
        </is>
      </c>
      <c r="E132" s="32" t="inlineStr">
        <is>
          <t>Queen</t>
        </is>
      </c>
      <c r="F132" s="32" t="inlineStr">
        <is>
          <t>Grey</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10">
        <f>_xlfn.IMAGE("https://m.media-amazon.com/images/I/81b2FINCUgL.jpg")</f>
        <v/>
      </c>
      <c r="B133" s="32" t="inlineStr">
        <is>
          <t>B0CQRWSS2D</t>
        </is>
      </c>
      <c r="C133" s="32" t="inlineStr">
        <is>
          <t>SATIN-4PC-QUEEN-SAGE GREEN</t>
        </is>
      </c>
      <c r="D133" s="32" t="inlineStr">
        <is>
          <t>DECOLURE Satin Sheets Queen Size | Softer Than Silk | Luxury 4 Pc Bed Set</t>
        </is>
      </c>
      <c r="E133" s="32" t="inlineStr">
        <is>
          <t>Queen</t>
        </is>
      </c>
      <c r="F133" s="32" t="inlineStr">
        <is>
          <t>Sage Green</t>
        </is>
      </c>
      <c r="G133" s="60" t="n">
        <v>31.95</v>
      </c>
      <c r="H133" s="32" t="inlineStr">
        <is>
          <t>SellerBoard listing price, 2026-10-14</t>
        </is>
      </c>
      <c r="I133" s="61" t="n">
        <v>31.95</v>
      </c>
      <c r="J133" s="62" t="inlineStr">
        <is>
          <t>2026-03-30</t>
        </is>
      </c>
      <c r="K133" s="33" t="n">
        <v>10.81</v>
      </c>
      <c r="L133" s="63" t="n">
        <v>0.3383411580594679</v>
      </c>
      <c r="M133" s="64" t="n"/>
      <c r="N133" s="32" t="inlineStr">
        <is>
          <t>Inactive</t>
        </is>
      </c>
      <c r="O133" s="32" t="n"/>
      <c r="P133" s="65" t="n"/>
      <c r="Q133" s="64" t="n"/>
      <c r="R133" s="64" t="n"/>
      <c r="S133" s="64" t="n"/>
      <c r="T133" s="32" t="n"/>
    </row>
    <row r="134" ht="62" customHeight="1">
      <c r="A134" s="10">
        <f>_xlfn.IMAGE("https://m.media-amazon.com/images/I/81bfs+Nmq1L.jpg")</f>
        <v/>
      </c>
      <c r="B134" s="32" t="inlineStr">
        <is>
          <t>B0H6QCW72X</t>
        </is>
      </c>
      <c r="C134" s="32" t="inlineStr">
        <is>
          <t>SATIN-TAUPE-QUEEN-4PCS</t>
        </is>
      </c>
      <c r="D134" s="32" t="inlineStr">
        <is>
          <t>DECOLURE Satin Sheets Queen Size | Softer Than Silk | Luxury 4 Pc Bed Set</t>
        </is>
      </c>
      <c r="E134" s="32" t="inlineStr">
        <is>
          <t>Queen</t>
        </is>
      </c>
      <c r="F134" s="32" t="inlineStr">
        <is>
          <t>Taupe</t>
        </is>
      </c>
      <c r="G134" s="33" t="n"/>
      <c r="H134" s="32" t="n"/>
      <c r="I134" s="33" t="n"/>
      <c r="J134" s="32" t="n"/>
      <c r="K134" s="33" t="n"/>
      <c r="L134" s="63" t="n"/>
      <c r="M134" s="64" t="n"/>
      <c r="N134" s="32" t="inlineStr">
        <is>
          <t>Inactive</t>
        </is>
      </c>
      <c r="O134" s="32" t="n"/>
      <c r="P134" s="65" t="n"/>
      <c r="Q134" s="64" t="n"/>
      <c r="R134" s="64" t="n"/>
      <c r="S134" s="64" t="n"/>
      <c r="T134" s="32" t="n"/>
    </row>
    <row r="135" ht="62" customHeight="1">
      <c r="A135" s="10">
        <f>_xlfn.IMAGE("https://m.media-amazon.com/images/I/81VOdox-tCL.jpg")</f>
        <v/>
      </c>
      <c r="B135" s="32" t="inlineStr">
        <is>
          <t>B09G6JK5ZL</t>
        </is>
      </c>
      <c r="C135" s="32" t="inlineStr">
        <is>
          <t>SATIN-STRIPE-TWIN-WHITE</t>
        </is>
      </c>
      <c r="D135" s="32" t="inlineStr">
        <is>
          <t>DECOLURE Satin Sheets Twin Size | Softer Than Silk | Luxury 3 Pc Bed Set</t>
        </is>
      </c>
      <c r="E135" s="32" t="inlineStr">
        <is>
          <t>Twin</t>
        </is>
      </c>
      <c r="F135" s="32" t="inlineStr">
        <is>
          <t>Striped White</t>
        </is>
      </c>
      <c r="G135" s="60" t="n">
        <v>27.95</v>
      </c>
      <c r="H135" s="32" t="inlineStr">
        <is>
          <t>Helium 10 Xray, 2026-10-13</t>
        </is>
      </c>
      <c r="I135" s="61" t="n">
        <v>22.49</v>
      </c>
      <c r="J135" s="62" t="inlineStr">
        <is>
          <t>2026-03-30</t>
        </is>
      </c>
      <c r="K135" s="33" t="n">
        <v>4.619999999999997</v>
      </c>
      <c r="L135" s="63" t="n">
        <v>0.2054246331702978</v>
      </c>
      <c r="M135" s="64" t="n">
        <v>0</v>
      </c>
      <c r="N135" s="32" t="inlineStr">
        <is>
          <t>Active</t>
        </is>
      </c>
      <c r="O135" s="32" t="n"/>
      <c r="P135" s="65" t="n">
        <v>4.4</v>
      </c>
      <c r="Q135" s="64" t="n">
        <v>18632</v>
      </c>
      <c r="R135" s="64" t="n">
        <v>10009</v>
      </c>
      <c r="S135" s="64" t="n">
        <v>16</v>
      </c>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14432.27</v>
      </c>
      <c r="E139" s="71" t="n">
        <v>47769.10000000001</v>
      </c>
      <c r="F139" s="72" t="n">
        <v>30.2</v>
      </c>
      <c r="G139" s="72" t="n">
        <v>10.42259841667862</v>
      </c>
      <c r="H139" s="71" t="n">
        <v>138470.94</v>
      </c>
      <c r="J139" s="73" t="n">
        <v>1478</v>
      </c>
      <c r="K139" s="74" t="n">
        <v>13.75</v>
      </c>
    </row>
    <row r="140">
      <c r="A140" s="70" t="inlineStr">
        <is>
          <t>BFCM week Nov 20 - Dec 1, 2025 (12d)</t>
        </is>
      </c>
      <c r="B140" s="68" t="n"/>
      <c r="C140" s="69" t="n"/>
      <c r="D140" s="71" t="n">
        <v>7096.91</v>
      </c>
      <c r="E140" s="71" t="n">
        <v>33533.42</v>
      </c>
      <c r="F140" s="72" t="n">
        <v>21.2</v>
      </c>
      <c r="G140" s="72" t="n">
        <v>4.860525396789848</v>
      </c>
      <c r="H140" s="71" t="n">
        <v>146011.17</v>
      </c>
      <c r="J140" s="73" t="n">
        <v>1116</v>
      </c>
      <c r="K140" s="74" t="n">
        <v>18.92</v>
      </c>
    </row>
    <row r="141">
      <c r="A141" s="70" t="inlineStr">
        <is>
          <t>December 2 - 31, 2025 (30d)</t>
        </is>
      </c>
      <c r="B141" s="68" t="n"/>
      <c r="C141" s="69" t="n"/>
      <c r="D141" s="71" t="n">
        <v>22104.71</v>
      </c>
      <c r="E141" s="71" t="n">
        <v>92605.79000000001</v>
      </c>
      <c r="F141" s="72" t="n">
        <v>23.9</v>
      </c>
      <c r="G141" s="72" t="n">
        <v>8.247848544454847</v>
      </c>
      <c r="H141" s="71" t="n">
        <v>268005.77</v>
      </c>
      <c r="J141" s="73" t="n">
        <v>2934</v>
      </c>
      <c r="K141" s="74" t="n">
        <v>17.95</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138273.24</v>
      </c>
      <c r="E144" s="73" t="n">
        <v>4334</v>
      </c>
      <c r="F144" s="73" t="n">
        <v>3992</v>
      </c>
      <c r="G144" s="73" t="n">
        <v>342</v>
      </c>
      <c r="H144" s="71" t="n">
        <v>20798.83</v>
      </c>
      <c r="J144" s="75" t="n">
        <v>0.150418331124663</v>
      </c>
      <c r="K144" s="73" t="n">
        <v>69580</v>
      </c>
      <c r="L144" s="75" t="n">
        <v>0.06228801379706812</v>
      </c>
      <c r="M144" s="76" t="n">
        <v>31.90430087678818</v>
      </c>
      <c r="N144" s="73" t="n">
        <v>199</v>
      </c>
    </row>
    <row r="145">
      <c r="A145" s="70" t="inlineStr">
        <is>
          <t>BFCM week Nov 20 - Dec 1, 2025 (12d)</t>
        </is>
      </c>
      <c r="B145" s="68" t="n"/>
      <c r="C145" s="69" t="n"/>
      <c r="D145" s="71" t="n">
        <v>145858.84</v>
      </c>
      <c r="E145" s="73" t="n">
        <v>4995</v>
      </c>
      <c r="F145" s="73" t="n">
        <v>4737</v>
      </c>
      <c r="G145" s="73" t="n">
        <v>258</v>
      </c>
      <c r="H145" s="71" t="n">
        <v>11715.29</v>
      </c>
      <c r="J145" s="75" t="n">
        <v>0.08031936905572538</v>
      </c>
      <c r="K145" s="73" t="n">
        <v>82662</v>
      </c>
      <c r="L145" s="75" t="n">
        <v>0.06042679828700007</v>
      </c>
      <c r="M145" s="76" t="n">
        <v>29.20096896896897</v>
      </c>
      <c r="N145" s="73" t="n">
        <v>97</v>
      </c>
    </row>
    <row r="146">
      <c r="A146" s="70" t="inlineStr">
        <is>
          <t>December 2 - 31, 2025 (30d)</t>
        </is>
      </c>
      <c r="B146" s="68" t="n"/>
      <c r="C146" s="69" t="n"/>
      <c r="D146" s="71" t="n">
        <v>267242.58</v>
      </c>
      <c r="E146" s="73" t="n">
        <v>8497</v>
      </c>
      <c r="F146" s="73" t="n">
        <v>7799</v>
      </c>
      <c r="G146" s="73" t="n">
        <v>698</v>
      </c>
      <c r="H146" s="71" t="n">
        <v>29328.07</v>
      </c>
      <c r="J146" s="75" t="n">
        <v>0.1097432527406374</v>
      </c>
      <c r="K146" s="73" t="n">
        <v>112119</v>
      </c>
      <c r="L146" s="75" t="n">
        <v>0.07578554928245881</v>
      </c>
      <c r="M146" s="76" t="n">
        <v>31.45140402494998</v>
      </c>
      <c r="N146" s="73" t="n">
        <v>386</v>
      </c>
    </row>
    <row r="147">
      <c r="A147" s="59" t="inlineStr">
        <is>
          <t>SellerBoard, Ecotero account, Amazon parent B0H631FLT8 plus any of this product's child ASINs SellerBoard lists on their own, UTC days. Lift above uses these actual sales (2.64x; the ad-spend estimate was 2.64x).</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11-06 to 11-07 (cancelled, 114 variations); Lightning Deal 11-14 to 11-15 (cancelled, 114 variations); Best Deal 11-20 to 12-02 (ran, 111 variations, 4,311 units; Keepa lowest Buy Box during it $25.46 on B0839MKJMV).</t>
        </is>
      </c>
    </row>
    <row r="149" ht="26" customHeight="1">
      <c r="A149" s="77" t="inlineStr">
        <is>
          <t>Stock in BFCM week 2025 (FBA inventory snapshots, child-ASIN level, revision 2): 1 of 122 variations hit zero FBA stock on at least one observed day; weighted by today's sales mix that is ~0.0% of variation-days lost. Most important: B0BG21PLYK 3/9 days. Snapshots missing: US Nov 26-27 and Dec 1 (Cyber Monday); CA Nov 24, 29-30.</t>
        </is>
      </c>
    </row>
    <row r="150">
      <c r="A150" s="59" t="inlineStr">
        <is>
          <t>Command Center visibility for our best child B0839MKJMV: organic score 123.9 before BFCM 2025 → 163.2 in BFCM week; Prime Day 2026 33.4 → 41.5; Aug-Sep 2026 163.5.</t>
        </is>
      </c>
    </row>
    <row r="152" ht="20" customHeight="1">
      <c r="A152" s="54" t="inlineStr">
        <is>
          <t>4 · COMPETITOR LANDSCAPE (26 mapped)</t>
        </is>
      </c>
    </row>
    <row r="153">
      <c r="A153" s="59" t="inlineStr">
        <is>
          <t>Sorted by tier, then estimated weekly units. Green = Command Center price/sales; blue = Data Dive listing; purple = Command Center search strategy (ASINsight); yellow = fill from Keepa / page check.</t>
        </is>
      </c>
    </row>
    <row r="154">
      <c r="A154" s="78" t="inlineStr">
        <is>
          <t>COMPETITOR</t>
        </is>
      </c>
      <c r="I154" s="79" t="inlineStr">
        <is>
          <t>LISTING - Data Dive</t>
        </is>
      </c>
      <c r="J154" s="80" t="inlineStr">
        <is>
          <t>SEARCH STRATEGY - Command Center ASINsight</t>
        </is>
      </c>
      <c r="K154" s="81" t="inlineStr">
        <is>
          <t>PRICE &amp; SALES - Command Center snapshot (date per row)</t>
        </is>
      </c>
      <c r="X154" s="79" t="inlineStr">
        <is>
          <t>LISTING - Data Dive</t>
        </is>
      </c>
      <c r="AA154" s="80" t="inlineStr">
        <is>
          <t>SEARCH STRATEGY - Command Center ASINsight</t>
        </is>
      </c>
      <c r="AR154" s="82" t="inlineStr">
        <is>
          <t>STR NOW - Amazon page check (Oct 13, P1 + P2)</t>
        </is>
      </c>
      <c r="AY154" s="83" t="inlineStr">
        <is>
          <t>BFCM 2025 - Keepa (P1 filled; yellow = not pulled yet)</t>
        </is>
      </c>
    </row>
    <row r="155" ht="48" customHeight="1">
      <c r="A155" s="22" t="inlineStr">
        <is>
          <t>Image</t>
        </is>
      </c>
      <c r="B155" s="22" t="inlineStr">
        <is>
          <t>Brand</t>
        </is>
      </c>
      <c r="C155" s="22" t="inlineStr">
        <is>
          <t>Product title</t>
        </is>
      </c>
      <c r="D155" s="22" t="inlineStr">
        <is>
          <t>Tier</t>
        </is>
      </c>
      <c r="E155" s="22" t="inlineStr">
        <is>
          <t>Parent ASIN</t>
        </is>
      </c>
      <c r="F155" s="22" t="inlineStr">
        <is>
          <t>Tracked child ASIN</t>
        </is>
      </c>
      <c r="G155" s="22" t="inlineStr">
        <is>
          <t>Size (title)</t>
        </is>
      </c>
      <c r="H155" s="22" t="inlineStr">
        <is>
          <t>Colour (title)</t>
        </is>
      </c>
      <c r="I155" s="22" t="inlineStr">
        <is>
          <t>Variations</t>
        </is>
      </c>
      <c r="J155" s="22" t="inlineStr">
        <is>
          <t>Hero child ASINs (share of their visibility)</t>
        </is>
      </c>
      <c r="K155" s="22" t="inlineStr">
        <is>
          <t>Price ($)</t>
        </is>
      </c>
      <c r="L155" s="22" t="inlineStr">
        <is>
          <t>List Price ($)</t>
        </is>
      </c>
      <c r="M155" s="22" t="inlineStr">
        <is>
          <t>List Price % over</t>
        </is>
      </c>
      <c r="N155" s="22" t="inlineStr">
        <is>
          <t>STR band</t>
        </is>
      </c>
      <c r="O155" s="22" t="inlineStr">
        <is>
          <t>Our price, same size ($)</t>
        </is>
      </c>
      <c r="P155" s="22" t="inlineStr">
        <is>
          <t>Their price vs ours</t>
        </is>
      </c>
      <c r="Q155" s="22" t="inlineStr">
        <is>
          <t>Comparison basis</t>
        </is>
      </c>
      <c r="R155" s="22" t="inlineStr">
        <is>
          <t>BSR</t>
        </is>
      </c>
      <c r="S155" s="22" t="inlineStr">
        <is>
          <t>Est weekly units</t>
        </is>
      </c>
      <c r="T155" s="22" t="inlineStr">
        <is>
          <t>Est monthly revenue ($)</t>
        </is>
      </c>
      <c r="U155" s="22" t="inlineStr">
        <is>
          <t>Rating</t>
        </is>
      </c>
      <c r="V155" s="22" t="inlineStr">
        <is>
          <t>Reviews</t>
        </is>
      </c>
      <c r="W155" s="22" t="inlineStr">
        <is>
          <t>Snapshot date</t>
        </is>
      </c>
      <c r="X155" s="22" t="inlineStr">
        <is>
          <t>Listed</t>
        </is>
      </c>
      <c r="Y155" s="22" t="inlineStr">
        <is>
          <t>Fulfil.</t>
        </is>
      </c>
      <c r="Z155" s="22" t="inlineStr">
        <is>
          <t>Seller country</t>
        </is>
      </c>
      <c r="AA155" s="22" t="inlineStr">
        <is>
          <t>ASINsight 7d traffic</t>
        </is>
      </c>
      <c r="AB155" s="22" t="inlineStr">
        <is>
          <t>Keywords ranked</t>
        </is>
      </c>
      <c r="AC155" s="22" t="inlineStr">
        <is>
          <t>Organic share of traffic</t>
        </is>
      </c>
      <c r="AD155" s="22" t="inlineStr">
        <is>
          <t>Ad share of traffic</t>
        </is>
      </c>
      <c r="AE155" s="22" t="inlineStr">
        <is>
          <t>Top keyword</t>
        </is>
      </c>
      <c r="AF155" s="22" t="inlineStr">
        <is>
          <t>SP reach</t>
        </is>
      </c>
      <c r="AG155" s="22" t="inlineStr">
        <is>
          <t>SB reach</t>
        </is>
      </c>
      <c r="AH155" s="22" t="inlineStr">
        <is>
          <t>SB video reach</t>
        </is>
      </c>
      <c r="AI155" s="22" t="inlineStr">
        <is>
          <t>Amazon's Choice reach</t>
        </is>
      </c>
      <c r="AJ155" s="22" t="inlineStr">
        <is>
          <t>Shared keywords</t>
        </is>
      </c>
      <c r="AK155" s="22" t="inlineStr">
        <is>
          <t>We win</t>
        </is>
      </c>
      <c r="AL155" s="22" t="inlineStr">
        <is>
          <t>We lose</t>
        </is>
      </c>
      <c r="AM155" s="22" t="inlineStr">
        <is>
          <t>Their keywords we miss</t>
        </is>
      </c>
      <c r="AN155" s="22" t="inlineStr">
        <is>
          <t>KWs they advertise, we don't</t>
        </is>
      </c>
      <c r="AO155" s="22" t="inlineStr">
        <is>
          <t>KWs they out-advertise us</t>
        </is>
      </c>
      <c r="AP155" s="22" t="inlineStr">
        <is>
          <t>Prime Day 2026 organic vis lift</t>
        </is>
      </c>
      <c r="AQ155" s="22" t="inlineStr">
        <is>
          <t>Organic trend (Aug-Sep vs Q2)</t>
        </is>
      </c>
      <c r="AR155" s="22" t="inlineStr">
        <is>
          <t>STR showing now? (Y/N)</t>
        </is>
      </c>
      <c r="AS155" s="22" t="inlineStr">
        <is>
          <t>STR label</t>
        </is>
      </c>
      <c r="AT155" s="22" t="inlineStr">
        <is>
          <t>Strikethrough price ($)</t>
        </is>
      </c>
      <c r="AU155" s="22" t="inlineStr">
        <is>
          <t>Page price at check ($)</t>
        </is>
      </c>
      <c r="AV155" s="22" t="inlineStr">
        <is>
          <t>Deal / coupon now</t>
        </is>
      </c>
      <c r="AW155" s="22" t="inlineStr">
        <is>
          <t>Orderable now (Y/N)</t>
        </is>
      </c>
      <c r="AX155" s="22" t="inlineStr">
        <is>
          <t>Checked (ET)</t>
        </is>
      </c>
      <c r="AY155" s="22" t="inlineStr">
        <is>
          <t>BFCM 2025 deal type</t>
        </is>
      </c>
      <c r="AZ155" s="22" t="inlineStr">
        <is>
          <t>BFCM 2025 deal dates</t>
        </is>
      </c>
      <c r="BA155" s="22" t="inlineStr">
        <is>
          <t>Pre-event price ($)</t>
        </is>
      </c>
      <c r="BB155" s="22" t="inlineStr">
        <is>
          <t>BFCM 2025 low ($)</t>
        </is>
      </c>
      <c r="BC155" s="22" t="inlineStr">
        <is>
          <t>BFCM 2025 discount</t>
        </is>
      </c>
      <c r="BD155" s="22" t="inlineStr">
        <is>
          <t>BSR pre-event</t>
        </is>
      </c>
      <c r="BE155" s="22" t="inlineStr">
        <is>
          <t>BSR BFCM wk</t>
        </is>
      </c>
      <c r="BF155" s="22" t="inlineStr">
        <is>
          <t>BSR lift (x)</t>
        </is>
      </c>
      <c r="BG155" s="22" t="inlineStr">
        <is>
          <t>OOS in BFCM? (Y/N)</t>
        </is>
      </c>
      <c r="BH155" s="22" t="inlineStr">
        <is>
          <t>Notes</t>
        </is>
      </c>
    </row>
    <row r="156" ht="62" customHeight="1">
      <c r="A156" s="10">
        <f>_xlfn.IMAGE("https://images-na.ssl-images-amazon.com/images/I/71ujt2CgaQL.jpg")</f>
        <v/>
      </c>
      <c r="B156" s="84" t="inlineStr">
        <is>
          <t>BEDELITE</t>
        </is>
      </c>
      <c r="C156" s="32" t="inlineStr">
        <is>
          <t>BEDELITE Satin Sheets Queen Size Bed Set, Black, 4 Pieces</t>
        </is>
      </c>
      <c r="D156" s="84" t="inlineStr">
        <is>
          <t>Aspirational</t>
        </is>
      </c>
      <c r="E156" s="84" t="inlineStr">
        <is>
          <t>B0FNMNMZ9T</t>
        </is>
      </c>
      <c r="F156" s="84" t="inlineStr">
        <is>
          <t>B0CSFTRP2X</t>
        </is>
      </c>
      <c r="G156" s="84" t="inlineStr">
        <is>
          <t>Queen</t>
        </is>
      </c>
      <c r="H156" s="84" t="inlineStr">
        <is>
          <t>Black</t>
        </is>
      </c>
      <c r="I156" s="85" t="n">
        <v>141</v>
      </c>
      <c r="J156" s="32" t="inlineStr">
        <is>
          <t>B0CSFTRP2X (57%), B0CSFW9QKP (14%), B0CSFTZ5B9 (14%)</t>
        </is>
      </c>
      <c r="K156" s="86" t="n">
        <v>17.99</v>
      </c>
      <c r="L156" s="86" t="n"/>
      <c r="M156" s="87">
        <f>IF(AND(ISNUMBER(L156),ISNUMBER(K156),N(K156)&gt;0),L156/K156-1,"")</f>
        <v/>
      </c>
      <c r="N156" s="88">
        <f>IF(M156="","No List Price",IF(M156&lt;=0,"At/below price",IF(M156&lt;=0.12,"&lt;=12% STR zone",IF(M156&lt;=0.25,"12-25%","&gt;25% over"))))</f>
        <v/>
      </c>
      <c r="O156" s="86" t="n">
        <v>31.95</v>
      </c>
      <c r="P156" s="89">
        <f>IF(AND(ISNUMBER(K156),ISNUMBER(O156),N(O156)&gt;0),K156/O156-1,"")</f>
        <v/>
      </c>
      <c r="Q156" s="32" t="inlineStr">
        <is>
          <t>Same size (Queen). Ours live: Helium 10 Xray, 2026-10-13; 28 children</t>
        </is>
      </c>
      <c r="R156" s="85" t="n">
        <v>497</v>
      </c>
      <c r="S156" s="85" t="n">
        <v>1963</v>
      </c>
      <c r="T156" s="90">
        <f>IF(AND(ISNUMBER(K156),ISNUMBER(S156)),K156*S156*52/12,"")</f>
        <v/>
      </c>
      <c r="U156" s="91" t="n">
        <v>4.3</v>
      </c>
      <c r="V156" s="85" t="n">
        <v>6297</v>
      </c>
      <c r="W156" s="92" t="n">
        <v>46307</v>
      </c>
      <c r="X156" s="92" t="n">
        <v>45307</v>
      </c>
      <c r="Y156" s="84" t="inlineStr">
        <is>
          <t>FBA</t>
        </is>
      </c>
      <c r="Z156" s="84" t="inlineStr">
        <is>
          <t>CN</t>
        </is>
      </c>
      <c r="AA156" s="85" t="n">
        <v>997443</v>
      </c>
      <c r="AB156" s="85" t="n">
        <v>3432</v>
      </c>
      <c r="AC156" s="93" t="n">
        <v>0.8161266415223724</v>
      </c>
      <c r="AD156" s="93" t="n">
        <v>0.1838733681022371</v>
      </c>
      <c r="AE156" s="32" t="inlineStr">
        <is>
          <t>silk sheets</t>
        </is>
      </c>
      <c r="AF156" s="93" t="n">
        <v>0.7623814092634867</v>
      </c>
      <c r="AG156" s="93" t="n">
        <v>0.2406603685624141</v>
      </c>
      <c r="AH156" s="93" t="n">
        <v>0.1818179083917577</v>
      </c>
      <c r="AI156" s="93" t="n">
        <v>0.3718648584430388</v>
      </c>
      <c r="AJ156" s="85" t="n">
        <v>871</v>
      </c>
      <c r="AK156" s="85" t="n">
        <v>92</v>
      </c>
      <c r="AL156" s="85" t="n">
        <v>714</v>
      </c>
      <c r="AM156" s="85" t="n">
        <v>2561</v>
      </c>
      <c r="AN156" s="85" t="n">
        <v>340</v>
      </c>
      <c r="AO156" s="85" t="n">
        <v>36</v>
      </c>
      <c r="AP156" s="94" t="n">
        <v>1.114785561378903</v>
      </c>
      <c r="AQ156" s="89" t="n">
        <v>0.3117365084274004</v>
      </c>
      <c r="AR156" s="95" t="inlineStr">
        <is>
          <t>Y</t>
        </is>
      </c>
      <c r="AS156" s="95" t="inlineStr">
        <is>
          <t>List Price</t>
        </is>
      </c>
      <c r="AT156" s="96" t="n">
        <v>19.99</v>
      </c>
      <c r="AU156" s="96" t="n">
        <v>17.99</v>
      </c>
      <c r="AV156" s="95" t="inlineStr">
        <is>
          <t>none</t>
        </is>
      </c>
      <c r="AW156" s="95" t="inlineStr">
        <is>
          <t>Y</t>
        </is>
      </c>
      <c r="AX156" s="95" t="inlineStr">
        <is>
          <t>2026-10-13 12:12:27</t>
        </is>
      </c>
      <c r="AY156" s="97" t="inlineStr">
        <is>
          <t>Price cut only</t>
        </is>
      </c>
      <c r="AZ156" s="97" t="inlineStr">
        <is>
          <t>11-20 to 12-01</t>
        </is>
      </c>
      <c r="BA156" s="98" t="n">
        <v>17.99</v>
      </c>
      <c r="BB156" s="98" t="n">
        <v>17.09</v>
      </c>
      <c r="BC156" s="87">
        <f>IF(AND(ISNUMBER(BA156),ISNUMBER(BB156),N(BA156)&gt;0),1-BB156/BA156,"")</f>
        <v/>
      </c>
      <c r="BD156" s="99" t="n">
        <v>714</v>
      </c>
      <c r="BE156" s="99" t="n">
        <v>473</v>
      </c>
      <c r="BF156" s="100">
        <f>IF(AND(ISNUMBER(BD156),ISNUMBER(BE156),N(BE156)&gt;0),BD156/BE156,"")</f>
        <v/>
      </c>
      <c r="BG156" s="97" t="inlineStr">
        <is>
          <t>N</t>
        </is>
      </c>
      <c r="BH156" s="97" t="inlineStr">
        <is>
          <t>Prime Exclusive 11-01 to 12-05; Prime Exclusive already running before BFCM week; List Price $23.99</t>
        </is>
      </c>
    </row>
    <row r="157" ht="62" customHeight="1">
      <c r="A157" s="10">
        <f>_xlfn.IMAGE("https://images-na.ssl-images-amazon.com/images/I/81C-fXI71XL.jpg")</f>
        <v/>
      </c>
      <c r="B157" s="84" t="inlineStr">
        <is>
          <t>Love's cabin</t>
        </is>
      </c>
      <c r="C157" s="32" t="inlineStr">
        <is>
          <t>Love's cabin Satin Queen Sheets Set, 4 Pieces, Pink, 15" Deep Pocket</t>
        </is>
      </c>
      <c r="D157" s="84" t="inlineStr">
        <is>
          <t>Aspirational</t>
        </is>
      </c>
      <c r="E157" s="84" t="inlineStr">
        <is>
          <t>B08DHTB63X</t>
        </is>
      </c>
      <c r="F157" s="84" t="inlineStr">
        <is>
          <t>B0BNMC5G8R</t>
        </is>
      </c>
      <c r="G157" s="84" t="inlineStr">
        <is>
          <t>Queen</t>
        </is>
      </c>
      <c r="H157" s="84" t="inlineStr">
        <is>
          <t>Pink</t>
        </is>
      </c>
      <c r="I157" s="85" t="n">
        <v>128</v>
      </c>
      <c r="J157" s="32" t="inlineStr">
        <is>
          <t>B0BNMC5G8R (45%), B0BNMCRSC6 (13%), B0CM5NFXX1 (9%), B0BNMVM5VM (5%), B0BNMD8S97 (4%)</t>
        </is>
      </c>
      <c r="K157" s="86" t="n">
        <v>16.13</v>
      </c>
      <c r="L157" s="86" t="n">
        <v>19.99</v>
      </c>
      <c r="M157" s="87">
        <f>IF(AND(ISNUMBER(L157),ISNUMBER(K157),N(K157)&gt;0),L157/K157-1,"")</f>
        <v/>
      </c>
      <c r="N157" s="88">
        <f>IF(M157="","No List Price",IF(M157&lt;=0,"At/below price",IF(M157&lt;=0.12,"&lt;=12% STR zone",IF(M157&lt;=0.25,"12-25%","&gt;25% over"))))</f>
        <v/>
      </c>
      <c r="O157" s="86" t="n">
        <v>31.95</v>
      </c>
      <c r="P157" s="89">
        <f>IF(AND(ISNUMBER(K157),ISNUMBER(O157),N(O157)&gt;0),K157/O157-1,"")</f>
        <v/>
      </c>
      <c r="Q157" s="32" t="inlineStr">
        <is>
          <t>Same size (Queen). Ours live: Helium 10 Xray, 2026-10-13; 28 children</t>
        </is>
      </c>
      <c r="R157" s="85" t="n">
        <v>949</v>
      </c>
      <c r="S157" s="85" t="n">
        <v>809</v>
      </c>
      <c r="T157" s="90">
        <f>IF(AND(ISNUMBER(K157),ISNUMBER(S157)),K157*S157*52/12,"")</f>
        <v/>
      </c>
      <c r="U157" s="91" t="n">
        <v>4.5</v>
      </c>
      <c r="V157" s="85" t="n">
        <v>5747</v>
      </c>
      <c r="W157" s="92" t="n">
        <v>46307</v>
      </c>
      <c r="X157" s="92" t="n">
        <v>44895</v>
      </c>
      <c r="Y157" s="84" t="inlineStr">
        <is>
          <t>FBA</t>
        </is>
      </c>
      <c r="Z157" s="84" t="inlineStr">
        <is>
          <t>CN</t>
        </is>
      </c>
      <c r="AA157" s="85" t="n">
        <v>385363</v>
      </c>
      <c r="AB157" s="85" t="n">
        <v>3599</v>
      </c>
      <c r="AC157" s="93" t="n">
        <v>0.8181775938530695</v>
      </c>
      <c r="AD157" s="93" t="n">
        <v>0.1818224144507905</v>
      </c>
      <c r="AE157" s="32" t="inlineStr">
        <is>
          <t>silk sheets</t>
        </is>
      </c>
      <c r="AF157" s="93" t="n">
        <v>0.8853963665427143</v>
      </c>
      <c r="AG157" s="93" t="n">
        <v>0.6095447668821345</v>
      </c>
      <c r="AH157" s="93" t="n">
        <v>0.07642664189348744</v>
      </c>
      <c r="AI157" s="93" t="n">
        <v>0.06371395281851137</v>
      </c>
      <c r="AJ157" s="85" t="n">
        <v>848</v>
      </c>
      <c r="AK157" s="85" t="n">
        <v>185</v>
      </c>
      <c r="AL157" s="85" t="n">
        <v>585</v>
      </c>
      <c r="AM157" s="85" t="n">
        <v>2751</v>
      </c>
      <c r="AN157" s="85" t="n">
        <v>425</v>
      </c>
      <c r="AO157" s="85" t="n">
        <v>42</v>
      </c>
      <c r="AP157" s="94" t="n">
        <v>1.036399938565504</v>
      </c>
      <c r="AQ157" s="89" t="n">
        <v>-0.1336111472848027</v>
      </c>
      <c r="AR157" s="95" t="inlineStr">
        <is>
          <t>Y</t>
        </is>
      </c>
      <c r="AS157" s="95" t="inlineStr">
        <is>
          <t>List Price</t>
        </is>
      </c>
      <c r="AT157" s="96" t="n">
        <v>19.99</v>
      </c>
      <c r="AU157" s="96" t="n">
        <v>16.13</v>
      </c>
      <c r="AV157" s="95" t="inlineStr">
        <is>
          <t>Limited time deal</t>
        </is>
      </c>
      <c r="AW157" s="95" t="inlineStr">
        <is>
          <t>Y</t>
        </is>
      </c>
      <c r="AX157" s="95" t="inlineStr">
        <is>
          <t>2026-10-13 12:13:15</t>
        </is>
      </c>
      <c r="AY157" s="97" t="inlineStr">
        <is>
          <t>Prime Exclusive Discount</t>
        </is>
      </c>
      <c r="AZ157" s="97" t="inlineStr">
        <is>
          <t>11-10 to 12-05</t>
        </is>
      </c>
      <c r="BA157" s="98" t="n">
        <v>17.99</v>
      </c>
      <c r="BB157" s="98" t="n">
        <v>17.99</v>
      </c>
      <c r="BC157" s="87">
        <f>IF(AND(ISNUMBER(BA157),ISNUMBER(BB157),N(BA157)&gt;0),1-BB157/BA157,"")</f>
        <v/>
      </c>
      <c r="BD157" s="99" t="n">
        <v>1276</v>
      </c>
      <c r="BE157" s="99" t="n">
        <v>1515</v>
      </c>
      <c r="BF157" s="100">
        <f>IF(AND(ISNUMBER(BD157),ISNUMBER(BE157),N(BE157)&gt;0),BD157/BE157,"")</f>
        <v/>
      </c>
      <c r="BG157" s="97" t="inlineStr">
        <is>
          <t>N</t>
        </is>
      </c>
      <c r="BH157" s="97" t="inlineStr">
        <is>
          <t>Prime Exclusive already running before BFCM week; List Price $25.99</t>
        </is>
      </c>
    </row>
    <row r="158" ht="62" customHeight="1">
      <c r="A158" s="10">
        <f>_xlfn.IMAGE("https://images-na.ssl-images-amazon.com/images/I/71zGuoeuSrL.jpg")</f>
        <v/>
      </c>
      <c r="B158" s="84" t="inlineStr">
        <is>
          <t>MR&amp;HM</t>
        </is>
      </c>
      <c r="C158" s="32" t="inlineStr">
        <is>
          <t>MR&amp;HM Satin Sheets Queen Size with Elastic Corner Straps, Black</t>
        </is>
      </c>
      <c r="D158" s="84" t="inlineStr">
        <is>
          <t>Aspirational</t>
        </is>
      </c>
      <c r="E158" s="84" t="inlineStr">
        <is>
          <t>B08NQ3W7PG</t>
        </is>
      </c>
      <c r="F158" s="84" t="inlineStr">
        <is>
          <t>B08HM6WT6X</t>
        </is>
      </c>
      <c r="G158" s="84" t="inlineStr">
        <is>
          <t>Queen</t>
        </is>
      </c>
      <c r="H158" s="84" t="inlineStr">
        <is>
          <t>Black</t>
        </is>
      </c>
      <c r="I158" s="85" t="n">
        <v>183</v>
      </c>
      <c r="J158" s="32" t="inlineStr">
        <is>
          <t>B08HM6WT6X (40%), B0D2CQ6VNT (13%), B08PS3HDFL (10%), B08HM65Z68 (8%), B08HLT8R9M (6%)</t>
        </is>
      </c>
      <c r="K158" s="86" t="n">
        <v>19.99</v>
      </c>
      <c r="L158" s="86" t="n"/>
      <c r="M158" s="87">
        <f>IF(AND(ISNUMBER(L158),ISNUMBER(K158),N(K158)&gt;0),L158/K158-1,"")</f>
        <v/>
      </c>
      <c r="N158" s="88">
        <f>IF(M158="","No List Price",IF(M158&lt;=0,"At/below price",IF(M158&lt;=0.12,"&lt;=12% STR zone",IF(M158&lt;=0.25,"12-25%","&gt;25% over"))))</f>
        <v/>
      </c>
      <c r="O158" s="86" t="n">
        <v>31.95</v>
      </c>
      <c r="P158" s="89">
        <f>IF(AND(ISNUMBER(K158),ISNUMBER(O158),N(O158)&gt;0),K158/O158-1,"")</f>
        <v/>
      </c>
      <c r="Q158" s="32" t="inlineStr">
        <is>
          <t>Same size (Queen). Ours live: Helium 10 Xray, 2026-10-13; 28 children</t>
        </is>
      </c>
      <c r="R158" s="85" t="n">
        <v>2025</v>
      </c>
      <c r="S158" s="85" t="n">
        <v>809</v>
      </c>
      <c r="T158" s="90">
        <f>IF(AND(ISNUMBER(K158),ISNUMBER(S158)),K158*S158*52/12,"")</f>
        <v/>
      </c>
      <c r="U158" s="91" t="n">
        <v>4.4</v>
      </c>
      <c r="V158" s="85" t="n">
        <v>17886</v>
      </c>
      <c r="W158" s="92" t="n">
        <v>46307</v>
      </c>
      <c r="X158" s="92" t="n">
        <v>44081</v>
      </c>
      <c r="Y158" s="84" t="inlineStr">
        <is>
          <t>FBA</t>
        </is>
      </c>
      <c r="Z158" s="84" t="inlineStr">
        <is>
          <t>HK</t>
        </is>
      </c>
      <c r="AA158" s="85" t="n">
        <v>356457</v>
      </c>
      <c r="AB158" s="85" t="n">
        <v>3352</v>
      </c>
      <c r="AC158" s="93" t="n">
        <v>0.7964633734223203</v>
      </c>
      <c r="AD158" s="93" t="n">
        <v>0.2035367432817982</v>
      </c>
      <c r="AE158" s="32" t="inlineStr">
        <is>
          <t>silk sheets</t>
        </is>
      </c>
      <c r="AF158" s="93" t="n">
        <v>0.839254103580516</v>
      </c>
      <c r="AG158" s="93" t="n"/>
      <c r="AH158" s="93" t="n"/>
      <c r="AI158" s="93" t="n">
        <v>0.1362268099658584</v>
      </c>
      <c r="AJ158" s="85" t="n">
        <v>867</v>
      </c>
      <c r="AK158" s="85" t="n">
        <v>179</v>
      </c>
      <c r="AL158" s="85" t="n">
        <v>608</v>
      </c>
      <c r="AM158" s="85" t="n">
        <v>2485</v>
      </c>
      <c r="AN158" s="85" t="n">
        <v>383</v>
      </c>
      <c r="AO158" s="85" t="n">
        <v>49</v>
      </c>
      <c r="AP158" s="94" t="n">
        <v>0.9844138242602214</v>
      </c>
      <c r="AQ158" s="89" t="n">
        <v>0.1594370096908169</v>
      </c>
      <c r="AR158" s="95" t="inlineStr">
        <is>
          <t>Y</t>
        </is>
      </c>
      <c r="AS158" s="95" t="inlineStr">
        <is>
          <t>List Price</t>
        </is>
      </c>
      <c r="AT158" s="96" t="n">
        <v>28.99</v>
      </c>
      <c r="AU158" s="96" t="n">
        <v>19.99</v>
      </c>
      <c r="AV158" s="95" t="inlineStr">
        <is>
          <t>none</t>
        </is>
      </c>
      <c r="AW158" s="95" t="inlineStr">
        <is>
          <t>Y</t>
        </is>
      </c>
      <c r="AX158" s="95" t="inlineStr">
        <is>
          <t>2026-10-13 12:13:22</t>
        </is>
      </c>
      <c r="AY158" s="97" t="inlineStr">
        <is>
          <t>None</t>
        </is>
      </c>
      <c r="AZ158" s="102" t="n"/>
      <c r="BA158" s="98" t="n">
        <v>17.99</v>
      </c>
      <c r="BB158" s="98" t="n">
        <v>17.99</v>
      </c>
      <c r="BC158" s="87">
        <f>IF(AND(ISNUMBER(BA158),ISNUMBER(BB158),N(BA158)&gt;0),1-BB158/BA158,"")</f>
        <v/>
      </c>
      <c r="BD158" s="99" t="n">
        <v>1500</v>
      </c>
      <c r="BE158" s="99" t="n">
        <v>1119</v>
      </c>
      <c r="BF158" s="100">
        <f>IF(AND(ISNUMBER(BD158),ISNUMBER(BE158),N(BE158)&gt;0),BD158/BE158,"")</f>
        <v/>
      </c>
      <c r="BG158" s="97" t="inlineStr">
        <is>
          <t>N</t>
        </is>
      </c>
      <c r="BH158" s="97" t="inlineStr">
        <is>
          <t>Prime Exclusive 11-01 to 12-05; Lightning Deal 11-08 to 11-14; Prime Exclusive already running before BFCM week; List Price $28.99</t>
        </is>
      </c>
    </row>
    <row r="159" ht="62" customHeight="1">
      <c r="A159" s="10">
        <f>_xlfn.IMAGE("https://images-na.ssl-images-amazon.com/images/I/71QlFwpmpcL.jpg")</f>
        <v/>
      </c>
      <c r="B159" s="84" t="inlineStr">
        <is>
          <t>CozyLux</t>
        </is>
      </c>
      <c r="C159" s="32" t="inlineStr">
        <is>
          <t>CozyLux Satin Sheets Queen, 4-Piece 14-Inch Deep Pocket Sheet Set</t>
        </is>
      </c>
      <c r="D159" s="84" t="inlineStr">
        <is>
          <t>Beatable</t>
        </is>
      </c>
      <c r="E159" s="84" t="inlineStr">
        <is>
          <t>B08CQKS3KP</t>
        </is>
      </c>
      <c r="F159" s="84" t="inlineStr">
        <is>
          <t>B08P16XLP2</t>
        </is>
      </c>
      <c r="G159" s="84" t="inlineStr">
        <is>
          <t>Queen</t>
        </is>
      </c>
      <c r="H159" s="84" t="n"/>
      <c r="I159" s="85" t="n">
        <v>115</v>
      </c>
      <c r="J159" s="32" t="inlineStr">
        <is>
          <t>B08P16XLP2 (43%), B08P164867 (8%), B08P17PQ8J (6%), B0CQ8CN4PK (5%), B0BYDSWCJY (4%)</t>
        </is>
      </c>
      <c r="K159" s="86" t="n">
        <v>13.99</v>
      </c>
      <c r="L159" s="86" t="n">
        <v>18.99</v>
      </c>
      <c r="M159" s="87">
        <f>IF(AND(ISNUMBER(L159),ISNUMBER(K159),N(K159)&gt;0),L159/K159-1,"")</f>
        <v/>
      </c>
      <c r="N159" s="88">
        <f>IF(M159="","No List Price",IF(M159&lt;=0,"At/below price",IF(M159&lt;=0.12,"&lt;=12% STR zone",IF(M159&lt;=0.25,"12-25%","&gt;25% over"))))</f>
        <v/>
      </c>
      <c r="O159" s="86" t="n">
        <v>31.95</v>
      </c>
      <c r="P159" s="89">
        <f>IF(AND(ISNUMBER(K159),ISNUMBER(O159),N(O159)&gt;0),K159/O159-1,"")</f>
        <v/>
      </c>
      <c r="Q159" s="32" t="inlineStr">
        <is>
          <t>Same size (Queen). Ours live: Helium 10 Xray, 2026-10-13; 28 children</t>
        </is>
      </c>
      <c r="R159" s="85" t="n">
        <v>3102</v>
      </c>
      <c r="S159" s="85" t="n">
        <v>347</v>
      </c>
      <c r="T159" s="90">
        <f>IF(AND(ISNUMBER(K159),ISNUMBER(S159)),K159*S159*52/12,"")</f>
        <v/>
      </c>
      <c r="U159" s="91" t="n">
        <v>4.3</v>
      </c>
      <c r="V159" s="85" t="n">
        <v>7075</v>
      </c>
      <c r="W159" s="92" t="n">
        <v>46307</v>
      </c>
      <c r="X159" s="92" t="n">
        <v>44158</v>
      </c>
      <c r="Y159" s="84" t="inlineStr">
        <is>
          <t>FBA</t>
        </is>
      </c>
      <c r="Z159" s="84" t="inlineStr">
        <is>
          <t>CN</t>
        </is>
      </c>
      <c r="AA159" s="85" t="n">
        <v>164434</v>
      </c>
      <c r="AB159" s="85" t="n">
        <v>2031</v>
      </c>
      <c r="AC159" s="93" t="n">
        <v>0.724298132381382</v>
      </c>
      <c r="AD159" s="93" t="n">
        <v>0.2757019065400104</v>
      </c>
      <c r="AE159" s="32" t="inlineStr">
        <is>
          <t>silk sheets</t>
        </is>
      </c>
      <c r="AF159" s="93" t="n">
        <v>0.601335490227082</v>
      </c>
      <c r="AG159" s="93" t="n">
        <v>0.5155016602405829</v>
      </c>
      <c r="AH159" s="93" t="n"/>
      <c r="AI159" s="93" t="n">
        <v>0.04596981159614192</v>
      </c>
      <c r="AJ159" s="85" t="n">
        <v>768</v>
      </c>
      <c r="AK159" s="85" t="n">
        <v>242</v>
      </c>
      <c r="AL159" s="85" t="n">
        <v>438</v>
      </c>
      <c r="AM159" s="85" t="n">
        <v>1263</v>
      </c>
      <c r="AN159" s="85" t="n">
        <v>332</v>
      </c>
      <c r="AO159" s="85" t="n">
        <v>36</v>
      </c>
      <c r="AP159" s="94" t="n">
        <v>0.8168981481481481</v>
      </c>
      <c r="AQ159" s="89" t="n">
        <v>-0.1447276536312849</v>
      </c>
      <c r="AR159" s="95" t="inlineStr">
        <is>
          <t>Y</t>
        </is>
      </c>
      <c r="AS159" s="95" t="inlineStr">
        <is>
          <t>List Price</t>
        </is>
      </c>
      <c r="AT159" s="96" t="n">
        <v>18.99</v>
      </c>
      <c r="AU159" s="96" t="n">
        <v>13.99</v>
      </c>
      <c r="AV159" s="95" t="inlineStr">
        <is>
          <t>Limited time deal</t>
        </is>
      </c>
      <c r="AW159" s="95" t="inlineStr">
        <is>
          <t>Y</t>
        </is>
      </c>
      <c r="AX159" s="95" t="inlineStr">
        <is>
          <t>2026-10-13 12:12:43</t>
        </is>
      </c>
      <c r="AY159" s="97" t="inlineStr">
        <is>
          <t>Prime Exclusive Discount</t>
        </is>
      </c>
      <c r="AZ159" s="97" t="inlineStr">
        <is>
          <t>11-01 to 12-05</t>
        </is>
      </c>
      <c r="BA159" s="98" t="n">
        <v>17.99</v>
      </c>
      <c r="BB159" s="98" t="n">
        <v>16.99</v>
      </c>
      <c r="BC159" s="87">
        <f>IF(AND(ISNUMBER(BA159),ISNUMBER(BB159),N(BA159)&gt;0),1-BB159/BA159,"")</f>
        <v/>
      </c>
      <c r="BD159" s="99" t="n">
        <v>1165</v>
      </c>
      <c r="BE159" s="99" t="n">
        <v>1226</v>
      </c>
      <c r="BF159" s="100">
        <f>IF(AND(ISNUMBER(BD159),ISNUMBER(BE159),N(BE159)&gt;0),BD159/BE159,"")</f>
        <v/>
      </c>
      <c r="BG159" s="97" t="inlineStr">
        <is>
          <t>N</t>
        </is>
      </c>
      <c r="BH159" s="97" t="inlineStr">
        <is>
          <t>Lightning Deal 11-09 to 11-16; Prime Exclusive already running before BFCM week; List Price $22.99</t>
        </is>
      </c>
    </row>
    <row r="160" ht="62" customHeight="1">
      <c r="A160" s="10">
        <f>_xlfn.IMAGE("https://images-na.ssl-images-amazon.com/images/I/71PMIXXTc0L.jpg")</f>
        <v/>
      </c>
      <c r="B160" s="84" t="inlineStr">
        <is>
          <t>Lanest Housing</t>
        </is>
      </c>
      <c r="C160" s="32" t="inlineStr">
        <is>
          <t>Lanest Housing Silk Satin Sheets, Queen Size Satin Bed Sheet Set with Deep Pockets, Cooling Soft and Hypoallergenic Satin Sheets Queen - Light Gray</t>
        </is>
      </c>
      <c r="D160" s="84" t="inlineStr">
        <is>
          <t>Beatable</t>
        </is>
      </c>
      <c r="E160" s="84" t="inlineStr">
        <is>
          <t>B0DC3MX1DP</t>
        </is>
      </c>
      <c r="F160" s="84" t="inlineStr">
        <is>
          <t>B082B5CY3D</t>
        </is>
      </c>
      <c r="G160" s="84" t="inlineStr">
        <is>
          <t>Queen</t>
        </is>
      </c>
      <c r="H160" s="84" t="inlineStr">
        <is>
          <t>Gray</t>
        </is>
      </c>
      <c r="I160" s="85" t="n">
        <v>154</v>
      </c>
      <c r="J160" s="32" t="inlineStr">
        <is>
          <t>B082B5CY3D (41%), B07VWFV7MB (21%), B07VTSWJPH (21%)</t>
        </is>
      </c>
      <c r="K160" s="86" t="n">
        <v>22.99</v>
      </c>
      <c r="L160" s="86" t="n"/>
      <c r="M160" s="87">
        <f>IF(AND(ISNUMBER(L160),ISNUMBER(K160),N(K160)&gt;0),L160/K160-1,"")</f>
        <v/>
      </c>
      <c r="N160" s="88">
        <f>IF(M160="","No List Price",IF(M160&lt;=0,"At/below price",IF(M160&lt;=0.12,"&lt;=12% STR zone",IF(M160&lt;=0.25,"12-25%","&gt;25% over"))))</f>
        <v/>
      </c>
      <c r="O160" s="86" t="n">
        <v>31.95</v>
      </c>
      <c r="P160" s="89">
        <f>IF(AND(ISNUMBER(K160),ISNUMBER(O160),N(O160)&gt;0),K160/O160-1,"")</f>
        <v/>
      </c>
      <c r="Q160" s="32" t="inlineStr">
        <is>
          <t>Same size (Queen). Ours live: Helium 10 Xray, 2026-10-13; 28 children</t>
        </is>
      </c>
      <c r="R160" s="85" t="n">
        <v>4671</v>
      </c>
      <c r="S160" s="85" t="n">
        <v>208</v>
      </c>
      <c r="T160" s="90">
        <f>IF(AND(ISNUMBER(K160),ISNUMBER(S160)),K160*S160*52/12,"")</f>
        <v/>
      </c>
      <c r="U160" s="91" t="n">
        <v>4.3</v>
      </c>
      <c r="V160" s="85" t="n">
        <v>5837</v>
      </c>
      <c r="W160" s="92" t="n">
        <v>46307</v>
      </c>
      <c r="X160" s="92" t="n">
        <v>43803</v>
      </c>
      <c r="Y160" s="84" t="inlineStr">
        <is>
          <t>FBA</t>
        </is>
      </c>
      <c r="Z160" s="84" t="inlineStr">
        <is>
          <t>CN</t>
        </is>
      </c>
      <c r="AA160" s="85" t="n">
        <v>163454</v>
      </c>
      <c r="AB160" s="85" t="n">
        <v>1240</v>
      </c>
      <c r="AC160" s="93" t="n">
        <v>0.511816095659941</v>
      </c>
      <c r="AD160" s="93" t="n">
        <v>0.488184002226926</v>
      </c>
      <c r="AE160" s="32" t="inlineStr">
        <is>
          <t>silk sheets</t>
        </is>
      </c>
      <c r="AF160" s="93" t="n">
        <v>0.9357923330111224</v>
      </c>
      <c r="AG160" s="93" t="n">
        <v>0.9225470162859275</v>
      </c>
      <c r="AH160" s="93" t="n"/>
      <c r="AI160" s="93" t="n">
        <v>0.002850955008748639</v>
      </c>
      <c r="AJ160" s="85" t="n">
        <v>628</v>
      </c>
      <c r="AK160" s="85" t="n">
        <v>234</v>
      </c>
      <c r="AL160" s="85" t="n">
        <v>285</v>
      </c>
      <c r="AM160" s="85" t="n">
        <v>612</v>
      </c>
      <c r="AN160" s="85" t="n">
        <v>50</v>
      </c>
      <c r="AO160" s="85" t="n">
        <v>61</v>
      </c>
      <c r="AP160" s="94" t="n">
        <v>0.4183908045977011</v>
      </c>
      <c r="AQ160" s="89" t="n">
        <v>1.815972222222222</v>
      </c>
      <c r="AR160" s="95" t="inlineStr">
        <is>
          <t>N</t>
        </is>
      </c>
      <c r="AS160" s="95" t="inlineStr">
        <is>
          <t>none</t>
        </is>
      </c>
      <c r="AT160" s="101" t="n"/>
      <c r="AU160" s="96" t="n">
        <v>22.99</v>
      </c>
      <c r="AV160" s="95" t="inlineStr">
        <is>
          <t>none</t>
        </is>
      </c>
      <c r="AW160" s="95" t="inlineStr">
        <is>
          <t>Y</t>
        </is>
      </c>
      <c r="AX160" s="95" t="inlineStr">
        <is>
          <t>2026-10-13 12:13:12</t>
        </is>
      </c>
      <c r="AY160" s="97" t="inlineStr">
        <is>
          <t>Prime Exclusive Discount</t>
        </is>
      </c>
      <c r="AZ160" s="97" t="inlineStr">
        <is>
          <t>11-20 to 11-27</t>
        </is>
      </c>
      <c r="BA160" s="98" t="n">
        <v>19.99</v>
      </c>
      <c r="BB160" s="98" t="n">
        <v>17.99</v>
      </c>
      <c r="BC160" s="87">
        <f>IF(AND(ISNUMBER(BA160),ISNUMBER(BB160),N(BA160)&gt;0),1-BB160/BA160,"")</f>
        <v/>
      </c>
      <c r="BD160" s="99" t="n">
        <v>3675</v>
      </c>
      <c r="BE160" s="99" t="n">
        <v>3550</v>
      </c>
      <c r="BF160" s="100">
        <f>IF(AND(ISNUMBER(BD160),ISNUMBER(BE160),N(BE160)&gt;0),BD160/BE160,"")</f>
        <v/>
      </c>
      <c r="BG160" s="97" t="inlineStr">
        <is>
          <t>Y</t>
        </is>
      </c>
      <c r="BH160" s="97" t="inlineStr">
        <is>
          <t>Buy Box RAISED in BFCM week (median $27.79 vs $19.99 before); List Price $37.99</t>
        </is>
      </c>
    </row>
    <row r="161" ht="62" customHeight="1">
      <c r="A161" s="10">
        <f>_xlfn.IMAGE("https://images-na.ssl-images-amazon.com/images/I/810d6GzTlfL.jpg")</f>
        <v/>
      </c>
      <c r="B161" s="84" t="inlineStr">
        <is>
          <t>FreshCulture</t>
        </is>
      </c>
      <c r="C161" s="32" t="inlineStr">
        <is>
          <t>Satin Sheets</t>
        </is>
      </c>
      <c r="D161" s="84" t="inlineStr">
        <is>
          <t>Beatable</t>
        </is>
      </c>
      <c r="E161" s="84" t="inlineStr">
        <is>
          <t>B0D9B18P6N</t>
        </is>
      </c>
      <c r="F161" s="84" t="inlineStr">
        <is>
          <t>B0D9BD63QH</t>
        </is>
      </c>
      <c r="G161" s="84" t="n"/>
      <c r="H161" s="84" t="n"/>
      <c r="I161" s="85" t="n">
        <v>54</v>
      </c>
      <c r="J161" s="32" t="inlineStr">
        <is>
          <t>B0D9BD63QH (41%), B0D9BCKF76 (23%), B0D9BBSLJ5 (8%), B0D9BFR53D (6%), B0D9B9HFLQ (5%)</t>
        </is>
      </c>
      <c r="K161" s="86" t="n">
        <v>23.99</v>
      </c>
      <c r="L161" s="86" t="n"/>
      <c r="M161" s="87">
        <f>IF(AND(ISNUMBER(L161),ISNUMBER(K161),N(K161)&gt;0),L161/K161-1,"")</f>
        <v/>
      </c>
      <c r="N161" s="88">
        <f>IF(M161="","No List Price",IF(M161&lt;=0,"At/below price",IF(M161&lt;=0.12,"&lt;=12% STR zone",IF(M161&lt;=0.25,"12-25%","&gt;25% over"))))</f>
        <v/>
      </c>
      <c r="O161" s="86" t="n">
        <v>31.95</v>
      </c>
      <c r="P161" s="89">
        <f>IF(AND(ISNUMBER(K161),ISNUMBER(O161),N(O161)&gt;0),K161/O161-1,"")</f>
        <v/>
      </c>
      <c r="Q161" s="32" t="inlineStr">
        <is>
          <t>Size not stated - vs our Queen. Ours live: Helium 10 Xray, 2026-10-13; 28 children</t>
        </is>
      </c>
      <c r="R161" s="85" t="n">
        <v>17918</v>
      </c>
      <c r="S161" s="85" t="n">
        <v>104</v>
      </c>
      <c r="T161" s="90">
        <f>IF(AND(ISNUMBER(K161),ISNUMBER(S161)),K161*S161*52/12,"")</f>
        <v/>
      </c>
      <c r="U161" s="91" t="n">
        <v>4.4</v>
      </c>
      <c r="V161" s="85" t="n">
        <v>780</v>
      </c>
      <c r="W161" s="92" t="n">
        <v>46307</v>
      </c>
      <c r="X161" s="92" t="n"/>
      <c r="Y161" s="84" t="n"/>
      <c r="Z161" s="84" t="n"/>
      <c r="AA161" s="85" t="n">
        <v>99046</v>
      </c>
      <c r="AB161" s="85" t="n">
        <v>1117</v>
      </c>
      <c r="AC161" s="93" t="n">
        <v>0.9634387880378817</v>
      </c>
      <c r="AD161" s="93" t="n">
        <v>0.0365612119621186</v>
      </c>
      <c r="AE161" s="32" t="inlineStr">
        <is>
          <t>silk sheets</t>
        </is>
      </c>
      <c r="AF161" s="93" t="n">
        <v>0.6526159562223613</v>
      </c>
      <c r="AG161" s="93" t="n"/>
      <c r="AH161" s="93" t="n"/>
      <c r="AI161" s="93" t="n">
        <v>0.05489368576217112</v>
      </c>
      <c r="AJ161" s="85" t="n">
        <v>504</v>
      </c>
      <c r="AK161" s="85" t="n">
        <v>191</v>
      </c>
      <c r="AL161" s="85" t="n">
        <v>257</v>
      </c>
      <c r="AM161" s="85" t="n">
        <v>613</v>
      </c>
      <c r="AN161" s="85" t="n">
        <v>19</v>
      </c>
      <c r="AO161" s="85" t="n">
        <v>8</v>
      </c>
      <c r="AP161" s="94" t="n"/>
      <c r="AQ161" s="89" t="n"/>
      <c r="AR161" s="95" t="inlineStr">
        <is>
          <t>N</t>
        </is>
      </c>
      <c r="AS161" s="95" t="inlineStr">
        <is>
          <t>none</t>
        </is>
      </c>
      <c r="AT161" s="101" t="n"/>
      <c r="AU161" s="96" t="n">
        <v>23.99</v>
      </c>
      <c r="AV161" s="95" t="inlineStr">
        <is>
          <t>none</t>
        </is>
      </c>
      <c r="AW161" s="95" t="inlineStr">
        <is>
          <t>Y</t>
        </is>
      </c>
      <c r="AX161" s="95" t="inlineStr">
        <is>
          <t>2026-10-13 12:12:46</t>
        </is>
      </c>
      <c r="AY161" s="97" t="inlineStr">
        <is>
          <t>Prime Exclusive Discount</t>
        </is>
      </c>
      <c r="AZ161" s="97" t="inlineStr">
        <is>
          <t>11-24 to 11-24</t>
        </is>
      </c>
      <c r="BA161" s="98" t="n">
        <v>23.99</v>
      </c>
      <c r="BB161" s="98" t="n">
        <v>18.69</v>
      </c>
      <c r="BC161" s="87">
        <f>IF(AND(ISNUMBER(BA161),ISNUMBER(BB161),N(BA161)&gt;0),1-BB161/BA161,"")</f>
        <v/>
      </c>
      <c r="BD161" s="99" t="n">
        <v>37399</v>
      </c>
      <c r="BE161" s="99" t="n">
        <v>26864</v>
      </c>
      <c r="BF161" s="100">
        <f>IF(AND(ISNUMBER(BD161),ISNUMBER(BE161),N(BE161)&gt;0),BD161/BE161,"")</f>
        <v/>
      </c>
      <c r="BG161" s="97" t="inlineStr">
        <is>
          <t>Y</t>
        </is>
      </c>
      <c r="BH161" s="97" t="inlineStr">
        <is>
          <t>List Price $34.99</t>
        </is>
      </c>
    </row>
    <row r="162" ht="62" customHeight="1">
      <c r="A162" s="10">
        <f>_xlfn.IMAGE("https://images-na.ssl-images-amazon.com/images/I/81zLU1W0e8L.jpg")</f>
        <v/>
      </c>
      <c r="B162" s="84" t="inlineStr">
        <is>
          <t>Pure Bedding</t>
        </is>
      </c>
      <c r="C162" s="32" t="inlineStr">
        <is>
          <t>Pure Bedding Satin Sheets Queen [4-Piece, Black] Hotel Luxury Silky Bed Sheets - Extra Soft 1800 Microfiber Sheet Set, Wrinkle, Fade, Deep Pocket Fitted Sheet, Flat Sheet, Pillow Cases</t>
        </is>
      </c>
      <c r="D162" s="84" t="inlineStr">
        <is>
          <t>Beatable</t>
        </is>
      </c>
      <c r="E162" s="84" t="inlineStr">
        <is>
          <t>B0FMPQYB2J</t>
        </is>
      </c>
      <c r="F162" s="84" t="inlineStr">
        <is>
          <t>B083G81VSH</t>
        </is>
      </c>
      <c r="G162" s="84" t="inlineStr">
        <is>
          <t>Queen</t>
        </is>
      </c>
      <c r="H162" s="84" t="inlineStr">
        <is>
          <t>Black</t>
        </is>
      </c>
      <c r="I162" s="85" t="n">
        <v>146</v>
      </c>
      <c r="J162" s="32" t="inlineStr">
        <is>
          <t>B083G81VSH (53%), B07QVMQHD8 (25%), B0FMZWLSSM (4%)</t>
        </is>
      </c>
      <c r="K162" s="86" t="n">
        <v>20.99</v>
      </c>
      <c r="L162" s="86" t="n"/>
      <c r="M162" s="87">
        <f>IF(AND(ISNUMBER(L162),ISNUMBER(K162),N(K162)&gt;0),L162/K162-1,"")</f>
        <v/>
      </c>
      <c r="N162" s="88">
        <f>IF(M162="","No List Price",IF(M162&lt;=0,"At/below price",IF(M162&lt;=0.12,"&lt;=12% STR zone",IF(M162&lt;=0.25,"12-25%","&gt;25% over"))))</f>
        <v/>
      </c>
      <c r="O162" s="86" t="n">
        <v>31.95</v>
      </c>
      <c r="P162" s="89">
        <f>IF(AND(ISNUMBER(K162),ISNUMBER(O162),N(O162)&gt;0),K162/O162-1,"")</f>
        <v/>
      </c>
      <c r="Q162" s="32" t="inlineStr">
        <is>
          <t>Same size (Queen). Ours live: Helium 10 Xray, 2026-10-13; 28 children</t>
        </is>
      </c>
      <c r="R162" s="85" t="n">
        <v>30991</v>
      </c>
      <c r="S162" s="85" t="n">
        <v>92</v>
      </c>
      <c r="T162" s="90">
        <f>IF(AND(ISNUMBER(K162),ISNUMBER(S162)),K162*S162*52/12,"")</f>
        <v/>
      </c>
      <c r="U162" s="91" t="n">
        <v>4.4</v>
      </c>
      <c r="V162" s="85" t="n">
        <v>9828</v>
      </c>
      <c r="W162" s="92" t="n">
        <v>46307</v>
      </c>
      <c r="X162" s="92" t="n">
        <v>43833</v>
      </c>
      <c r="Y162" s="84" t="inlineStr">
        <is>
          <t>AMZ</t>
        </is>
      </c>
      <c r="Z162" s="84" t="inlineStr">
        <is>
          <t>(Amazon)</t>
        </is>
      </c>
      <c r="AA162" s="85" t="n">
        <v>119531</v>
      </c>
      <c r="AB162" s="85" t="n">
        <v>1524</v>
      </c>
      <c r="AC162" s="93" t="n">
        <v>0.6204180681162206</v>
      </c>
      <c r="AD162" s="93" t="n">
        <v>0.3795819318837791</v>
      </c>
      <c r="AE162" s="32" t="inlineStr">
        <is>
          <t>satin sheets</t>
        </is>
      </c>
      <c r="AF162" s="93" t="n">
        <v>0.7968142155591437</v>
      </c>
      <c r="AG162" s="93" t="n"/>
      <c r="AH162" s="93" t="n"/>
      <c r="AI162" s="93" t="n">
        <v>0.001480787410797199</v>
      </c>
      <c r="AJ162" s="85" t="n">
        <v>615</v>
      </c>
      <c r="AK162" s="85" t="n">
        <v>291</v>
      </c>
      <c r="AL162" s="85" t="n">
        <v>239</v>
      </c>
      <c r="AM162" s="85" t="n">
        <v>909</v>
      </c>
      <c r="AN162" s="85" t="n">
        <v>213</v>
      </c>
      <c r="AO162" s="85" t="n">
        <v>41</v>
      </c>
      <c r="AP162" s="94" t="n">
        <v>0.7574960547080484</v>
      </c>
      <c r="AQ162" s="89" t="n">
        <v>-0.08414376321353068</v>
      </c>
      <c r="AR162" s="95" t="inlineStr">
        <is>
          <t>N</t>
        </is>
      </c>
      <c r="AS162" s="95" t="inlineStr">
        <is>
          <t>none</t>
        </is>
      </c>
      <c r="AT162" s="101" t="n"/>
      <c r="AU162" s="96" t="n">
        <v>20.99</v>
      </c>
      <c r="AV162" s="95" t="inlineStr">
        <is>
          <t>none</t>
        </is>
      </c>
      <c r="AW162" s="95" t="inlineStr">
        <is>
          <t>Y</t>
        </is>
      </c>
      <c r="AX162" s="95" t="inlineStr">
        <is>
          <t>2026-10-13 12:13:39</t>
        </is>
      </c>
      <c r="AY162" s="97" t="inlineStr">
        <is>
          <t>Price cut only</t>
        </is>
      </c>
      <c r="AZ162" s="97" t="inlineStr">
        <is>
          <t>11-26 to 12-01</t>
        </is>
      </c>
      <c r="BA162" s="98" t="n">
        <v>18.99</v>
      </c>
      <c r="BB162" s="98" t="n">
        <v>17.54</v>
      </c>
      <c r="BC162" s="87">
        <f>IF(AND(ISNUMBER(BA162),ISNUMBER(BB162),N(BA162)&gt;0),1-BB162/BA162,"")</f>
        <v/>
      </c>
      <c r="BD162" s="99" t="n">
        <v>18619</v>
      </c>
      <c r="BE162" s="99" t="n">
        <v>22404</v>
      </c>
      <c r="BF162" s="100">
        <f>IF(AND(ISNUMBER(BD162),ISNUMBER(BE162),N(BE162)&gt;0),BD162/BE162,"")</f>
        <v/>
      </c>
      <c r="BG162" s="97" t="inlineStr">
        <is>
          <t>N</t>
        </is>
      </c>
      <c r="BH162" s="97" t="inlineStr">
        <is>
          <t>Buy Box RAISED in BFCM week (median $20.02 vs $18.99 before); List Price $32.99</t>
        </is>
      </c>
    </row>
    <row r="163" ht="62" customHeight="1">
      <c r="A163" s="10">
        <f>_xlfn.IMAGE("https://images-na.ssl-images-amazon.com/images/I/71ZrkfMtWLL.jpg")</f>
        <v/>
      </c>
      <c r="B163" s="84" t="inlineStr">
        <is>
          <t>SiinvdaBZX</t>
        </is>
      </c>
      <c r="C163" s="32" t="inlineStr">
        <is>
          <t>SiinvdaBZX 4Pcs Satin Sheet Set Queen Size 15-Inch Deep Pocket, Beige</t>
        </is>
      </c>
      <c r="D163" s="84" t="inlineStr">
        <is>
          <t>Beatable</t>
        </is>
      </c>
      <c r="E163" s="84" t="inlineStr">
        <is>
          <t>B0DD37S32L</t>
        </is>
      </c>
      <c r="F163" s="84" t="inlineStr">
        <is>
          <t>B08JP9DG5Z</t>
        </is>
      </c>
      <c r="G163" s="84" t="inlineStr">
        <is>
          <t>Queen</t>
        </is>
      </c>
      <c r="H163" s="84" t="inlineStr">
        <is>
          <t>Beige</t>
        </is>
      </c>
      <c r="I163" s="85" t="n">
        <v>96</v>
      </c>
      <c r="J163" s="32" t="inlineStr">
        <is>
          <t>B08JP9DG5Z (57%), B09QPFBSD4 (12%), B09QP9LCFM (7%), B08JPQ3JJK (4%)</t>
        </is>
      </c>
      <c r="K163" s="86" t="n">
        <v>22.99</v>
      </c>
      <c r="L163" s="86" t="n"/>
      <c r="M163" s="87">
        <f>IF(AND(ISNUMBER(L163),ISNUMBER(K163),N(K163)&gt;0),L163/K163-1,"")</f>
        <v/>
      </c>
      <c r="N163" s="88">
        <f>IF(M163="","No List Price",IF(M163&lt;=0,"At/below price",IF(M163&lt;=0.12,"&lt;=12% STR zone",IF(M163&lt;=0.25,"12-25%","&gt;25% over"))))</f>
        <v/>
      </c>
      <c r="O163" s="86" t="n">
        <v>31.95</v>
      </c>
      <c r="P163" s="89">
        <f>IF(AND(ISNUMBER(K163),ISNUMBER(O163),N(O163)&gt;0),K163/O163-1,"")</f>
        <v/>
      </c>
      <c r="Q163" s="32" t="inlineStr">
        <is>
          <t>Same size (Queen). Ours live: Helium 10 Xray, 2026-10-13; 28 children</t>
        </is>
      </c>
      <c r="R163" s="85" t="n">
        <v>23154</v>
      </c>
      <c r="S163" s="85" t="n">
        <v>92</v>
      </c>
      <c r="T163" s="90">
        <f>IF(AND(ISNUMBER(K163),ISNUMBER(S163)),K163*S163*52/12,"")</f>
        <v/>
      </c>
      <c r="U163" s="91" t="n">
        <v>4.4</v>
      </c>
      <c r="V163" s="85" t="n">
        <v>6981</v>
      </c>
      <c r="W163" s="92" t="n">
        <v>46307</v>
      </c>
      <c r="X163" s="92" t="n">
        <v>44096</v>
      </c>
      <c r="Y163" s="84" t="inlineStr">
        <is>
          <t>FBA</t>
        </is>
      </c>
      <c r="Z163" s="84" t="inlineStr">
        <is>
          <t>CN</t>
        </is>
      </c>
      <c r="AA163" s="85" t="n">
        <v>47722</v>
      </c>
      <c r="AB163" s="85" t="n">
        <v>1085</v>
      </c>
      <c r="AC163" s="93" t="n">
        <v>0.8752176061355349</v>
      </c>
      <c r="AD163" s="93" t="n">
        <v>0.1247823938644651</v>
      </c>
      <c r="AE163" s="32" t="inlineStr">
        <is>
          <t>silk sheets</t>
        </is>
      </c>
      <c r="AF163" s="93" t="n">
        <v>0.6122543061900172</v>
      </c>
      <c r="AG163" s="93" t="n">
        <v>0.0001885922635262562</v>
      </c>
      <c r="AH163" s="93" t="n">
        <v>0.01083357780478605</v>
      </c>
      <c r="AI163" s="93" t="n">
        <v>0.004777670675998491</v>
      </c>
      <c r="AJ163" s="85" t="n">
        <v>434</v>
      </c>
      <c r="AK163" s="85" t="n">
        <v>234</v>
      </c>
      <c r="AL163" s="85" t="n">
        <v>139</v>
      </c>
      <c r="AM163" s="85" t="n">
        <v>651</v>
      </c>
      <c r="AN163" s="85" t="n">
        <v>99</v>
      </c>
      <c r="AO163" s="85" t="n">
        <v>16</v>
      </c>
      <c r="AP163" s="94" t="n">
        <v>1.035928143712575</v>
      </c>
      <c r="AQ163" s="89" t="n">
        <v>-0.05882352941176483</v>
      </c>
      <c r="AR163" s="95" t="inlineStr">
        <is>
          <t>N</t>
        </is>
      </c>
      <c r="AS163" s="95" t="inlineStr">
        <is>
          <t>none</t>
        </is>
      </c>
      <c r="AT163" s="101" t="n"/>
      <c r="AU163" s="96" t="n">
        <v>22.99</v>
      </c>
      <c r="AV163" s="95" t="inlineStr">
        <is>
          <t>none</t>
        </is>
      </c>
      <c r="AW163" s="95" t="inlineStr">
        <is>
          <t>Y</t>
        </is>
      </c>
      <c r="AX163" s="95" t="inlineStr">
        <is>
          <t>2026-10-13 12:13:45</t>
        </is>
      </c>
      <c r="AY163" s="97" t="inlineStr">
        <is>
          <t>Prime Exclusive Discount</t>
        </is>
      </c>
      <c r="AZ163" s="97" t="inlineStr">
        <is>
          <t>11-01 to 12-01</t>
        </is>
      </c>
      <c r="BA163" s="98" t="n">
        <v>24.49</v>
      </c>
      <c r="BB163" s="98" t="n">
        <v>21.59</v>
      </c>
      <c r="BC163" s="87">
        <f>IF(AND(ISNUMBER(BA163),ISNUMBER(BB163),N(BA163)&gt;0),1-BB163/BA163,"")</f>
        <v/>
      </c>
      <c r="BD163" s="99" t="n">
        <v>20848</v>
      </c>
      <c r="BE163" s="99" t="n">
        <v>20750</v>
      </c>
      <c r="BF163" s="100">
        <f>IF(AND(ISNUMBER(BD163),ISNUMBER(BE163),N(BE163)&gt;0),BD163/BE163,"")</f>
        <v/>
      </c>
      <c r="BG163" s="97" t="inlineStr">
        <is>
          <t>N</t>
        </is>
      </c>
      <c r="BH163" s="97" t="inlineStr">
        <is>
          <t>Prime Exclusive already running before BFCM week; Buy Box RAISED in BFCM week (median $26.99 vs $24.49 before); List Price $52.59</t>
        </is>
      </c>
    </row>
    <row r="164" ht="62" customHeight="1">
      <c r="A164" s="10">
        <f>_xlfn.IMAGE("https://images-na.ssl-images-amazon.com/images/I/61QL2B3WPsL.jpg")</f>
        <v/>
      </c>
      <c r="B164" s="84" t="inlineStr">
        <is>
          <t>Cobedzy</t>
        </is>
      </c>
      <c r="C164" s="32" t="inlineStr">
        <is>
          <t>Satin Sheets</t>
        </is>
      </c>
      <c r="D164" s="84" t="inlineStr">
        <is>
          <t>Beatable</t>
        </is>
      </c>
      <c r="E164" s="84" t="inlineStr">
        <is>
          <t>B099PPQ7T3</t>
        </is>
      </c>
      <c r="F164" s="84" t="inlineStr">
        <is>
          <t>B087CSRQQ4</t>
        </is>
      </c>
      <c r="G164" s="84" t="n"/>
      <c r="H164" s="84" t="n"/>
      <c r="I164" s="85" t="n">
        <v>18</v>
      </c>
      <c r="J164" s="32" t="inlineStr">
        <is>
          <t>B087CSJ1FV (44%), B087CSRQQ4 (26%), B087CSNV9S (8%), B088CX6RW8 (4%)</t>
        </is>
      </c>
      <c r="K164" s="86" t="n">
        <v>27.99</v>
      </c>
      <c r="L164" s="86" t="n"/>
      <c r="M164" s="87">
        <f>IF(AND(ISNUMBER(L164),ISNUMBER(K164),N(K164)&gt;0),L164/K164-1,"")</f>
        <v/>
      </c>
      <c r="N164" s="88">
        <f>IF(M164="","No List Price",IF(M164&lt;=0,"At/below price",IF(M164&lt;=0.12,"&lt;=12% STR zone",IF(M164&lt;=0.25,"12-25%","&gt;25% over"))))</f>
        <v/>
      </c>
      <c r="O164" s="86" t="n">
        <v>31.95</v>
      </c>
      <c r="P164" s="89">
        <f>IF(AND(ISNUMBER(K164),ISNUMBER(O164),N(O164)&gt;0),K164/O164-1,"")</f>
        <v/>
      </c>
      <c r="Q164" s="32" t="inlineStr">
        <is>
          <t>Size not stated - vs our Queen. Ours live: Helium 10 Xray, 2026-10-13; 28 children</t>
        </is>
      </c>
      <c r="R164" s="85" t="n">
        <v>68667</v>
      </c>
      <c r="S164" s="85" t="n">
        <v>35</v>
      </c>
      <c r="T164" s="90">
        <f>IF(AND(ISNUMBER(K164),ISNUMBER(S164)),K164*S164*52/12,"")</f>
        <v/>
      </c>
      <c r="U164" s="91" t="n">
        <v>4.4</v>
      </c>
      <c r="V164" s="85" t="n">
        <v>2838</v>
      </c>
      <c r="W164" s="92" t="n">
        <v>46307</v>
      </c>
      <c r="X164" s="92" t="n"/>
      <c r="Y164" s="84" t="n"/>
      <c r="Z164" s="84" t="n"/>
      <c r="AA164" s="85" t="n">
        <v>21925</v>
      </c>
      <c r="AB164" s="85" t="n">
        <v>461</v>
      </c>
      <c r="AC164" s="93" t="n">
        <v>0.9295306681870016</v>
      </c>
      <c r="AD164" s="93" t="n">
        <v>0.07046991562143676</v>
      </c>
      <c r="AE164" s="32" t="inlineStr">
        <is>
          <t>satin sheets</t>
        </is>
      </c>
      <c r="AF164" s="93" t="n">
        <v>0.3978563283922463</v>
      </c>
      <c r="AG164" s="93" t="n"/>
      <c r="AH164" s="93" t="n"/>
      <c r="AI164" s="93" t="n">
        <v>0.01299885974914481</v>
      </c>
      <c r="AJ164" s="85" t="n">
        <v>266</v>
      </c>
      <c r="AK164" s="85" t="n">
        <v>182</v>
      </c>
      <c r="AL164" s="85" t="n">
        <v>65</v>
      </c>
      <c r="AM164" s="85" t="n">
        <v>195</v>
      </c>
      <c r="AN164" s="85" t="n">
        <v>43</v>
      </c>
      <c r="AO164" s="85" t="n">
        <v>20</v>
      </c>
      <c r="AP164" s="94" t="n">
        <v>0.8934169278996865</v>
      </c>
      <c r="AQ164" s="89" t="n">
        <v>-0.4259740259740259</v>
      </c>
      <c r="AR164" s="95" t="inlineStr">
        <is>
          <t>Y</t>
        </is>
      </c>
      <c r="AS164" s="95" t="inlineStr">
        <is>
          <t>Typical price</t>
        </is>
      </c>
      <c r="AT164" s="96" t="n">
        <v>26.99</v>
      </c>
      <c r="AU164" s="96" t="n">
        <v>24.99</v>
      </c>
      <c r="AV164" s="95" t="inlineStr">
        <is>
          <t>none</t>
        </is>
      </c>
      <c r="AW164" s="95" t="inlineStr">
        <is>
          <t>Y</t>
        </is>
      </c>
      <c r="AX164" s="95" t="inlineStr">
        <is>
          <t>2026-10-13 12:12:40</t>
        </is>
      </c>
      <c r="AY164" s="97" t="inlineStr">
        <is>
          <t>Price cut only</t>
        </is>
      </c>
      <c r="AZ164" s="97" t="inlineStr">
        <is>
          <t>11-20 to 12-01</t>
        </is>
      </c>
      <c r="BA164" s="98" t="n">
        <v>27.99</v>
      </c>
      <c r="BB164" s="98" t="n">
        <v>22.39</v>
      </c>
      <c r="BC164" s="87">
        <f>IF(AND(ISNUMBER(BA164),ISNUMBER(BB164),N(BA164)&gt;0),1-BB164/BA164,"")</f>
        <v/>
      </c>
      <c r="BD164" s="99" t="n">
        <v>39293</v>
      </c>
      <c r="BE164" s="99" t="n">
        <v>27923</v>
      </c>
      <c r="BF164" s="100">
        <f>IF(AND(ISNUMBER(BD164),ISNUMBER(BE164),N(BE164)&gt;0),BD164/BE164,"")</f>
        <v/>
      </c>
      <c r="BG164" s="97" t="inlineStr">
        <is>
          <t>N</t>
        </is>
      </c>
      <c r="BH164" s="97" t="inlineStr">
        <is>
          <t>List Price $38.99</t>
        </is>
      </c>
    </row>
    <row r="165" ht="62" customHeight="1">
      <c r="A165" s="10">
        <f>_xlfn.IMAGE("https://images-na.ssl-images-amazon.com/images/I/813TGJ9FKjL.jpg")</f>
        <v/>
      </c>
      <c r="B165" s="84" t="inlineStr">
        <is>
          <t>Horbaunal</t>
        </is>
      </c>
      <c r="C165" s="32" t="inlineStr">
        <is>
          <t>Horbaunal 6 Piece Satin Sheet Set Queen, Emerald Green Queen Bed Sheets</t>
        </is>
      </c>
      <c r="D165" s="84" t="inlineStr">
        <is>
          <t>Beatable</t>
        </is>
      </c>
      <c r="E165" s="84" t="inlineStr">
        <is>
          <t>B0B4MQCT87</t>
        </is>
      </c>
      <c r="F165" s="84" t="inlineStr">
        <is>
          <t>B0B4MQ1PP1</t>
        </is>
      </c>
      <c r="G165" s="84" t="inlineStr">
        <is>
          <t>Queen</t>
        </is>
      </c>
      <c r="H165" s="84" t="inlineStr">
        <is>
          <t>Green</t>
        </is>
      </c>
      <c r="I165" s="85" t="n">
        <v>23</v>
      </c>
      <c r="J165" s="32" t="inlineStr"/>
      <c r="K165" s="86" t="n">
        <v>28.99</v>
      </c>
      <c r="L165" s="86" t="n"/>
      <c r="M165" s="87">
        <f>IF(AND(ISNUMBER(L165),ISNUMBER(K165),N(K165)&gt;0),L165/K165-1,"")</f>
        <v/>
      </c>
      <c r="N165" s="88">
        <f>IF(M165="","No List Price",IF(M165&lt;=0,"At/below price",IF(M165&lt;=0.12,"&lt;=12% STR zone",IF(M165&lt;=0.25,"12-25%","&gt;25% over"))))</f>
        <v/>
      </c>
      <c r="O165" s="86" t="n">
        <v>31.95</v>
      </c>
      <c r="P165" s="89">
        <f>IF(AND(ISNUMBER(K165),ISNUMBER(O165),N(O165)&gt;0),K165/O165-1,"")</f>
        <v/>
      </c>
      <c r="Q165" s="32" t="inlineStr">
        <is>
          <t>Same size (Queen). Ours live: Helium 10 Xray, 2026-10-13; 28 children</t>
        </is>
      </c>
      <c r="R165" s="85" t="n">
        <v>110638</v>
      </c>
      <c r="S165" s="85" t="n">
        <v>35</v>
      </c>
      <c r="T165" s="90">
        <f>IF(AND(ISNUMBER(K165),ISNUMBER(S165)),K165*S165*52/12,"")</f>
        <v/>
      </c>
      <c r="U165" s="91" t="n">
        <v>4.4</v>
      </c>
      <c r="V165" s="85" t="n">
        <v>772</v>
      </c>
      <c r="W165" s="92" t="n">
        <v>46307</v>
      </c>
      <c r="X165" s="92" t="n">
        <v>44733</v>
      </c>
      <c r="Y165" s="84" t="inlineStr">
        <is>
          <t>FBA</t>
        </is>
      </c>
      <c r="Z165" s="84" t="inlineStr">
        <is>
          <t>CN</t>
        </is>
      </c>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96" t="n">
        <v>28.99</v>
      </c>
      <c r="AV165" s="95" t="inlineStr">
        <is>
          <t>none</t>
        </is>
      </c>
      <c r="AW165" s="95" t="inlineStr">
        <is>
          <t>Y</t>
        </is>
      </c>
      <c r="AX165" s="95" t="inlineStr">
        <is>
          <t>2026-10-13 12:13:05</t>
        </is>
      </c>
      <c r="AY165" s="97" t="inlineStr">
        <is>
          <t>Prime Exclusive Discount</t>
        </is>
      </c>
      <c r="AZ165" s="97" t="inlineStr">
        <is>
          <t>11-01 to 12-01</t>
        </is>
      </c>
      <c r="BA165" s="98" t="n">
        <v>33.43</v>
      </c>
      <c r="BB165" s="98" t="n">
        <v>28.87</v>
      </c>
      <c r="BC165" s="87">
        <f>IF(AND(ISNUMBER(BA165),ISNUMBER(BB165),N(BA165)&gt;0),1-BB165/BA165,"")</f>
        <v/>
      </c>
      <c r="BD165" s="99" t="n">
        <v>93675</v>
      </c>
      <c r="BE165" s="99" t="n">
        <v>83926</v>
      </c>
      <c r="BF165" s="100">
        <f>IF(AND(ISNUMBER(BD165),ISNUMBER(BE165),N(BE165)&gt;0),BD165/BE165,"")</f>
        <v/>
      </c>
      <c r="BG165" s="97" t="inlineStr">
        <is>
          <t>N</t>
        </is>
      </c>
      <c r="BH165" s="97" t="inlineStr">
        <is>
          <t>Prime Exclusive already running before BFCM week; Buy Box RAISED in BFCM week (median $37.99 vs $33.43 before); List Price $45.49</t>
        </is>
      </c>
    </row>
    <row r="166" ht="62" customHeight="1">
      <c r="A166" s="39" t="inlineStr">
        <is>
          <t>IMAGE MISSING</t>
        </is>
      </c>
      <c r="B166" s="84" t="inlineStr">
        <is>
          <t>VACVELT</t>
        </is>
      </c>
      <c r="C166" s="32" t="inlineStr">
        <is>
          <t>Satin Sheets</t>
        </is>
      </c>
      <c r="D166" s="84" t="inlineStr">
        <is>
          <t>Beatable</t>
        </is>
      </c>
      <c r="E166" s="84" t="inlineStr">
        <is>
          <t>B0C9T1VY8J</t>
        </is>
      </c>
      <c r="F166" s="84" t="inlineStr">
        <is>
          <t>B0C1GJZB6F</t>
        </is>
      </c>
      <c r="G166" s="84" t="n"/>
      <c r="H166" s="84" t="n"/>
      <c r="I166" s="85" t="n">
        <v>35</v>
      </c>
      <c r="J166" s="32" t="inlineStr">
        <is>
          <t>B0C1GN34VQ (59%), B0C1GJZB6F (15%), B0C1GN34VL (8%)</t>
        </is>
      </c>
      <c r="K166" s="86" t="n">
        <v>21.99</v>
      </c>
      <c r="L166" s="86" t="n"/>
      <c r="M166" s="87">
        <f>IF(AND(ISNUMBER(L166),ISNUMBER(K166),N(K166)&gt;0),L166/K166-1,"")</f>
        <v/>
      </c>
      <c r="N166" s="88">
        <f>IF(M166="","No List Price",IF(M166&lt;=0,"At/below price",IF(M166&lt;=0.12,"&lt;=12% STR zone",IF(M166&lt;=0.25,"12-25%","&gt;25% over"))))</f>
        <v/>
      </c>
      <c r="O166" s="86" t="n">
        <v>31.95</v>
      </c>
      <c r="P166" s="89">
        <f>IF(AND(ISNUMBER(K166),ISNUMBER(O166),N(O166)&gt;0),K166/O166-1,"")</f>
        <v/>
      </c>
      <c r="Q166" s="32" t="inlineStr">
        <is>
          <t>Size not stated - vs our Queen. Ours live: Helium 10 Xray, 2026-10-13; 28 children</t>
        </is>
      </c>
      <c r="R166" s="85" t="n">
        <v>57010</v>
      </c>
      <c r="S166" s="85" t="n">
        <v>35</v>
      </c>
      <c r="T166" s="90">
        <f>IF(AND(ISNUMBER(K166),ISNUMBER(S166)),K166*S166*52/12,"")</f>
        <v/>
      </c>
      <c r="U166" s="91" t="n">
        <v>4.5</v>
      </c>
      <c r="V166" s="85" t="n">
        <v>1017</v>
      </c>
      <c r="W166" s="92" t="n">
        <v>46307</v>
      </c>
      <c r="X166" s="92" t="n"/>
      <c r="Y166" s="84" t="n"/>
      <c r="Z166" s="84" t="n"/>
      <c r="AA166" s="85" t="n">
        <v>23621</v>
      </c>
      <c r="AB166" s="85" t="n">
        <v>569</v>
      </c>
      <c r="AC166" s="93" t="n">
        <v>0.9628617755387157</v>
      </c>
      <c r="AD166" s="93" t="n">
        <v>0.03713822446128445</v>
      </c>
      <c r="AE166" s="32" t="inlineStr">
        <is>
          <t>satin sheets</t>
        </is>
      </c>
      <c r="AF166" s="93" t="n">
        <v>0.08949663435078956</v>
      </c>
      <c r="AG166" s="93" t="n"/>
      <c r="AH166" s="93" t="n"/>
      <c r="AI166" s="93" t="n">
        <v>0.02341137123745819</v>
      </c>
      <c r="AJ166" s="85" t="n">
        <v>314</v>
      </c>
      <c r="AK166" s="85" t="n">
        <v>211</v>
      </c>
      <c r="AL166" s="85" t="n">
        <v>69</v>
      </c>
      <c r="AM166" s="85" t="n">
        <v>255</v>
      </c>
      <c r="AN166" s="85" t="n">
        <v>16</v>
      </c>
      <c r="AO166" s="85" t="n">
        <v>7</v>
      </c>
      <c r="AP166" s="94" t="n">
        <v>1</v>
      </c>
      <c r="AQ166" s="89" t="n">
        <v>0.2448979591836733</v>
      </c>
      <c r="AR166" s="95" t="inlineStr">
        <is>
          <t>N</t>
        </is>
      </c>
      <c r="AS166" s="95" t="inlineStr">
        <is>
          <t>none</t>
        </is>
      </c>
      <c r="AT166" s="101" t="n"/>
      <c r="AU166" s="96" t="n">
        <v>21.99</v>
      </c>
      <c r="AV166" s="95" t="inlineStr">
        <is>
          <t>none</t>
        </is>
      </c>
      <c r="AW166" s="95" t="inlineStr">
        <is>
          <t>Y</t>
        </is>
      </c>
      <c r="AX166" s="95" t="inlineStr">
        <is>
          <t>2026-10-13 12:13:48</t>
        </is>
      </c>
      <c r="AY166" s="97" t="inlineStr">
        <is>
          <t>Prime Exclusive Discount</t>
        </is>
      </c>
      <c r="AZ166" s="97" t="inlineStr">
        <is>
          <t>11-18 to 12-05</t>
        </is>
      </c>
      <c r="BA166" s="98" t="n">
        <v>20.99</v>
      </c>
      <c r="BB166" s="98" t="n">
        <v>17.67</v>
      </c>
      <c r="BC166" s="87">
        <f>IF(AND(ISNUMBER(BA166),ISNUMBER(BB166),N(BA166)&gt;0),1-BB166/BA166,"")</f>
        <v/>
      </c>
      <c r="BD166" s="99" t="n">
        <v>56350</v>
      </c>
      <c r="BE166" s="99" t="n">
        <v>47030</v>
      </c>
      <c r="BF166" s="100">
        <f>IF(AND(ISNUMBER(BD166),ISNUMBER(BE166),N(BE166)&gt;0),BD166/BE166,"")</f>
        <v/>
      </c>
      <c r="BG166" s="97" t="inlineStr">
        <is>
          <t>N</t>
        </is>
      </c>
      <c r="BH166" s="97" t="inlineStr">
        <is>
          <t>Prime Exclusive already running before BFCM week; Buy Box RAISED in BFCM week (median $25.99 vs $20.99 before); List Price $46.38</t>
        </is>
      </c>
    </row>
    <row r="167" ht="62" customHeight="1">
      <c r="A167" s="39" t="inlineStr">
        <is>
          <t>IMAGE MISSING</t>
        </is>
      </c>
      <c r="B167" s="84" t="inlineStr">
        <is>
          <t>Homiest</t>
        </is>
      </c>
      <c r="C167" s="32" t="inlineStr">
        <is>
          <t>Satin Sheets</t>
        </is>
      </c>
      <c r="D167" s="84" t="inlineStr">
        <is>
          <t>Beatable</t>
        </is>
      </c>
      <c r="E167" s="84" t="inlineStr">
        <is>
          <t>B0DYJKM99H</t>
        </is>
      </c>
      <c r="F167" s="84" t="inlineStr">
        <is>
          <t>B0DYJHHJQL</t>
        </is>
      </c>
      <c r="G167" s="84" t="n"/>
      <c r="H167" s="84" t="n"/>
      <c r="I167" s="85" t="n"/>
      <c r="J167" s="32" t="inlineStr"/>
      <c r="K167" s="86" t="n">
        <v>27.99</v>
      </c>
      <c r="L167" s="86" t="n"/>
      <c r="M167" s="87">
        <f>IF(AND(ISNUMBER(L167),ISNUMBER(K167),N(K167)&gt;0),L167/K167-1,"")</f>
        <v/>
      </c>
      <c r="N167" s="88">
        <f>IF(M167="","No List Price",IF(M167&lt;=0,"At/below price",IF(M167&lt;=0.12,"&lt;=12% STR zone",IF(M167&lt;=0.25,"12-25%","&gt;25% over"))))</f>
        <v/>
      </c>
      <c r="O167" s="86" t="n">
        <v>31.95</v>
      </c>
      <c r="P167" s="89">
        <f>IF(AND(ISNUMBER(K167),ISNUMBER(O167),N(O167)&gt;0),K167/O167-1,"")</f>
        <v/>
      </c>
      <c r="Q167" s="32" t="inlineStr">
        <is>
          <t>Size not stated - vs our Queen. Ours live: Helium 10 Xray, 2026-10-13; 28 children</t>
        </is>
      </c>
      <c r="R167" s="85" t="n">
        <v>89437</v>
      </c>
      <c r="S167" s="85" t="n">
        <v>18</v>
      </c>
      <c r="T167" s="90">
        <f>IF(AND(ISNUMBER(K167),ISNUMBER(S167)),K167*S167*52/12,"")</f>
        <v/>
      </c>
      <c r="U167" s="91" t="n">
        <v>4.5</v>
      </c>
      <c r="V167" s="85" t="n">
        <v>205</v>
      </c>
      <c r="W167" s="92" t="n">
        <v>46307</v>
      </c>
      <c r="X167" s="92" t="n"/>
      <c r="Y167" s="84" t="n"/>
      <c r="Z167" s="84" t="n"/>
      <c r="AA167" s="85" t="n"/>
      <c r="AB167" s="85" t="n"/>
      <c r="AC167" s="93" t="n"/>
      <c r="AD167" s="93" t="n"/>
      <c r="AE167" s="32" t="n"/>
      <c r="AF167" s="93" t="n"/>
      <c r="AG167" s="93" t="n"/>
      <c r="AH167" s="93" t="n"/>
      <c r="AI167" s="93" t="n"/>
      <c r="AJ167" s="85" t="n"/>
      <c r="AK167" s="85" t="n"/>
      <c r="AL167" s="85" t="n"/>
      <c r="AM167" s="85" t="n"/>
      <c r="AN167" s="85" t="n"/>
      <c r="AO167" s="85" t="n"/>
      <c r="AP167" s="94" t="n"/>
      <c r="AQ167" s="89" t="n"/>
      <c r="AR167" s="95" t="inlineStr">
        <is>
          <t>N</t>
        </is>
      </c>
      <c r="AS167" s="95" t="inlineStr">
        <is>
          <t>none</t>
        </is>
      </c>
      <c r="AT167" s="101" t="n"/>
      <c r="AU167" s="96" t="n">
        <v>27.99</v>
      </c>
      <c r="AV167" s="95" t="inlineStr">
        <is>
          <t>none</t>
        </is>
      </c>
      <c r="AW167" s="95" t="inlineStr">
        <is>
          <t>Y</t>
        </is>
      </c>
      <c r="AX167" s="95" t="inlineStr">
        <is>
          <t>2026-10-13 12:12:53</t>
        </is>
      </c>
      <c r="AY167" s="97" t="inlineStr">
        <is>
          <t>None</t>
        </is>
      </c>
      <c r="AZ167" s="102" t="n"/>
      <c r="BA167" s="98" t="n">
        <v>28.99</v>
      </c>
      <c r="BB167" s="98" t="n">
        <v>28.99</v>
      </c>
      <c r="BC167" s="87">
        <f>IF(AND(ISNUMBER(BA167),ISNUMBER(BB167),N(BA167)&gt;0),1-BB167/BA167,"")</f>
        <v/>
      </c>
      <c r="BD167" s="99" t="n">
        <v>63419</v>
      </c>
      <c r="BE167" s="99" t="n">
        <v>61469</v>
      </c>
      <c r="BF167" s="100">
        <f>IF(AND(ISNUMBER(BD167),ISNUMBER(BE167),N(BE167)&gt;0),BD167/BE167,"")</f>
        <v/>
      </c>
      <c r="BG167" s="97" t="inlineStr">
        <is>
          <t>N</t>
        </is>
      </c>
      <c r="BH167" s="97" t="inlineStr">
        <is>
          <t>List Price $34.99</t>
        </is>
      </c>
    </row>
    <row r="168" ht="62" customHeight="1">
      <c r="A168" s="10">
        <f>_xlfn.IMAGE("https://images-na.ssl-images-amazon.com/images/I/71eq-pAu2pL.jpg")</f>
        <v/>
      </c>
      <c r="B168" s="84" t="inlineStr">
        <is>
          <t>LIFCOM</t>
        </is>
      </c>
      <c r="C168" s="32" t="inlineStr">
        <is>
          <t>LIFCOM Satin Sheets Queen,4Pcs Bed Set with 15" Deep Pocket,Brown</t>
        </is>
      </c>
      <c r="D168" s="84" t="inlineStr">
        <is>
          <t>Beatable</t>
        </is>
      </c>
      <c r="E168" s="84" t="inlineStr">
        <is>
          <t>B0DBVYL693</t>
        </is>
      </c>
      <c r="F168" s="84" t="inlineStr">
        <is>
          <t>B0DCC78S4N</t>
        </is>
      </c>
      <c r="G168" s="84" t="inlineStr">
        <is>
          <t>Queen</t>
        </is>
      </c>
      <c r="H168" s="84" t="inlineStr">
        <is>
          <t>Brown</t>
        </is>
      </c>
      <c r="I168" s="85" t="n">
        <v>73</v>
      </c>
      <c r="J168" s="32" t="inlineStr">
        <is>
          <t>B0DCC5ZQNW (21%), B0DCC78S4N (17%), B0DC5L2BHY (9%), B0DCC8MLV5 (8%), B0DCC8WZCH (7%)</t>
        </is>
      </c>
      <c r="K168" s="86" t="n">
        <v>23.99</v>
      </c>
      <c r="L168" s="86" t="n"/>
      <c r="M168" s="87">
        <f>IF(AND(ISNUMBER(L168),ISNUMBER(K168),N(K168)&gt;0),L168/K168-1,"")</f>
        <v/>
      </c>
      <c r="N168" s="88">
        <f>IF(M168="","No List Price",IF(M168&lt;=0,"At/below price",IF(M168&lt;=0.12,"&lt;=12% STR zone",IF(M168&lt;=0.25,"12-25%","&gt;25% over"))))</f>
        <v/>
      </c>
      <c r="O168" s="86" t="n">
        <v>31.95</v>
      </c>
      <c r="P168" s="89">
        <f>IF(AND(ISNUMBER(K168),ISNUMBER(O168),N(O168)&gt;0),K168/O168-1,"")</f>
        <v/>
      </c>
      <c r="Q168" s="32" t="inlineStr">
        <is>
          <t>Same size (Queen). Ours live: Helium 10 Xray, 2026-10-13; 28 children</t>
        </is>
      </c>
      <c r="R168" s="85" t="n">
        <v>96002</v>
      </c>
      <c r="S168" s="85" t="n">
        <v>18</v>
      </c>
      <c r="T168" s="90">
        <f>IF(AND(ISNUMBER(K168),ISNUMBER(S168)),K168*S168*52/12,"")</f>
        <v/>
      </c>
      <c r="U168" s="91" t="n">
        <v>4.2</v>
      </c>
      <c r="V168" s="85" t="n">
        <v>361</v>
      </c>
      <c r="W168" s="92" t="n">
        <v>46307</v>
      </c>
      <c r="X168" s="92" t="n">
        <v>45510</v>
      </c>
      <c r="Y168" s="84" t="inlineStr">
        <is>
          <t>FBA</t>
        </is>
      </c>
      <c r="Z168" s="84" t="inlineStr">
        <is>
          <t>CN</t>
        </is>
      </c>
      <c r="AA168" s="85" t="n">
        <v>23278</v>
      </c>
      <c r="AB168" s="85" t="n">
        <v>634</v>
      </c>
      <c r="AC168" s="93" t="n">
        <v>0.4926462797491192</v>
      </c>
      <c r="AD168" s="93" t="n">
        <v>0.507353720250881</v>
      </c>
      <c r="AE168" s="32" t="inlineStr">
        <is>
          <t>brown sheets</t>
        </is>
      </c>
      <c r="AF168" s="93" t="n">
        <v>0.8651086863132571</v>
      </c>
      <c r="AG168" s="93" t="n"/>
      <c r="AH168" s="93" t="n"/>
      <c r="AI168" s="93" t="n">
        <v>0.1246241086003952</v>
      </c>
      <c r="AJ168" s="85" t="n">
        <v>313</v>
      </c>
      <c r="AK168" s="85" t="n">
        <v>235</v>
      </c>
      <c r="AL168" s="85" t="n">
        <v>50</v>
      </c>
      <c r="AM168" s="85" t="n">
        <v>321</v>
      </c>
      <c r="AN168" s="85" t="n">
        <v>45</v>
      </c>
      <c r="AO168" s="85" t="n">
        <v>45</v>
      </c>
      <c r="AP168" s="94" t="n">
        <v>0.5539772727272727</v>
      </c>
      <c r="AQ168" s="89" t="n">
        <v>-0.4424040066777963</v>
      </c>
      <c r="AR168" s="95" t="inlineStr">
        <is>
          <t>N</t>
        </is>
      </c>
      <c r="AS168" s="95" t="inlineStr">
        <is>
          <t>none</t>
        </is>
      </c>
      <c r="AT168" s="101" t="n"/>
      <c r="AU168" s="96" t="n">
        <v>23.99</v>
      </c>
      <c r="AV168" s="95" t="inlineStr">
        <is>
          <t>none</t>
        </is>
      </c>
      <c r="AW168" s="95" t="inlineStr">
        <is>
          <t>Y</t>
        </is>
      </c>
      <c r="AX168" s="95" t="inlineStr">
        <is>
          <t>2026-10-13 12:13:09</t>
        </is>
      </c>
      <c r="AY168" s="97" t="inlineStr">
        <is>
          <t>Prime Exclusive Discount</t>
        </is>
      </c>
      <c r="AZ168" s="97" t="inlineStr">
        <is>
          <t>11-24 to 12-01</t>
        </is>
      </c>
      <c r="BA168" s="98" t="n">
        <v>22.99</v>
      </c>
      <c r="BB168" s="98" t="n">
        <v>19.27</v>
      </c>
      <c r="BC168" s="87">
        <f>IF(AND(ISNUMBER(BA168),ISNUMBER(BB168),N(BA168)&gt;0),1-BB168/BA168,"")</f>
        <v/>
      </c>
      <c r="BD168" s="99" t="n">
        <v>66815</v>
      </c>
      <c r="BE168" s="99" t="n">
        <v>49602</v>
      </c>
      <c r="BF168" s="100">
        <f>IF(AND(ISNUMBER(BD168),ISNUMBER(BE168),N(BE168)&gt;0),BD168/BE168,"")</f>
        <v/>
      </c>
      <c r="BG168" s="97" t="inlineStr">
        <is>
          <t>N</t>
        </is>
      </c>
      <c r="BH168" s="97" t="inlineStr">
        <is>
          <t>Buy Box RAISED in BFCM week (median $24.39 vs $22.99 before); List Price $31.99</t>
        </is>
      </c>
    </row>
    <row r="169" ht="62" customHeight="1">
      <c r="A169" s="10">
        <f>_xlfn.IMAGE("https://images-na.ssl-images-amazon.com/images/I/71Upo7a638S.jpg")</f>
        <v/>
      </c>
      <c r="B169" s="84" t="inlineStr">
        <is>
          <t>Homiest</t>
        </is>
      </c>
      <c r="C169" s="32" t="inlineStr">
        <is>
          <t>Satin Sheets</t>
        </is>
      </c>
      <c r="D169" s="84" t="inlineStr">
        <is>
          <t>Beatable</t>
        </is>
      </c>
      <c r="E169" s="84" t="inlineStr">
        <is>
          <t>B07XBR22W1</t>
        </is>
      </c>
      <c r="F169" s="84" t="inlineStr">
        <is>
          <t>B0B5Z2B9NN</t>
        </is>
      </c>
      <c r="G169" s="84" t="n"/>
      <c r="H169" s="84" t="n"/>
      <c r="I169" s="85" t="n">
        <v>70</v>
      </c>
      <c r="J169" s="32" t="inlineStr">
        <is>
          <t>B07VTMDK79 (19%), B0C2824DHT (16%), B07XPVHHP9 (9%), B07HN29LH1 (6%), B0B2QZ8NKY (5%)</t>
        </is>
      </c>
      <c r="K169" s="86" t="n">
        <v>21.99</v>
      </c>
      <c r="L169" s="86" t="n">
        <v>25.99</v>
      </c>
      <c r="M169" s="87">
        <f>IF(AND(ISNUMBER(L169),ISNUMBER(K169),N(K169)&gt;0),L169/K169-1,"")</f>
        <v/>
      </c>
      <c r="N169" s="88">
        <f>IF(M169="","No List Price",IF(M169&lt;=0,"At/below price",IF(M169&lt;=0.12,"&lt;=12% STR zone",IF(M169&lt;=0.25,"12-25%","&gt;25% over"))))</f>
        <v/>
      </c>
      <c r="O169" s="86" t="n">
        <v>31.95</v>
      </c>
      <c r="P169" s="89">
        <f>IF(AND(ISNUMBER(K169),ISNUMBER(O169),N(O169)&gt;0),K169/O169-1,"")</f>
        <v/>
      </c>
      <c r="Q169" s="32" t="inlineStr">
        <is>
          <t>Size not stated - vs our Queen. Ours live: Helium 10 Xray, 2026-10-13; 28 children</t>
        </is>
      </c>
      <c r="R169" s="85" t="n">
        <v>28165</v>
      </c>
      <c r="S169" s="85" t="n">
        <v>5</v>
      </c>
      <c r="T169" s="90">
        <f>IF(AND(ISNUMBER(K169),ISNUMBER(S169)),K169*S169*52/12,"")</f>
        <v/>
      </c>
      <c r="U169" s="91" t="n">
        <v>4.4</v>
      </c>
      <c r="V169" s="85" t="n">
        <v>12125</v>
      </c>
      <c r="W169" s="92" t="n">
        <v>46307</v>
      </c>
      <c r="X169" s="92" t="n"/>
      <c r="Y169" s="84" t="n"/>
      <c r="Z169" s="84" t="n"/>
      <c r="AA169" s="85" t="n">
        <v>20002</v>
      </c>
      <c r="AB169" s="85" t="n">
        <v>618</v>
      </c>
      <c r="AC169" s="93" t="n">
        <v>1</v>
      </c>
      <c r="AD169" s="93" t="n">
        <v>0</v>
      </c>
      <c r="AE169" s="32" t="inlineStr">
        <is>
          <t>satin sheets</t>
        </is>
      </c>
      <c r="AF169" s="93" t="n">
        <v>0.08344165583441655</v>
      </c>
      <c r="AG169" s="93" t="n"/>
      <c r="AH169" s="93" t="n"/>
      <c r="AI169" s="93" t="n">
        <v>0.02124787521247875</v>
      </c>
      <c r="AJ169" s="85" t="n">
        <v>329</v>
      </c>
      <c r="AK169" s="85" t="n">
        <v>225</v>
      </c>
      <c r="AL169" s="85" t="n">
        <v>76</v>
      </c>
      <c r="AM169" s="85" t="n">
        <v>289</v>
      </c>
      <c r="AN169" s="85" t="n">
        <v>0</v>
      </c>
      <c r="AO169" s="85" t="n">
        <v>0</v>
      </c>
      <c r="AP169" s="94" t="n"/>
      <c r="AQ169" s="89" t="n"/>
      <c r="AR169" s="95" t="inlineStr">
        <is>
          <t>Y</t>
        </is>
      </c>
      <c r="AS169" s="95" t="inlineStr">
        <is>
          <t>Typical price</t>
        </is>
      </c>
      <c r="AT169" s="96" t="n">
        <v>25.99</v>
      </c>
      <c r="AU169" s="96" t="n">
        <v>23.99</v>
      </c>
      <c r="AV169" s="95" t="inlineStr">
        <is>
          <t>none</t>
        </is>
      </c>
      <c r="AW169" s="95" t="inlineStr">
        <is>
          <t>Y</t>
        </is>
      </c>
      <c r="AX169" s="95" t="inlineStr">
        <is>
          <t>2026-10-13 12:12:56</t>
        </is>
      </c>
      <c r="AY169" s="97" t="inlineStr">
        <is>
          <t>Prime Exclusive Discount</t>
        </is>
      </c>
      <c r="AZ169" s="97" t="inlineStr">
        <is>
          <t>11-04 to 12-05</t>
        </is>
      </c>
      <c r="BA169" s="98" t="n">
        <v>23.39</v>
      </c>
      <c r="BB169" s="98" t="n">
        <v>21.32</v>
      </c>
      <c r="BC169" s="87">
        <f>IF(AND(ISNUMBER(BA169),ISNUMBER(BB169),N(BA169)&gt;0),1-BB169/BA169,"")</f>
        <v/>
      </c>
      <c r="BD169" s="99" t="n">
        <v>20924</v>
      </c>
      <c r="BE169" s="99" t="n">
        <v>20898</v>
      </c>
      <c r="BF169" s="100">
        <f>IF(AND(ISNUMBER(BD169),ISNUMBER(BE169),N(BE169)&gt;0),BD169/BE169,"")</f>
        <v/>
      </c>
      <c r="BG169" s="97" t="inlineStr">
        <is>
          <t>N</t>
        </is>
      </c>
      <c r="BH169" s="97" t="inlineStr">
        <is>
          <t>Prime Exclusive already running before BFCM week; List Price $52.78</t>
        </is>
      </c>
    </row>
    <row r="170" ht="62" customHeight="1">
      <c r="A170" s="39" t="inlineStr">
        <is>
          <t>IMAGE MISSING</t>
        </is>
      </c>
      <c r="B170" s="84" t="inlineStr">
        <is>
          <t>Manyshofu</t>
        </is>
      </c>
      <c r="C170" s="32" t="inlineStr">
        <is>
          <t>Satin Sheets</t>
        </is>
      </c>
      <c r="D170" s="84" t="inlineStr">
        <is>
          <t>Beatable</t>
        </is>
      </c>
      <c r="E170" s="84" t="inlineStr">
        <is>
          <t>B09YQW7HBK</t>
        </is>
      </c>
      <c r="F170" s="84" t="inlineStr">
        <is>
          <t>B09S5RNLN9</t>
        </is>
      </c>
      <c r="G170" s="84" t="n"/>
      <c r="H170" s="84" t="n"/>
      <c r="I170" s="85" t="n"/>
      <c r="J170" s="32" t="inlineStr"/>
      <c r="K170" s="86" t="n">
        <v>28.99</v>
      </c>
      <c r="L170" s="86" t="n"/>
      <c r="M170" s="87">
        <f>IF(AND(ISNUMBER(L170),ISNUMBER(K170),N(K170)&gt;0),L170/K170-1,"")</f>
        <v/>
      </c>
      <c r="N170" s="88">
        <f>IF(M170="","No List Price",IF(M170&lt;=0,"At/below price",IF(M170&lt;=0.12,"&lt;=12% STR zone",IF(M170&lt;=0.25,"12-25%","&gt;25% over"))))</f>
        <v/>
      </c>
      <c r="O170" s="86" t="n">
        <v>31.95</v>
      </c>
      <c r="P170" s="89">
        <f>IF(AND(ISNUMBER(K170),ISNUMBER(O170),N(O170)&gt;0),K170/O170-1,"")</f>
        <v/>
      </c>
      <c r="Q170" s="32" t="inlineStr">
        <is>
          <t>Size not stated - vs our Queen. Ours live: Helium 10 Xray, 2026-10-13; 28 children</t>
        </is>
      </c>
      <c r="R170" s="85" t="n">
        <v>300374</v>
      </c>
      <c r="S170" s="85" t="n">
        <v>5</v>
      </c>
      <c r="T170" s="90">
        <f>IF(AND(ISNUMBER(K170),ISNUMBER(S170)),K170*S170*52/12,"")</f>
        <v/>
      </c>
      <c r="U170" s="91" t="n">
        <v>4.3</v>
      </c>
      <c r="V170" s="85" t="n">
        <v>907</v>
      </c>
      <c r="W170" s="92" t="n">
        <v>46307</v>
      </c>
      <c r="X170" s="92" t="n"/>
      <c r="Y170" s="84" t="n"/>
      <c r="Z170" s="84" t="n"/>
      <c r="AA170" s="85" t="n"/>
      <c r="AB170" s="85" t="n"/>
      <c r="AC170" s="93" t="n"/>
      <c r="AD170" s="93" t="n"/>
      <c r="AE170" s="32" t="n"/>
      <c r="AF170" s="93" t="n"/>
      <c r="AG170" s="93" t="n"/>
      <c r="AH170" s="93" t="n"/>
      <c r="AI170" s="93" t="n"/>
      <c r="AJ170" s="85" t="n"/>
      <c r="AK170" s="85" t="n"/>
      <c r="AL170" s="85" t="n"/>
      <c r="AM170" s="85" t="n"/>
      <c r="AN170" s="85" t="n"/>
      <c r="AO170" s="85" t="n"/>
      <c r="AP170" s="94" t="n"/>
      <c r="AQ170" s="89" t="n"/>
      <c r="AR170" s="95" t="inlineStr">
        <is>
          <t>N</t>
        </is>
      </c>
      <c r="AS170" s="95" t="inlineStr">
        <is>
          <t>none</t>
        </is>
      </c>
      <c r="AT170" s="101" t="n"/>
      <c r="AU170" s="96" t="n">
        <v>28.99</v>
      </c>
      <c r="AV170" s="95" t="inlineStr">
        <is>
          <t>none</t>
        </is>
      </c>
      <c r="AW170" s="95" t="inlineStr">
        <is>
          <t>Y</t>
        </is>
      </c>
      <c r="AX170" s="95" t="inlineStr">
        <is>
          <t>2026-10-13 12:13:29</t>
        </is>
      </c>
      <c r="AY170" s="97" t="inlineStr">
        <is>
          <t>None</t>
        </is>
      </c>
      <c r="AZ170" s="102" t="n"/>
      <c r="BA170" s="98" t="n">
        <v>35.99</v>
      </c>
      <c r="BB170" s="98" t="n">
        <v>43.99</v>
      </c>
      <c r="BC170" s="87">
        <f>IF(AND(ISNUMBER(BA170),ISNUMBER(BB170),N(BA170)&gt;0),1-BB170/BA170,"")</f>
        <v/>
      </c>
      <c r="BD170" s="99" t="n">
        <v>162880</v>
      </c>
      <c r="BE170" s="99" t="n">
        <v>197382</v>
      </c>
      <c r="BF170" s="100">
        <f>IF(AND(ISNUMBER(BD170),ISNUMBER(BE170),N(BE170)&gt;0),BD170/BE170,"")</f>
        <v/>
      </c>
      <c r="BG170" s="97" t="inlineStr">
        <is>
          <t>Y</t>
        </is>
      </c>
      <c r="BH170" s="97" t="inlineStr">
        <is>
          <t>Buy Box RAISED in BFCM week (median $43.99 vs $35.99 before); List Price $46.99</t>
        </is>
      </c>
    </row>
    <row r="171" ht="62" customHeight="1">
      <c r="A171" s="39" t="inlineStr">
        <is>
          <t>IMAGE MISSING</t>
        </is>
      </c>
      <c r="B171" s="84" t="inlineStr">
        <is>
          <t>Martex</t>
        </is>
      </c>
      <c r="C171" s="32" t="inlineStr">
        <is>
          <t>Satin Sheets</t>
        </is>
      </c>
      <c r="D171" s="84" t="inlineStr">
        <is>
          <t>Beatable</t>
        </is>
      </c>
      <c r="E171" s="84" t="inlineStr">
        <is>
          <t>B0DLGX8P9D</t>
        </is>
      </c>
      <c r="F171" s="84" t="inlineStr">
        <is>
          <t>B07X49LFDC</t>
        </is>
      </c>
      <c r="G171" s="84" t="n"/>
      <c r="H171" s="84" t="n"/>
      <c r="I171" s="85" t="n"/>
      <c r="J171" s="32" t="inlineStr"/>
      <c r="K171" s="86" t="n">
        <v>25.99</v>
      </c>
      <c r="L171" s="86" t="n"/>
      <c r="M171" s="87">
        <f>IF(AND(ISNUMBER(L171),ISNUMBER(K171),N(K171)&gt;0),L171/K171-1,"")</f>
        <v/>
      </c>
      <c r="N171" s="88">
        <f>IF(M171="","No List Price",IF(M171&lt;=0,"At/below price",IF(M171&lt;=0.12,"&lt;=12% STR zone",IF(M171&lt;=0.25,"12-25%","&gt;25% over"))))</f>
        <v/>
      </c>
      <c r="O171" s="86" t="n">
        <v>31.95</v>
      </c>
      <c r="P171" s="89">
        <f>IF(AND(ISNUMBER(K171),ISNUMBER(O171),N(O171)&gt;0),K171/O171-1,"")</f>
        <v/>
      </c>
      <c r="Q171" s="32" t="inlineStr">
        <is>
          <t>Size not stated - vs our Queen. Ours live: Helium 10 Xray, 2026-10-13; 28 children</t>
        </is>
      </c>
      <c r="R171" s="85" t="n">
        <v>52458</v>
      </c>
      <c r="S171" s="85" t="n">
        <v>5</v>
      </c>
      <c r="T171" s="90">
        <f>IF(AND(ISNUMBER(K171),ISNUMBER(S171)),K171*S171*52/12,"")</f>
        <v/>
      </c>
      <c r="U171" s="91" t="n">
        <v>4.3</v>
      </c>
      <c r="V171" s="85" t="n">
        <v>2260</v>
      </c>
      <c r="W171" s="92" t="n">
        <v>46307</v>
      </c>
      <c r="X171" s="92" t="n"/>
      <c r="Y171" s="84" t="n"/>
      <c r="Z171" s="84" t="n"/>
      <c r="AA171" s="85" t="n"/>
      <c r="AB171" s="85" t="n"/>
      <c r="AC171" s="93" t="n"/>
      <c r="AD171" s="93" t="n"/>
      <c r="AE171" s="32" t="n"/>
      <c r="AF171" s="93" t="n"/>
      <c r="AG171" s="93" t="n"/>
      <c r="AH171" s="93" t="n"/>
      <c r="AI171" s="93" t="n"/>
      <c r="AJ171" s="85" t="n"/>
      <c r="AK171" s="85" t="n"/>
      <c r="AL171" s="85" t="n"/>
      <c r="AM171" s="85" t="n"/>
      <c r="AN171" s="85" t="n"/>
      <c r="AO171" s="85" t="n"/>
      <c r="AP171" s="94" t="n"/>
      <c r="AQ171" s="89" t="n"/>
      <c r="AR171" s="95" t="inlineStr">
        <is>
          <t>Y</t>
        </is>
      </c>
      <c r="AS171" s="95" t="inlineStr">
        <is>
          <t>Typical price</t>
        </is>
      </c>
      <c r="AT171" s="96" t="n">
        <v>26.99</v>
      </c>
      <c r="AU171" s="96" t="n">
        <v>22.99</v>
      </c>
      <c r="AV171" s="95" t="inlineStr">
        <is>
          <t>none</t>
        </is>
      </c>
      <c r="AW171" s="95" t="inlineStr">
        <is>
          <t>Y</t>
        </is>
      </c>
      <c r="AX171" s="95" t="inlineStr">
        <is>
          <t>2026-10-13 12:13:32</t>
        </is>
      </c>
      <c r="AY171" s="97" t="inlineStr">
        <is>
          <t>None</t>
        </is>
      </c>
      <c r="AZ171" s="102" t="n"/>
      <c r="BA171" s="98" t="n">
        <v>23.21</v>
      </c>
      <c r="BB171" s="98" t="n">
        <v>26.99</v>
      </c>
      <c r="BC171" s="87">
        <f>IF(AND(ISNUMBER(BA171),ISNUMBER(BB171),N(BA171)&gt;0),1-BB171/BA171,"")</f>
        <v/>
      </c>
      <c r="BD171" s="99" t="n">
        <v>29868</v>
      </c>
      <c r="BE171" s="99" t="n">
        <v>28928</v>
      </c>
      <c r="BF171" s="100">
        <f>IF(AND(ISNUMBER(BD171),ISNUMBER(BE171),N(BE171)&gt;0),BD171/BE171,"")</f>
        <v/>
      </c>
      <c r="BG171" s="97" t="inlineStr">
        <is>
          <t>N</t>
        </is>
      </c>
      <c r="BH171" s="97" t="inlineStr">
        <is>
          <t>Buy Box RAISED in BFCM week (median $26.99 vs $23.21 before); List Price $34.99</t>
        </is>
      </c>
    </row>
    <row r="172" ht="62" customHeight="1">
      <c r="A172" s="10">
        <f>_xlfn.IMAGE("https://images-na.ssl-images-amazon.com/images/I/71TbH0l5XfL.jpg")</f>
        <v/>
      </c>
      <c r="B172" s="84" t="inlineStr">
        <is>
          <t>P Pothuiny</t>
        </is>
      </c>
      <c r="C172" s="32" t="inlineStr">
        <is>
          <t>P Pothuiny 6-Piece Queen Satin Sheet Set Burgundy Silky Sheets</t>
        </is>
      </c>
      <c r="D172" s="84" t="inlineStr">
        <is>
          <t>Poor</t>
        </is>
      </c>
      <c r="E172" s="84" t="inlineStr">
        <is>
          <t>B096P2MYZQ</t>
        </is>
      </c>
      <c r="F172" s="84" t="inlineStr">
        <is>
          <t>B08QMF6D5W</t>
        </is>
      </c>
      <c r="G172" s="84" t="inlineStr">
        <is>
          <t>Queen</t>
        </is>
      </c>
      <c r="H172" s="84" t="inlineStr">
        <is>
          <t>Burgundy</t>
        </is>
      </c>
      <c r="I172" s="85" t="n">
        <v>47</v>
      </c>
      <c r="J172" s="32" t="inlineStr">
        <is>
          <t>B08QMF6D5W (52%), B08QMSJFYZ (19%), B08QMYV2YR (10%)</t>
        </is>
      </c>
      <c r="K172" s="86" t="n">
        <v>26.99</v>
      </c>
      <c r="L172" s="86" t="n"/>
      <c r="M172" s="87">
        <f>IF(AND(ISNUMBER(L172),ISNUMBER(K172),N(K172)&gt;0),L172/K172-1,"")</f>
        <v/>
      </c>
      <c r="N172" s="88">
        <f>IF(M172="","No List Price",IF(M172&lt;=0,"At/below price",IF(M172&lt;=0.12,"&lt;=12% STR zone",IF(M172&lt;=0.25,"12-25%","&gt;25% over"))))</f>
        <v/>
      </c>
      <c r="O172" s="86" t="n">
        <v>31.95</v>
      </c>
      <c r="P172" s="89">
        <f>IF(AND(ISNUMBER(K172),ISNUMBER(O172),N(O172)&gt;0),K172/O172-1,"")</f>
        <v/>
      </c>
      <c r="Q172" s="32" t="inlineStr">
        <is>
          <t>Same size (Queen). Ours live: Helium 10 Xray, 2026-10-13; 28 children</t>
        </is>
      </c>
      <c r="R172" s="85" t="n">
        <v>20031</v>
      </c>
      <c r="S172" s="85" t="n">
        <v>104</v>
      </c>
      <c r="T172" s="90">
        <f>IF(AND(ISNUMBER(K172),ISNUMBER(S172)),K172*S172*52/12,"")</f>
        <v/>
      </c>
      <c r="U172" s="91" t="n">
        <v>4.4</v>
      </c>
      <c r="V172" s="85" t="n">
        <v>4031</v>
      </c>
      <c r="W172" s="92" t="n">
        <v>46307</v>
      </c>
      <c r="X172" s="92" t="n">
        <v>44180</v>
      </c>
      <c r="Y172" s="84" t="inlineStr">
        <is>
          <t>FBA</t>
        </is>
      </c>
      <c r="Z172" s="84" t="inlineStr">
        <is>
          <t>CN</t>
        </is>
      </c>
      <c r="AA172" s="85" t="n">
        <v>66544</v>
      </c>
      <c r="AB172" s="85" t="n">
        <v>832</v>
      </c>
      <c r="AC172" s="93" t="n">
        <v>0.9166959214955518</v>
      </c>
      <c r="AD172" s="93" t="n">
        <v>0.08330407850444821</v>
      </c>
      <c r="AE172" s="32" t="inlineStr">
        <is>
          <t>silk sheets</t>
        </is>
      </c>
      <c r="AF172" s="93" t="n">
        <v>0.1859972349122385</v>
      </c>
      <c r="AG172" s="93" t="n">
        <v>0.5380349843712431</v>
      </c>
      <c r="AH172" s="93" t="n"/>
      <c r="AI172" s="93" t="n">
        <v>0.01920533782159173</v>
      </c>
      <c r="AJ172" s="85" t="n">
        <v>477</v>
      </c>
      <c r="AK172" s="85" t="n">
        <v>235</v>
      </c>
      <c r="AL172" s="85" t="n">
        <v>185</v>
      </c>
      <c r="AM172" s="85" t="n">
        <v>355</v>
      </c>
      <c r="AN172" s="85" t="n">
        <v>25</v>
      </c>
      <c r="AO172" s="85" t="n">
        <v>10</v>
      </c>
      <c r="AP172" s="94" t="n">
        <v>1.171497584541063</v>
      </c>
      <c r="AQ172" s="89" t="n">
        <v>0.608009708737864</v>
      </c>
      <c r="AR172" s="95" t="inlineStr">
        <is>
          <t>N</t>
        </is>
      </c>
      <c r="AS172" s="95" t="inlineStr">
        <is>
          <t>none</t>
        </is>
      </c>
      <c r="AT172" s="101" t="n"/>
      <c r="AU172" s="96" t="n">
        <v>26.99</v>
      </c>
      <c r="AV172" s="95" t="inlineStr">
        <is>
          <t>none</t>
        </is>
      </c>
      <c r="AW172" s="95" t="inlineStr">
        <is>
          <t>Y</t>
        </is>
      </c>
      <c r="AX172" s="95" t="inlineStr">
        <is>
          <t>2026-10-13 12:13:35</t>
        </is>
      </c>
      <c r="AY172" s="97" t="inlineStr">
        <is>
          <t>Prime Exclusive Discount</t>
        </is>
      </c>
      <c r="AZ172" s="97" t="inlineStr">
        <is>
          <t>11-01 to 12-01</t>
        </is>
      </c>
      <c r="BA172" s="98" t="n">
        <v>29.99</v>
      </c>
      <c r="BB172" s="98" t="n">
        <v>24.95</v>
      </c>
      <c r="BC172" s="87">
        <f>IF(AND(ISNUMBER(BA172),ISNUMBER(BB172),N(BA172)&gt;0),1-BB172/BA172,"")</f>
        <v/>
      </c>
      <c r="BD172" s="99" t="n">
        <v>19773</v>
      </c>
      <c r="BE172" s="99" t="n">
        <v>19113</v>
      </c>
      <c r="BF172" s="100">
        <f>IF(AND(ISNUMBER(BD172),ISNUMBER(BE172),N(BE172)&gt;0),BD172/BE172,"")</f>
        <v/>
      </c>
      <c r="BG172" s="97" t="inlineStr">
        <is>
          <t>N</t>
        </is>
      </c>
      <c r="BH172" s="97" t="inlineStr">
        <is>
          <t>Prime Exclusive already running before BFCM week; Buy Box RAISED in BFCM week (median $31.99 vs $29.99 before); List Price $48.99</t>
        </is>
      </c>
    </row>
    <row r="173" ht="62" customHeight="1">
      <c r="A173" s="10">
        <f>_xlfn.IMAGE("https://images-na.ssl-images-amazon.com/images/I/81zMSoUAMJL.jpg")</f>
        <v/>
      </c>
      <c r="B173" s="84" t="inlineStr">
        <is>
          <t>Bedsure</t>
        </is>
      </c>
      <c r="C173" s="32" t="inlineStr">
        <is>
          <t>Satin Sheets</t>
        </is>
      </c>
      <c r="D173" s="84" t="inlineStr">
        <is>
          <t>Poor</t>
        </is>
      </c>
      <c r="E173" s="84" t="inlineStr">
        <is>
          <t>B0DCZYNBYS</t>
        </is>
      </c>
      <c r="F173" s="84" t="inlineStr">
        <is>
          <t>B0CJ8RYNTS</t>
        </is>
      </c>
      <c r="G173" s="84" t="n"/>
      <c r="H173" s="84" t="n"/>
      <c r="I173" s="85" t="n">
        <v>32</v>
      </c>
      <c r="J173" s="32" t="inlineStr">
        <is>
          <t>B0CJ8SSQ6B (37%), B0CJ8RDYQ7 (17%), B0CJ8RYNTS (17%), B0CL4FSC1R (9%), B0CJ8SB44M (7%)</t>
        </is>
      </c>
      <c r="K173" s="86" t="n">
        <v>19.99</v>
      </c>
      <c r="L173" s="86" t="n"/>
      <c r="M173" s="87">
        <f>IF(AND(ISNUMBER(L173),ISNUMBER(K173),N(K173)&gt;0),L173/K173-1,"")</f>
        <v/>
      </c>
      <c r="N173" s="88">
        <f>IF(M173="","No List Price",IF(M173&lt;=0,"At/below price",IF(M173&lt;=0.12,"&lt;=12% STR zone",IF(M173&lt;=0.25,"12-25%","&gt;25% over"))))</f>
        <v/>
      </c>
      <c r="O173" s="86" t="n">
        <v>31.95</v>
      </c>
      <c r="P173" s="89">
        <f>IF(AND(ISNUMBER(K173),ISNUMBER(O173),N(O173)&gt;0),K173/O173-1,"")</f>
        <v/>
      </c>
      <c r="Q173" s="32" t="inlineStr">
        <is>
          <t>Size not stated - vs our Queen. Ours live: Helium 10 Xray, 2026-10-13; 28 children</t>
        </is>
      </c>
      <c r="R173" s="85" t="n">
        <v>22342</v>
      </c>
      <c r="S173" s="85" t="n">
        <v>92</v>
      </c>
      <c r="T173" s="90">
        <f>IF(AND(ISNUMBER(K173),ISNUMBER(S173)),K173*S173*52/12,"")</f>
        <v/>
      </c>
      <c r="U173" s="91" t="n">
        <v>4.3</v>
      </c>
      <c r="V173" s="85" t="n">
        <v>2745</v>
      </c>
      <c r="W173" s="92" t="n">
        <v>46307</v>
      </c>
      <c r="X173" s="92" t="n"/>
      <c r="Y173" s="84" t="n"/>
      <c r="Z173" s="84" t="n"/>
      <c r="AA173" s="85" t="n">
        <v>89691</v>
      </c>
      <c r="AB173" s="85" t="n">
        <v>1094</v>
      </c>
      <c r="AC173" s="93" t="n">
        <v>0.6850140036347012</v>
      </c>
      <c r="AD173" s="93" t="n">
        <v>0.3149859963652986</v>
      </c>
      <c r="AE173" s="32" t="inlineStr">
        <is>
          <t>satin sheets</t>
        </is>
      </c>
      <c r="AF173" s="93" t="n">
        <v>0.7987311993399561</v>
      </c>
      <c r="AG173" s="93" t="n">
        <v>0.4455742493672721</v>
      </c>
      <c r="AH173" s="93" t="n"/>
      <c r="AI173" s="93" t="n">
        <v>0.011428125452944</v>
      </c>
      <c r="AJ173" s="85" t="n">
        <v>552</v>
      </c>
      <c r="AK173" s="85" t="n">
        <v>263</v>
      </c>
      <c r="AL173" s="85" t="n">
        <v>213</v>
      </c>
      <c r="AM173" s="85" t="n">
        <v>542</v>
      </c>
      <c r="AN173" s="85" t="n">
        <v>140</v>
      </c>
      <c r="AO173" s="85" t="n">
        <v>43</v>
      </c>
      <c r="AP173" s="94" t="n">
        <v>1.528846153846154</v>
      </c>
      <c r="AQ173" s="89" t="n">
        <v>0.1557377049180328</v>
      </c>
      <c r="AR173" s="95" t="inlineStr">
        <is>
          <t>N</t>
        </is>
      </c>
      <c r="AS173" s="95" t="inlineStr">
        <is>
          <t>none</t>
        </is>
      </c>
      <c r="AT173" s="101" t="n"/>
      <c r="AU173" s="96" t="n">
        <v>19.99</v>
      </c>
      <c r="AV173" s="95" t="inlineStr">
        <is>
          <t>none</t>
        </is>
      </c>
      <c r="AW173" s="95" t="inlineStr">
        <is>
          <t>Y</t>
        </is>
      </c>
      <c r="AX173" s="95" t="inlineStr">
        <is>
          <t>2026-10-13 12:12:37</t>
        </is>
      </c>
      <c r="AY173" s="97" t="inlineStr">
        <is>
          <t>Prime Exclusive Discount</t>
        </is>
      </c>
      <c r="AZ173" s="97" t="inlineStr">
        <is>
          <t>11-08 to 12-04</t>
        </is>
      </c>
      <c r="BA173" s="98" t="n">
        <v>22.39</v>
      </c>
      <c r="BB173" s="98" t="n">
        <v>20.99</v>
      </c>
      <c r="BC173" s="87">
        <f>IF(AND(ISNUMBER(BA173),ISNUMBER(BB173),N(BA173)&gt;0),1-BB173/BA173,"")</f>
        <v/>
      </c>
      <c r="BD173" s="99" t="n">
        <v>4549</v>
      </c>
      <c r="BE173" s="99" t="n">
        <v>5323</v>
      </c>
      <c r="BF173" s="100">
        <f>IF(AND(ISNUMBER(BD173),ISNUMBER(BE173),N(BE173)&gt;0),BD173/BE173,"")</f>
        <v/>
      </c>
      <c r="BG173" s="97" t="inlineStr">
        <is>
          <t>N</t>
        </is>
      </c>
      <c r="BH173" s="97" t="inlineStr">
        <is>
          <t>Prime Exclusive already running before BFCM week; Buy Box RAISED in BFCM week (median $28.99 vs $24.99 before); List Price $44.99</t>
        </is>
      </c>
    </row>
    <row r="174" ht="62" customHeight="1">
      <c r="A174" s="10">
        <f>_xlfn.IMAGE("https://images-na.ssl-images-amazon.com/images/I/71r48b+Sh9L.jpg")</f>
        <v/>
      </c>
      <c r="B174" s="84" t="inlineStr">
        <is>
          <t>GOLAL</t>
        </is>
      </c>
      <c r="C174" s="32" t="inlineStr">
        <is>
          <t>GOLAL Satin Sheets Full Size - 4 Pieces Luxury Silky Soft Bed Sheets, Wrinkle-Free Black Satin Silk Sheet Set with 1 Deep Pocket Fitted Sheet, 1 Flat Sheet, 2 Pillow Cases</t>
        </is>
      </c>
      <c r="D174" s="84" t="inlineStr">
        <is>
          <t>Poor</t>
        </is>
      </c>
      <c r="E174" s="84" t="inlineStr">
        <is>
          <t>B0B1Q2JG5X</t>
        </is>
      </c>
      <c r="F174" s="84" t="inlineStr">
        <is>
          <t>B09G17SQXF</t>
        </is>
      </c>
      <c r="G174" s="84" t="inlineStr">
        <is>
          <t>Full</t>
        </is>
      </c>
      <c r="H174" s="84" t="inlineStr">
        <is>
          <t>Black</t>
        </is>
      </c>
      <c r="I174" s="85" t="n">
        <v>94</v>
      </c>
      <c r="J174" s="32" t="inlineStr">
        <is>
          <t>B09G17XZC5 (35%), B09G17SQXF (27%), B09G18ZJ9S (10%), B09G18GFJL (10%)</t>
        </is>
      </c>
      <c r="K174" s="86" t="n">
        <v>21.99</v>
      </c>
      <c r="L174" s="86" t="n"/>
      <c r="M174" s="87">
        <f>IF(AND(ISNUMBER(L174),ISNUMBER(K174),N(K174)&gt;0),L174/K174-1,"")</f>
        <v/>
      </c>
      <c r="N174" s="88">
        <f>IF(M174="","No List Price",IF(M174&lt;=0,"At/below price",IF(M174&lt;=0.12,"&lt;=12% STR zone",IF(M174&lt;=0.25,"12-25%","&gt;25% over"))))</f>
        <v/>
      </c>
      <c r="O174" s="86" t="n">
        <v>29.95</v>
      </c>
      <c r="P174" s="89">
        <f>IF(AND(ISNUMBER(K174),ISNUMBER(O174),N(O174)&gt;0),K174/O174-1,"")</f>
        <v/>
      </c>
      <c r="Q174" s="32" t="inlineStr">
        <is>
          <t>Same size (Full). Ours live: Helium 10 Xray, 2026-10-13; 29 children</t>
        </is>
      </c>
      <c r="R174" s="85" t="n">
        <v>132024</v>
      </c>
      <c r="S174" s="85" t="n">
        <v>81</v>
      </c>
      <c r="T174" s="90">
        <f>IF(AND(ISNUMBER(K174),ISNUMBER(S174)),K174*S174*52/12,"")</f>
        <v/>
      </c>
      <c r="U174" s="91" t="n">
        <v>4.4</v>
      </c>
      <c r="V174" s="85" t="n">
        <v>3943</v>
      </c>
      <c r="W174" s="92" t="n">
        <v>46307</v>
      </c>
      <c r="X174" s="92" t="n">
        <v>44451</v>
      </c>
      <c r="Y174" s="84" t="inlineStr">
        <is>
          <t>FBA</t>
        </is>
      </c>
      <c r="Z174" s="84" t="inlineStr">
        <is>
          <t>CN</t>
        </is>
      </c>
      <c r="AA174" s="85" t="n">
        <v>48561</v>
      </c>
      <c r="AB174" s="85" t="n">
        <v>615</v>
      </c>
      <c r="AC174" s="93" t="n">
        <v>0.6641788183933609</v>
      </c>
      <c r="AD174" s="93" t="n">
        <v>0.3358211816066392</v>
      </c>
      <c r="AE174" s="32" t="inlineStr">
        <is>
          <t>satin sheets queen size</t>
        </is>
      </c>
      <c r="AF174" s="93" t="n">
        <v>0.6905747410473425</v>
      </c>
      <c r="AG174" s="93" t="n">
        <v>0.432960606247812</v>
      </c>
      <c r="AH174" s="93" t="n"/>
      <c r="AI174" s="93" t="n">
        <v>0.005930685117687033</v>
      </c>
      <c r="AJ174" s="85" t="n">
        <v>394</v>
      </c>
      <c r="AK174" s="85" t="n">
        <v>236</v>
      </c>
      <c r="AL174" s="85" t="n">
        <v>121</v>
      </c>
      <c r="AM174" s="85" t="n">
        <v>221</v>
      </c>
      <c r="AN174" s="85" t="n">
        <v>21</v>
      </c>
      <c r="AO174" s="85" t="n">
        <v>37</v>
      </c>
      <c r="AP174" s="94" t="n">
        <v>0.8779220779220779</v>
      </c>
      <c r="AQ174" s="89" t="n">
        <v>0.803921568627451</v>
      </c>
      <c r="AR174" s="95" t="inlineStr">
        <is>
          <t>N</t>
        </is>
      </c>
      <c r="AS174" s="95" t="inlineStr">
        <is>
          <t>none</t>
        </is>
      </c>
      <c r="AT174" s="101" t="n"/>
      <c r="AU174" s="96" t="n">
        <v>21.99</v>
      </c>
      <c r="AV174" s="95" t="inlineStr">
        <is>
          <t>none</t>
        </is>
      </c>
      <c r="AW174" s="95" t="inlineStr">
        <is>
          <t>Y</t>
        </is>
      </c>
      <c r="AX174" s="95" t="inlineStr">
        <is>
          <t>2026-10-13 12:12:50</t>
        </is>
      </c>
      <c r="AY174" s="97" t="inlineStr">
        <is>
          <t>Prime Exclusive Discount</t>
        </is>
      </c>
      <c r="AZ174" s="97" t="inlineStr">
        <is>
          <t>11-27 to 11-27</t>
        </is>
      </c>
      <c r="BA174" s="98" t="n">
        <v>16.05</v>
      </c>
      <c r="BB174" s="98" t="n">
        <v>17.59</v>
      </c>
      <c r="BC174" s="87">
        <f>IF(AND(ISNUMBER(BA174),ISNUMBER(BB174),N(BA174)&gt;0),1-BB174/BA174,"")</f>
        <v/>
      </c>
      <c r="BD174" s="99" t="n">
        <v>5577</v>
      </c>
      <c r="BE174" s="99" t="n">
        <v>12758</v>
      </c>
      <c r="BF174" s="100">
        <f>IF(AND(ISNUMBER(BD174),ISNUMBER(BE174),N(BE174)&gt;0),BD174/BE174,"")</f>
        <v/>
      </c>
      <c r="BG174" s="97" t="inlineStr">
        <is>
          <t>N</t>
        </is>
      </c>
      <c r="BH174" s="97" t="inlineStr">
        <is>
          <t>Coupon 10%, 5% (11-01 to 12-05); Buy Box RAISED in BFCM week (median $21.99 vs $16.05 before); List Price $24.99</t>
        </is>
      </c>
    </row>
    <row r="175" ht="62" customHeight="1">
      <c r="A175" s="39" t="inlineStr">
        <is>
          <t>IMAGE MISSING</t>
        </is>
      </c>
      <c r="B175" s="84" t="inlineStr">
        <is>
          <t>Vonty</t>
        </is>
      </c>
      <c r="C175" s="32" t="inlineStr">
        <is>
          <t>Satin Sheets</t>
        </is>
      </c>
      <c r="D175" s="84" t="inlineStr">
        <is>
          <t>Poor</t>
        </is>
      </c>
      <c r="E175" s="84" t="inlineStr">
        <is>
          <t>B0BDDJM9RW</t>
        </is>
      </c>
      <c r="F175" s="84" t="inlineStr">
        <is>
          <t>B0BDDGJ38X</t>
        </is>
      </c>
      <c r="G175" s="84" t="n"/>
      <c r="H175" s="84" t="n"/>
      <c r="I175" s="85" t="n">
        <v>22</v>
      </c>
      <c r="J175" s="32" t="inlineStr">
        <is>
          <t>B0BDDGJ38X (81%)</t>
        </is>
      </c>
      <c r="K175" s="86" t="n">
        <v>30.99</v>
      </c>
      <c r="L175" s="86" t="n"/>
      <c r="M175" s="87">
        <f>IF(AND(ISNUMBER(L175),ISNUMBER(K175),N(K175)&gt;0),L175/K175-1,"")</f>
        <v/>
      </c>
      <c r="N175" s="88">
        <f>IF(M175="","No List Price",IF(M175&lt;=0,"At/below price",IF(M175&lt;=0.12,"&lt;=12% STR zone",IF(M175&lt;=0.25,"12-25%","&gt;25% over"))))</f>
        <v/>
      </c>
      <c r="O175" s="86" t="n">
        <v>31.95</v>
      </c>
      <c r="P175" s="89">
        <f>IF(AND(ISNUMBER(K175),ISNUMBER(O175),N(O175)&gt;0),K175/O175-1,"")</f>
        <v/>
      </c>
      <c r="Q175" s="32" t="inlineStr">
        <is>
          <t>Size not stated - vs our Queen. Ours live: Helium 10 Xray, 2026-10-13; 28 children</t>
        </is>
      </c>
      <c r="R175" s="85" t="n">
        <v>83620</v>
      </c>
      <c r="S175" s="85" t="n">
        <v>35</v>
      </c>
      <c r="T175" s="90">
        <f>IF(AND(ISNUMBER(K175),ISNUMBER(S175)),K175*S175*52/12,"")</f>
        <v/>
      </c>
      <c r="U175" s="91" t="n">
        <v>4.2</v>
      </c>
      <c r="V175" s="85" t="n">
        <v>909</v>
      </c>
      <c r="W175" s="92" t="n">
        <v>46307</v>
      </c>
      <c r="X175" s="92" t="n"/>
      <c r="Y175" s="84" t="n"/>
      <c r="Z175" s="84" t="n"/>
      <c r="AA175" s="85" t="n">
        <v>11441</v>
      </c>
      <c r="AB175" s="85" t="n">
        <v>382</v>
      </c>
      <c r="AC175" s="93" t="n">
        <v>0.9484301110042829</v>
      </c>
      <c r="AD175" s="93" t="n">
        <v>0.05156988899571716</v>
      </c>
      <c r="AE175" s="32" t="inlineStr">
        <is>
          <t>silk sheets</t>
        </is>
      </c>
      <c r="AF175" s="93" t="n">
        <v>0.06502928065728521</v>
      </c>
      <c r="AG175" s="93" t="n"/>
      <c r="AH175" s="93" t="n"/>
      <c r="AI175" s="93" t="n"/>
      <c r="AJ175" s="85" t="n">
        <v>236</v>
      </c>
      <c r="AK175" s="85" t="n">
        <v>180</v>
      </c>
      <c r="AL175" s="85" t="n">
        <v>38</v>
      </c>
      <c r="AM175" s="85" t="n">
        <v>146</v>
      </c>
      <c r="AN175" s="85" t="n">
        <v>13</v>
      </c>
      <c r="AO175" s="85" t="n">
        <v>1</v>
      </c>
      <c r="AP175" s="94" t="n">
        <v>0.9861111111111112</v>
      </c>
      <c r="AQ175" s="89" t="n">
        <v>0.4680851063829787</v>
      </c>
      <c r="AR175" s="95" t="inlineStr">
        <is>
          <t>N</t>
        </is>
      </c>
      <c r="AS175" s="95" t="inlineStr">
        <is>
          <t>none</t>
        </is>
      </c>
      <c r="AT175" s="101" t="n"/>
      <c r="AU175" s="96" t="n">
        <v>30.99</v>
      </c>
      <c r="AV175" s="95" t="inlineStr">
        <is>
          <t>none</t>
        </is>
      </c>
      <c r="AW175" s="95" t="inlineStr">
        <is>
          <t>Y</t>
        </is>
      </c>
      <c r="AX175" s="95" t="inlineStr">
        <is>
          <t>2026-10-13 23:44:43</t>
        </is>
      </c>
      <c r="AY175" s="102" t="n"/>
      <c r="AZ175" s="102" t="n"/>
      <c r="BA175" s="101" t="n"/>
      <c r="BB175" s="101" t="n"/>
      <c r="BC175" s="87">
        <f>IF(AND(ISNUMBER(BA175),ISNUMBER(BB175),N(BA175)&gt;0),1-BB175/BA175,"")</f>
        <v/>
      </c>
      <c r="BD175" s="103" t="n"/>
      <c r="BE175" s="103" t="n"/>
      <c r="BF175" s="100">
        <f>IF(AND(ISNUMBER(BD175),ISNUMBER(BE175),N(BE175)&gt;0),BD175/BE175,"")</f>
        <v/>
      </c>
      <c r="BG175" s="102" t="n"/>
      <c r="BH175" s="102" t="n"/>
    </row>
    <row r="176" ht="62" customHeight="1">
      <c r="A176" s="39" t="inlineStr">
        <is>
          <t>IMAGE MISSING</t>
        </is>
      </c>
      <c r="B176" s="84" t="inlineStr">
        <is>
          <t>HommxJF</t>
        </is>
      </c>
      <c r="C176" s="32" t="inlineStr">
        <is>
          <t>Satin Sheets</t>
        </is>
      </c>
      <c r="D176" s="84" t="inlineStr">
        <is>
          <t>Poor</t>
        </is>
      </c>
      <c r="E176" s="84" t="inlineStr">
        <is>
          <t>B0BJZT93SL</t>
        </is>
      </c>
      <c r="F176" s="84" t="inlineStr">
        <is>
          <t>B09V52BVJB</t>
        </is>
      </c>
      <c r="G176" s="84" t="n"/>
      <c r="H176" s="84" t="n"/>
      <c r="I176" s="85" t="n">
        <v>32</v>
      </c>
      <c r="J176" s="32" t="inlineStr">
        <is>
          <t>B09V52BVJB (55%), B0BCKD5X64 (25%), B09V52C9M9 (10%)</t>
        </is>
      </c>
      <c r="K176" s="86" t="n">
        <v>24.99</v>
      </c>
      <c r="L176" s="86" t="n"/>
      <c r="M176" s="87">
        <f>IF(AND(ISNUMBER(L176),ISNUMBER(K176),N(K176)&gt;0),L176/K176-1,"")</f>
        <v/>
      </c>
      <c r="N176" s="88">
        <f>IF(M176="","No List Price",IF(M176&lt;=0,"At/below price",IF(M176&lt;=0.12,"&lt;=12% STR zone",IF(M176&lt;=0.25,"12-25%","&gt;25% over"))))</f>
        <v/>
      </c>
      <c r="O176" s="86" t="n">
        <v>31.95</v>
      </c>
      <c r="P176" s="89">
        <f>IF(AND(ISNUMBER(K176),ISNUMBER(O176),N(O176)&gt;0),K176/O176-1,"")</f>
        <v/>
      </c>
      <c r="Q176" s="32" t="inlineStr">
        <is>
          <t>Size not stated - vs our Queen. Ours live: Helium 10 Xray, 2026-10-13; 28 children</t>
        </is>
      </c>
      <c r="R176" s="85" t="n">
        <v>180867</v>
      </c>
      <c r="S176" s="85" t="n">
        <v>18</v>
      </c>
      <c r="T176" s="90">
        <f>IF(AND(ISNUMBER(K176),ISNUMBER(S176)),K176*S176*52/12,"")</f>
        <v/>
      </c>
      <c r="U176" s="91" t="n">
        <v>4.3</v>
      </c>
      <c r="V176" s="85" t="n">
        <v>1032</v>
      </c>
      <c r="W176" s="92" t="n">
        <v>46307</v>
      </c>
      <c r="X176" s="92" t="n"/>
      <c r="Y176" s="84" t="n"/>
      <c r="Z176" s="84" t="n"/>
      <c r="AA176" s="85" t="n">
        <v>16567</v>
      </c>
      <c r="AB176" s="85" t="n">
        <v>357</v>
      </c>
      <c r="AC176" s="93" t="n">
        <v>0.8554338745699279</v>
      </c>
      <c r="AD176" s="93" t="n">
        <v>0.1445661254300719</v>
      </c>
      <c r="AE176" s="32" t="inlineStr">
        <is>
          <t>satin sheets</t>
        </is>
      </c>
      <c r="AF176" s="93" t="n">
        <v>0.2936560632582845</v>
      </c>
      <c r="AG176" s="93" t="n">
        <v>0.02323896903482827</v>
      </c>
      <c r="AH176" s="93" t="n"/>
      <c r="AI176" s="93" t="n"/>
      <c r="AJ176" s="85" t="n">
        <v>249</v>
      </c>
      <c r="AK176" s="85" t="n">
        <v>189</v>
      </c>
      <c r="AL176" s="85" t="n">
        <v>41</v>
      </c>
      <c r="AM176" s="85" t="n">
        <v>108</v>
      </c>
      <c r="AN176" s="85" t="n">
        <v>46</v>
      </c>
      <c r="AO176" s="85" t="n">
        <v>30</v>
      </c>
      <c r="AP176" s="94" t="n">
        <v>1.017857142857143</v>
      </c>
      <c r="AQ176" s="89" t="n">
        <v>0.4723247232472323</v>
      </c>
      <c r="AR176" s="95" t="inlineStr">
        <is>
          <t>N</t>
        </is>
      </c>
      <c r="AS176" s="95" t="inlineStr">
        <is>
          <t>none</t>
        </is>
      </c>
      <c r="AT176" s="101" t="n"/>
      <c r="AU176" s="96" t="n">
        <v>24.99</v>
      </c>
      <c r="AV176" s="95" t="inlineStr">
        <is>
          <t>none</t>
        </is>
      </c>
      <c r="AW176" s="95" t="inlineStr">
        <is>
          <t>Y</t>
        </is>
      </c>
      <c r="AX176" s="95" t="inlineStr">
        <is>
          <t>2026-10-13 12:13:02</t>
        </is>
      </c>
      <c r="AY176" s="97" t="inlineStr">
        <is>
          <t>None</t>
        </is>
      </c>
      <c r="AZ176" s="102" t="n"/>
      <c r="BA176" s="98" t="n">
        <v>24.99</v>
      </c>
      <c r="BB176" s="98" t="n">
        <v>24.99</v>
      </c>
      <c r="BC176" s="87">
        <f>IF(AND(ISNUMBER(BA176),ISNUMBER(BB176),N(BA176)&gt;0),1-BB176/BA176,"")</f>
        <v/>
      </c>
      <c r="BD176" s="99" t="n">
        <v>107701</v>
      </c>
      <c r="BE176" s="99" t="n">
        <v>90023</v>
      </c>
      <c r="BF176" s="100">
        <f>IF(AND(ISNUMBER(BD176),ISNUMBER(BE176),N(BE176)&gt;0),BD176/BE176,"")</f>
        <v/>
      </c>
      <c r="BG176" s="97" t="inlineStr">
        <is>
          <t>N</t>
        </is>
      </c>
      <c r="BH176" s="97" t="inlineStr">
        <is>
          <t>List Price $26.99</t>
        </is>
      </c>
    </row>
    <row r="177" ht="62" customHeight="1">
      <c r="A177" s="10">
        <f>_xlfn.IMAGE("https://images-na.ssl-images-amazon.com/images/I/81HS7e6wrTL.jpg")</f>
        <v/>
      </c>
      <c r="B177" s="84" t="inlineStr">
        <is>
          <t>Madison Park</t>
        </is>
      </c>
      <c r="C177" s="32" t="inlineStr">
        <is>
          <t>Satin Sheets</t>
        </is>
      </c>
      <c r="D177" s="84" t="inlineStr">
        <is>
          <t>Poor</t>
        </is>
      </c>
      <c r="E177" s="84" t="inlineStr">
        <is>
          <t>B0DJ2HJ9M4</t>
        </is>
      </c>
      <c r="F177" s="84" t="inlineStr">
        <is>
          <t>B09HVCPNLX</t>
        </is>
      </c>
      <c r="G177" s="84" t="n"/>
      <c r="H177" s="84" t="n"/>
      <c r="I177" s="85" t="n">
        <v>44</v>
      </c>
      <c r="J177" s="32" t="inlineStr">
        <is>
          <t>B0C5CG12M2 (27%), B09HVCPNLX (24%), B0C25NTWCM (18%), B09HVDQ982 (9%), B0DDQ6PNMP (7%)</t>
        </is>
      </c>
      <c r="K177" s="86" t="n">
        <v>26.99</v>
      </c>
      <c r="L177" s="86" t="n"/>
      <c r="M177" s="87">
        <f>IF(AND(ISNUMBER(L177),ISNUMBER(K177),N(K177)&gt;0),L177/K177-1,"")</f>
        <v/>
      </c>
      <c r="N177" s="88">
        <f>IF(M177="","No List Price",IF(M177&lt;=0,"At/below price",IF(M177&lt;=0.12,"&lt;=12% STR zone",IF(M177&lt;=0.25,"12-25%","&gt;25% over"))))</f>
        <v/>
      </c>
      <c r="O177" s="86" t="n">
        <v>31.95</v>
      </c>
      <c r="P177" s="89">
        <f>IF(AND(ISNUMBER(K177),ISNUMBER(O177),N(O177)&gt;0),K177/O177-1,"")</f>
        <v/>
      </c>
      <c r="Q177" s="32" t="inlineStr">
        <is>
          <t>Size not stated - vs our Queen. Ours live: Helium 10 Xray, 2026-10-13; 28 children</t>
        </is>
      </c>
      <c r="R177" s="85" t="n">
        <v>76753</v>
      </c>
      <c r="S177" s="85" t="n">
        <v>18</v>
      </c>
      <c r="T177" s="90">
        <f>IF(AND(ISNUMBER(K177),ISNUMBER(S177)),K177*S177*52/12,"")</f>
        <v/>
      </c>
      <c r="U177" s="91" t="n">
        <v>4.5</v>
      </c>
      <c r="V177" s="85" t="n">
        <v>127</v>
      </c>
      <c r="W177" s="92" t="n">
        <v>46307</v>
      </c>
      <c r="X177" s="92" t="n"/>
      <c r="Y177" s="84" t="n"/>
      <c r="Z177" s="84" t="n"/>
      <c r="AA177" s="85" t="n">
        <v>35631</v>
      </c>
      <c r="AB177" s="85" t="n">
        <v>592</v>
      </c>
      <c r="AC177" s="93" t="n">
        <v>0.9497345738261626</v>
      </c>
      <c r="AD177" s="93" t="n">
        <v>0.05026542617383739</v>
      </c>
      <c r="AE177" s="32" t="inlineStr">
        <is>
          <t>satin sheets</t>
        </is>
      </c>
      <c r="AF177" s="93" t="n">
        <v>0.305408211950268</v>
      </c>
      <c r="AG177" s="93" t="n"/>
      <c r="AH177" s="93" t="n"/>
      <c r="AI177" s="93" t="n">
        <v>0</v>
      </c>
      <c r="AJ177" s="85" t="n">
        <v>308</v>
      </c>
      <c r="AK177" s="85" t="n">
        <v>188</v>
      </c>
      <c r="AL177" s="85" t="n">
        <v>84</v>
      </c>
      <c r="AM177" s="85" t="n">
        <v>284</v>
      </c>
      <c r="AN177" s="85" t="n">
        <v>13</v>
      </c>
      <c r="AO177" s="85" t="n">
        <v>7</v>
      </c>
      <c r="AP177" s="94" t="n">
        <v>0.6901408450704226</v>
      </c>
      <c r="AQ177" s="89" t="n">
        <v>0.1848341232227488</v>
      </c>
      <c r="AR177" s="95" t="inlineStr">
        <is>
          <t>N</t>
        </is>
      </c>
      <c r="AS177" s="95" t="inlineStr">
        <is>
          <t>none</t>
        </is>
      </c>
      <c r="AT177" s="101" t="n"/>
      <c r="AU177" s="96" t="n">
        <v>26.99</v>
      </c>
      <c r="AV177" s="95" t="inlineStr">
        <is>
          <t>none</t>
        </is>
      </c>
      <c r="AW177" s="95" t="inlineStr">
        <is>
          <t>Y</t>
        </is>
      </c>
      <c r="AX177" s="95" t="inlineStr">
        <is>
          <t>2026-10-13 12:13:26</t>
        </is>
      </c>
      <c r="AY177" s="97" t="inlineStr">
        <is>
          <t>None</t>
        </is>
      </c>
      <c r="AZ177" s="102" t="n"/>
      <c r="BA177" s="98" t="n">
        <v>30.99</v>
      </c>
      <c r="BB177" s="98" t="n">
        <v>30.99</v>
      </c>
      <c r="BC177" s="87">
        <f>IF(AND(ISNUMBER(BA177),ISNUMBER(BB177),N(BA177)&gt;0),1-BB177/BA177,"")</f>
        <v/>
      </c>
      <c r="BD177" s="99" t="n">
        <v>38276</v>
      </c>
      <c r="BE177" s="99" t="n">
        <v>39554</v>
      </c>
      <c r="BF177" s="100">
        <f>IF(AND(ISNUMBER(BD177),ISNUMBER(BE177),N(BE177)&gt;0),BD177/BE177,"")</f>
        <v/>
      </c>
      <c r="BG177" s="97" t="inlineStr">
        <is>
          <t>N</t>
        </is>
      </c>
      <c r="BH177" s="97" t="inlineStr">
        <is>
          <t>List Price $35.99</t>
        </is>
      </c>
    </row>
    <row r="178" ht="62" customHeight="1">
      <c r="A178" s="39" t="inlineStr">
        <is>
          <t>IMAGE MISSING</t>
        </is>
      </c>
      <c r="B178" s="84" t="inlineStr">
        <is>
          <t>MK Home</t>
        </is>
      </c>
      <c r="C178" s="32" t="inlineStr">
        <is>
          <t>Satin Sheets</t>
        </is>
      </c>
      <c r="D178" s="84" t="inlineStr">
        <is>
          <t>Poor</t>
        </is>
      </c>
      <c r="E178" s="84" t="inlineStr">
        <is>
          <t>B07H522QXD</t>
        </is>
      </c>
      <c r="F178" s="84" t="inlineStr">
        <is>
          <t>B07FGFRZ94</t>
        </is>
      </c>
      <c r="G178" s="84" t="n"/>
      <c r="H178" s="84" t="n"/>
      <c r="I178" s="85" t="n"/>
      <c r="J178" s="32" t="inlineStr"/>
      <c r="K178" s="86" t="n">
        <v>18.99</v>
      </c>
      <c r="L178" s="86" t="n"/>
      <c r="M178" s="87">
        <f>IF(AND(ISNUMBER(L178),ISNUMBER(K178),N(K178)&gt;0),L178/K178-1,"")</f>
        <v/>
      </c>
      <c r="N178" s="88">
        <f>IF(M178="","No List Price",IF(M178&lt;=0,"At/below price",IF(M178&lt;=0.12,"&lt;=12% STR zone",IF(M178&lt;=0.25,"12-25%","&gt;25% over"))))</f>
        <v/>
      </c>
      <c r="O178" s="86" t="n">
        <v>31.95</v>
      </c>
      <c r="P178" s="89">
        <f>IF(AND(ISNUMBER(K178),ISNUMBER(O178),N(O178)&gt;0),K178/O178-1,"")</f>
        <v/>
      </c>
      <c r="Q178" s="32" t="inlineStr">
        <is>
          <t>Size not stated - vs our Queen. Ours live: Helium 10 Xray, 2026-10-13; 28 children</t>
        </is>
      </c>
      <c r="R178" s="85" t="n">
        <v>59039</v>
      </c>
      <c r="S178" s="85" t="n">
        <v>18</v>
      </c>
      <c r="T178" s="90">
        <f>IF(AND(ISNUMBER(K178),ISNUMBER(S178)),K178*S178*52/12,"")</f>
        <v/>
      </c>
      <c r="U178" s="91" t="n">
        <v>4.3</v>
      </c>
      <c r="V178" s="85" t="n">
        <v>10761</v>
      </c>
      <c r="W178" s="92" t="n">
        <v>46307</v>
      </c>
      <c r="X178" s="92" t="n"/>
      <c r="Y178" s="84" t="n"/>
      <c r="Z178" s="84" t="n"/>
      <c r="AA178" s="85" t="n"/>
      <c r="AB178" s="85" t="n"/>
      <c r="AC178" s="93" t="n"/>
      <c r="AD178" s="93" t="n"/>
      <c r="AE178" s="32" t="n"/>
      <c r="AF178" s="93" t="n"/>
      <c r="AG178" s="93" t="n"/>
      <c r="AH178" s="93" t="n"/>
      <c r="AI178" s="93" t="n"/>
      <c r="AJ178" s="85" t="n"/>
      <c r="AK178" s="85" t="n"/>
      <c r="AL178" s="85" t="n"/>
      <c r="AM178" s="85" t="n"/>
      <c r="AN178" s="85" t="n"/>
      <c r="AO178" s="85" t="n"/>
      <c r="AP178" s="94" t="n"/>
      <c r="AQ178" s="89" t="n"/>
      <c r="AR178" s="95" t="inlineStr">
        <is>
          <t>N</t>
        </is>
      </c>
      <c r="AS178" s="95" t="inlineStr">
        <is>
          <t>none</t>
        </is>
      </c>
      <c r="AT178" s="101" t="n"/>
      <c r="AU178" s="96" t="n">
        <v>18.99</v>
      </c>
      <c r="AV178" s="95" t="inlineStr">
        <is>
          <t>none</t>
        </is>
      </c>
      <c r="AW178" s="95" t="inlineStr">
        <is>
          <t>Y</t>
        </is>
      </c>
      <c r="AX178" s="95" t="inlineStr">
        <is>
          <t>2026-10-13 12:13:19</t>
        </is>
      </c>
      <c r="AY178" s="97" t="inlineStr">
        <is>
          <t>None</t>
        </is>
      </c>
      <c r="AZ178" s="102" t="n"/>
      <c r="BA178" s="98" t="n">
        <v>28.99</v>
      </c>
      <c r="BB178" s="98" t="n">
        <v>28.99</v>
      </c>
      <c r="BC178" s="87">
        <f>IF(AND(ISNUMBER(BA178),ISNUMBER(BB178),N(BA178)&gt;0),1-BB178/BA178,"")</f>
        <v/>
      </c>
      <c r="BD178" s="99" t="n">
        <v>72573</v>
      </c>
      <c r="BE178" s="99" t="n">
        <v>103377</v>
      </c>
      <c r="BF178" s="100">
        <f>IF(AND(ISNUMBER(BD178),ISNUMBER(BE178),N(BE178)&gt;0),BD178/BE178,"")</f>
        <v/>
      </c>
      <c r="BG178" s="97" t="inlineStr">
        <is>
          <t>N</t>
        </is>
      </c>
      <c r="BH178" s="97" t="inlineStr">
        <is>
          <t>List Price $59.99</t>
        </is>
      </c>
    </row>
    <row r="179" ht="62" customHeight="1">
      <c r="A179" s="10">
        <f>_xlfn.IMAGE("https://images-na.ssl-images-amazon.com/images/I/81M3kmoCTLL.jpg")</f>
        <v/>
      </c>
      <c r="B179" s="84" t="inlineStr"/>
      <c r="C179" s="32" t="inlineStr">
        <is>
          <t>Juicy Couture Queen Size Satin Bed Sheet Set, Deep Pocket Silky Satin Queen Shee</t>
        </is>
      </c>
      <c r="D179" s="84" t="inlineStr">
        <is>
          <t>Poor</t>
        </is>
      </c>
      <c r="E179" s="84" t="inlineStr">
        <is>
          <t>B0FB47M9WR</t>
        </is>
      </c>
      <c r="F179" s="84" t="inlineStr">
        <is>
          <t>B0BK1WH383</t>
        </is>
      </c>
      <c r="G179" s="84" t="inlineStr">
        <is>
          <t>Queen</t>
        </is>
      </c>
      <c r="H179" s="84" t="n"/>
      <c r="I179" s="85" t="n">
        <v>58</v>
      </c>
      <c r="J179" s="32" t="inlineStr">
        <is>
          <t>B09NP86NP2 (22%), B0DKYVPBLR (21%), B0BK1WRYR5 (11%), B09NP9WVDR (11%), B0F3KT7FWM (8%)</t>
        </is>
      </c>
      <c r="K179" s="86" t="n">
        <v>5.93</v>
      </c>
      <c r="L179" s="86" t="n"/>
      <c r="M179" s="87">
        <f>IF(AND(ISNUMBER(L179),ISNUMBER(K179),N(K179)&gt;0),L179/K179-1,"")</f>
        <v/>
      </c>
      <c r="N179" s="88">
        <f>IF(M179="","No List Price",IF(M179&lt;=0,"At/below price",IF(M179&lt;=0.12,"&lt;=12% STR zone",IF(M179&lt;=0.25,"12-25%","&gt;25% over"))))</f>
        <v/>
      </c>
      <c r="O179" s="86" t="n">
        <v>31.95</v>
      </c>
      <c r="P179" s="89">
        <f>IF(AND(ISNUMBER(K179),ISNUMBER(O179),N(O179)&gt;0),K179/O179-1,"")</f>
        <v/>
      </c>
      <c r="Q179" s="32" t="inlineStr">
        <is>
          <t>Same size (Queen). Ours live: Helium 10 Xray, 2026-10-13; 28 children</t>
        </is>
      </c>
      <c r="R179" s="85" t="n">
        <v>80060</v>
      </c>
      <c r="S179" s="85" t="n">
        <v>5</v>
      </c>
      <c r="T179" s="90">
        <f>IF(AND(ISNUMBER(K179),ISNUMBER(S179)),K179*S179*52/12,"")</f>
        <v/>
      </c>
      <c r="U179" s="91" t="n">
        <v>4.6</v>
      </c>
      <c r="V179" s="85" t="n">
        <v>46</v>
      </c>
      <c r="W179" s="92" t="n">
        <v>46307</v>
      </c>
      <c r="X179" s="92" t="n"/>
      <c r="Y179" s="84" t="n"/>
      <c r="Z179" s="84" t="n"/>
      <c r="AA179" s="85" t="n">
        <v>41904</v>
      </c>
      <c r="AB179" s="85" t="n">
        <v>827</v>
      </c>
      <c r="AC179" s="93" t="n">
        <v>0.8273237471363115</v>
      </c>
      <c r="AD179" s="93" t="n">
        <v>0.1726766346888126</v>
      </c>
      <c r="AE179" s="32" t="inlineStr">
        <is>
          <t>juicy couture</t>
        </is>
      </c>
      <c r="AF179" s="93" t="n">
        <v>0.1212533409698358</v>
      </c>
      <c r="AG179" s="93" t="n">
        <v>0.1026870943108057</v>
      </c>
      <c r="AH179" s="93" t="n">
        <v>0.5394234440626193</v>
      </c>
      <c r="AI179" s="93" t="n">
        <v>0.09507445589919816</v>
      </c>
      <c r="AJ179" s="85" t="n">
        <v>368</v>
      </c>
      <c r="AK179" s="85" t="n">
        <v>225</v>
      </c>
      <c r="AL179" s="85" t="n">
        <v>113</v>
      </c>
      <c r="AM179" s="85" t="n">
        <v>459</v>
      </c>
      <c r="AN179" s="85" t="n">
        <v>124</v>
      </c>
      <c r="AO179" s="85" t="n">
        <v>17</v>
      </c>
      <c r="AP179" s="94" t="n"/>
      <c r="AQ179" s="89" t="n"/>
      <c r="AR179" s="95" t="inlineStr">
        <is>
          <t>N</t>
        </is>
      </c>
      <c r="AS179" s="95" t="inlineStr">
        <is>
          <t>none</t>
        </is>
      </c>
      <c r="AT179" s="101" t="n"/>
      <c r="AU179" s="101" t="n"/>
      <c r="AV179" s="95" t="inlineStr">
        <is>
          <t>none</t>
        </is>
      </c>
      <c r="AW179" s="95" t="inlineStr">
        <is>
          <t>N</t>
        </is>
      </c>
      <c r="AX179" s="95" t="inlineStr">
        <is>
          <t>2026-10-13 12:12:23</t>
        </is>
      </c>
      <c r="AY179" s="102" t="n"/>
      <c r="AZ179" s="102" t="n"/>
      <c r="BA179" s="101" t="n"/>
      <c r="BB179" s="101" t="n"/>
      <c r="BC179" s="87">
        <f>IF(AND(ISNUMBER(BA179),ISNUMBER(BB179),N(BA179)&gt;0),1-BB179/BA179,"")</f>
        <v/>
      </c>
      <c r="BD179" s="99" t="n">
        <v>54981</v>
      </c>
      <c r="BE179" s="99" t="n">
        <v>50922</v>
      </c>
      <c r="BF179" s="100">
        <f>IF(AND(ISNUMBER(BD179),ISNUMBER(BE179),N(BE179)&gt;0),BD179/BE179,"")</f>
        <v/>
      </c>
      <c r="BG179" s="97" t="inlineStr">
        <is>
          <t>Y</t>
        </is>
      </c>
      <c r="BH179" s="97" t="inlineStr">
        <is>
          <t>No Buy Box history in Keepa for BFCM 2025; List Price $19.99</t>
        </is>
      </c>
    </row>
    <row r="180" ht="62" customHeight="1">
      <c r="A180" s="10">
        <f>_xlfn.IMAGE("https://images-na.ssl-images-amazon.com/images/I/71MADUOjsFL.jpg")</f>
        <v/>
      </c>
      <c r="B180" s="84" t="inlineStr">
        <is>
          <t>Sasttie</t>
        </is>
      </c>
      <c r="C180" s="32" t="inlineStr">
        <is>
          <t>Sasttie Satin Sheets Queen Size - 4 Pieces Luxury Soft Black Silky Bed Sheets Set with Pillowcases - Smooth Silk-Like Satin Fabric, Reinforced 14 Inches Pocket, Oeko-Tex Certified</t>
        </is>
      </c>
      <c r="D180" s="84" t="inlineStr">
        <is>
          <t>Untiered</t>
        </is>
      </c>
      <c r="E180" s="84" t="inlineStr">
        <is>
          <t>B0F2H9HX69</t>
        </is>
      </c>
      <c r="F180" s="84" t="inlineStr">
        <is>
          <t>B0F2H8LPB3</t>
        </is>
      </c>
      <c r="G180" s="84" t="inlineStr">
        <is>
          <t>Queen</t>
        </is>
      </c>
      <c r="H180" s="84" t="inlineStr">
        <is>
          <t>Black</t>
        </is>
      </c>
      <c r="I180" s="85" t="n">
        <v>47</v>
      </c>
      <c r="J180" s="32" t="inlineStr">
        <is>
          <t>B0F2H8LPB3 (57%), B0F2H92RZ5 (13%), B0F2H9HRJJ (11%)</t>
        </is>
      </c>
      <c r="K180" s="86" t="n">
        <v>15.99</v>
      </c>
      <c r="L180" s="86" t="n"/>
      <c r="M180" s="87">
        <f>IF(AND(ISNUMBER(L180),ISNUMBER(K180),N(K180)&gt;0),L180/K180-1,"")</f>
        <v/>
      </c>
      <c r="N180" s="88">
        <f>IF(M180="","No List Price",IF(M180&lt;=0,"At/below price",IF(M180&lt;=0.12,"&lt;=12% STR zone",IF(M180&lt;=0.25,"12-25%","&gt;25% over"))))</f>
        <v/>
      </c>
      <c r="O180" s="86" t="n">
        <v>31.95</v>
      </c>
      <c r="P180" s="89">
        <f>IF(AND(ISNUMBER(K180),ISNUMBER(O180),N(O180)&gt;0),K180/O180-1,"")</f>
        <v/>
      </c>
      <c r="Q180" s="32" t="inlineStr">
        <is>
          <t>Same size (Queen). Ours live: Helium 10 Xray, 2026-10-13; 28 children</t>
        </is>
      </c>
      <c r="R180" s="85" t="n">
        <v>58723</v>
      </c>
      <c r="S180" s="85" t="n">
        <v>35</v>
      </c>
      <c r="T180" s="90">
        <f>IF(AND(ISNUMBER(K180),ISNUMBER(S180)),K180*S180*52/12,"")</f>
        <v/>
      </c>
      <c r="U180" s="91" t="n">
        <v>4.5</v>
      </c>
      <c r="V180" s="85" t="n">
        <v>968</v>
      </c>
      <c r="W180" s="92" t="n">
        <v>46307</v>
      </c>
      <c r="X180" s="92" t="n">
        <v>45742</v>
      </c>
      <c r="Y180" s="84" t="inlineStr">
        <is>
          <t>FBA</t>
        </is>
      </c>
      <c r="Z180" s="84" t="inlineStr">
        <is>
          <t>CN</t>
        </is>
      </c>
      <c r="AA180" s="85" t="n">
        <v>26952</v>
      </c>
      <c r="AB180" s="85" t="n">
        <v>504</v>
      </c>
      <c r="AC180" s="93" t="n">
        <v>0.9879767104482041</v>
      </c>
      <c r="AD180" s="93" t="n">
        <v>0.01202328955179578</v>
      </c>
      <c r="AE180" s="32" t="inlineStr">
        <is>
          <t>satin sheets</t>
        </is>
      </c>
      <c r="AF180" s="93" t="n"/>
      <c r="AG180" s="93" t="n">
        <v>0.004081329771445533</v>
      </c>
      <c r="AH180" s="93" t="n">
        <v>0.1173567824280202</v>
      </c>
      <c r="AI180" s="93" t="n"/>
      <c r="AJ180" s="85" t="n">
        <v>343</v>
      </c>
      <c r="AK180" s="85" t="n">
        <v>242</v>
      </c>
      <c r="AL180" s="85" t="n">
        <v>78</v>
      </c>
      <c r="AM180" s="85" t="n">
        <v>161</v>
      </c>
      <c r="AN180" s="85" t="n">
        <v>12</v>
      </c>
      <c r="AO180" s="85" t="n">
        <v>1</v>
      </c>
      <c r="AP180" s="94" t="n">
        <v>1.063356164383562</v>
      </c>
      <c r="AQ180" s="89" t="n">
        <v>-0.1631084543125534</v>
      </c>
      <c r="AR180" s="95" t="inlineStr">
        <is>
          <t>N</t>
        </is>
      </c>
      <c r="AS180" s="95" t="inlineStr">
        <is>
          <t>none</t>
        </is>
      </c>
      <c r="AT180" s="101" t="n"/>
      <c r="AU180" s="96" t="n">
        <v>15.99</v>
      </c>
      <c r="AV180" s="95" t="inlineStr">
        <is>
          <t>none</t>
        </is>
      </c>
      <c r="AW180" s="95" t="inlineStr">
        <is>
          <t>Y</t>
        </is>
      </c>
      <c r="AX180" s="95" t="inlineStr">
        <is>
          <t>2026-10-13 12:13:42</t>
        </is>
      </c>
      <c r="AY180" s="97" t="inlineStr">
        <is>
          <t>Prime Exclusive Discount</t>
        </is>
      </c>
      <c r="AZ180" s="97" t="inlineStr">
        <is>
          <t>11-08 to 12-05</t>
        </is>
      </c>
      <c r="BA180" s="98" t="n">
        <v>15.99</v>
      </c>
      <c r="BB180" s="98" t="n">
        <v>15.98</v>
      </c>
      <c r="BC180" s="87">
        <f>IF(AND(ISNUMBER(BA180),ISNUMBER(BB180),N(BA180)&gt;0),1-BB180/BA180,"")</f>
        <v/>
      </c>
      <c r="BD180" s="99" t="n">
        <v>71449</v>
      </c>
      <c r="BE180" s="99" t="n">
        <v>98796</v>
      </c>
      <c r="BF180" s="100">
        <f>IF(AND(ISNUMBER(BD180),ISNUMBER(BE180),N(BE180)&gt;0),BD180/BE180,"")</f>
        <v/>
      </c>
      <c r="BG180" s="97" t="inlineStr">
        <is>
          <t>N</t>
        </is>
      </c>
      <c r="BH180" s="97" t="inlineStr">
        <is>
          <t>Prime Exclusive already running before BFCM week; Buy Box RAISED in BFCM week (median $19.99 vs $16.99 before); List Price $19.98</t>
        </is>
      </c>
    </row>
    <row r="181" ht="62" customHeight="1">
      <c r="A181" s="39" t="inlineStr">
        <is>
          <t>IMAGE MISSING</t>
        </is>
      </c>
      <c r="B181" s="84" t="inlineStr">
        <is>
          <t>Candoury</t>
        </is>
      </c>
      <c r="C181" s="32" t="inlineStr">
        <is>
          <t>Satin Sheets</t>
        </is>
      </c>
      <c r="D181" s="84" t="inlineStr">
        <is>
          <t>Untiered</t>
        </is>
      </c>
      <c r="E181" s="84" t="inlineStr">
        <is>
          <t>B08RHZ9TMQ</t>
        </is>
      </c>
      <c r="F181" s="84" t="inlineStr">
        <is>
          <t>B08JKWGXZ9</t>
        </is>
      </c>
      <c r="G181" s="84" t="n"/>
      <c r="H181" s="84" t="n"/>
      <c r="I181" s="85" t="n"/>
      <c r="J181" s="32" t="inlineStr"/>
      <c r="K181" s="86" t="n">
        <v>15.99</v>
      </c>
      <c r="L181" s="86" t="n"/>
      <c r="M181" s="87">
        <f>IF(AND(ISNUMBER(L181),ISNUMBER(K181),N(K181)&gt;0),L181/K181-1,"")</f>
        <v/>
      </c>
      <c r="N181" s="88">
        <f>IF(M181="","No List Price",IF(M181&lt;=0,"At/below price",IF(M181&lt;=0.12,"&lt;=12% STR zone",IF(M181&lt;=0.25,"12-25%","&gt;25% over"))))</f>
        <v/>
      </c>
      <c r="O181" s="86" t="n">
        <v>31.95</v>
      </c>
      <c r="P181" s="89">
        <f>IF(AND(ISNUMBER(K181),ISNUMBER(O181),N(O181)&gt;0),K181/O181-1,"")</f>
        <v/>
      </c>
      <c r="Q181" s="32" t="inlineStr">
        <is>
          <t>Size not stated - vs our Queen. Ours live: Helium 10 Xray, 2026-10-13; 28 children</t>
        </is>
      </c>
      <c r="R181" s="85" t="n">
        <v>420044</v>
      </c>
      <c r="S181" s="85" t="n">
        <v>5</v>
      </c>
      <c r="T181" s="90">
        <f>IF(AND(ISNUMBER(K181),ISNUMBER(S181)),K181*S181*52/12,"")</f>
        <v/>
      </c>
      <c r="U181" s="91" t="n">
        <v>4.3</v>
      </c>
      <c r="V181" s="85" t="n">
        <v>5277</v>
      </c>
      <c r="W181" s="92" t="n">
        <v>46279</v>
      </c>
      <c r="X181" s="92" t="n"/>
      <c r="Y181" s="84" t="n"/>
      <c r="Z181" s="84" t="n"/>
      <c r="AA181" s="85" t="n"/>
      <c r="AB181" s="85" t="n"/>
      <c r="AC181" s="93" t="n"/>
      <c r="AD181" s="93" t="n"/>
      <c r="AE181" s="32" t="n"/>
      <c r="AF181" s="93" t="n"/>
      <c r="AG181" s="93" t="n"/>
      <c r="AH181" s="93" t="n"/>
      <c r="AI181" s="93" t="n"/>
      <c r="AJ181" s="85" t="n"/>
      <c r="AK181" s="85" t="n"/>
      <c r="AL181" s="85" t="n"/>
      <c r="AM181" s="85" t="n"/>
      <c r="AN181" s="85" t="n"/>
      <c r="AO181" s="85" t="n"/>
      <c r="AP181" s="94" t="n"/>
      <c r="AQ181" s="89" t="n"/>
      <c r="AR181" s="95" t="inlineStr">
        <is>
          <t>N</t>
        </is>
      </c>
      <c r="AS181" s="95" t="inlineStr">
        <is>
          <t>none</t>
        </is>
      </c>
      <c r="AT181" s="101" t="n"/>
      <c r="AU181" s="101" t="n"/>
      <c r="AV181" s="95" t="inlineStr">
        <is>
          <t>none</t>
        </is>
      </c>
      <c r="AW181" s="95" t="inlineStr">
        <is>
          <t>N</t>
        </is>
      </c>
      <c r="AX181" s="95" t="inlineStr">
        <is>
          <t>2026-10-13 23:44:25</t>
        </is>
      </c>
      <c r="AY181" s="102" t="n"/>
      <c r="AZ181" s="102" t="n"/>
      <c r="BA181" s="101" t="n"/>
      <c r="BB181" s="101" t="n"/>
      <c r="BC181" s="87">
        <f>IF(AND(ISNUMBER(BA181),ISNUMBER(BB181),N(BA181)&gt;0),1-BB181/BA181,"")</f>
        <v/>
      </c>
      <c r="BD181" s="103" t="n"/>
      <c r="BE181" s="103" t="n"/>
      <c r="BF181" s="100">
        <f>IF(AND(ISNUMBER(BD181),ISNUMBER(BE181),N(BE181)&gt;0),BD181/BE181,"")</f>
        <v/>
      </c>
      <c r="BG181" s="102" t="n"/>
      <c r="BH181" s="102" t="n"/>
    </row>
    <row r="183" ht="20" customHeight="1">
      <c r="A183" s="54" t="inlineStr">
        <is>
          <t>5 · WHAT THIS MEANS FOR BFCM</t>
        </is>
      </c>
    </row>
    <row r="184" ht="30" customHeight="1">
      <c r="A184" s="104" t="inlineStr">
        <is>
          <t>•  Who sells most: BEDELITE ~1,963/wk at $17.99; Love's cabin ~809/wk at $16.13 (List $19.99, +24%); MR&amp;HM ~809/wk at $19.99; CozyLux ~347/wk at $13.99 (List $18.99, +36%); Lanest Housing ~208/wk at $22.99. Tracked rivals ~4,991 units/wk; we sell ~655/wk (11.6% of the tracked set).</t>
        </is>
      </c>
    </row>
    <row r="185" ht="18" customHeight="1">
      <c r="A185" s="104" t="inlineStr">
        <is>
          <t>•  Strikethrough: 3 of 26 rivals set a List Price above price; 0 within 12%.</t>
        </is>
      </c>
    </row>
    <row r="186" ht="18" customHeight="1">
      <c r="A186" s="104" t="inlineStr">
        <is>
          <t>•  Price: 26 of 26 rivals sit below our price today (same size where the title states one). Cheapest strong rivals: CozyLux $13.99, Love's cabin $16.13, BEDELITE $17.99, MR&amp;HM $19.99.</t>
        </is>
      </c>
    </row>
    <row r="187" ht="30" customHeight="1">
      <c r="A187" s="104"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8" ht="30" customHeight="1">
      <c r="A188" s="104" t="inlineStr">
        <is>
          <t>•  Search: we lose most shared keywords to BEDELITE (we win 92, lose 714), MR&amp;HM (we win 179, lose 608), Love's cabin (we win 185, lose 585). Biggest ad gaps (they advertise where we don't or harder): BEDELITE 340 + 36 KWs, Lanest Housing 50 + 61 KWs, Love's cabin 425 + 42 KWs.</t>
        </is>
      </c>
    </row>
    <row r="189" ht="30" customHeight="1">
      <c r="A189" s="104" t="inlineStr">
        <is>
          <t>•  Brand ads: Love's cabin (SB 61%, SBV 8%), CozyLux (SB 52%, SBV 0%), Lanest Housing (SB 92%, SBV 0%), P Pothuiny (SB 54%, SBV 0%),  (SB 10%, SBV 54%) hold Sponsored Brands / video on most of their traffic - the plan has our SB, SBV and display live by Nov 1.</t>
        </is>
      </c>
    </row>
    <row r="190" ht="18" customHeight="1">
      <c r="A190" s="104" t="inlineStr">
        <is>
          <t>•  Our BFCM 2025: 2.64x daily sales in BFCM week vs the 30 days before; TACoS 4.9% vs 10.4% before; December 1.93x.</t>
        </is>
      </c>
    </row>
    <row r="191" ht="18" customHeight="1">
      <c r="A191" s="104" t="inlineStr">
        <is>
          <t>•  Prime Day 2026: our organic visibility 1.24x vs rivals' median 0.99x (n=17) - we held or out-gained rivals.</t>
        </is>
      </c>
    </row>
    <row r="192" ht="30" customHeight="1">
      <c r="A192" s="104" t="inlineStr">
        <is>
          <t>•  BFCM 2025, 23 rivals with Keepa history: Prime Exclusive Discount 13, None 7, Price cut only 3. Median depth vs their Nov 1-19 price 6%; median BSR lift 1.03x. 12 raised their Buy Box in BFCM week, so their deal looked deeper than it was.</t>
        </is>
      </c>
    </row>
    <row r="193" ht="18" customHeight="1">
      <c r="A193" s="104" t="inlineStr">
        <is>
          <t>•  3 rivals not in the Keepa pulls yet (yellow BFCM 2025 columns) - remaining P2 batches, AGENT_PROMPTS Prompt 2.</t>
        </is>
      </c>
    </row>
  </sheetData>
  <autoFilter ref="B155:BH181"/>
  <mergeCells count="72">
    <mergeCell ref="A15:BH15"/>
    <mergeCell ref="A148:BH148"/>
    <mergeCell ref="A186:BH186"/>
    <mergeCell ref="L5:Q5"/>
    <mergeCell ref="A191:BH191"/>
    <mergeCell ref="X154:Z154"/>
    <mergeCell ref="A1:BH1"/>
    <mergeCell ref="A145:C145"/>
    <mergeCell ref="AR154:AX154"/>
    <mergeCell ref="Q11:T11"/>
    <mergeCell ref="A139:C139"/>
    <mergeCell ref="L8:Q8"/>
    <mergeCell ref="L4:Q4"/>
    <mergeCell ref="D7:I7"/>
    <mergeCell ref="A13:D13"/>
    <mergeCell ref="A153:BH153"/>
    <mergeCell ref="I13:L13"/>
    <mergeCell ref="A16:BH16"/>
    <mergeCell ref="A187:BH187"/>
    <mergeCell ref="A137:BH137"/>
    <mergeCell ref="D4:I4"/>
    <mergeCell ref="L10:Q10"/>
    <mergeCell ref="E12:H12"/>
    <mergeCell ref="Q13:T13"/>
    <mergeCell ref="A141:C141"/>
    <mergeCell ref="A183:BH183"/>
    <mergeCell ref="D9:I9"/>
    <mergeCell ref="A193:BH193"/>
    <mergeCell ref="U12:X12"/>
    <mergeCell ref="L9:Q9"/>
    <mergeCell ref="Q12:T12"/>
    <mergeCell ref="A140:C140"/>
    <mergeCell ref="A11:D11"/>
    <mergeCell ref="A144:C144"/>
    <mergeCell ref="A149:BH149"/>
    <mergeCell ref="AY154:BH154"/>
    <mergeCell ref="I11:L11"/>
    <mergeCell ref="A189:BH189"/>
    <mergeCell ref="A3:BH3"/>
    <mergeCell ref="L6:Q6"/>
    <mergeCell ref="D8:I8"/>
    <mergeCell ref="A4:B9"/>
    <mergeCell ref="A192:BH192"/>
    <mergeCell ref="T6:Y6"/>
    <mergeCell ref="A154:H154"/>
    <mergeCell ref="D5:I5"/>
    <mergeCell ref="A185:BH185"/>
    <mergeCell ref="K154:W154"/>
    <mergeCell ref="M11:P11"/>
    <mergeCell ref="A143:C143"/>
    <mergeCell ref="A150:BH150"/>
    <mergeCell ref="A188:BH188"/>
    <mergeCell ref="U11:X11"/>
    <mergeCell ref="E13:H13"/>
    <mergeCell ref="A147:BH147"/>
    <mergeCell ref="A184:BH184"/>
    <mergeCell ref="D10:I10"/>
    <mergeCell ref="L7:Q7"/>
    <mergeCell ref="T5:Y5"/>
    <mergeCell ref="A138:C138"/>
    <mergeCell ref="A152:BH152"/>
    <mergeCell ref="A190:BH190"/>
    <mergeCell ref="A12:D12"/>
    <mergeCell ref="M13:P13"/>
    <mergeCell ref="I12:L12"/>
    <mergeCell ref="U13:X13"/>
    <mergeCell ref="AA154:AQ154"/>
    <mergeCell ref="A146:C146"/>
    <mergeCell ref="M12:P12"/>
    <mergeCell ref="T4:Y4"/>
    <mergeCell ref="D6:I6"/>
    <mergeCell ref="E11:H11"/>
  </mergeCells>
  <conditionalFormatting sqref="N156:N181">
    <cfRule type="expression" priority="1" dxfId="1">
      <formula>N156="&lt;=12% STR zone"</formula>
    </cfRule>
  </conditionalFormatting>
  <conditionalFormatting sqref="W156:W181">
    <cfRule type="expression" priority="2" dxfId="0">
      <formula>AND(ISNUMBER(W156),W156&lt;DATE(2026,10,6))</formula>
    </cfRule>
  </conditionalFormatting>
  <conditionalFormatting sqref="Q156:Q181">
    <cfRule type="expression" priority="3" dxfId="0">
      <formula>ISNUMBER(SEARCH("STALE",Q156))</formula>
    </cfRule>
  </conditionalFormatting>
  <conditionalFormatting sqref="P156:P181">
    <cfRule type="expression" priority="4" dxfId="0">
      <formula>AND(ISNUMBER(P156),P156&lt;0)</formula>
    </cfRule>
  </conditionalFormatting>
  <dataValidations count="3">
    <dataValidation sqref="AR156:AR181 BG156:BG181" showDropDown="0" showInputMessage="0" showErrorMessage="0" allowBlank="1" type="list">
      <formula1>"Y,N"</formula1>
    </dataValidation>
    <dataValidation sqref="AS156:AS181" showDropDown="0" showInputMessage="0" showErrorMessage="0" allowBlank="1" type="list">
      <formula1>"List Price,Typical price,Was price,None"</formula1>
    </dataValidation>
    <dataValidation sqref="AY156:AY18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BH18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_xlfn.IMAGE("https://m.media-amazon.com/images/I/81s3ROxMWEL._AC_SL1500_.jpg")</f>
        <v/>
      </c>
      <c r="C4" s="11" t="inlineStr">
        <is>
          <t>Title</t>
        </is>
      </c>
      <c r="D4" s="12" t="inlineStr">
        <is>
          <t>DECOLURE Satin Bed Sheets - 4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43%</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Rosewoord-01, Sage Green, Sea Teal, Stone Grey, Striped Black, Striped Blue, Striped Gold, Striped Grey, Striped Pink, Striped Purple, Striped Red, Striped White, Stripe Pink-01, Taupe, White, Champagne-01, Red-01, Sea Teal-01, Stripe Grey-01, Taupe-01</t>
        </is>
      </c>
      <c r="S5" s="11" t="inlineStr">
        <is>
          <t>Units last 28 days</t>
        </is>
      </c>
      <c r="T5" s="55" t="inlineStr">
        <is>
          <t>455</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B0CQRY9WLD (one of our child ASINs, not the Amazon parent)</t>
        </is>
      </c>
    </row>
    <row r="7" ht="22" customHeight="1">
      <c r="C7" s="11" t="inlineStr">
        <is>
          <t>Parent ASIN (Amazon)</t>
        </is>
      </c>
      <c r="D7" s="55" t="inlineStr">
        <is>
          <t>B0CT3HF44M</t>
        </is>
      </c>
      <c r="K7" s="11" t="inlineStr">
        <is>
          <t>Rating / reviews now</t>
        </is>
      </c>
      <c r="L7" s="55" t="inlineStr">
        <is>
          <t>Not checked yet</t>
        </is>
      </c>
    </row>
    <row r="8" ht="22" customHeight="1">
      <c r="C8" s="11" t="inlineStr">
        <is>
          <t>Best-selling child ASIN</t>
        </is>
      </c>
      <c r="D8" s="55" t="inlineStr">
        <is>
          <t>B0839MKJMV</t>
        </is>
      </c>
      <c r="K8" s="11" t="inlineStr">
        <is>
          <t>Live prices held</t>
        </is>
      </c>
      <c r="L8" s="55" t="inlineStr">
        <is>
          <t>0 of 127 variations</t>
        </is>
      </c>
    </row>
    <row r="9" ht="22" customHeight="1">
      <c r="C9" s="11" t="inlineStr">
        <is>
          <t>Stage</t>
        </is>
      </c>
      <c r="D9" s="55" t="inlineStr">
        <is>
          <t>Maintenance</t>
        </is>
      </c>
      <c r="K9" s="11" t="inlineStr">
        <is>
          <t>Blended price (Command Center)</t>
        </is>
      </c>
      <c r="L9" s="55" t="inlineStr">
        <is>
          <t>$46.12 - fee feed as of 2026-03-30, STALE</t>
        </is>
      </c>
    </row>
    <row r="10">
      <c r="C10" s="11" t="inlineStr">
        <is>
          <t>Total variations (SKUs)</t>
        </is>
      </c>
      <c r="D10" s="55" t="n">
        <v>127</v>
      </c>
      <c r="K10" s="11" t="inlineStr">
        <is>
          <t>Contribution / unit</t>
        </is>
      </c>
      <c r="L10" s="55" t="inlineStr">
        <is>
          <t>$19.80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3.27x</t>
        </is>
      </c>
      <c r="E12" s="57" t="inlineStr">
        <is>
          <t>10.1%</t>
        </is>
      </c>
      <c r="I12" s="57" t="inlineStr">
        <is>
          <t>2.06x</t>
        </is>
      </c>
      <c r="M12" s="57" t="inlineStr">
        <is>
          <t>15</t>
        </is>
      </c>
      <c r="Q12" s="57" t="inlineStr">
        <is>
          <t>10</t>
        </is>
      </c>
      <c r="U12" s="57" t="inlineStr">
        <is>
          <t>6 of 15</t>
        </is>
      </c>
    </row>
    <row r="13">
      <c r="A13" s="58" t="inlineStr">
        <is>
          <t>daily sales, BFCM wk vs 30 days before (SellerBoard actual)</t>
        </is>
      </c>
      <c r="E13" s="58" t="inlineStr">
        <is>
          <t>vs 14.7%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(127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_xlfn.IMAGE("https://m.media-amazon.com/images/I/81s3ROxMWEL.jpg")</f>
        <v/>
      </c>
      <c r="B18" s="32" t="inlineStr">
        <is>
          <t>B0839MKJMV</t>
        </is>
      </c>
      <c r="C18" s="32" t="inlineStr">
        <is>
          <t>SATIN-QUEEN-BLACK</t>
        </is>
      </c>
      <c r="D18" s="32" t="inlineStr">
        <is>
          <t>DECOLURE Satin Bed Sheets - 4 Piece Luxury Silky Queen Size Bedding Set - Softer Than Silk, Wrinkle-Free with 15” Deep Pocket Fitted Sheet, Perfect for Hair &amp; Skin, Gifts for Women (Black)</t>
        </is>
      </c>
      <c r="E18" s="32" t="inlineStr">
        <is>
          <t>Queen</t>
        </is>
      </c>
      <c r="F18" s="32" t="inlineStr">
        <is>
          <t>Black</t>
        </is>
      </c>
      <c r="G18" s="33" t="n"/>
      <c r="H18" s="32" t="n"/>
      <c r="I18" s="33" t="n"/>
      <c r="J18" s="32" t="n"/>
      <c r="K18" s="33" t="n"/>
      <c r="L18" s="63" t="n"/>
      <c r="M18" s="64" t="n">
        <v>34</v>
      </c>
      <c r="N18" s="32" t="inlineStr">
        <is>
          <t>Active</t>
        </is>
      </c>
      <c r="O18" s="32" t="n"/>
      <c r="P18" s="65" t="n"/>
      <c r="Q18" s="64" t="n"/>
      <c r="R18" s="64" t="n"/>
      <c r="S18" s="64" t="n"/>
      <c r="T18" s="32" t="n"/>
    </row>
    <row r="19" ht="62" customHeight="1">
      <c r="A19" s="10">
        <f>_xlfn.IMAGE("https://m.media-amazon.com/images/I/81RxsA0xn7L.jpg")</f>
        <v/>
      </c>
      <c r="B19" s="32" t="inlineStr">
        <is>
          <t>B0839LQK8K</t>
        </is>
      </c>
      <c r="C19" s="32" t="inlineStr">
        <is>
          <t>SATIN-QUEEN-GREY</t>
        </is>
      </c>
      <c r="D19" s="32" t="inlineStr">
        <is>
          <t>DECOLURE Satin Bed Sheets - 4 Piece Luxury Silky Queen Size Bedding Set - Softer Than Silk, Wrinkle-Free with 15” Deep Pocket Fitted Sheet, Perfect for Hair &amp; Skin, Gifts for Women (Grey)</t>
        </is>
      </c>
      <c r="E19" s="32" t="inlineStr">
        <is>
          <t>Queen</t>
        </is>
      </c>
      <c r="F19" s="32" t="inlineStr">
        <is>
          <t>Grey</t>
        </is>
      </c>
      <c r="G19" s="33" t="n"/>
      <c r="H19" s="32" t="n"/>
      <c r="I19" s="61" t="n">
        <v>47.99</v>
      </c>
      <c r="J19" s="62" t="inlineStr">
        <is>
          <t>2026-03-30</t>
        </is>
      </c>
      <c r="K19" s="33" t="n">
        <v>22.35</v>
      </c>
      <c r="L19" s="63" t="n">
        <v>0.4657220254219629</v>
      </c>
      <c r="M19" s="64" t="n">
        <v>31</v>
      </c>
      <c r="N19" s="32" t="inlineStr">
        <is>
          <t>Active</t>
        </is>
      </c>
      <c r="O19" s="32" t="n"/>
      <c r="P19" s="65" t="n"/>
      <c r="Q19" s="64" t="n"/>
      <c r="R19" s="64" t="n"/>
      <c r="S19" s="64" t="n"/>
      <c r="T19" s="32" t="n"/>
    </row>
    <row r="20" ht="62" customHeight="1">
      <c r="A20" s="10">
        <f>_xlfn.IMAGE("https://m.media-amazon.com/images/I/81s3ROxMWEL.jpg")</f>
        <v/>
      </c>
      <c r="B20" s="32" t="inlineStr">
        <is>
          <t>B0839LD2WQ</t>
        </is>
      </c>
      <c r="C20" s="32" t="inlineStr">
        <is>
          <t>SATIN-KING-BLACK</t>
        </is>
      </c>
      <c r="D20" s="32" t="inlineStr">
        <is>
          <t>DECOLURE Satin Bed Sheets - 4 Piece Luxury Silky King Size Bedding Set - Softer Than Silk, Wrinkle-Free with 15” Deep Pocket Fitted Sheet, Perfect for Hair &amp; Skin, Gifts for Women (Black)</t>
        </is>
      </c>
      <c r="E20" s="32" t="inlineStr">
        <is>
          <t>King</t>
        </is>
      </c>
      <c r="F20" s="32" t="inlineStr">
        <is>
          <t>Black</t>
        </is>
      </c>
      <c r="G20" s="33" t="n"/>
      <c r="H20" s="32" t="n"/>
      <c r="I20" s="61" t="n">
        <v>52.99</v>
      </c>
      <c r="J20" s="62" t="inlineStr">
        <is>
          <t>2026-03-30</t>
        </is>
      </c>
      <c r="K20" s="33" t="n">
        <v>23.71</v>
      </c>
      <c r="L20" s="63" t="n">
        <v>0.4474429137573127</v>
      </c>
      <c r="M20" s="64" t="n">
        <v>29</v>
      </c>
      <c r="N20" s="32" t="inlineStr">
        <is>
          <t>Active</t>
        </is>
      </c>
      <c r="O20" s="32" t="n"/>
      <c r="P20" s="65" t="n"/>
      <c r="Q20" s="64" t="n"/>
      <c r="R20" s="64" t="n"/>
      <c r="S20" s="64" t="n"/>
      <c r="T20" s="32" t="n"/>
    </row>
    <row r="21" ht="62" customHeight="1">
      <c r="A21" s="10">
        <f>_xlfn.IMAGE("https://m.media-amazon.com/images/I/81zvGkE8vhL.jpg")</f>
        <v/>
      </c>
      <c r="B21" s="32" t="inlineStr">
        <is>
          <t>B0839LQG4C</t>
        </is>
      </c>
      <c r="C21" s="32" t="inlineStr">
        <is>
          <t>SATIN-QUEEN-PINK</t>
        </is>
      </c>
      <c r="D21" s="32" t="inlineStr">
        <is>
          <t>DECOLURE Satin Bed Sheets - 4 Piece Luxury Silky Queen Size Bedding Set - Softer Than Silk, Wrinkle-Free with 15” Deep Pocket Fitted Sheet, Perfect for Hair &amp; Skin, Gifts for Women (Pink)</t>
        </is>
      </c>
      <c r="E21" s="32" t="inlineStr">
        <is>
          <t>Queen</t>
        </is>
      </c>
      <c r="F21" s="32" t="inlineStr">
        <is>
          <t>Pink</t>
        </is>
      </c>
      <c r="G21" s="33" t="n"/>
      <c r="H21" s="32" t="n"/>
      <c r="I21" s="61" t="n">
        <v>47.99</v>
      </c>
      <c r="J21" s="62" t="inlineStr">
        <is>
          <t>2026-03-30</t>
        </is>
      </c>
      <c r="K21" s="33" t="n">
        <v>22.43</v>
      </c>
      <c r="L21" s="63" t="n">
        <v>0.4673890393832048</v>
      </c>
      <c r="M21" s="64" t="n">
        <v>17</v>
      </c>
      <c r="N21" s="32" t="inlineStr">
        <is>
          <t>Active</t>
        </is>
      </c>
      <c r="O21" s="32" t="n"/>
      <c r="P21" s="65" t="n"/>
      <c r="Q21" s="64" t="n"/>
      <c r="R21" s="64" t="n"/>
      <c r="S21" s="64" t="n"/>
      <c r="T21" s="32" t="n"/>
    </row>
    <row r="22" ht="62" customHeight="1">
      <c r="A22" s="10">
        <f>_xlfn.IMAGE("https://m.media-amazon.com/images/I/81zgEKHZOlL.jpg")</f>
        <v/>
      </c>
      <c r="B22" s="32" t="inlineStr">
        <is>
          <t>B0CNS9FHSD</t>
        </is>
      </c>
      <c r="C22" s="32" t="inlineStr">
        <is>
          <t>SATIN-FULL-BLUSH PINK</t>
        </is>
      </c>
      <c r="D22" s="32" t="inlineStr">
        <is>
          <t>DECOLURE Satin Bed Sheets - 4 Piece Luxury Silky Full Size Bedding Set - Softer Than Silk, Wrinkle-Free with 15” Deep Pocket Fitted Sheet, Perfect for Hair &amp; Skin, Gifts for Women (Blush Pink)</t>
        </is>
      </c>
      <c r="E22" s="32" t="inlineStr">
        <is>
          <t>Full</t>
        </is>
      </c>
      <c r="F22" s="32" t="inlineStr">
        <is>
          <t>Blush Pink</t>
        </is>
      </c>
      <c r="G22" s="33" t="n"/>
      <c r="H22" s="32" t="n"/>
      <c r="I22" s="61" t="n">
        <v>44.99</v>
      </c>
      <c r="J22" s="62" t="inlineStr">
        <is>
          <t>2026-03-30</t>
        </is>
      </c>
      <c r="K22" s="33" t="n">
        <v>19.93</v>
      </c>
      <c r="L22" s="63" t="n">
        <v>0.4429873305178929</v>
      </c>
      <c r="M22" s="64" t="n">
        <v>14</v>
      </c>
      <c r="N22" s="32" t="inlineStr">
        <is>
          <t>Active</t>
        </is>
      </c>
      <c r="O22" s="32" t="n"/>
      <c r="P22" s="65" t="n"/>
      <c r="Q22" s="64" t="n"/>
      <c r="R22" s="64" t="n"/>
      <c r="S22" s="64" t="n"/>
      <c r="T22" s="32" t="n"/>
    </row>
    <row r="23" ht="62" customHeight="1">
      <c r="A23" s="10">
        <f>_xlfn.IMAGE("https://m.media-amazon.com/images/I/81VtFuMce8L.jpg")</f>
        <v/>
      </c>
      <c r="B23" s="32" t="inlineStr">
        <is>
          <t>B0839L4HWH</t>
        </is>
      </c>
      <c r="C23" s="32" t="inlineStr">
        <is>
          <t>SATIN-QUEEN-BLUE</t>
        </is>
      </c>
      <c r="D23" s="32" t="inlineStr">
        <is>
          <t>DECOLURE Satin Bed Sheets - 4 Piece Luxury Silky Queen Size Bedding Set - Softer Than Silk, Wrinkle-Free with 15” Deep Pocket Fitted Sheet, Perfect for Hair &amp; Skin, Gifts for Women (Blue)</t>
        </is>
      </c>
      <c r="E23" s="32" t="inlineStr">
        <is>
          <t>Queen</t>
        </is>
      </c>
      <c r="F23" s="32" t="inlineStr">
        <is>
          <t>Blue</t>
        </is>
      </c>
      <c r="G23" s="33" t="n"/>
      <c r="H23" s="32" t="n"/>
      <c r="I23" s="61" t="n">
        <v>31.49</v>
      </c>
      <c r="J23" s="62" t="inlineStr">
        <is>
          <t>2026-03-22</t>
        </is>
      </c>
      <c r="K23" s="33" t="n">
        <v>7.379999999999999</v>
      </c>
      <c r="L23" s="63" t="n">
        <v>0.234360114322007</v>
      </c>
      <c r="M23" s="64" t="n">
        <v>14</v>
      </c>
      <c r="N23" s="32" t="inlineStr">
        <is>
          <t>Active</t>
        </is>
      </c>
      <c r="O23" s="32" t="n"/>
      <c r="P23" s="65" t="n"/>
      <c r="Q23" s="64" t="n"/>
      <c r="R23" s="64" t="n"/>
      <c r="S23" s="64" t="n"/>
      <c r="T23" s="32" t="n"/>
    </row>
    <row r="24" ht="62" customHeight="1">
      <c r="A24" s="10">
        <f>_xlfn.IMAGE("https://m.media-amazon.com/images/I/81gmHuZbW4L.jpg")</f>
        <v/>
      </c>
      <c r="B24" s="32" t="inlineStr">
        <is>
          <t>B08KRXDWNN</t>
        </is>
      </c>
      <c r="C24" s="32" t="inlineStr">
        <is>
          <t>SATIN-WHITE-QUEEN</t>
        </is>
      </c>
      <c r="D24" s="32" t="inlineStr">
        <is>
          <t>DECOLURE Satin Bed Sheets - 4 Piece Luxury Silky Queen Size Bedding Set - Softer Than Silk, Wrinkle-Free with 15” Deep Pocket Fitted Sheet, Perfect for Hair &amp; Skin, Gifts for Women (White)</t>
        </is>
      </c>
      <c r="E24" s="32" t="inlineStr">
        <is>
          <t>Queen</t>
        </is>
      </c>
      <c r="F24" s="32" t="inlineStr">
        <is>
          <t>White</t>
        </is>
      </c>
      <c r="G24" s="33" t="n"/>
      <c r="H24" s="32" t="n"/>
      <c r="I24" s="61" t="n">
        <v>47.99</v>
      </c>
      <c r="J24" s="62" t="inlineStr">
        <is>
          <t>2026-03-10</t>
        </is>
      </c>
      <c r="K24" s="33" t="n">
        <v>20.2</v>
      </c>
      <c r="L24" s="63" t="n">
        <v>0.4209210252135861</v>
      </c>
      <c r="M24" s="64" t="n">
        <v>14</v>
      </c>
      <c r="N24" s="32" t="inlineStr">
        <is>
          <t>Active</t>
        </is>
      </c>
      <c r="O24" s="32" t="n"/>
      <c r="P24" s="65" t="n"/>
      <c r="Q24" s="64" t="n"/>
      <c r="R24" s="64" t="n"/>
      <c r="S24" s="64" t="n"/>
      <c r="T24" s="32" t="n"/>
    </row>
    <row r="25" ht="62" customHeight="1">
      <c r="A25" s="10">
        <f>_xlfn.IMAGE("https://m.media-amazon.com/images/I/81s3ROxMWEL.jpg")</f>
        <v/>
      </c>
      <c r="B25" s="32" t="inlineStr">
        <is>
          <t>B0839LCXBP</t>
        </is>
      </c>
      <c r="C25" s="32" t="inlineStr">
        <is>
          <t>SATIN-FULL-BLACK</t>
        </is>
      </c>
      <c r="D25" s="32" t="inlineStr">
        <is>
          <t>DECOLURE Satin Bed Sheets - 4 Piece Luxury Silky Full Size Bedding Set - Softer Than Silk, Wrinkle-Free with 15” Deep Pocket Fitted Sheet, Perfect for Hair &amp; Skin, Gifts for Women (Black)</t>
        </is>
      </c>
      <c r="E25" s="32" t="inlineStr">
        <is>
          <t>Full</t>
        </is>
      </c>
      <c r="F25" s="32" t="inlineStr">
        <is>
          <t>Black</t>
        </is>
      </c>
      <c r="G25" s="33" t="n"/>
      <c r="H25" s="32" t="n"/>
      <c r="I25" s="61" t="n">
        <v>27.49</v>
      </c>
      <c r="J25" s="62" t="inlineStr">
        <is>
          <t>2026-03-22</t>
        </is>
      </c>
      <c r="K25" s="33" t="n">
        <v>4.869999999999997</v>
      </c>
      <c r="L25" s="63" t="n">
        <v>0.1771553292106219</v>
      </c>
      <c r="M25" s="64" t="n">
        <v>12</v>
      </c>
      <c r="N25" s="32" t="inlineStr">
        <is>
          <t>Active</t>
        </is>
      </c>
      <c r="O25" s="32" t="n"/>
      <c r="P25" s="65" t="n"/>
      <c r="Q25" s="64" t="n"/>
      <c r="R25" s="64" t="n"/>
      <c r="S25" s="64" t="n"/>
      <c r="T25" s="32" t="n"/>
    </row>
    <row r="26" ht="62" customHeight="1">
      <c r="A26" s="10">
        <f>_xlfn.IMAGE("https://m.media-amazon.com/images/I/81Yn7rZGUhL.jpg")</f>
        <v/>
      </c>
      <c r="B26" s="32" t="inlineStr">
        <is>
          <t>B0839L6R8Y</t>
        </is>
      </c>
      <c r="C26" s="32" t="inlineStr">
        <is>
          <t>SATIN-QUEEN-PURPLE</t>
        </is>
      </c>
      <c r="D26" s="32" t="inlineStr">
        <is>
          <t>DECOLURE Satin Bed Sheets - 4 Piece Luxury Silky Queen Size Bedding Set - Softer Than Silk, Wrinkle-Free with 15” Deep Pocket Fitted Sheet, Perfect for Hair &amp; Skin, Gifts for Women (Purple)</t>
        </is>
      </c>
      <c r="E26" s="32" t="inlineStr">
        <is>
          <t>Queen</t>
        </is>
      </c>
      <c r="F26" s="32" t="inlineStr">
        <is>
          <t>Purple</t>
        </is>
      </c>
      <c r="G26" s="33" t="n"/>
      <c r="H26" s="32" t="n"/>
      <c r="I26" s="61" t="n">
        <v>47.99</v>
      </c>
      <c r="J26" s="62" t="inlineStr">
        <is>
          <t>2026-03-30</t>
        </is>
      </c>
      <c r="K26" s="33" t="n">
        <v>22.27</v>
      </c>
      <c r="L26" s="63" t="n">
        <v>0.464055011460721</v>
      </c>
      <c r="M26" s="64" t="n">
        <v>11</v>
      </c>
      <c r="N26" s="32" t="inlineStr">
        <is>
          <t>Active</t>
        </is>
      </c>
      <c r="O26" s="32" t="n"/>
      <c r="P26" s="65" t="n"/>
      <c r="Q26" s="64" t="n"/>
      <c r="R26" s="64" t="n"/>
      <c r="S26" s="64" t="n"/>
      <c r="T26" s="32" t="n"/>
    </row>
    <row r="27" ht="62" customHeight="1">
      <c r="A27" s="10">
        <f>_xlfn.IMAGE("https://m.media-amazon.com/images/I/81zvGkE8vhL.jpg")</f>
        <v/>
      </c>
      <c r="B27" s="32" t="inlineStr">
        <is>
          <t>B0839L6QG5</t>
        </is>
      </c>
      <c r="C27" s="32" t="inlineStr">
        <is>
          <t>SATIN-FULL-PINK</t>
        </is>
      </c>
      <c r="D27" s="32" t="inlineStr">
        <is>
          <t>DECOLURE Satin Bed Sheets - 4 Piece Luxury Silky Full Size Bedding Set - Softer Than Silk, Wrinkle-Free with 15” Deep Pocket Fitted Sheet, Perfect for Hair &amp; Skin, Gifts for Women (Pink)</t>
        </is>
      </c>
      <c r="E27" s="32" t="inlineStr">
        <is>
          <t>Full</t>
        </is>
      </c>
      <c r="F27" s="32" t="inlineStr">
        <is>
          <t>Pink</t>
        </is>
      </c>
      <c r="G27" s="33" t="n"/>
      <c r="H27" s="32" t="n"/>
      <c r="I27" s="61" t="n">
        <v>44.99</v>
      </c>
      <c r="J27" s="62" t="inlineStr">
        <is>
          <t>2026-03-30</t>
        </is>
      </c>
      <c r="K27" s="33" t="n">
        <v>19.93</v>
      </c>
      <c r="L27" s="63" t="n">
        <v>0.4429873305178929</v>
      </c>
      <c r="M27" s="64" t="n">
        <v>10</v>
      </c>
      <c r="N27" s="32" t="inlineStr">
        <is>
          <t>Active</t>
        </is>
      </c>
      <c r="O27" s="32" t="n"/>
      <c r="P27" s="65" t="n"/>
      <c r="Q27" s="64" t="n"/>
      <c r="R27" s="64" t="n"/>
      <c r="S27" s="64" t="n"/>
      <c r="T27" s="32" t="n"/>
    </row>
    <row r="28" ht="62" customHeight="1">
      <c r="A28" s="10">
        <f>_xlfn.IMAGE("https://m.media-amazon.com/images/I/81XsKf7Tk0L.jpg")</f>
        <v/>
      </c>
      <c r="B28" s="32" t="inlineStr">
        <is>
          <t>B08KRHBD49</t>
        </is>
      </c>
      <c r="C28" s="32" t="inlineStr">
        <is>
          <t>SATIN-RED-FULL</t>
        </is>
      </c>
      <c r="D28" s="32" t="inlineStr">
        <is>
          <t>DECOLURE Satin Bed Sheets - 4 Piece Luxury Silky Full Size Bedding Set - Softer Than Silk, Wrinkle-Free with 15” Deep Pocket Fitted Sheet, Perfect for Hair &amp; Skin, Gifts for Women (Red)</t>
        </is>
      </c>
      <c r="E28" s="32" t="inlineStr">
        <is>
          <t>Full</t>
        </is>
      </c>
      <c r="F28" s="32" t="inlineStr">
        <is>
          <t>Red</t>
        </is>
      </c>
      <c r="G28" s="33" t="n"/>
      <c r="H28" s="32" t="n"/>
      <c r="I28" s="61" t="n">
        <v>44.99</v>
      </c>
      <c r="J28" s="62" t="inlineStr">
        <is>
          <t>2026-03-30</t>
        </is>
      </c>
      <c r="K28" s="33" t="n">
        <v>20.93</v>
      </c>
      <c r="L28" s="63" t="n">
        <v>0.4652144921093576</v>
      </c>
      <c r="M28" s="64" t="n">
        <v>9</v>
      </c>
      <c r="N28" s="32" t="inlineStr">
        <is>
          <t>Active</t>
        </is>
      </c>
      <c r="O28" s="32" t="n"/>
      <c r="P28" s="65" t="n"/>
      <c r="Q28" s="64" t="n"/>
      <c r="R28" s="64" t="n"/>
      <c r="S28" s="64" t="n"/>
      <c r="T28" s="32" t="n"/>
    </row>
    <row r="29" ht="62" customHeight="1">
      <c r="A29" s="10">
        <f>_xlfn.IMAGE("https://m.media-amazon.com/images/I/81xinUykzIL.jpg")</f>
        <v/>
      </c>
      <c r="B29" s="32" t="inlineStr">
        <is>
          <t>B0BG225D1J</t>
        </is>
      </c>
      <c r="C29" s="32" t="inlineStr">
        <is>
          <t>SATIN-IVORY-KING</t>
        </is>
      </c>
      <c r="D29" s="32" t="inlineStr">
        <is>
          <t>DECOLURE Satin Bed Sheets - 4 Piece Luxury Silky King Size Bedding Set - Softer Than Silk, Wrinkle-Free with 15” Deep Pocket Fitted Sheet, Perfect for Hair &amp; Skin, Gifts for Women (Ivory)</t>
        </is>
      </c>
      <c r="E29" s="32" t="inlineStr">
        <is>
          <t>King</t>
        </is>
      </c>
      <c r="F29" s="32" t="inlineStr">
        <is>
          <t>Ivory</t>
        </is>
      </c>
      <c r="G29" s="33" t="n"/>
      <c r="H29" s="32" t="n"/>
      <c r="I29" s="61" t="n">
        <v>52.99</v>
      </c>
      <c r="J29" s="62" t="inlineStr">
        <is>
          <t>2026-03-30</t>
        </is>
      </c>
      <c r="K29" s="33" t="n">
        <v>23.79</v>
      </c>
      <c r="L29" s="63" t="n">
        <v>0.4489526325721834</v>
      </c>
      <c r="M29" s="64" t="n">
        <v>9</v>
      </c>
      <c r="N29" s="32" t="inlineStr">
        <is>
          <t>Active</t>
        </is>
      </c>
      <c r="O29" s="32" t="n"/>
      <c r="P29" s="65" t="n"/>
      <c r="Q29" s="64" t="n"/>
      <c r="R29" s="64" t="n"/>
      <c r="S29" s="64" t="n"/>
      <c r="T29" s="32" t="n"/>
    </row>
    <row r="30" ht="62" customHeight="1">
      <c r="A30" s="10">
        <f>_xlfn.IMAGE("https://m.media-amazon.com/images/I/81zgEKHZOlL.jpg")</f>
        <v/>
      </c>
      <c r="B30" s="32" t="inlineStr">
        <is>
          <t>B0CNS8T4ZK</t>
        </is>
      </c>
      <c r="C30" s="32" t="inlineStr">
        <is>
          <t>SATIN-QUEEN-BLUSH PINK</t>
        </is>
      </c>
      <c r="D30" s="32" t="inlineStr">
        <is>
          <t>DECOLURE Satin Bed Sheets - 4 Piece Luxury Silky Queen Size Bedding Set - Softer Than Silk, Wrinkle-Free with 15” Deep Pocket Fitted Sheet, Perfect for Hair &amp; Skin, Gifts for Women (Blush Pink)</t>
        </is>
      </c>
      <c r="E30" s="32" t="inlineStr">
        <is>
          <t>Queen</t>
        </is>
      </c>
      <c r="F30" s="32" t="inlineStr">
        <is>
          <t>Blush Pink</t>
        </is>
      </c>
      <c r="G30" s="33" t="n"/>
      <c r="H30" s="32" t="n"/>
      <c r="I30" s="61" t="n">
        <v>47.99</v>
      </c>
      <c r="J30" s="62" t="inlineStr">
        <is>
          <t>2026-03-30</t>
        </is>
      </c>
      <c r="K30" s="33" t="n">
        <v>22.32</v>
      </c>
      <c r="L30" s="63" t="n">
        <v>0.4650968951864972</v>
      </c>
      <c r="M30" s="64" t="n">
        <v>9</v>
      </c>
      <c r="N30" s="32" t="inlineStr">
        <is>
          <t>Active</t>
        </is>
      </c>
      <c r="O30" s="32" t="n"/>
      <c r="P30" s="65" t="n"/>
      <c r="Q30" s="64" t="n"/>
      <c r="R30" s="64" t="n"/>
      <c r="S30" s="64" t="n"/>
      <c r="T30" s="32" t="n"/>
    </row>
    <row r="31" ht="62" customHeight="1">
      <c r="A31" s="10">
        <f>_xlfn.IMAGE("https://m.media-amazon.com/images/I/81Ktu4N6y2L.jpg")</f>
        <v/>
      </c>
      <c r="B31" s="32" t="inlineStr">
        <is>
          <t>B0BG21THPM</t>
        </is>
      </c>
      <c r="C31" s="32" t="inlineStr">
        <is>
          <t>SATIN-ROSEWOOD-QUEEN</t>
        </is>
      </c>
      <c r="D31" s="32" t="inlineStr">
        <is>
          <t>DECOLURE Satin Bed Sheets - 4 Piece Luxury Silky Queen Size Bedding Set - Softer Than Silk, Wrinkle-Free with 15” Deep Pocket Fitted Sheet, Perfect for Hair &amp; Skin, Gifts for Women (Rosewood)</t>
        </is>
      </c>
      <c r="E31" s="32" t="inlineStr">
        <is>
          <t>Queen</t>
        </is>
      </c>
      <c r="F31" s="32" t="inlineStr">
        <is>
          <t>Rosewood</t>
        </is>
      </c>
      <c r="G31" s="33" t="n"/>
      <c r="H31" s="32" t="n"/>
      <c r="I31" s="61" t="n">
        <v>47.99</v>
      </c>
      <c r="J31" s="62" t="inlineStr">
        <is>
          <t>2026-03-30</t>
        </is>
      </c>
      <c r="K31" s="33" t="n">
        <v>20.2</v>
      </c>
      <c r="L31" s="63" t="n">
        <v>0.4209210252135861</v>
      </c>
      <c r="M31" s="64" t="n">
        <v>9</v>
      </c>
      <c r="N31" s="32" t="inlineStr">
        <is>
          <t>Active</t>
        </is>
      </c>
      <c r="O31" s="32" t="n"/>
      <c r="P31" s="65" t="n"/>
      <c r="Q31" s="64" t="n"/>
      <c r="R31" s="64" t="n"/>
      <c r="S31" s="64" t="n"/>
      <c r="T31" s="32" t="n"/>
    </row>
    <row r="32" ht="62" customHeight="1">
      <c r="A32" s="10">
        <f>_xlfn.IMAGE("https://m.media-amazon.com/images/I/81b2FINCUgL.jpg")</f>
        <v/>
      </c>
      <c r="B32" s="32" t="inlineStr">
        <is>
          <t>B0CQRWSS2D</t>
        </is>
      </c>
      <c r="C32" s="32" t="inlineStr">
        <is>
          <t>SATIN-4PC-QUEEN-SAGE GREEN</t>
        </is>
      </c>
      <c r="D32" s="32" t="inlineStr">
        <is>
          <t>DECOLURE Satin Bed Sheets - 4 Piece Luxury Silky Queen Size Bedding Set - Softer Than Silk, Wrinkle-Free with 15” Deep Pocket Fitted Sheet, Perfect for Hair &amp; Skin, Gifts for Women (Sage Green)</t>
        </is>
      </c>
      <c r="E32" s="32" t="inlineStr">
        <is>
          <t>Queen</t>
        </is>
      </c>
      <c r="F32" s="32" t="inlineStr">
        <is>
          <t>Sage Green</t>
        </is>
      </c>
      <c r="G32" s="33" t="n"/>
      <c r="H32" s="32" t="n"/>
      <c r="I32" s="61" t="n">
        <v>47.99</v>
      </c>
      <c r="J32" s="62" t="inlineStr">
        <is>
          <t>2026-03-30</t>
        </is>
      </c>
      <c r="K32" s="33" t="n">
        <v>22.19</v>
      </c>
      <c r="L32" s="63" t="n">
        <v>0.462387997499479</v>
      </c>
      <c r="M32" s="64" t="n">
        <v>9</v>
      </c>
      <c r="N32" s="32" t="inlineStr">
        <is>
          <t>Active</t>
        </is>
      </c>
      <c r="O32" s="32" t="n"/>
      <c r="P32" s="65" t="n"/>
      <c r="Q32" s="64" t="n"/>
      <c r="R32" s="64" t="n"/>
      <c r="S32" s="64" t="n"/>
      <c r="T32" s="32" t="n"/>
    </row>
    <row r="33" ht="62" customHeight="1">
      <c r="A33" s="10">
        <f>_xlfn.IMAGE("https://m.media-amazon.com/images/I/813j5CwQxPL.jpg")</f>
        <v/>
      </c>
      <c r="B33" s="32" t="inlineStr">
        <is>
          <t>B0CQRYGLY3</t>
        </is>
      </c>
      <c r="C33" s="32" t="inlineStr">
        <is>
          <t>SATIN-4PC-FULL-NAVY BLUE</t>
        </is>
      </c>
      <c r="D33" s="32" t="inlineStr">
        <is>
          <t>DECOLURE Satin Bed Sheets - 4 Piece Luxury Silky Full Size Bedding Set - Softer Than Silk, Wrinkle-Free with 15” Deep Pocket Fitted Sheet, Perfect for Hair &amp; Skin, Gifts for Women (Navy Blue)</t>
        </is>
      </c>
      <c r="E33" s="32" t="inlineStr">
        <is>
          <t>Full</t>
        </is>
      </c>
      <c r="F33" s="32" t="inlineStr">
        <is>
          <t>Navy Blue</t>
        </is>
      </c>
      <c r="G33" s="33" t="n"/>
      <c r="H33" s="32" t="n"/>
      <c r="I33" s="61" t="n">
        <v>44.99</v>
      </c>
      <c r="J33" s="62" t="inlineStr">
        <is>
          <t>2026-03-30</t>
        </is>
      </c>
      <c r="K33" s="33" t="n">
        <v>21.01</v>
      </c>
      <c r="L33" s="63" t="n">
        <v>0.4669926650366747</v>
      </c>
      <c r="M33" s="64" t="n">
        <v>8</v>
      </c>
      <c r="N33" s="32" t="inlineStr">
        <is>
          <t>Active</t>
        </is>
      </c>
      <c r="O33" s="32" t="n"/>
      <c r="P33" s="65" t="n"/>
      <c r="Q33" s="64" t="n"/>
      <c r="R33" s="64" t="n"/>
      <c r="S33" s="64" t="n"/>
      <c r="T33" s="32" t="n"/>
    </row>
    <row r="34" ht="62" customHeight="1">
      <c r="A34" s="10">
        <f>_xlfn.IMAGE("https://m.media-amazon.com/images/I/81gmHuZbW4L.jpg")</f>
        <v/>
      </c>
      <c r="B34" s="32" t="inlineStr">
        <is>
          <t>B08KRNYD9B</t>
        </is>
      </c>
      <c r="C34" s="32" t="inlineStr">
        <is>
          <t>SATIN-WHITE-FULL</t>
        </is>
      </c>
      <c r="D34" s="32" t="inlineStr">
        <is>
          <t>DECOLURE Satin Bed Sheets - 4 Piece Luxury Silky Full Size Bedding Set - Softer Than Silk, Wrinkle-Free with 15” Deep Pocket Fitted Sheet, Perfect for Hair &amp; Skin, Gifts for Women (White)</t>
        </is>
      </c>
      <c r="E34" s="32" t="inlineStr">
        <is>
          <t>Full</t>
        </is>
      </c>
      <c r="F34" s="32" t="inlineStr">
        <is>
          <t>White</t>
        </is>
      </c>
      <c r="G34" s="33" t="n"/>
      <c r="H34" s="32" t="n"/>
      <c r="I34" s="61" t="n">
        <v>44.99</v>
      </c>
      <c r="J34" s="62" t="inlineStr">
        <is>
          <t>2026-03-30</t>
        </is>
      </c>
      <c r="K34" s="33" t="n">
        <v>21</v>
      </c>
      <c r="L34" s="63" t="n">
        <v>0.4667703934207602</v>
      </c>
      <c r="M34" s="64" t="n">
        <v>8</v>
      </c>
      <c r="N34" s="32" t="inlineStr">
        <is>
          <t>Active</t>
        </is>
      </c>
      <c r="O34" s="32" t="n"/>
      <c r="P34" s="65" t="n"/>
      <c r="Q34" s="64" t="n"/>
      <c r="R34" s="64" t="n"/>
      <c r="S34" s="64" t="n"/>
      <c r="T34" s="32" t="n"/>
    </row>
    <row r="35" ht="62" customHeight="1">
      <c r="A35" s="10">
        <f>_xlfn.IMAGE("https://m.media-amazon.com/images/I/81Bv43jZjZL.jpg")</f>
        <v/>
      </c>
      <c r="B35" s="32" t="inlineStr">
        <is>
          <t>B09G6LBXRX</t>
        </is>
      </c>
      <c r="C35" s="32" t="inlineStr">
        <is>
          <t>SATIN-STRIPE-QUEEN-BLACK</t>
        </is>
      </c>
      <c r="D35" s="32" t="inlineStr">
        <is>
          <t>DECOLURE Satin Bed Sheets - 4 Piece Luxury Silky Queen Size Bedding Set - Softer Than Silk, Wrinkle-Free with 15” Deep Pocket Fitted Sheet, Perfect for Hair &amp; Skin, Gifts for Women (Striped Black)</t>
        </is>
      </c>
      <c r="E35" s="32" t="inlineStr">
        <is>
          <t>Queen</t>
        </is>
      </c>
      <c r="F35" s="32" t="inlineStr">
        <is>
          <t>Striped Black</t>
        </is>
      </c>
      <c r="G35" s="33" t="n"/>
      <c r="H35" s="32" t="n"/>
      <c r="I35" s="61" t="n">
        <v>47.99</v>
      </c>
      <c r="J35" s="62" t="inlineStr">
        <is>
          <t>2026-03-30</t>
        </is>
      </c>
      <c r="K35" s="33" t="n">
        <v>20.31</v>
      </c>
      <c r="L35" s="63" t="n">
        <v>0.4232131694102936</v>
      </c>
      <c r="M35" s="64" t="n">
        <v>8</v>
      </c>
      <c r="N35" s="32" t="inlineStr">
        <is>
          <t>Active</t>
        </is>
      </c>
      <c r="O35" s="32" t="n"/>
      <c r="P35" s="65" t="n"/>
      <c r="Q35" s="64" t="n"/>
      <c r="R35" s="64" t="n"/>
      <c r="S35" s="64" t="n"/>
      <c r="T35" s="32" t="n"/>
    </row>
    <row r="36" ht="62" customHeight="1">
      <c r="A36" s="10">
        <f>_xlfn.IMAGE("https://m.media-amazon.com/images/I/81Yn7rZGUhL.jpg")</f>
        <v/>
      </c>
      <c r="B36" s="32" t="inlineStr">
        <is>
          <t>B0839LKZV9</t>
        </is>
      </c>
      <c r="C36" s="32" t="inlineStr">
        <is>
          <t>SATIN-KING-PURPLE</t>
        </is>
      </c>
      <c r="D36" s="32" t="inlineStr">
        <is>
          <t>DECOLURE Satin Bed Sheets - 4 Piece Luxury Silky King Size Bedding Set - Softer Than Silk, Wrinkle-Free with 15” Deep Pocket Fitted Sheet, Perfect for Hair &amp; Skin, Gifts for Women (Purple)</t>
        </is>
      </c>
      <c r="E36" s="32" t="inlineStr">
        <is>
          <t>King</t>
        </is>
      </c>
      <c r="F36" s="32" t="inlineStr">
        <is>
          <t>Purple</t>
        </is>
      </c>
      <c r="G36" s="33" t="n"/>
      <c r="H36" s="32" t="n"/>
      <c r="I36" s="61" t="n">
        <v>34.39</v>
      </c>
      <c r="J36" s="62" t="inlineStr">
        <is>
          <t>2026-03-22</t>
        </is>
      </c>
      <c r="K36" s="33" t="n">
        <v>7.900000000000002</v>
      </c>
      <c r="L36" s="63" t="n">
        <v>0.2297179412619949</v>
      </c>
      <c r="M36" s="64" t="n">
        <v>7</v>
      </c>
      <c r="N36" s="32" t="inlineStr">
        <is>
          <t>Active</t>
        </is>
      </c>
      <c r="O36" s="32" t="n"/>
      <c r="P36" s="65" t="n"/>
      <c r="Q36" s="64" t="n"/>
      <c r="R36" s="64" t="n"/>
      <c r="S36" s="64" t="n"/>
      <c r="T36" s="32" t="n"/>
    </row>
    <row r="37" ht="62" customHeight="1">
      <c r="A37" s="10">
        <f>_xlfn.IMAGE("https://m.media-amazon.com/images/I/81xinUykzIL.jpg")</f>
        <v/>
      </c>
      <c r="B37" s="32" t="inlineStr">
        <is>
          <t>B0BG1YXQGT</t>
        </is>
      </c>
      <c r="C37" s="32" t="inlineStr">
        <is>
          <t>SATIN-IVORY-QUEEN</t>
        </is>
      </c>
      <c r="D37" s="32" t="inlineStr">
        <is>
          <t>DECOLURE Satin Bed Sheets - 4 Piece Luxury Silky Queen Size Bedding Set - Softer Than Silk, Wrinkle-Free with 15” Deep Pocket Fitted Sheet, Perfect for Hair &amp; Skin, Gifts for Women (Ivory)</t>
        </is>
      </c>
      <c r="E37" s="32" t="inlineStr">
        <is>
          <t>Queen</t>
        </is>
      </c>
      <c r="F37" s="32" t="inlineStr">
        <is>
          <t>Ivory</t>
        </is>
      </c>
      <c r="G37" s="33" t="n"/>
      <c r="H37" s="32" t="n"/>
      <c r="I37" s="61" t="n">
        <v>28.34</v>
      </c>
      <c r="J37" s="62" t="inlineStr">
        <is>
          <t>2026-03-22</t>
        </is>
      </c>
      <c r="K37" s="33" t="n">
        <v>5.41</v>
      </c>
      <c r="L37" s="63" t="n">
        <v>0.1908962597035991</v>
      </c>
      <c r="M37" s="64" t="n">
        <v>7</v>
      </c>
      <c r="N37" s="32" t="inlineStr">
        <is>
          <t>Active</t>
        </is>
      </c>
      <c r="O37" s="32" t="n"/>
      <c r="P37" s="65" t="n"/>
      <c r="Q37" s="64" t="n"/>
      <c r="R37" s="64" t="n"/>
      <c r="S37" s="64" t="n"/>
      <c r="T37" s="32" t="n"/>
    </row>
    <row r="38" ht="62" customHeight="1">
      <c r="A38" s="10">
        <f>_xlfn.IMAGE("https://m.media-amazon.com/images/I/81-wlwJoLcL.jpg")</f>
        <v/>
      </c>
      <c r="B38" s="32" t="inlineStr">
        <is>
          <t>B09G6KCTXW</t>
        </is>
      </c>
      <c r="C38" s="32" t="inlineStr">
        <is>
          <t>SATIN-STRIPE-QUEEN-RED</t>
        </is>
      </c>
      <c r="D38" s="32" t="inlineStr">
        <is>
          <t>DECOLURE Satin Bed Sheets - 4 Piece Luxury Silky Queen Size Bedding Set - Softer Than Silk, Wrinkle-Free with 15” Deep Pocket Fitted Sheet, Perfect for Hair &amp; Skin, Gifts for Women (Striped Red)</t>
        </is>
      </c>
      <c r="E38" s="32" t="inlineStr">
        <is>
          <t>Queen</t>
        </is>
      </c>
      <c r="F38" s="32" t="inlineStr">
        <is>
          <t>Striped Red</t>
        </is>
      </c>
      <c r="G38" s="33" t="n"/>
      <c r="H38" s="32" t="n"/>
      <c r="I38" s="61" t="n">
        <v>47.99</v>
      </c>
      <c r="J38" s="62" t="inlineStr">
        <is>
          <t>2026-03-30</t>
        </is>
      </c>
      <c r="K38" s="33" t="n">
        <v>21.1</v>
      </c>
      <c r="L38" s="63" t="n">
        <v>0.4396749322775577</v>
      </c>
      <c r="M38" s="64" t="n">
        <v>7</v>
      </c>
      <c r="N38" s="32" t="inlineStr">
        <is>
          <t>Active</t>
        </is>
      </c>
      <c r="O38" s="32" t="n"/>
      <c r="P38" s="65" t="n"/>
      <c r="Q38" s="64" t="n"/>
      <c r="R38" s="64" t="n"/>
      <c r="S38" s="64" t="n"/>
      <c r="T38" s="32" t="n"/>
    </row>
    <row r="39" ht="62" customHeight="1">
      <c r="A39" s="10">
        <f>_xlfn.IMAGE("https://m.media-amazon.com/images/I/81YR0C1cluL.jpg")</f>
        <v/>
      </c>
      <c r="B39" s="32" t="inlineStr">
        <is>
          <t>B0839LVHL1</t>
        </is>
      </c>
      <c r="C39" s="32" t="inlineStr">
        <is>
          <t>SATIN-TWIN-PINK</t>
        </is>
      </c>
      <c r="D39" s="32" t="inlineStr">
        <is>
          <t>DECOLURE Satin Bed Sheets - 3 Piece Luxury Silky Twin Size Bedding Set - Softer Than Silk, Wrinkle-Free with 15” Deep Pocket Fitted Sheet, Perfect for Hair &amp; Skin, Gifts for Women (Pink)</t>
        </is>
      </c>
      <c r="E39" s="32" t="inlineStr">
        <is>
          <t>Twin</t>
        </is>
      </c>
      <c r="F39" s="32" t="inlineStr">
        <is>
          <t>Pink</t>
        </is>
      </c>
      <c r="G39" s="33" t="n"/>
      <c r="H39" s="32" t="n"/>
      <c r="I39" s="61" t="n">
        <v>39.99</v>
      </c>
      <c r="J39" s="62" t="inlineStr">
        <is>
          <t>2026-03-30</t>
        </is>
      </c>
      <c r="K39" s="33" t="n">
        <v>17.31</v>
      </c>
      <c r="L39" s="63" t="n">
        <v>0.4328582145536384</v>
      </c>
      <c r="M39" s="64" t="n">
        <v>7</v>
      </c>
      <c r="N39" s="32" t="inlineStr">
        <is>
          <t>Active</t>
        </is>
      </c>
      <c r="O39" s="32" t="n"/>
      <c r="P39" s="65" t="n"/>
      <c r="Q39" s="64" t="n"/>
      <c r="R39" s="64" t="n"/>
      <c r="S39" s="64" t="n"/>
      <c r="T39" s="32" t="n"/>
    </row>
    <row r="40" ht="62" customHeight="1">
      <c r="A40" s="10">
        <f>_xlfn.IMAGE("https://m.media-amazon.com/images/I/81owOVQLwdL.jpg")</f>
        <v/>
      </c>
      <c r="B40" s="32" t="inlineStr">
        <is>
          <t>B0CQRY9WLD</t>
        </is>
      </c>
      <c r="C40" s="32" t="inlineStr">
        <is>
          <t>SATIN-4PC-FULL-BABY BLUE</t>
        </is>
      </c>
      <c r="D40" s="32" t="inlineStr">
        <is>
          <t>DECOLURE Satin Bed Sheets - 4 Piece Luxury Silky Full Size Bedding Set - Softer Than Silk, Wrinkle-Free with 15” Deep Pocket Fitted Sheet, Perfect for Hair &amp; Skin, Gifts for Women (Baby Blue)</t>
        </is>
      </c>
      <c r="E40" s="32" t="inlineStr">
        <is>
          <t>Full</t>
        </is>
      </c>
      <c r="F40" s="32" t="inlineStr">
        <is>
          <t>Baby Blue</t>
        </is>
      </c>
      <c r="G40" s="33" t="n"/>
      <c r="H40" s="32" t="n"/>
      <c r="I40" s="61" t="n">
        <v>44.99</v>
      </c>
      <c r="J40" s="62" t="inlineStr">
        <is>
          <t>2026-03-30</t>
        </is>
      </c>
      <c r="K40" s="33" t="n">
        <v>20.6</v>
      </c>
      <c r="L40" s="63" t="n">
        <v>0.4578795287841743</v>
      </c>
      <c r="M40" s="64" t="n">
        <v>6</v>
      </c>
      <c r="N40" s="32" t="inlineStr">
        <is>
          <t>Active</t>
        </is>
      </c>
      <c r="O40" s="32" t="n"/>
      <c r="P40" s="65" t="n"/>
      <c r="Q40" s="64" t="n"/>
      <c r="R40" s="64" t="n"/>
      <c r="S40" s="64" t="n"/>
      <c r="T40" s="32" t="n"/>
    </row>
    <row r="41" ht="62" customHeight="1">
      <c r="A41" s="10">
        <f>_xlfn.IMAGE("https://m.media-amazon.com/images/I/813j5CwQxPL.jpg")</f>
        <v/>
      </c>
      <c r="B41" s="32" t="inlineStr">
        <is>
          <t>B0CQRXNLN6</t>
        </is>
      </c>
      <c r="C41" s="32" t="inlineStr">
        <is>
          <t>SATIN-4PC-KING-NAVY BLUE</t>
        </is>
      </c>
      <c r="D41" s="32" t="inlineStr">
        <is>
          <t>DECOLURE Satin Bed Sheets - 4 Piece Luxury Silky King Size Bedding Set - Softer Than Silk, Wrinkle-Free with 15” Deep Pocket Fitted Sheet, Perfect for Hair &amp; Skin, Gifts for Women (Navy Blue)</t>
        </is>
      </c>
      <c r="E41" s="32" t="inlineStr">
        <is>
          <t>King</t>
        </is>
      </c>
      <c r="F41" s="32" t="inlineStr">
        <is>
          <t>Navy Blue</t>
        </is>
      </c>
      <c r="G41" s="33" t="n"/>
      <c r="H41" s="32" t="n"/>
      <c r="I41" s="61" t="n">
        <v>52.99</v>
      </c>
      <c r="J41" s="62" t="inlineStr">
        <is>
          <t>2026-03-30</t>
        </is>
      </c>
      <c r="K41" s="33" t="n">
        <v>24.08</v>
      </c>
      <c r="L41" s="63" t="n">
        <v>0.4544253632760898</v>
      </c>
      <c r="M41" s="64" t="n">
        <v>6</v>
      </c>
      <c r="N41" s="32" t="inlineStr">
        <is>
          <t>Active</t>
        </is>
      </c>
      <c r="O41" s="32" t="n"/>
      <c r="P41" s="65" t="n"/>
      <c r="Q41" s="64" t="n"/>
      <c r="R41" s="64" t="n"/>
      <c r="S41" s="64" t="n"/>
      <c r="T41" s="32" t="n"/>
    </row>
    <row r="42" ht="62" customHeight="1">
      <c r="A42" s="10">
        <f>_xlfn.IMAGE("https://m.media-amazon.com/images/I/81owOVQLwdL.jpg")</f>
        <v/>
      </c>
      <c r="B42" s="32" t="inlineStr">
        <is>
          <t>B0CQRXLH6M</t>
        </is>
      </c>
      <c r="C42" s="32" t="inlineStr">
        <is>
          <t>SATIN-4PC-QUEEN-BABY BLUE</t>
        </is>
      </c>
      <c r="D42" s="32" t="inlineStr">
        <is>
          <t>DECOLURE Satin Bed Sheets - 4 Piece Luxury Silky Queen Size Bedding Set - Softer Than Silk, Wrinkle-Free with 15” Deep Pocket Fitted Sheet, Perfect for Hair &amp; Skin, Gifts for Women (Baby Blue)</t>
        </is>
      </c>
      <c r="E42" s="32" t="inlineStr">
        <is>
          <t>Queen</t>
        </is>
      </c>
      <c r="F42" s="32" t="inlineStr">
        <is>
          <t>Baby Blue</t>
        </is>
      </c>
      <c r="G42" s="33" t="n"/>
      <c r="H42" s="32" t="n"/>
      <c r="I42" s="61" t="n">
        <v>47.99</v>
      </c>
      <c r="J42" s="62" t="inlineStr">
        <is>
          <t>2026-03-30</t>
        </is>
      </c>
      <c r="K42" s="33" t="n">
        <v>20.86</v>
      </c>
      <c r="L42" s="63" t="n">
        <v>0.434673890393832</v>
      </c>
      <c r="M42" s="64" t="n">
        <v>6</v>
      </c>
      <c r="N42" s="32" t="inlineStr">
        <is>
          <t>Active</t>
        </is>
      </c>
      <c r="O42" s="32" t="n"/>
      <c r="P42" s="65" t="n"/>
      <c r="Q42" s="64" t="n"/>
      <c r="R42" s="64" t="n"/>
      <c r="S42" s="64" t="n"/>
      <c r="T42" s="32" t="n"/>
    </row>
    <row r="43" ht="62" customHeight="1">
      <c r="A43" s="10">
        <f>_xlfn.IMAGE("https://m.media-amazon.com/images/I/81Omquwv1WL.jpg")</f>
        <v/>
      </c>
      <c r="B43" s="32" t="inlineStr">
        <is>
          <t>B0CQRXKRPN</t>
        </is>
      </c>
      <c r="C43" s="32" t="inlineStr">
        <is>
          <t>SATIN-4PC-QUEEN-LAVENDER</t>
        </is>
      </c>
      <c r="D43" s="32" t="inlineStr">
        <is>
          <t>DECOLURE Satin Bed Sheets - 4 Piece Luxury Silky Queen Size Bedding Set - Softer Than Silk, Wrinkle-Free with 15” Deep Pocket Fitted Sheet, Perfect for Hair &amp; Skin, Gifts for Women (Lavender)</t>
        </is>
      </c>
      <c r="E43" s="32" t="inlineStr">
        <is>
          <t>Queen</t>
        </is>
      </c>
      <c r="F43" s="32" t="inlineStr">
        <is>
          <t>Lavender</t>
        </is>
      </c>
      <c r="G43" s="33" t="n"/>
      <c r="H43" s="32" t="n"/>
      <c r="I43" s="61" t="n">
        <v>58.81</v>
      </c>
      <c r="J43" s="62" t="inlineStr">
        <is>
          <t>2026-03-30</t>
        </is>
      </c>
      <c r="K43" s="33" t="n">
        <v>31.42</v>
      </c>
      <c r="L43" s="63" t="n">
        <v>0.5342628804625064</v>
      </c>
      <c r="M43" s="64" t="n">
        <v>6</v>
      </c>
      <c r="N43" s="32" t="inlineStr">
        <is>
          <t>Active</t>
        </is>
      </c>
      <c r="O43" s="32" t="n"/>
      <c r="P43" s="65" t="n"/>
      <c r="Q43" s="64" t="n"/>
      <c r="R43" s="64" t="n"/>
      <c r="S43" s="64" t="n"/>
      <c r="T43" s="32" t="n"/>
    </row>
    <row r="44" ht="62" customHeight="1">
      <c r="A44" s="10">
        <f>_xlfn.IMAGE("https://m.media-amazon.com/images/I/81XsKf7Tk0L.jpg")</f>
        <v/>
      </c>
      <c r="B44" s="32" t="inlineStr">
        <is>
          <t>B0CV4D54FV</t>
        </is>
      </c>
      <c r="C44" s="32" t="inlineStr">
        <is>
          <t>SATIN-4PC-RED-QUEEN</t>
        </is>
      </c>
      <c r="D44" s="32" t="inlineStr">
        <is>
          <t>DECOLURE Satin Sheets Queen Size Set 4 Pcs - Silky &amp; Luxuriously Soft Satin Bed Sheets w/ 15 inch Deep Pocket - Double Stitching, Wrinkle Free (Red)</t>
        </is>
      </c>
      <c r="E44" s="32" t="inlineStr">
        <is>
          <t>Queen</t>
        </is>
      </c>
      <c r="F44" s="32" t="inlineStr">
        <is>
          <t>Red</t>
        </is>
      </c>
      <c r="G44" s="33" t="n"/>
      <c r="H44" s="32" t="n"/>
      <c r="I44" s="61" t="n">
        <v>47.99</v>
      </c>
      <c r="J44" s="62" t="inlineStr">
        <is>
          <t>2026-03-30</t>
        </is>
      </c>
      <c r="K44" s="33" t="n">
        <v>21.54</v>
      </c>
      <c r="L44" s="63" t="n">
        <v>0.4488435090643883</v>
      </c>
      <c r="M44" s="64" t="n">
        <v>6</v>
      </c>
      <c r="N44" s="32" t="inlineStr">
        <is>
          <t>Active</t>
        </is>
      </c>
      <c r="O44" s="32" t="n"/>
      <c r="P44" s="65" t="n"/>
      <c r="Q44" s="64" t="n"/>
      <c r="R44" s="64" t="n"/>
      <c r="S44" s="64" t="n"/>
      <c r="T44" s="32" t="n"/>
    </row>
    <row r="45" ht="62" customHeight="1">
      <c r="A45" s="10">
        <f>_xlfn.IMAGE("https://m.media-amazon.com/images/I/81hy0m4qaGL.jpg")</f>
        <v/>
      </c>
      <c r="B45" s="32" t="inlineStr">
        <is>
          <t>B09G6K328B</t>
        </is>
      </c>
      <c r="C45" s="32" t="inlineStr">
        <is>
          <t>SATIN-STRIPE-QUEEN-WHITE</t>
        </is>
      </c>
      <c r="D45" s="32" t="inlineStr">
        <is>
          <t>DECOLURE Satin Bed Sheets - 4 Piece Luxury Silky Queen Size Bedding Set - Softer Than Silk, Wrinkle-Free with 15” Deep Pocket Fitted Sheet, Perfect for Hair &amp; Skin, Gifts for Women (Striped White)</t>
        </is>
      </c>
      <c r="E45" s="32" t="inlineStr">
        <is>
          <t>Queen</t>
        </is>
      </c>
      <c r="F45" s="32" t="inlineStr">
        <is>
          <t>Striped White</t>
        </is>
      </c>
      <c r="G45" s="33" t="n"/>
      <c r="H45" s="32" t="n"/>
      <c r="I45" s="61" t="n">
        <v>47.99</v>
      </c>
      <c r="J45" s="62" t="inlineStr">
        <is>
          <t>2026-03-30</t>
        </is>
      </c>
      <c r="K45" s="33" t="n">
        <v>20.82</v>
      </c>
      <c r="L45" s="63" t="n">
        <v>0.4338403834132111</v>
      </c>
      <c r="M45" s="64" t="n">
        <v>6</v>
      </c>
      <c r="N45" s="32" t="inlineStr">
        <is>
          <t>Active</t>
        </is>
      </c>
      <c r="O45" s="32" t="n"/>
      <c r="P45" s="65" t="n"/>
      <c r="Q45" s="64" t="n"/>
      <c r="R45" s="64" t="n"/>
      <c r="S45" s="64" t="n"/>
      <c r="T45" s="32" t="n"/>
    </row>
    <row r="46" ht="62" customHeight="1">
      <c r="A46" s="10">
        <f>_xlfn.IMAGE("https://m.media-amazon.com/images/I/81RxsA0xn7L.jpg")</f>
        <v/>
      </c>
      <c r="B46" s="32" t="inlineStr">
        <is>
          <t>B0CV4D38W9</t>
        </is>
      </c>
      <c r="C46" s="32" t="inlineStr">
        <is>
          <t>SATIN-4PC-KING-GREY</t>
        </is>
      </c>
      <c r="D46" s="32" t="inlineStr">
        <is>
          <t>DECOLURE Satin Bed Sheets - 4 Piece Luxury Silky King Size Bedding Set - Softer Than Silk, Wrinkle-Free with 15” Deep Pocket Fitted Sheet, Perfect for Hair &amp; Skin, Gifts for Women (Grey-01)</t>
        </is>
      </c>
      <c r="E46" s="32" t="inlineStr">
        <is>
          <t>King</t>
        </is>
      </c>
      <c r="F46" s="32" t="inlineStr">
        <is>
          <t>Grey</t>
        </is>
      </c>
      <c r="G46" s="33" t="n"/>
      <c r="H46" s="32" t="n"/>
      <c r="I46" s="61" t="n">
        <v>52.99</v>
      </c>
      <c r="J46" s="62" t="inlineStr">
        <is>
          <t>2026-03-30</t>
        </is>
      </c>
      <c r="K46" s="33" t="n">
        <v>23.51</v>
      </c>
      <c r="L46" s="63" t="n">
        <v>0.4436686167201359</v>
      </c>
      <c r="M46" s="64" t="n">
        <v>5</v>
      </c>
      <c r="N46" s="32" t="inlineStr">
        <is>
          <t>Active</t>
        </is>
      </c>
      <c r="O46" s="32" t="n"/>
      <c r="P46" s="65" t="n"/>
      <c r="Q46" s="64" t="n"/>
      <c r="R46" s="64" t="n"/>
      <c r="S46" s="64" t="n"/>
      <c r="T46" s="32" t="n"/>
    </row>
    <row r="47" ht="62" customHeight="1">
      <c r="A47" s="10">
        <f>_xlfn.IMAGE("https://m.media-amazon.com/images/I/81pznhbbzLL.jpg")</f>
        <v/>
      </c>
      <c r="B47" s="32" t="inlineStr">
        <is>
          <t>B0BZPVZKVS</t>
        </is>
      </c>
      <c r="C47" s="32" t="inlineStr">
        <is>
          <t>SATIN-TAUPE-KING</t>
        </is>
      </c>
      <c r="D47" s="32" t="inlineStr">
        <is>
          <t>DECOLURE Satin Bed Sheets - 4 Piece Luxury Silky King Size Bedding Set - Softer Than Silk, Wrinkle-Free with 15” Deep Pocket Fitted Sheet, Perfect for Hair &amp; Skin, Gifts for Women (Taupe)</t>
        </is>
      </c>
      <c r="E47" s="32" t="inlineStr">
        <is>
          <t>King</t>
        </is>
      </c>
      <c r="F47" s="32" t="inlineStr">
        <is>
          <t>Taupe</t>
        </is>
      </c>
      <c r="G47" s="33" t="n"/>
      <c r="H47" s="32" t="n"/>
      <c r="I47" s="61" t="n">
        <v>52.99</v>
      </c>
      <c r="J47" s="62" t="inlineStr">
        <is>
          <t>2026-03-30</t>
        </is>
      </c>
      <c r="K47" s="33" t="n">
        <v>23.02</v>
      </c>
      <c r="L47" s="63" t="n">
        <v>0.4344215889790528</v>
      </c>
      <c r="M47" s="64" t="n">
        <v>5</v>
      </c>
      <c r="N47" s="32" t="inlineStr">
        <is>
          <t>Inactive</t>
        </is>
      </c>
      <c r="O47" s="32" t="n"/>
      <c r="P47" s="65" t="n"/>
      <c r="Q47" s="64" t="n"/>
      <c r="R47" s="64" t="n"/>
      <c r="S47" s="64" t="n"/>
      <c r="T47" s="32" t="n"/>
    </row>
    <row r="48" ht="62" customHeight="1">
      <c r="A48" s="10">
        <f>_xlfn.IMAGE("https://m.media-amazon.com/images/I/81NOa451cTL.jpg")</f>
        <v/>
      </c>
      <c r="B48" s="32" t="inlineStr">
        <is>
          <t>B08KRW2BX3</t>
        </is>
      </c>
      <c r="C48" s="32" t="inlineStr">
        <is>
          <t>SATIN-GOLD-QUEEN</t>
        </is>
      </c>
      <c r="D48" s="32" t="inlineStr">
        <is>
          <t>DECOLURE Satin Bed Sheets - 4 Piece Luxury Silky Queen Size Bedding Set - Softer Than Silk, Wrinkle-Free with 15” Deep Pocket Fitted Sheet, Perfect for Hair &amp; Skin, Gifts for Women (Gold)</t>
        </is>
      </c>
      <c r="E48" s="32" t="inlineStr">
        <is>
          <t>Queen</t>
        </is>
      </c>
      <c r="F48" s="32" t="inlineStr">
        <is>
          <t>Gold</t>
        </is>
      </c>
      <c r="G48" s="33" t="n"/>
      <c r="H48" s="32" t="n"/>
      <c r="I48" s="61" t="n">
        <v>47.99</v>
      </c>
      <c r="J48" s="62" t="inlineStr">
        <is>
          <t>2026-03-30</t>
        </is>
      </c>
      <c r="K48" s="33" t="n">
        <v>22.02</v>
      </c>
      <c r="L48" s="63" t="n">
        <v>0.4588455928318398</v>
      </c>
      <c r="M48" s="64" t="n">
        <v>5</v>
      </c>
      <c r="N48" s="32" t="inlineStr">
        <is>
          <t>Active</t>
        </is>
      </c>
      <c r="O48" s="32" t="n"/>
      <c r="P48" s="65" t="n"/>
      <c r="Q48" s="64" t="n"/>
      <c r="R48" s="64" t="n"/>
      <c r="S48" s="64" t="n"/>
      <c r="T48" s="32" t="n"/>
    </row>
    <row r="49" ht="62" customHeight="1">
      <c r="A49" s="10">
        <f>_xlfn.IMAGE("https://m.media-amazon.com/images/I/813j5CwQxPL.jpg")</f>
        <v/>
      </c>
      <c r="B49" s="32" t="inlineStr">
        <is>
          <t>B0CQRXDZYF</t>
        </is>
      </c>
      <c r="C49" s="32" t="inlineStr">
        <is>
          <t>SATIN-4PC-QUEEN-NAVY BLUE</t>
        </is>
      </c>
      <c r="D49" s="32" t="inlineStr">
        <is>
          <t>DECOLURE Satin Bed Sheets - 4 Piece Luxury Silky Queen Size Bedding Set - Softer Than Silk, Wrinkle-Free with 15” Deep Pocket Fitted Sheet, Perfect for Hair &amp; Skin, Gifts for Women (Navy Blue)</t>
        </is>
      </c>
      <c r="E49" s="32" t="inlineStr">
        <is>
          <t>Queen</t>
        </is>
      </c>
      <c r="F49" s="32" t="inlineStr">
        <is>
          <t>Navy Blue</t>
        </is>
      </c>
      <c r="G49" s="33" t="n"/>
      <c r="H49" s="32" t="n"/>
      <c r="I49" s="61" t="n">
        <v>58.65</v>
      </c>
      <c r="J49" s="62" t="inlineStr">
        <is>
          <t>2026-03-30</t>
        </is>
      </c>
      <c r="K49" s="33" t="n">
        <v>24.07</v>
      </c>
      <c r="L49" s="63" t="n">
        <v>0.4104006820119352</v>
      </c>
      <c r="M49" s="64" t="n">
        <v>5</v>
      </c>
      <c r="N49" s="32" t="inlineStr">
        <is>
          <t>Active</t>
        </is>
      </c>
      <c r="O49" s="32" t="n"/>
      <c r="P49" s="65" t="n"/>
      <c r="Q49" s="64" t="n"/>
      <c r="R49" s="64" t="n"/>
      <c r="S49" s="64" t="n"/>
      <c r="T49" s="32" t="n"/>
    </row>
    <row r="50" ht="62" customHeight="1">
      <c r="A50" s="10">
        <f>_xlfn.IMAGE("https://m.media-amazon.com/images/I/81wiiAf6okL.jpg")</f>
        <v/>
      </c>
      <c r="B50" s="32" t="inlineStr">
        <is>
          <t>B09G6L5ZW6</t>
        </is>
      </c>
      <c r="C50" s="32" t="inlineStr">
        <is>
          <t>SATIN-STRIPE-QUEEN-PURPLE</t>
        </is>
      </c>
      <c r="D50" s="32" t="inlineStr">
        <is>
          <t>DECOLURE Satin Bed Sheets - 4 Piece Luxury Silky Queen Size Bedding Set - Softer Than Silk, Wrinkle-Free with 15” Deep Pocket Fitted Sheet, Perfect for Hair &amp; Skin, Gifts for Women (Striped Purple)</t>
        </is>
      </c>
      <c r="E50" s="32" t="inlineStr">
        <is>
          <t>Queen</t>
        </is>
      </c>
      <c r="F50" s="32" t="inlineStr">
        <is>
          <t>Striped Purple</t>
        </is>
      </c>
      <c r="G50" s="33" t="n"/>
      <c r="H50" s="32" t="n"/>
      <c r="I50" s="61" t="n">
        <v>47.99</v>
      </c>
      <c r="J50" s="62" t="inlineStr">
        <is>
          <t>2026-03-30</t>
        </is>
      </c>
      <c r="K50" s="33" t="n">
        <v>20.07</v>
      </c>
      <c r="L50" s="63" t="n">
        <v>0.418212127526568</v>
      </c>
      <c r="M50" s="64" t="n">
        <v>5</v>
      </c>
      <c r="N50" s="32" t="inlineStr">
        <is>
          <t>Inactive</t>
        </is>
      </c>
      <c r="O50" s="32" t="n"/>
      <c r="P50" s="65" t="n"/>
      <c r="Q50" s="64" t="n"/>
      <c r="R50" s="64" t="n"/>
      <c r="S50" s="64" t="n"/>
      <c r="T50" s="32" t="n"/>
    </row>
    <row r="51" ht="62" customHeight="1">
      <c r="A51" s="10">
        <f>_xlfn.IMAGE("https://m.media-amazon.com/images/I/817oa7VO10L.jpg")</f>
        <v/>
      </c>
      <c r="B51" s="32" t="inlineStr">
        <is>
          <t>B0CQRXM35T</t>
        </is>
      </c>
      <c r="C51" s="32" t="inlineStr">
        <is>
          <t>SATIN-3PC-TWIN-BABY BLUE</t>
        </is>
      </c>
      <c r="D51" s="32" t="inlineStr">
        <is>
          <t>DECOLURE Satin Bed Sheets - 3 Piece Luxury Silky Twin Size Bedding Set - Softer Than Silk, Wrinkle-Free with 15” Deep Pocket Fitted Sheet, Perfect for Hair &amp; Skin, Gifts for Women (Baby Blue)</t>
        </is>
      </c>
      <c r="E51" s="32" t="inlineStr">
        <is>
          <t>Twin</t>
        </is>
      </c>
      <c r="F51" s="32" t="inlineStr">
        <is>
          <t>Baby Blue</t>
        </is>
      </c>
      <c r="G51" s="33" t="n"/>
      <c r="H51" s="32" t="n"/>
      <c r="I51" s="61" t="n">
        <v>28.79</v>
      </c>
      <c r="J51" s="62" t="inlineStr">
        <is>
          <t>2026-03-30</t>
        </is>
      </c>
      <c r="K51" s="33" t="n">
        <v>7.549999999999999</v>
      </c>
      <c r="L51" s="63" t="n">
        <v>0.2622438346648142</v>
      </c>
      <c r="M51" s="64" t="n">
        <v>5</v>
      </c>
      <c r="N51" s="32" t="inlineStr">
        <is>
          <t>Active</t>
        </is>
      </c>
      <c r="O51" s="32" t="n"/>
      <c r="P51" s="65" t="n"/>
      <c r="Q51" s="64" t="n"/>
      <c r="R51" s="64" t="n"/>
      <c r="S51" s="64" t="n"/>
      <c r="T51" s="32" t="n"/>
    </row>
    <row r="52" ht="62" customHeight="1">
      <c r="A52" s="10">
        <f>_xlfn.IMAGE("https://m.media-amazon.com/images/I/81O3uGmaMWL.jpg")</f>
        <v/>
      </c>
      <c r="B52" s="32" t="inlineStr">
        <is>
          <t>B0CQRZ6KRR</t>
        </is>
      </c>
      <c r="C52" s="32" t="inlineStr">
        <is>
          <t>SATIN-3PC-TWIN-NAVY BLUE</t>
        </is>
      </c>
      <c r="D52" s="32" t="inlineStr">
        <is>
          <t>DECOLURE Satin Bed Sheets - 3 Piece Luxury Silky Twin Size Bedding Set - Softer Than Silk, Wrinkle-Free with 15” Deep Pocket Fitted Sheet, Perfect for Hair &amp; Skin, Gifts for Women (Navy Blue)</t>
        </is>
      </c>
      <c r="E52" s="32" t="inlineStr">
        <is>
          <t>Twin</t>
        </is>
      </c>
      <c r="F52" s="32" t="inlineStr">
        <is>
          <t>Navy Blue</t>
        </is>
      </c>
      <c r="G52" s="33" t="n"/>
      <c r="H52" s="32" t="n"/>
      <c r="I52" s="61" t="n">
        <v>39.99</v>
      </c>
      <c r="J52" s="62" t="inlineStr">
        <is>
          <t>2026-03-30</t>
        </is>
      </c>
      <c r="K52" s="33" t="n">
        <v>18.34</v>
      </c>
      <c r="L52" s="63" t="n">
        <v>0.4586146536634159</v>
      </c>
      <c r="M52" s="64" t="n">
        <v>5</v>
      </c>
      <c r="N52" s="32" t="inlineStr">
        <is>
          <t>Active</t>
        </is>
      </c>
      <c r="O52" s="32" t="n"/>
      <c r="P52" s="65" t="n"/>
      <c r="Q52" s="64" t="n"/>
      <c r="R52" s="64" t="n"/>
      <c r="S52" s="64" t="n"/>
      <c r="T52" s="32" t="n"/>
    </row>
    <row r="53" ht="62" customHeight="1">
      <c r="A53" s="10">
        <f>_xlfn.IMAGE("https://m.media-amazon.com/images/I/814U4uyFqnL.jpg")</f>
        <v/>
      </c>
      <c r="B53" s="32" t="inlineStr">
        <is>
          <t>B0CQRX2Z2G</t>
        </is>
      </c>
      <c r="C53" s="32" t="inlineStr">
        <is>
          <t>SATIN-4PC-FULL-DARK GREEN</t>
        </is>
      </c>
      <c r="D53" s="32" t="inlineStr">
        <is>
          <t>DECOLURE Satin Bed Sheets - 4 Piece Luxury Silky Full Size Bedding Set - Softer Than Silk, Wrinkle-Free with 15” Deep Pocket Fitted Sheet, Perfect for Hair &amp; Skin, Gifts for Women (Dark Green)</t>
        </is>
      </c>
      <c r="E53" s="32" t="inlineStr">
        <is>
          <t>Full</t>
        </is>
      </c>
      <c r="F53" s="32" t="inlineStr">
        <is>
          <t>Dark Green</t>
        </is>
      </c>
      <c r="G53" s="33" t="n"/>
      <c r="H53" s="32" t="n"/>
      <c r="I53" s="61" t="n">
        <v>44.99</v>
      </c>
      <c r="J53" s="62" t="inlineStr">
        <is>
          <t>2026-03-30</t>
        </is>
      </c>
      <c r="K53" s="33" t="n">
        <v>20.58</v>
      </c>
      <c r="L53" s="63" t="n">
        <v>0.4574349855523449</v>
      </c>
      <c r="M53" s="64" t="n">
        <v>4</v>
      </c>
      <c r="N53" s="32" t="inlineStr">
        <is>
          <t>Active</t>
        </is>
      </c>
      <c r="O53" s="32" t="n"/>
      <c r="P53" s="65" t="n"/>
      <c r="Q53" s="64" t="n"/>
      <c r="R53" s="64" t="n"/>
      <c r="S53" s="64" t="n"/>
      <c r="T53" s="32" t="n"/>
    </row>
    <row r="54" ht="62" customHeight="1">
      <c r="A54" s="10">
        <f>_xlfn.IMAGE("https://m.media-amazon.com/images/I/81VtFuMce8L.jpg")</f>
        <v/>
      </c>
      <c r="B54" s="32" t="inlineStr">
        <is>
          <t>B0839L5PDJ</t>
        </is>
      </c>
      <c r="C54" s="32" t="inlineStr">
        <is>
          <t>SATIN-KING-BLUE</t>
        </is>
      </c>
      <c r="D54" s="32" t="inlineStr">
        <is>
          <t>DECOLURE Satin Bed Sheets - 4 Piece Luxury Silky King Size Bedding Set - Softer Than Silk, Wrinkle-Free with 15” Deep Pocket Fitted Sheet, Perfect for Hair &amp; Skin, Gifts for Women (Blue)</t>
        </is>
      </c>
      <c r="E54" s="32" t="inlineStr">
        <is>
          <t>King</t>
        </is>
      </c>
      <c r="F54" s="32" t="inlineStr">
        <is>
          <t>Blue</t>
        </is>
      </c>
      <c r="G54" s="33" t="n"/>
      <c r="H54" s="32" t="n"/>
      <c r="I54" s="61" t="n">
        <v>52.99</v>
      </c>
      <c r="J54" s="62" t="inlineStr">
        <is>
          <t>2026-03-30</t>
        </is>
      </c>
      <c r="K54" s="33" t="n">
        <v>24.35</v>
      </c>
      <c r="L54" s="63" t="n">
        <v>0.4595206642762785</v>
      </c>
      <c r="M54" s="64" t="n">
        <v>4</v>
      </c>
      <c r="N54" s="32" t="inlineStr">
        <is>
          <t>Active</t>
        </is>
      </c>
      <c r="O54" s="32" t="n"/>
      <c r="P54" s="65" t="n"/>
      <c r="Q54" s="64" t="n"/>
      <c r="R54" s="64" t="n"/>
      <c r="S54" s="64" t="n"/>
      <c r="T54" s="32" t="n"/>
    </row>
    <row r="55" ht="62" customHeight="1">
      <c r="A55" s="10">
        <f>_xlfn.IMAGE("https://m.media-amazon.com/images/I/81zgEKHZOlL.jpg")</f>
        <v/>
      </c>
      <c r="B55" s="32" t="inlineStr">
        <is>
          <t>B0CNS9KLZR</t>
        </is>
      </c>
      <c r="C55" s="32" t="inlineStr">
        <is>
          <t>SATIN-KING-BLUSH PINK</t>
        </is>
      </c>
      <c r="D55" s="32" t="inlineStr">
        <is>
          <t>DECOLURE Satin Bed Sheets - 4 Piece Luxury Silky King Size Bedding Set - Softer Than Silk, Wrinkle-Free with 15” Deep Pocket Fitted Sheet, Perfect for Hair &amp; Skin, Gifts for Women (Blush Pink)</t>
        </is>
      </c>
      <c r="E55" s="32" t="inlineStr">
        <is>
          <t>King</t>
        </is>
      </c>
      <c r="F55" s="32" t="inlineStr">
        <is>
          <t>Blush Pink</t>
        </is>
      </c>
      <c r="G55" s="33" t="n"/>
      <c r="H55" s="32" t="n"/>
      <c r="I55" s="61" t="n">
        <v>52.99</v>
      </c>
      <c r="J55" s="62" t="inlineStr">
        <is>
          <t>2026-03-30</t>
        </is>
      </c>
      <c r="K55" s="33" t="n">
        <v>23.81</v>
      </c>
      <c r="L55" s="63" t="n">
        <v>0.449330062275901</v>
      </c>
      <c r="M55" s="64" t="n">
        <v>4</v>
      </c>
      <c r="N55" s="32" t="inlineStr">
        <is>
          <t>Active</t>
        </is>
      </c>
      <c r="O55" s="32" t="n"/>
      <c r="P55" s="65" t="n"/>
      <c r="Q55" s="64" t="n"/>
      <c r="R55" s="64" t="n"/>
      <c r="S55" s="64" t="n"/>
      <c r="T55" s="32" t="n"/>
    </row>
    <row r="56" ht="62" customHeight="1">
      <c r="A56" s="10">
        <f>_xlfn.IMAGE("https://m.media-amazon.com/images/I/81NiOUuge2L.jpg")</f>
        <v/>
      </c>
      <c r="B56" s="32" t="inlineStr">
        <is>
          <t>B0CQRXP69H</t>
        </is>
      </c>
      <c r="C56" s="32" t="inlineStr">
        <is>
          <t>SATIN-4PC-KING-BURNT ORANGE</t>
        </is>
      </c>
      <c r="D56" s="32" t="inlineStr">
        <is>
          <t>DECOLURE Satin Bed Sheets - 4 Piece Luxury Silky King Size Bedding Set - Softer Than Silk, Wrinkle-Free with 15” Deep Pocket Fitted Sheet, Perfect for Hair &amp; Skin, Gifts for Women (Burnt Orange)</t>
        </is>
      </c>
      <c r="E56" s="32" t="inlineStr">
        <is>
          <t>King</t>
        </is>
      </c>
      <c r="F56" s="32" t="inlineStr">
        <is>
          <t>Burnt Orange</t>
        </is>
      </c>
      <c r="G56" s="33" t="n"/>
      <c r="H56" s="32" t="n"/>
      <c r="I56" s="61" t="n">
        <v>52.99</v>
      </c>
      <c r="J56" s="62" t="inlineStr">
        <is>
          <t>2026-03-30</t>
        </is>
      </c>
      <c r="K56" s="33" t="n">
        <v>23.9</v>
      </c>
      <c r="L56" s="63" t="n">
        <v>0.4510284959426306</v>
      </c>
      <c r="M56" s="64" t="n">
        <v>4</v>
      </c>
      <c r="N56" s="32" t="inlineStr">
        <is>
          <t>Active</t>
        </is>
      </c>
      <c r="O56" s="32" t="n"/>
      <c r="P56" s="65" t="n"/>
      <c r="Q56" s="64" t="n"/>
      <c r="R56" s="64" t="n"/>
      <c r="S56" s="64" t="n"/>
      <c r="T56" s="32" t="n"/>
    </row>
    <row r="57" ht="62" customHeight="1">
      <c r="A57" s="10">
        <f>_xlfn.IMAGE("https://m.media-amazon.com/images/I/81zDJ9hFOlL.jpg")</f>
        <v/>
      </c>
      <c r="B57" s="32" t="inlineStr">
        <is>
          <t>B09G6K4M5V</t>
        </is>
      </c>
      <c r="C57" s="32" t="inlineStr">
        <is>
          <t>SATIN-STRIPE-KING-GOLD</t>
        </is>
      </c>
      <c r="D57" s="32" t="inlineStr">
        <is>
          <t>DECOLURE Satin Bed Sheets - 4 Piece Luxury Silky King Size Bedding Set - Softer Than Silk, Wrinkle-Free with 15” Deep Pocket Fitted Sheet, Perfect for Hair &amp; Skin, Gifts for Women (Striped Gold)</t>
        </is>
      </c>
      <c r="E57" s="32" t="inlineStr">
        <is>
          <t>King</t>
        </is>
      </c>
      <c r="F57" s="32" t="inlineStr">
        <is>
          <t>Striped Gold</t>
        </is>
      </c>
      <c r="G57" s="33" t="n"/>
      <c r="H57" s="32" t="n"/>
      <c r="I57" s="61" t="n">
        <v>52.99</v>
      </c>
      <c r="J57" s="62" t="inlineStr">
        <is>
          <t>2026-03-30</t>
        </is>
      </c>
      <c r="K57" s="33" t="n">
        <v>22.23999999999999</v>
      </c>
      <c r="L57" s="63" t="n">
        <v>0.4197018305340629</v>
      </c>
      <c r="M57" s="64" t="n">
        <v>4</v>
      </c>
      <c r="N57" s="32" t="inlineStr">
        <is>
          <t>Active</t>
        </is>
      </c>
      <c r="O57" s="32" t="n"/>
      <c r="P57" s="65" t="n"/>
      <c r="Q57" s="64" t="n"/>
      <c r="R57" s="64" t="n"/>
      <c r="S57" s="64" t="n"/>
      <c r="T57" s="32" t="n"/>
    </row>
    <row r="58" ht="62" customHeight="1">
      <c r="A58" s="10">
        <f>_xlfn.IMAGE("https://m.media-amazon.com/images/I/81NiOUuge2L.jpg")</f>
        <v/>
      </c>
      <c r="B58" s="32" t="inlineStr">
        <is>
          <t>B0CQRZ6JQ3</t>
        </is>
      </c>
      <c r="C58" s="32" t="inlineStr">
        <is>
          <t>SATIN-4PC-QUEEN-BURNT ORANGE</t>
        </is>
      </c>
      <c r="D58" s="32" t="inlineStr">
        <is>
          <t>DECOLURE Satin Bed Sheets - 4 Piece Luxury Silky Queen Size Bedding Set - Softer Than Silk, Wrinkle-Free with 15” Deep Pocket Fitted Sheet, Perfect for Hair &amp; Skin, Gifts for Women (Burnt Orange)</t>
        </is>
      </c>
      <c r="E58" s="32" t="inlineStr">
        <is>
          <t>Queen</t>
        </is>
      </c>
      <c r="F58" s="32" t="inlineStr">
        <is>
          <t>Burnt Orange</t>
        </is>
      </c>
      <c r="G58" s="33" t="n"/>
      <c r="H58" s="32" t="n"/>
      <c r="I58" s="61" t="n">
        <v>47.99</v>
      </c>
      <c r="J58" s="62" t="inlineStr">
        <is>
          <t>2026-03-30</t>
        </is>
      </c>
      <c r="K58" s="33" t="n">
        <v>22.26</v>
      </c>
      <c r="L58" s="63" t="n">
        <v>0.4638466347155657</v>
      </c>
      <c r="M58" s="64" t="n">
        <v>4</v>
      </c>
      <c r="N58" s="32" t="inlineStr">
        <is>
          <t>Active</t>
        </is>
      </c>
      <c r="O58" s="32" t="n"/>
      <c r="P58" s="65" t="n"/>
      <c r="Q58" s="64" t="n"/>
      <c r="R58" s="64" t="n"/>
      <c r="S58" s="64" t="n"/>
      <c r="T58" s="32" t="n"/>
    </row>
    <row r="59" ht="62" customHeight="1">
      <c r="A59" s="10">
        <f>_xlfn.IMAGE("https://m.media-amazon.com/images/I/81Owp6T1ibL.jpg")</f>
        <v/>
      </c>
      <c r="B59" s="32" t="inlineStr">
        <is>
          <t>B0BZPV84V7</t>
        </is>
      </c>
      <c r="C59" s="32" t="inlineStr">
        <is>
          <t>SATIN-CHAMPAGNE-QUEEN</t>
        </is>
      </c>
      <c r="D59" s="32" t="inlineStr">
        <is>
          <t>DECOLURE Satin Bed Sheets - 4 Piece Luxury Silky Queen Size Bedding Set - Softer Than Silk, Wrinkle-Free with 15” Deep Pocket Fitted Sheet, Perfect for Hair &amp; Skin, Gifts for Women (Champagne)</t>
        </is>
      </c>
      <c r="E59" s="32" t="inlineStr">
        <is>
          <t>Queen</t>
        </is>
      </c>
      <c r="F59" s="32" t="inlineStr">
        <is>
          <t>Champagne</t>
        </is>
      </c>
      <c r="G59" s="33" t="n"/>
      <c r="H59" s="32" t="n"/>
      <c r="I59" s="61" t="n">
        <v>47.99</v>
      </c>
      <c r="J59" s="62" t="inlineStr">
        <is>
          <t>2026-03-30</t>
        </is>
      </c>
      <c r="K59" s="33" t="n">
        <v>22.12</v>
      </c>
      <c r="L59" s="63" t="n">
        <v>0.4609293602833923</v>
      </c>
      <c r="M59" s="64" t="n">
        <v>4</v>
      </c>
      <c r="N59" s="32" t="inlineStr">
        <is>
          <t>Active</t>
        </is>
      </c>
      <c r="O59" s="32" t="n"/>
      <c r="P59" s="65" t="n"/>
      <c r="Q59" s="64" t="n"/>
      <c r="R59" s="64" t="n"/>
      <c r="S59" s="64" t="n"/>
      <c r="T59" s="32" t="n"/>
    </row>
    <row r="60" ht="62" customHeight="1">
      <c r="A60" s="10">
        <f>_xlfn.IMAGE("https://m.media-amazon.com/images/I/81CS7BCK-hL.jpg")</f>
        <v/>
      </c>
      <c r="B60" s="32" t="inlineStr">
        <is>
          <t>B0839KG4VY</t>
        </is>
      </c>
      <c r="C60" s="32" t="inlineStr">
        <is>
          <t>SATIN-TWIN-BLUE</t>
        </is>
      </c>
      <c r="D60" s="32" t="inlineStr">
        <is>
          <t>DECOLURE Satin Bed Sheets - 3 Piece Luxury Silky Twin Size Bedding Set - Softer Than Silk, Wrinkle-Free with 15” Deep Pocket Fitted Sheet, Perfect for Hair &amp; Skin, Gifts for Women (Blue)</t>
        </is>
      </c>
      <c r="E60" s="32" t="inlineStr">
        <is>
          <t>Twin</t>
        </is>
      </c>
      <c r="F60" s="32" t="inlineStr">
        <is>
          <t>Blue</t>
        </is>
      </c>
      <c r="G60" s="33" t="n"/>
      <c r="H60" s="32" t="n"/>
      <c r="I60" s="61" t="n">
        <v>28.79</v>
      </c>
      <c r="J60" s="62" t="inlineStr">
        <is>
          <t>2026-03-30</t>
        </is>
      </c>
      <c r="K60" s="33" t="n">
        <v>8.369999999999997</v>
      </c>
      <c r="L60" s="63" t="n">
        <v>0.2907259465092045</v>
      </c>
      <c r="M60" s="64" t="n">
        <v>4</v>
      </c>
      <c r="N60" s="32" t="inlineStr">
        <is>
          <t>Active</t>
        </is>
      </c>
      <c r="O60" s="32" t="n"/>
      <c r="P60" s="65" t="n"/>
      <c r="Q60" s="64" t="n"/>
      <c r="R60" s="64" t="n"/>
      <c r="S60" s="64" t="n"/>
      <c r="T60" s="32" t="n"/>
    </row>
    <row r="61" ht="62" customHeight="1">
      <c r="A61" s="10">
        <f>_xlfn.IMAGE("https://m.media-amazon.com/images/I/81rWdw-y40L.jpg")</f>
        <v/>
      </c>
      <c r="B61" s="32" t="inlineStr">
        <is>
          <t>B08KRS1K6H</t>
        </is>
      </c>
      <c r="C61" s="32" t="inlineStr">
        <is>
          <t>SATIN-WHITE-TWIN</t>
        </is>
      </c>
      <c r="D61" s="32" t="inlineStr">
        <is>
          <t>DECOLURE Satin Bed Sheets - 3 Piece Luxury Silky Twin Size Bedding Set - Softer Than Silk, Wrinkle-Free with 15” Deep Pocket Fitted Sheet, Perfect for Hair &amp; Skin, Gifts for Women (White)</t>
        </is>
      </c>
      <c r="E61" s="32" t="inlineStr">
        <is>
          <t>Twin</t>
        </is>
      </c>
      <c r="F61" s="32" t="inlineStr">
        <is>
          <t>White</t>
        </is>
      </c>
      <c r="G61" s="33" t="n"/>
      <c r="H61" s="32" t="n"/>
      <c r="I61" s="61" t="n">
        <v>39.99</v>
      </c>
      <c r="J61" s="62" t="inlineStr">
        <is>
          <t>2026-03-30</t>
        </is>
      </c>
      <c r="K61" s="33" t="n">
        <v>18.65</v>
      </c>
      <c r="L61" s="63" t="n">
        <v>0.466366591647912</v>
      </c>
      <c r="M61" s="64" t="n">
        <v>4</v>
      </c>
      <c r="N61" s="32" t="inlineStr">
        <is>
          <t>Active</t>
        </is>
      </c>
      <c r="O61" s="32" t="n"/>
      <c r="P61" s="65" t="n"/>
      <c r="Q61" s="64" t="n"/>
      <c r="R61" s="64" t="n"/>
      <c r="S61" s="64" t="n"/>
      <c r="T61" s="32" t="n"/>
    </row>
    <row r="62" ht="62" customHeight="1">
      <c r="A62" s="10">
        <f>_xlfn.IMAGE("https://m.media-amazon.com/images/I/81xinUykzIL.jpg")</f>
        <v/>
      </c>
      <c r="B62" s="32" t="inlineStr">
        <is>
          <t>B0BG22CYFP</t>
        </is>
      </c>
      <c r="C62" s="32" t="inlineStr">
        <is>
          <t>SATIN-IVORY-FULL</t>
        </is>
      </c>
      <c r="D62" s="32" t="inlineStr">
        <is>
          <t>DECOLURE Satin Bed Sheets - 4 Piece Luxury Silky Full Size Bedding Set - Softer Than Silk, Wrinkle-Free with 15” Deep Pocket Fitted Sheet, Perfect for Hair &amp; Skin, Gifts for Women (Ivory)</t>
        </is>
      </c>
      <c r="E62" s="32" t="inlineStr">
        <is>
          <t>Full</t>
        </is>
      </c>
      <c r="F62" s="32" t="inlineStr">
        <is>
          <t>Ivory</t>
        </is>
      </c>
      <c r="G62" s="33" t="n"/>
      <c r="H62" s="32" t="n"/>
      <c r="I62" s="61" t="n">
        <v>32.39</v>
      </c>
      <c r="J62" s="62" t="inlineStr">
        <is>
          <t>2026-03-22</t>
        </is>
      </c>
      <c r="K62" s="33" t="n">
        <v>9.879999999999999</v>
      </c>
      <c r="L62" s="63" t="n">
        <v>0.3050324174127817</v>
      </c>
      <c r="M62" s="64" t="n">
        <v>3</v>
      </c>
      <c r="N62" s="32" t="inlineStr">
        <is>
          <t>Active</t>
        </is>
      </c>
      <c r="O62" s="32" t="n"/>
      <c r="P62" s="65" t="n"/>
      <c r="Q62" s="64" t="n"/>
      <c r="R62" s="64" t="n"/>
      <c r="S62" s="64" t="n"/>
      <c r="T62" s="32" t="n"/>
    </row>
    <row r="63" ht="62" customHeight="1">
      <c r="A63" s="10">
        <f>_xlfn.IMAGE("https://m.media-amazon.com/images/I/81Yn7rZGUhL.jpg")</f>
        <v/>
      </c>
      <c r="B63" s="32" t="inlineStr">
        <is>
          <t>B0839LP6TM</t>
        </is>
      </c>
      <c r="C63" s="32" t="inlineStr">
        <is>
          <t>SATIN-FULL-PURPLE</t>
        </is>
      </c>
      <c r="D63" s="32" t="inlineStr">
        <is>
          <t>DECOLURE Satin Bed Sheets - 4 Piece Luxury Silky Full Size Bedding Set - Softer Than Silk, Wrinkle-Free with 15” Deep Pocket Fitted Sheet, Perfect for Hair &amp; Skin, Gifts for Women (Purple)</t>
        </is>
      </c>
      <c r="E63" s="32" t="inlineStr">
        <is>
          <t>Full</t>
        </is>
      </c>
      <c r="F63" s="32" t="inlineStr">
        <is>
          <t>Purple</t>
        </is>
      </c>
      <c r="G63" s="33" t="n"/>
      <c r="H63" s="32" t="n"/>
      <c r="I63" s="61" t="n">
        <v>44.99</v>
      </c>
      <c r="J63" s="62" t="inlineStr">
        <is>
          <t>2026-03-30</t>
        </is>
      </c>
      <c r="K63" s="33" t="n">
        <v>20.57</v>
      </c>
      <c r="L63" s="63" t="n">
        <v>0.4572127139364303</v>
      </c>
      <c r="M63" s="64" t="n">
        <v>3</v>
      </c>
      <c r="N63" s="32" t="inlineStr">
        <is>
          <t>Active</t>
        </is>
      </c>
      <c r="O63" s="32" t="n"/>
      <c r="P63" s="65" t="n"/>
      <c r="Q63" s="64" t="n"/>
      <c r="R63" s="64" t="n"/>
      <c r="S63" s="64" t="n"/>
      <c r="T63" s="32" t="n"/>
    </row>
    <row r="64" ht="62" customHeight="1">
      <c r="A64" s="10">
        <f>_xlfn.IMAGE("https://m.media-amazon.com/images/I/81owOVQLwdL.jpg")</f>
        <v/>
      </c>
      <c r="B64" s="32" t="inlineStr">
        <is>
          <t>B0CQRYDFC1</t>
        </is>
      </c>
      <c r="C64" s="32" t="inlineStr">
        <is>
          <t>SATIN-4PC-KING-BABY BLUE</t>
        </is>
      </c>
      <c r="D64" s="32" t="inlineStr">
        <is>
          <t>DECOLURE Satin Bed Sheets - 4 Piece Luxury Silky King Size Bedding Set - Softer Than Silk, Wrinkle-Free with 15” Deep Pocket Fitted Sheet, Perfect for Hair &amp; Skin, Gifts for Women (Baby Blue)</t>
        </is>
      </c>
      <c r="E64" s="32" t="inlineStr">
        <is>
          <t>King</t>
        </is>
      </c>
      <c r="F64" s="32" t="inlineStr">
        <is>
          <t>Baby Blue</t>
        </is>
      </c>
      <c r="G64" s="33" t="n"/>
      <c r="H64" s="32" t="n"/>
      <c r="I64" s="61" t="n">
        <v>63.26</v>
      </c>
      <c r="J64" s="62" t="inlineStr">
        <is>
          <t>2026-03-30</t>
        </is>
      </c>
      <c r="K64" s="33" t="n">
        <v>26.67</v>
      </c>
      <c r="L64" s="63" t="n">
        <v>0.4215934239645905</v>
      </c>
      <c r="M64" s="64" t="n">
        <v>3</v>
      </c>
      <c r="N64" s="32" t="inlineStr">
        <is>
          <t>Active</t>
        </is>
      </c>
      <c r="O64" s="32" t="n"/>
      <c r="P64" s="65" t="n"/>
      <c r="Q64" s="64" t="n"/>
      <c r="R64" s="64" t="n"/>
      <c r="S64" s="64" t="n"/>
      <c r="T64" s="32" t="n"/>
    </row>
    <row r="65" ht="62" customHeight="1">
      <c r="A65" s="10">
        <f>_xlfn.IMAGE("https://m.media-amazon.com/images/I/814U4uyFqnL.jpg")</f>
        <v/>
      </c>
      <c r="B65" s="32" t="inlineStr">
        <is>
          <t>B0CQPPJFWN</t>
        </is>
      </c>
      <c r="C65" s="32" t="inlineStr">
        <is>
          <t>SATIN-4PC-KING-DARK GREEN</t>
        </is>
      </c>
      <c r="D65" s="32" t="inlineStr">
        <is>
          <t>DECOLURE Satin Bed Sheets - 4 Piece Luxury Silky King Size Bedding Set - Softer Than Silk, Wrinkle-Free with 15” Deep Pocket Fitted Sheet, Perfect for Hair &amp; Skin, Gifts for Women (Dark Green)</t>
        </is>
      </c>
      <c r="E65" s="32" t="inlineStr">
        <is>
          <t>King</t>
        </is>
      </c>
      <c r="F65" s="32" t="inlineStr">
        <is>
          <t>Dark Green</t>
        </is>
      </c>
      <c r="G65" s="33" t="n"/>
      <c r="H65" s="32" t="n"/>
      <c r="I65" s="61" t="n">
        <v>52.99</v>
      </c>
      <c r="J65" s="62" t="inlineStr">
        <is>
          <t>2026-03-30</t>
        </is>
      </c>
      <c r="K65" s="33" t="n">
        <v>23.23</v>
      </c>
      <c r="L65" s="63" t="n">
        <v>0.4383846008680884</v>
      </c>
      <c r="M65" s="64" t="n">
        <v>3</v>
      </c>
      <c r="N65" s="32" t="inlineStr">
        <is>
          <t>Active</t>
        </is>
      </c>
      <c r="O65" s="32" t="n"/>
      <c r="P65" s="65" t="n"/>
      <c r="Q65" s="64" t="n"/>
      <c r="R65" s="64" t="n"/>
      <c r="S65" s="64" t="n"/>
      <c r="T65" s="32" t="n"/>
    </row>
    <row r="66" ht="62" customHeight="1">
      <c r="A66" s="10">
        <f>_xlfn.IMAGE("https://m.media-amazon.com/images/I/81Omquwv1WL.jpg")</f>
        <v/>
      </c>
      <c r="B66" s="32" t="inlineStr">
        <is>
          <t>B0CQRX1Q8Z</t>
        </is>
      </c>
      <c r="C66" s="32" t="inlineStr">
        <is>
          <t>SATIN-4PC-KING-LAVENDER</t>
        </is>
      </c>
      <c r="D66" s="32" t="inlineStr">
        <is>
          <t>DECOLURE Satin Sheets King Size Bed Set 4 Pcs - Elegant Satin Bed Sheets w/ 15 inch Deep Pocket - Hypoallergenic, Double Stitching, Wrinkle Free - Silky &amp; Luxuriously Soft Satin Bedding (Lavender)</t>
        </is>
      </c>
      <c r="E66" s="32" t="inlineStr">
        <is>
          <t>King</t>
        </is>
      </c>
      <c r="F66" s="32" t="inlineStr">
        <is>
          <t>Lavender</t>
        </is>
      </c>
      <c r="G66" s="33" t="n"/>
      <c r="H66" s="32" t="n"/>
      <c r="I66" s="61" t="n">
        <v>52.99</v>
      </c>
      <c r="J66" s="62" t="inlineStr">
        <is>
          <t>2026-03-30</t>
        </is>
      </c>
      <c r="K66" s="33" t="n">
        <v>23.8</v>
      </c>
      <c r="L66" s="63" t="n">
        <v>0.4491413474240422</v>
      </c>
      <c r="M66" s="64" t="n">
        <v>3</v>
      </c>
      <c r="N66" s="32" t="inlineStr">
        <is>
          <t>Active</t>
        </is>
      </c>
      <c r="O66" s="32" t="n"/>
      <c r="P66" s="65" t="n"/>
      <c r="Q66" s="64" t="n"/>
      <c r="R66" s="64" t="n"/>
      <c r="S66" s="64" t="n"/>
      <c r="T66" s="32" t="n"/>
    </row>
    <row r="67" ht="62" customHeight="1">
      <c r="A67" s="10">
        <f>_xlfn.IMAGE("https://m.media-amazon.com/images/I/81Bv43jZjZL.jpg")</f>
        <v/>
      </c>
      <c r="B67" s="32" t="inlineStr">
        <is>
          <t>B09G6HZT1K</t>
        </is>
      </c>
      <c r="C67" s="32" t="inlineStr">
        <is>
          <t>SATIN-STRIPE-KING-BLACK</t>
        </is>
      </c>
      <c r="D67" s="32" t="inlineStr">
        <is>
          <t>DECOLURE Satin Bed Sheets - 4 Piece Luxury Silky King Size Bedding Set - Softer Than Silk, Wrinkle-Free with 15” Deep Pocket Fitted Sheet, Perfect for Hair &amp; Skin, Gifts for Women (Striped Black)</t>
        </is>
      </c>
      <c r="E67" s="32" t="inlineStr">
        <is>
          <t>King</t>
        </is>
      </c>
      <c r="F67" s="32" t="inlineStr">
        <is>
          <t>Striped Black</t>
        </is>
      </c>
      <c r="G67" s="33" t="n"/>
      <c r="H67" s="32" t="n"/>
      <c r="I67" s="61" t="n">
        <v>52.99</v>
      </c>
      <c r="J67" s="62" t="inlineStr">
        <is>
          <t>2026-03-30</t>
        </is>
      </c>
      <c r="K67" s="33" t="n">
        <v>22.92</v>
      </c>
      <c r="L67" s="63" t="n">
        <v>0.4325344404604642</v>
      </c>
      <c r="M67" s="64" t="n">
        <v>3</v>
      </c>
      <c r="N67" s="32" t="inlineStr">
        <is>
          <t>Active</t>
        </is>
      </c>
      <c r="O67" s="32" t="n"/>
      <c r="P67" s="65" t="n"/>
      <c r="Q67" s="64" t="n"/>
      <c r="R67" s="64" t="n"/>
      <c r="S67" s="64" t="n"/>
      <c r="T67" s="32" t="n"/>
    </row>
    <row r="68" ht="62" customHeight="1">
      <c r="A68" s="10">
        <f>_xlfn.IMAGE("https://m.media-amazon.com/images/I/81oeTNry2PL.jpg")</f>
        <v/>
      </c>
      <c r="B68" s="32" t="inlineStr">
        <is>
          <t>B09G6K53S2</t>
        </is>
      </c>
      <c r="C68" s="32" t="inlineStr">
        <is>
          <t>SATIN-STRIPE-KING-GRAY</t>
        </is>
      </c>
      <c r="D68" s="32" t="inlineStr">
        <is>
          <t>DECOLURE Satin Bed Sheets - 4 Piece Luxury Silky King Size Bedding Set - Softer Than Silk, Wrinkle-Free with 15” Deep Pocket Fitted Sheet, Perfect for Hair &amp; Skin, Gifts for Women (Striped Grey)</t>
        </is>
      </c>
      <c r="E68" s="32" t="inlineStr">
        <is>
          <t>King</t>
        </is>
      </c>
      <c r="F68" s="32" t="inlineStr">
        <is>
          <t>Striped Grey</t>
        </is>
      </c>
      <c r="G68" s="33" t="n"/>
      <c r="H68" s="32" t="n"/>
      <c r="I68" s="61" t="n">
        <v>52.99</v>
      </c>
      <c r="J68" s="62" t="inlineStr">
        <is>
          <t>2026-03-30</t>
        </is>
      </c>
      <c r="K68" s="33" t="n">
        <v>22.21</v>
      </c>
      <c r="L68" s="63" t="n">
        <v>0.4191356859784865</v>
      </c>
      <c r="M68" s="64" t="n">
        <v>3</v>
      </c>
      <c r="N68" s="32" t="inlineStr">
        <is>
          <t>Inactive</t>
        </is>
      </c>
      <c r="O68" s="32" t="n"/>
      <c r="P68" s="65" t="n"/>
      <c r="Q68" s="64" t="n"/>
      <c r="R68" s="64" t="n"/>
      <c r="S68" s="64" t="n"/>
      <c r="T68" s="32" t="n"/>
    </row>
    <row r="69" ht="62" customHeight="1">
      <c r="A69" s="10">
        <f>_xlfn.IMAGE("https://m.media-amazon.com/images/I/81hy0m4qaGL.jpg")</f>
        <v/>
      </c>
      <c r="B69" s="32" t="inlineStr">
        <is>
          <t>B09G6N2PNK</t>
        </is>
      </c>
      <c r="C69" s="32" t="inlineStr">
        <is>
          <t>SATIN-STRIPE-KING-WHITE</t>
        </is>
      </c>
      <c r="D69" s="32" t="inlineStr">
        <is>
          <t>DECOLURE Satin Bed Sheets - 4 Piece Luxury Silky King Size Bedding Set - Softer Than Silk, Wrinkle-Free with 15” Deep Pocket Fitted Sheet, Perfect for Hair &amp; Skin, Gifts for Women (Striped White)</t>
        </is>
      </c>
      <c r="E69" s="32" t="inlineStr">
        <is>
          <t>King</t>
        </is>
      </c>
      <c r="F69" s="32" t="inlineStr">
        <is>
          <t>Striped White</t>
        </is>
      </c>
      <c r="G69" s="33" t="n"/>
      <c r="H69" s="32" t="n"/>
      <c r="I69" s="61" t="n">
        <v>52.99</v>
      </c>
      <c r="J69" s="62" t="inlineStr">
        <is>
          <t>2026-03-30</t>
        </is>
      </c>
      <c r="K69" s="33" t="n">
        <v>23.46</v>
      </c>
      <c r="L69" s="63" t="n">
        <v>0.4427250424608416</v>
      </c>
      <c r="M69" s="64" t="n">
        <v>3</v>
      </c>
      <c r="N69" s="32" t="inlineStr">
        <is>
          <t>Active</t>
        </is>
      </c>
      <c r="O69" s="32" t="n"/>
      <c r="P69" s="65" t="n"/>
      <c r="Q69" s="64" t="n"/>
      <c r="R69" s="64" t="n"/>
      <c r="S69" s="64" t="n"/>
      <c r="T69" s="32" t="n"/>
    </row>
    <row r="70" ht="62" customHeight="1">
      <c r="A70" s="10">
        <f>_xlfn.IMAGE("https://m.media-amazon.com/images/I/81RxsA0xn7L.jpg")</f>
        <v/>
      </c>
      <c r="B70" s="32" t="inlineStr">
        <is>
          <t>B0839LMS13</t>
        </is>
      </c>
      <c r="C70" s="32" t="inlineStr">
        <is>
          <t>SATIN-FULL-GREY</t>
        </is>
      </c>
      <c r="D70" s="32" t="inlineStr">
        <is>
          <t>DECOLURE Satin Bed Sheets - 4 Piece Luxury Silky Full Size Bedding Set - Softer Than Silk, Wrinkle-Free with 15” Deep Pocket Fitted Sheet, Perfect for Hair &amp; Skin, Gifts for Women (Grey)</t>
        </is>
      </c>
      <c r="E70" s="32" t="inlineStr">
        <is>
          <t>Full</t>
        </is>
      </c>
      <c r="F70" s="32" t="inlineStr">
        <is>
          <t>Grey</t>
        </is>
      </c>
      <c r="G70" s="33" t="n"/>
      <c r="H70" s="32" t="n"/>
      <c r="I70" s="61" t="n">
        <v>44.99</v>
      </c>
      <c r="J70" s="62" t="inlineStr">
        <is>
          <t>2026-03-30</t>
        </is>
      </c>
      <c r="K70" s="33" t="n">
        <v>20.73</v>
      </c>
      <c r="L70" s="63" t="n">
        <v>0.4607690597910648</v>
      </c>
      <c r="M70" s="64" t="n">
        <v>2</v>
      </c>
      <c r="N70" s="32" t="inlineStr">
        <is>
          <t>Active</t>
        </is>
      </c>
      <c r="O70" s="32" t="n"/>
      <c r="P70" s="65" t="n"/>
      <c r="Q70" s="64" t="n"/>
      <c r="R70" s="64" t="n"/>
      <c r="S70" s="64" t="n"/>
      <c r="T70" s="32" t="n"/>
    </row>
    <row r="71" ht="62" customHeight="1">
      <c r="A71" s="10">
        <f>_xlfn.IMAGE("https://m.media-amazon.com/images/I/81Omquwv1WL.jpg")</f>
        <v/>
      </c>
      <c r="B71" s="32" t="inlineStr">
        <is>
          <t>B0CQRXZLFQ</t>
        </is>
      </c>
      <c r="C71" s="32" t="inlineStr">
        <is>
          <t>SATIN-4PC-FULL-LAVENDER</t>
        </is>
      </c>
      <c r="D71" s="32" t="inlineStr">
        <is>
          <t>DECOLURE Satin Bed Sheets - 4 Piece Luxury Silky Full Size Bedding Set - Softer Than Silk, Wrinkle-Free with 15” Deep Pocket Fitted Sheet, Perfect for Hair &amp; Skin, Gifts for Women (Lavender)</t>
        </is>
      </c>
      <c r="E71" s="32" t="inlineStr">
        <is>
          <t>Full</t>
        </is>
      </c>
      <c r="F71" s="32" t="inlineStr">
        <is>
          <t>Lavender</t>
        </is>
      </c>
      <c r="G71" s="33" t="n"/>
      <c r="H71" s="32" t="n"/>
      <c r="I71" s="61" t="n">
        <v>53.82</v>
      </c>
      <c r="J71" s="62" t="inlineStr">
        <is>
          <t>2026-03-30</t>
        </is>
      </c>
      <c r="K71" s="33" t="n">
        <v>22.92</v>
      </c>
      <c r="L71" s="63" t="n">
        <v>0.4258639910813824</v>
      </c>
      <c r="M71" s="64" t="n">
        <v>2</v>
      </c>
      <c r="N71" s="32" t="inlineStr">
        <is>
          <t>Active</t>
        </is>
      </c>
      <c r="O71" s="32" t="n"/>
      <c r="P71" s="65" t="n"/>
      <c r="Q71" s="64" t="n"/>
      <c r="R71" s="64" t="n"/>
      <c r="S71" s="64" t="n"/>
      <c r="T71" s="32" t="n"/>
    </row>
    <row r="72" ht="62" customHeight="1">
      <c r="A72" s="10">
        <f>_xlfn.IMAGE("https://m.media-amazon.com/images/I/81wiiAf6okL.jpg")</f>
        <v/>
      </c>
      <c r="B72" s="32" t="inlineStr">
        <is>
          <t>B09G6K4PXD</t>
        </is>
      </c>
      <c r="C72" s="32" t="inlineStr">
        <is>
          <t>SATIN-STRIPE-FULL-PURPLE</t>
        </is>
      </c>
      <c r="D72" s="32" t="inlineStr">
        <is>
          <t>DECOLURE Satin Bed Sheets - 4 Piece Luxury Silky Full Size Bedding Set - Softer Than Silk, Wrinkle-Free with 15” Deep Pocket Fitted Sheet, Perfect for Hair &amp; Skin, Gifts for Women (Striped Purple)</t>
        </is>
      </c>
      <c r="E72" s="32" t="inlineStr">
        <is>
          <t>Full</t>
        </is>
      </c>
      <c r="F72" s="32" t="inlineStr">
        <is>
          <t>Striped Purple</t>
        </is>
      </c>
      <c r="G72" s="33" t="n"/>
      <c r="H72" s="32" t="n"/>
      <c r="I72" s="61" t="n">
        <v>44.99</v>
      </c>
      <c r="J72" s="62" t="inlineStr">
        <is>
          <t>2026-03-30</t>
        </is>
      </c>
      <c r="K72" s="33" t="n">
        <v>19.15</v>
      </c>
      <c r="L72" s="63" t="n">
        <v>0.4256501444765504</v>
      </c>
      <c r="M72" s="64" t="n">
        <v>2</v>
      </c>
      <c r="N72" s="32" t="inlineStr">
        <is>
          <t>Active</t>
        </is>
      </c>
      <c r="O72" s="32" t="n"/>
      <c r="P72" s="65" t="n"/>
      <c r="Q72" s="64" t="n"/>
      <c r="R72" s="64" t="n"/>
      <c r="S72" s="64" t="n"/>
      <c r="T72" s="32" t="n"/>
    </row>
    <row r="73" ht="62" customHeight="1">
      <c r="A73" s="10">
        <f>_xlfn.IMAGE("https://m.media-amazon.com/images/I/81-wlwJoLcL.jpg")</f>
        <v/>
      </c>
      <c r="B73" s="32" t="inlineStr">
        <is>
          <t>B09G6KKSK6</t>
        </is>
      </c>
      <c r="C73" s="32" t="inlineStr">
        <is>
          <t>SATIN-STRIPE-FULL-RED</t>
        </is>
      </c>
      <c r="D73" s="32" t="inlineStr">
        <is>
          <t>DECOLURE Satin Bed Sheets - 4 Piece Luxury Silky Full Size Bedding Set - Softer Than Silk, Wrinkle-Free with 15” Deep Pocket Fitted Sheet, Perfect for Hair &amp; Skin, Gifts for Women (Striped Red)</t>
        </is>
      </c>
      <c r="E73" s="32" t="inlineStr">
        <is>
          <t>Full</t>
        </is>
      </c>
      <c r="F73" s="32" t="inlineStr">
        <is>
          <t>Striped Red</t>
        </is>
      </c>
      <c r="G73" s="33" t="n"/>
      <c r="H73" s="32" t="n"/>
      <c r="I73" s="61" t="n">
        <v>26.09</v>
      </c>
      <c r="J73" s="62" t="inlineStr">
        <is>
          <t>2026-03-30</t>
        </is>
      </c>
      <c r="K73" s="33" t="n">
        <v>3.09</v>
      </c>
      <c r="L73" s="63" t="n">
        <v>0.1184361824453814</v>
      </c>
      <c r="M73" s="64" t="n">
        <v>2</v>
      </c>
      <c r="N73" s="32" t="inlineStr">
        <is>
          <t>Active</t>
        </is>
      </c>
      <c r="O73" s="32" t="n"/>
      <c r="P73" s="65" t="n"/>
      <c r="Q73" s="64" t="n"/>
      <c r="R73" s="64" t="n"/>
      <c r="S73" s="64" t="n"/>
      <c r="T73" s="32" t="n"/>
    </row>
    <row r="74" ht="62" customHeight="1">
      <c r="A74" s="10">
        <f>_xlfn.IMAGE("https://m.media-amazon.com/images/I/81hy0m4qaGL.jpg")</f>
        <v/>
      </c>
      <c r="B74" s="32" t="inlineStr">
        <is>
          <t>B09G6KKB4S</t>
        </is>
      </c>
      <c r="C74" s="32" t="inlineStr">
        <is>
          <t>SATIN-STRIPE-FULL-WHITE</t>
        </is>
      </c>
      <c r="D74" s="32" t="inlineStr">
        <is>
          <t>DECOLURE Satin Bed Sheets - 4 Piece Luxury Silky Full Size Bedding Set - Softer Than Silk, Wrinkle-Free with 15” Deep Pocket Fitted Sheet, Perfect for Hair &amp; Skin, Gifts for Women (Striped White)</t>
        </is>
      </c>
      <c r="E74" s="32" t="inlineStr">
        <is>
          <t>Full</t>
        </is>
      </c>
      <c r="F74" s="32" t="inlineStr">
        <is>
          <t>Striped White</t>
        </is>
      </c>
      <c r="G74" s="33" t="n"/>
      <c r="H74" s="32" t="n"/>
      <c r="I74" s="61" t="n">
        <v>44.99</v>
      </c>
      <c r="J74" s="62" t="inlineStr">
        <is>
          <t>2026-03-30</t>
        </is>
      </c>
      <c r="K74" s="33" t="n">
        <v>19.15</v>
      </c>
      <c r="L74" s="63" t="n">
        <v>0.4256501444765504</v>
      </c>
      <c r="M74" s="64" t="n">
        <v>2</v>
      </c>
      <c r="N74" s="32" t="inlineStr">
        <is>
          <t>Active</t>
        </is>
      </c>
      <c r="O74" s="32" t="n"/>
      <c r="P74" s="65" t="n"/>
      <c r="Q74" s="64" t="n"/>
      <c r="R74" s="64" t="n"/>
      <c r="S74" s="64" t="n"/>
      <c r="T74" s="32" t="n"/>
    </row>
    <row r="75" ht="62" customHeight="1">
      <c r="A75" s="10">
        <f>_xlfn.IMAGE("https://m.media-amazon.com/images/I/81b2FINCUgL.jpg")</f>
        <v/>
      </c>
      <c r="B75" s="32" t="inlineStr">
        <is>
          <t>B0CQRWY3Y7</t>
        </is>
      </c>
      <c r="C75" s="32" t="inlineStr">
        <is>
          <t>SATIN-4PC-KING-SAGE GREEN</t>
        </is>
      </c>
      <c r="D75" s="32" t="inlineStr">
        <is>
          <t>DECOLURE Satin Bed Sheets - 4 Piece Luxury Silky King Size Bedding Set - Softer Than Silk, Wrinkle-Free with 15” Deep Pocket Fitted Sheet, Perfect for Hair &amp; Skin, Gifts for Women (Sage Green)</t>
        </is>
      </c>
      <c r="E75" s="32" t="inlineStr">
        <is>
          <t>King</t>
        </is>
      </c>
      <c r="F75" s="32" t="inlineStr">
        <is>
          <t>Sage Green</t>
        </is>
      </c>
      <c r="G75" s="33" t="n"/>
      <c r="H75" s="32" t="n"/>
      <c r="I75" s="61" t="n">
        <v>52.99</v>
      </c>
      <c r="J75" s="62" t="inlineStr">
        <is>
          <t>2026-03-30</t>
        </is>
      </c>
      <c r="K75" s="33" t="n">
        <v>23.95</v>
      </c>
      <c r="L75" s="63" t="n">
        <v>0.4519720702019248</v>
      </c>
      <c r="M75" s="64" t="n">
        <v>2</v>
      </c>
      <c r="N75" s="32" t="inlineStr">
        <is>
          <t>Active</t>
        </is>
      </c>
      <c r="O75" s="32" t="n"/>
      <c r="P75" s="65" t="n"/>
      <c r="Q75" s="64" t="n"/>
      <c r="R75" s="64" t="n"/>
      <c r="S75" s="64" t="n"/>
      <c r="T75" s="32" t="n"/>
    </row>
    <row r="76" ht="62" customHeight="1">
      <c r="A76" s="10">
        <f>_xlfn.IMAGE("https://m.media-amazon.com/images/I/814U4uyFqnL.jpg")</f>
        <v/>
      </c>
      <c r="B76" s="32" t="inlineStr">
        <is>
          <t>B0CQRWGHJN</t>
        </is>
      </c>
      <c r="C76" s="32" t="inlineStr">
        <is>
          <t>SATIN-4PC-QUEEN-DARK GREEN</t>
        </is>
      </c>
      <c r="D76" s="32" t="inlineStr">
        <is>
          <t>DECOLURE Satin Bed Sheets - 4 Piece Luxury Silky Queen Size Bedding Set - Softer Than Silk, Wrinkle-Free with 15” Deep Pocket Fitted Sheet, Perfect for Hair &amp; Skin, Gifts for Women (Dark Green)</t>
        </is>
      </c>
      <c r="E76" s="32" t="inlineStr">
        <is>
          <t>Queen</t>
        </is>
      </c>
      <c r="F76" s="32" t="inlineStr">
        <is>
          <t>Dark Green</t>
        </is>
      </c>
      <c r="G76" s="33" t="n"/>
      <c r="H76" s="32" t="n"/>
      <c r="I76" s="61" t="n">
        <v>57.58</v>
      </c>
      <c r="J76" s="62" t="inlineStr">
        <is>
          <t>2026-03-28</t>
        </is>
      </c>
      <c r="K76" s="33" t="n">
        <v>23.22</v>
      </c>
      <c r="L76" s="63" t="n">
        <v>0.4032650225772837</v>
      </c>
      <c r="M76" s="64" t="n">
        <v>2</v>
      </c>
      <c r="N76" s="32" t="inlineStr">
        <is>
          <t>Inactive</t>
        </is>
      </c>
      <c r="O76" s="32" t="n"/>
      <c r="P76" s="65" t="n"/>
      <c r="Q76" s="64" t="n"/>
      <c r="R76" s="64" t="n"/>
      <c r="S76" s="64" t="n"/>
      <c r="T76" s="32" t="n"/>
    </row>
    <row r="77" ht="62" customHeight="1">
      <c r="A77" s="10">
        <f>_xlfn.IMAGE("https://m.media-amazon.com/images/I/81zDJ9hFOlL.jpg")</f>
        <v/>
      </c>
      <c r="B77" s="32" t="inlineStr">
        <is>
          <t>B09G6K9C65</t>
        </is>
      </c>
      <c r="C77" s="32" t="inlineStr">
        <is>
          <t>SATIN-STRIPE-QUEEN-GOLD</t>
        </is>
      </c>
      <c r="D77" s="32" t="inlineStr">
        <is>
          <t>DECOLURE Satin Bed Sheets - 4 Piece Luxury Silky Queen Size Bedding Set - Softer Than Silk, Wrinkle-Free with 15” Deep Pocket Fitted Sheet, Perfect for Hair &amp; Skin, Gifts for Women (Striped Gold)</t>
        </is>
      </c>
      <c r="E77" s="32" t="inlineStr">
        <is>
          <t>Queen</t>
        </is>
      </c>
      <c r="F77" s="32" t="inlineStr">
        <is>
          <t>Striped Gold</t>
        </is>
      </c>
      <c r="G77" s="33" t="n"/>
      <c r="H77" s="32" t="n"/>
      <c r="I77" s="61" t="n">
        <v>47.99</v>
      </c>
      <c r="J77" s="62" t="inlineStr">
        <is>
          <t>2026-03-30</t>
        </is>
      </c>
      <c r="K77" s="33" t="n">
        <v>21</v>
      </c>
      <c r="L77" s="63" t="n">
        <v>0.4375911648260054</v>
      </c>
      <c r="M77" s="64" t="n">
        <v>2</v>
      </c>
      <c r="N77" s="32" t="inlineStr">
        <is>
          <t>Active</t>
        </is>
      </c>
      <c r="O77" s="32" t="n"/>
      <c r="P77" s="65" t="n"/>
      <c r="Q77" s="64" t="n"/>
      <c r="R77" s="64" t="n"/>
      <c r="S77" s="64" t="n"/>
      <c r="T77" s="32" t="n"/>
    </row>
    <row r="78" ht="62" customHeight="1">
      <c r="A78" s="10">
        <f>_xlfn.IMAGE("https://m.media-amazon.com/images/I/81X8AMwgFFL.jpg")</f>
        <v/>
      </c>
      <c r="B78" s="32" t="inlineStr">
        <is>
          <t>B0BZQ1LTK3</t>
        </is>
      </c>
      <c r="C78" s="32" t="inlineStr">
        <is>
          <t>SATIN-TAUPE-QUEEN</t>
        </is>
      </c>
      <c r="D78" s="32" t="inlineStr">
        <is>
          <t>DECOLURE Satin Bed Sheets - 4 Piece Luxury Silky Queen Size Bedding Set - Softer Than Silk, Wrinkle-Free with 15” Deep Pocket Fitted Sheet, Perfect for Hair &amp; Skin, Gifts for Women (Taupe)</t>
        </is>
      </c>
      <c r="E78" s="32" t="inlineStr">
        <is>
          <t>Queen</t>
        </is>
      </c>
      <c r="F78" s="32" t="inlineStr">
        <is>
          <t>Taupe-01</t>
        </is>
      </c>
      <c r="G78" s="33" t="n"/>
      <c r="H78" s="32" t="n"/>
      <c r="I78" s="61" t="n">
        <v>47.99</v>
      </c>
      <c r="J78" s="62" t="inlineStr">
        <is>
          <t>2026-03-30</t>
        </is>
      </c>
      <c r="K78" s="33" t="n">
        <v>21.61</v>
      </c>
      <c r="L78" s="63" t="n">
        <v>0.450302146280475</v>
      </c>
      <c r="M78" s="64" t="n">
        <v>2</v>
      </c>
      <c r="N78" s="32" t="inlineStr">
        <is>
          <t>Active</t>
        </is>
      </c>
      <c r="O78" s="32" t="n"/>
      <c r="P78" s="65" t="n"/>
      <c r="Q78" s="64" t="n"/>
      <c r="R78" s="64" t="n"/>
      <c r="S78" s="64" t="n"/>
      <c r="T78" s="32" t="n"/>
    </row>
    <row r="79" ht="62" customHeight="1">
      <c r="A79" s="10">
        <f>_xlfn.IMAGE("https://m.media-amazon.com/images/I/815ZdEKucfL.jpg")</f>
        <v/>
      </c>
      <c r="B79" s="32" t="inlineStr">
        <is>
          <t>B0CQRY5N4Q</t>
        </is>
      </c>
      <c r="C79" s="32" t="inlineStr">
        <is>
          <t>SATIN-3PC-TWIN-DARK GREEN</t>
        </is>
      </c>
      <c r="D79" s="32" t="inlineStr">
        <is>
          <t>DECOLURE Satin Bed Sheets - 3 Piece Luxury Silky Twin Size Bedding Set - Softer Than Silk, Wrinkle-Free with 15” Deep Pocket Fitted Sheet, Perfect for Hair &amp; Skin, Gifts for Women (Dark Green)</t>
        </is>
      </c>
      <c r="E79" s="32" t="inlineStr">
        <is>
          <t>Twin</t>
        </is>
      </c>
      <c r="F79" s="32" t="inlineStr">
        <is>
          <t>Dark Green</t>
        </is>
      </c>
      <c r="G79" s="33" t="n"/>
      <c r="H79" s="32" t="n"/>
      <c r="I79" s="61" t="n">
        <v>39.99</v>
      </c>
      <c r="J79" s="62" t="inlineStr">
        <is>
          <t>2026-03-30</t>
        </is>
      </c>
      <c r="K79" s="33" t="n">
        <v>18.26</v>
      </c>
      <c r="L79" s="63" t="n">
        <v>0.4566141535383846</v>
      </c>
      <c r="M79" s="64" t="n">
        <v>2</v>
      </c>
      <c r="N79" s="32" t="inlineStr">
        <is>
          <t>Active</t>
        </is>
      </c>
      <c r="O79" s="32" t="n"/>
      <c r="P79" s="65" t="n"/>
      <c r="Q79" s="64" t="n"/>
      <c r="R79" s="64" t="n"/>
      <c r="S79" s="64" t="n"/>
      <c r="T79" s="32" t="n"/>
    </row>
    <row r="80" ht="62" customHeight="1">
      <c r="A80" s="10">
        <f>_xlfn.IMAGE("https://m.media-amazon.com/images/I/814bc366nSL.jpg")</f>
        <v/>
      </c>
      <c r="B80" s="32" t="inlineStr">
        <is>
          <t>B08KR9THFG</t>
        </is>
      </c>
      <c r="C80" s="32" t="inlineStr">
        <is>
          <t>SATIN-GOLD-TWIN</t>
        </is>
      </c>
      <c r="D80" s="32" t="inlineStr">
        <is>
          <t>DECOLURE Satin Bed Sheets - 3 Piece Luxury Silky Twin Size Bedding Set - Softer Than Silk, Wrinkle-Free with 15” Deep Pocket Fitted Sheet, Perfect for Hair &amp; Skin, Gifts for Women (Gold)</t>
        </is>
      </c>
      <c r="E80" s="32" t="inlineStr">
        <is>
          <t>Twin</t>
        </is>
      </c>
      <c r="F80" s="32" t="inlineStr">
        <is>
          <t>Gold</t>
        </is>
      </c>
      <c r="G80" s="33" t="n"/>
      <c r="H80" s="32" t="n"/>
      <c r="I80" s="61" t="n">
        <v>31.99</v>
      </c>
      <c r="J80" s="62" t="inlineStr">
        <is>
          <t>2026-03-30</t>
        </is>
      </c>
      <c r="K80" s="33" t="n">
        <v>11.49</v>
      </c>
      <c r="L80" s="63" t="n">
        <v>0.3591747421069084</v>
      </c>
      <c r="M80" s="64" t="n">
        <v>2</v>
      </c>
      <c r="N80" s="32" t="inlineStr">
        <is>
          <t>Active</t>
        </is>
      </c>
      <c r="O80" s="32" t="n"/>
      <c r="P80" s="65" t="n"/>
      <c r="Q80" s="64" t="n"/>
      <c r="R80" s="64" t="n"/>
      <c r="S80" s="64" t="n"/>
      <c r="T80" s="32" t="n"/>
    </row>
    <row r="81" ht="62" customHeight="1">
      <c r="A81" s="10">
        <f>_xlfn.IMAGE("https://m.media-amazon.com/images/I/81c6sUJ9JML.jpg")</f>
        <v/>
      </c>
      <c r="B81" s="32" t="inlineStr">
        <is>
          <t>B0BG21MMW9</t>
        </is>
      </c>
      <c r="C81" s="32" t="inlineStr">
        <is>
          <t>SATIN-SEA-TEAL-TWIN</t>
        </is>
      </c>
      <c r="D81" s="32" t="inlineStr">
        <is>
          <t>DECOLURE Satin Bed Sheets - 3 Piece Luxury Silky Twin Size Bedding Set - Softer Than Silk, Wrinkle-Free with 15” Deep Pocket Fitted Sheet, Perfect for Hair &amp; Skin, Gifts for Women (Sea Teal)</t>
        </is>
      </c>
      <c r="E81" s="32" t="inlineStr">
        <is>
          <t>Twin</t>
        </is>
      </c>
      <c r="F81" s="32" t="inlineStr">
        <is>
          <t>Sea Teal</t>
        </is>
      </c>
      <c r="G81" s="33" t="n"/>
      <c r="H81" s="32" t="n"/>
      <c r="I81" s="61" t="n">
        <v>48.3</v>
      </c>
      <c r="J81" s="62" t="inlineStr">
        <is>
          <t>2026-03-30</t>
        </is>
      </c>
      <c r="K81" s="33" t="n">
        <v>19.68</v>
      </c>
      <c r="L81" s="63" t="n">
        <v>0.4074534161490683</v>
      </c>
      <c r="M81" s="64" t="n">
        <v>2</v>
      </c>
      <c r="N81" s="32" t="inlineStr">
        <is>
          <t>Active</t>
        </is>
      </c>
      <c r="O81" s="32" t="n"/>
      <c r="P81" s="65" t="n"/>
      <c r="Q81" s="64" t="n"/>
      <c r="R81" s="64" t="n"/>
      <c r="S81" s="64" t="n"/>
      <c r="T81" s="32" t="n"/>
    </row>
    <row r="82" ht="62" customHeight="1">
      <c r="A82" s="10">
        <f>_xlfn.IMAGE("https://m.media-amazon.com/images/I/81NiOUuge2L.jpg")</f>
        <v/>
      </c>
      <c r="B82" s="32" t="inlineStr">
        <is>
          <t>B0CQSJZV7C</t>
        </is>
      </c>
      <c r="C82" s="32" t="inlineStr">
        <is>
          <t>SATIN-4PC-FULL-BURNT ORANGE</t>
        </is>
      </c>
      <c r="D82" s="32" t="inlineStr">
        <is>
          <t>DECOLURE Satin Bed Sheets - 4 Piece Luxury Silky Full Size Bedding Set - Softer Than Silk, Wrinkle-Free with 15” Deep Pocket Fitted Sheet, Perfect for Hair &amp; Skin, Gifts for Women (Burnt Orange)</t>
        </is>
      </c>
      <c r="E82" s="32" t="inlineStr">
        <is>
          <t>Full</t>
        </is>
      </c>
      <c r="F82" s="32" t="inlineStr">
        <is>
          <t>Burnt Orange</t>
        </is>
      </c>
      <c r="G82" s="33" t="n"/>
      <c r="H82" s="32" t="n"/>
      <c r="I82" s="61" t="n">
        <v>53.88</v>
      </c>
      <c r="J82" s="62" t="inlineStr">
        <is>
          <t>2026-03-30</t>
        </is>
      </c>
      <c r="K82" s="33" t="n">
        <v>21.90000000000001</v>
      </c>
      <c r="L82" s="63" t="n">
        <v>0.4064587973273943</v>
      </c>
      <c r="M82" s="64" t="n">
        <v>1</v>
      </c>
      <c r="N82" s="32" t="inlineStr">
        <is>
          <t>Active</t>
        </is>
      </c>
      <c r="O82" s="32" t="n"/>
      <c r="P82" s="65" t="n"/>
      <c r="Q82" s="64" t="n"/>
      <c r="R82" s="64" t="n"/>
      <c r="S82" s="64" t="n"/>
      <c r="T82" s="32" t="n"/>
    </row>
    <row r="83" ht="62" customHeight="1">
      <c r="A83" s="10">
        <f>_xlfn.IMAGE("https://m.media-amazon.com/images/I/81Owp6T1ibL.jpg")</f>
        <v/>
      </c>
      <c r="B83" s="32" t="inlineStr">
        <is>
          <t>B0BZPYNXPB</t>
        </is>
      </c>
      <c r="C83" s="32" t="inlineStr">
        <is>
          <t>SATIN-CHAMPAGNE-FULL</t>
        </is>
      </c>
      <c r="D83" s="32" t="inlineStr">
        <is>
          <t>DECOLURE Satin Bed Sheets - 4 Piece Luxury Silky Full Size Bedding Set - Softer Than Silk, Wrinkle-Free with 15” Deep Pocket Fitted Sheet, Perfect for Hair &amp; Skin, Gifts for Women (Champagne)</t>
        </is>
      </c>
      <c r="E83" s="32" t="inlineStr">
        <is>
          <t>Full</t>
        </is>
      </c>
      <c r="F83" s="32" t="inlineStr">
        <is>
          <t>Champagne</t>
        </is>
      </c>
      <c r="G83" s="33" t="n"/>
      <c r="H83" s="32" t="n"/>
      <c r="I83" s="61" t="n">
        <v>44.99</v>
      </c>
      <c r="J83" s="62" t="inlineStr">
        <is>
          <t>2026-03-30</t>
        </is>
      </c>
      <c r="K83" s="33" t="n">
        <v>19.94</v>
      </c>
      <c r="L83" s="63" t="n">
        <v>0.4432096021338075</v>
      </c>
      <c r="M83" s="64" t="n">
        <v>1</v>
      </c>
      <c r="N83" s="32" t="inlineStr">
        <is>
          <t>Active</t>
        </is>
      </c>
      <c r="O83" s="32" t="n"/>
      <c r="P83" s="65" t="n"/>
      <c r="Q83" s="64" t="n"/>
      <c r="R83" s="64" t="n"/>
      <c r="S83" s="64" t="n"/>
      <c r="T83" s="32" t="n"/>
    </row>
    <row r="84" ht="62" customHeight="1">
      <c r="A84" s="10">
        <f>_xlfn.IMAGE("https://m.media-amazon.com/images/I/81NOa451cTL.jpg")</f>
        <v/>
      </c>
      <c r="B84" s="32" t="inlineStr">
        <is>
          <t>B08KR9PWK1</t>
        </is>
      </c>
      <c r="C84" s="32" t="inlineStr">
        <is>
          <t>SATIN-GOLD-FULL</t>
        </is>
      </c>
      <c r="D84" s="32" t="inlineStr">
        <is>
          <t>DECOLURE Satin Bed Sheets - 4 Piece Luxury Silky Full Size Bedding Set - Softer Than Silk, Wrinkle-Free with 15” Deep Pocket Fitted Sheet, Perfect for Hair &amp; Skin, Gifts for Women (Gold)</t>
        </is>
      </c>
      <c r="E84" s="32" t="inlineStr">
        <is>
          <t>Full</t>
        </is>
      </c>
      <c r="F84" s="32" t="inlineStr">
        <is>
          <t>Gold</t>
        </is>
      </c>
      <c r="G84" s="33" t="n"/>
      <c r="H84" s="32" t="n"/>
      <c r="I84" s="61" t="n">
        <v>44.99</v>
      </c>
      <c r="J84" s="62" t="inlineStr">
        <is>
          <t>2026-03-30</t>
        </is>
      </c>
      <c r="K84" s="33" t="n">
        <v>20.65</v>
      </c>
      <c r="L84" s="63" t="n">
        <v>0.4589908868637476</v>
      </c>
      <c r="M84" s="64" t="n">
        <v>1</v>
      </c>
      <c r="N84" s="32" t="inlineStr">
        <is>
          <t>Active</t>
        </is>
      </c>
      <c r="O84" s="32" t="n"/>
      <c r="P84" s="65" t="n"/>
      <c r="Q84" s="64" t="n"/>
      <c r="R84" s="64" t="n"/>
      <c r="S84" s="64" t="n"/>
      <c r="T84" s="32" t="n"/>
    </row>
    <row r="85" ht="62" customHeight="1">
      <c r="A85" s="10">
        <f>_xlfn.IMAGE("https://m.media-amazon.com/images/I/81Ktu4N6y2L.jpg")</f>
        <v/>
      </c>
      <c r="B85" s="32" t="inlineStr">
        <is>
          <t>B0DBQVFTZS</t>
        </is>
      </c>
      <c r="C85" s="32" t="inlineStr">
        <is>
          <t>SATIN-4PCS-FULL-ROSEWOOD</t>
        </is>
      </c>
      <c r="D85" s="32" t="inlineStr">
        <is>
          <t>DECOLURE Satin Bed Sheets - 4 Piece Luxury Silky Full Size Bedding Set - Softer Than Silk, Wrinkle-Free with 15” Deep Pocket Fitted Sheet, Perfect for Hair &amp; Skin, Gifts for Women (Rosewood)</t>
        </is>
      </c>
      <c r="E85" s="32" t="inlineStr">
        <is>
          <t>Full</t>
        </is>
      </c>
      <c r="F85" s="32" t="inlineStr">
        <is>
          <t>Rosewood</t>
        </is>
      </c>
      <c r="G85" s="33" t="n"/>
      <c r="H85" s="32" t="n"/>
      <c r="I85" s="61" t="n">
        <v>40.96</v>
      </c>
      <c r="J85" s="62" t="inlineStr">
        <is>
          <t>2026-03-30</t>
        </is>
      </c>
      <c r="K85" s="33" t="n">
        <v>17.25</v>
      </c>
      <c r="L85" s="63" t="n">
        <v>0.421142578125</v>
      </c>
      <c r="M85" s="64" t="n">
        <v>1</v>
      </c>
      <c r="N85" s="32" t="inlineStr">
        <is>
          <t>Active</t>
        </is>
      </c>
      <c r="O85" s="32" t="n"/>
      <c r="P85" s="65" t="n"/>
      <c r="Q85" s="64" t="n"/>
      <c r="R85" s="64" t="n"/>
      <c r="S85" s="64" t="n"/>
      <c r="T85" s="32" t="n"/>
    </row>
    <row r="86" ht="62" customHeight="1">
      <c r="A86" s="10">
        <f>_xlfn.IMAGE("https://m.media-amazon.com/images/I/81zDJ9hFOlL.jpg")</f>
        <v/>
      </c>
      <c r="B86" s="32" t="inlineStr">
        <is>
          <t>B09G6LCV5J</t>
        </is>
      </c>
      <c r="C86" s="32" t="inlineStr">
        <is>
          <t>SATIN-STRIPE-FULL-GOLD</t>
        </is>
      </c>
      <c r="D86" s="32" t="inlineStr">
        <is>
          <t>DECOLURE Satin Bed Sheets - 4 Piece Luxury Silky Full Size Bedding Set - Softer Than Silk, Wrinkle-Free with 15” Deep Pocket Fitted Sheet, Perfect for Hair &amp; Skin, Gifts for Women (Striped Gold)</t>
        </is>
      </c>
      <c r="E86" s="32" t="inlineStr">
        <is>
          <t>Full</t>
        </is>
      </c>
      <c r="F86" s="32" t="inlineStr">
        <is>
          <t>Striped Gold</t>
        </is>
      </c>
      <c r="G86" s="33" t="n"/>
      <c r="H86" s="32" t="n"/>
      <c r="I86" s="61" t="n">
        <v>44.99</v>
      </c>
      <c r="J86" s="62" t="inlineStr">
        <is>
          <t>2026-03-30</t>
        </is>
      </c>
      <c r="K86" s="33" t="n">
        <v>19.4</v>
      </c>
      <c r="L86" s="63" t="n">
        <v>0.4312069348744166</v>
      </c>
      <c r="M86" s="64" t="n">
        <v>1</v>
      </c>
      <c r="N86" s="32" t="inlineStr">
        <is>
          <t>Active</t>
        </is>
      </c>
      <c r="O86" s="32" t="n"/>
      <c r="P86" s="65" t="n"/>
      <c r="Q86" s="64" t="n"/>
      <c r="R86" s="64" t="n"/>
      <c r="S86" s="64" t="n"/>
      <c r="T86" s="32" t="n"/>
    </row>
    <row r="87" ht="62" customHeight="1">
      <c r="A87" s="10">
        <f>_xlfn.IMAGE("https://m.media-amazon.com/images/I/81HKWhCknYL.jpg")</f>
        <v/>
      </c>
      <c r="B87" s="32" t="inlineStr">
        <is>
          <t>B09G6LBQHH</t>
        </is>
      </c>
      <c r="C87" s="32" t="inlineStr">
        <is>
          <t>SATIN-STRIPE-KING-PINK</t>
        </is>
      </c>
      <c r="D87" s="32" t="inlineStr">
        <is>
          <t>DECOLURE Satin Bed Sheets - 4 Piece Luxury Silky King Size Bedding Set - Softer Than Silk, Wrinkle-Free with 15” Deep Pocket Fitted Sheet, Perfect for Hair &amp; Skin, Gifts for Women (Striped Pink)</t>
        </is>
      </c>
      <c r="E87" s="32" t="inlineStr">
        <is>
          <t>King</t>
        </is>
      </c>
      <c r="F87" s="32" t="inlineStr">
        <is>
          <t>Striped Pink</t>
        </is>
      </c>
      <c r="G87" s="33" t="n"/>
      <c r="H87" s="32" t="n"/>
      <c r="I87" s="61" t="n">
        <v>52.99</v>
      </c>
      <c r="J87" s="62" t="inlineStr">
        <is>
          <t>2026-03-12</t>
        </is>
      </c>
      <c r="K87" s="33" t="n">
        <v>23.8</v>
      </c>
      <c r="L87" s="63" t="n">
        <v>0.4491413474240422</v>
      </c>
      <c r="M87" s="64" t="n">
        <v>1</v>
      </c>
      <c r="N87" s="32" t="inlineStr">
        <is>
          <t>Active</t>
        </is>
      </c>
      <c r="O87" s="32" t="n"/>
      <c r="P87" s="65" t="n"/>
      <c r="Q87" s="64" t="n"/>
      <c r="R87" s="64" t="n"/>
      <c r="S87" s="64" t="n"/>
      <c r="T87" s="32" t="n"/>
    </row>
    <row r="88" ht="62" customHeight="1">
      <c r="A88" s="10">
        <f>_xlfn.IMAGE("https://m.media-amazon.com/images/I/81qJVZURwBL.jpg")</f>
        <v/>
      </c>
      <c r="B88" s="32" t="inlineStr">
        <is>
          <t>B09G6KWNBW</t>
        </is>
      </c>
      <c r="C88" s="32" t="inlineStr">
        <is>
          <t>SATIN-STRIPE-QUEEN-GRAY</t>
        </is>
      </c>
      <c r="D88" s="32" t="inlineStr">
        <is>
          <t>DECOLURE Satin Bed Sheets - 4 Piece Luxury Silky Queen Size Bedding Set - Softer Than Silk, Wrinkle-Free with 15” Deep Pocket Fitted Sheet, Perfect for Hair &amp; Skin, Gifts for Women (Striped Grey)</t>
        </is>
      </c>
      <c r="E88" s="32" t="inlineStr">
        <is>
          <t>Queen</t>
        </is>
      </c>
      <c r="F88" s="32" t="inlineStr">
        <is>
          <t>Stripe Grey-01</t>
        </is>
      </c>
      <c r="G88" s="33" t="n"/>
      <c r="H88" s="32" t="n"/>
      <c r="I88" s="61" t="n">
        <v>57.01</v>
      </c>
      <c r="J88" s="62" t="inlineStr">
        <is>
          <t>2026-03-04</t>
        </is>
      </c>
      <c r="K88" s="33" t="n"/>
      <c r="L88" s="63" t="n"/>
      <c r="M88" s="64" t="n">
        <v>1</v>
      </c>
      <c r="N88" s="32" t="inlineStr">
        <is>
          <t>Active</t>
        </is>
      </c>
      <c r="O88" s="32" t="n"/>
      <c r="P88" s="65" t="n"/>
      <c r="Q88" s="64" t="n"/>
      <c r="R88" s="64" t="n"/>
      <c r="S88" s="64" t="n"/>
      <c r="T88" s="32" t="n"/>
    </row>
    <row r="89" ht="62" customHeight="1">
      <c r="A89" s="10">
        <f>_xlfn.IMAGE("https://m.media-amazon.com/images/I/81HKWhCknYL.jpg")</f>
        <v/>
      </c>
      <c r="B89" s="32" t="inlineStr">
        <is>
          <t>B09G6JSW33</t>
        </is>
      </c>
      <c r="C89" s="32" t="inlineStr">
        <is>
          <t>SATIN-STRIPE-QUEEN-PINK</t>
        </is>
      </c>
      <c r="D89" s="32" t="inlineStr">
        <is>
          <t>DECOLURE Satin Bed Sheets - 4 Piece Luxury Silky Queen Size Bedding Set - Softer Than Silk, Wrinkle-Free with 15” Deep Pocket Fitted Sheet, Perfect for Hair &amp; Skin, Gifts for Women (Striped Pink)</t>
        </is>
      </c>
      <c r="E89" s="32" t="inlineStr">
        <is>
          <t>Queen</t>
        </is>
      </c>
      <c r="F89" s="32" t="inlineStr">
        <is>
          <t>Striped Pink</t>
        </is>
      </c>
      <c r="G89" s="33" t="n"/>
      <c r="H89" s="32" t="n"/>
      <c r="I89" s="61" t="n">
        <v>56.95</v>
      </c>
      <c r="J89" s="62" t="inlineStr">
        <is>
          <t>2026-03-30</t>
        </is>
      </c>
      <c r="K89" s="33" t="n">
        <v>23.26000000000001</v>
      </c>
      <c r="L89" s="63" t="n">
        <v>0.4084284460052678</v>
      </c>
      <c r="M89" s="64" t="n">
        <v>1</v>
      </c>
      <c r="N89" s="32" t="inlineStr">
        <is>
          <t>Active</t>
        </is>
      </c>
      <c r="O89" s="32" t="n"/>
      <c r="P89" s="65" t="n"/>
      <c r="Q89" s="64" t="n"/>
      <c r="R89" s="64" t="n"/>
      <c r="S89" s="64" t="n"/>
      <c r="T89" s="32" t="n"/>
    </row>
    <row r="90" ht="62" customHeight="1">
      <c r="A90" s="10">
        <f>_xlfn.IMAGE("https://m.media-amazon.com/images/I/811r8QX1AiL.jpg")</f>
        <v/>
      </c>
      <c r="B90" s="32" t="inlineStr">
        <is>
          <t>B0839L7PJL</t>
        </is>
      </c>
      <c r="C90" s="32" t="inlineStr">
        <is>
          <t>SATIN-TWIN-BLACK-NEW</t>
        </is>
      </c>
      <c r="D90" s="32" t="inlineStr">
        <is>
          <t>DECOLURE Satin Bed Sheets - 3 Piece Luxury Silky Twin Size Bedding Set - Softer Than Silk, Wrinkle-Free with 15” Deep Pocket Fitted Sheet, Perfect for Hair &amp; Skin, Gifts for Women (Black)</t>
        </is>
      </c>
      <c r="E90" s="32" t="inlineStr">
        <is>
          <t>Twin</t>
        </is>
      </c>
      <c r="F90" s="32" t="inlineStr">
        <is>
          <t>Black</t>
        </is>
      </c>
      <c r="G90" s="33" t="n"/>
      <c r="H90" s="32" t="n"/>
      <c r="I90" s="61" t="n">
        <v>48.06</v>
      </c>
      <c r="J90" s="62" t="inlineStr">
        <is>
          <t>2026-03-30</t>
        </is>
      </c>
      <c r="K90" s="33" t="n">
        <v>18.75</v>
      </c>
      <c r="L90" s="63" t="n">
        <v>0.3901373283395755</v>
      </c>
      <c r="M90" s="64" t="n">
        <v>1</v>
      </c>
      <c r="N90" s="32" t="inlineStr">
        <is>
          <t>Active</t>
        </is>
      </c>
      <c r="O90" s="32" t="n"/>
      <c r="P90" s="65" t="n"/>
      <c r="Q90" s="64" t="n"/>
      <c r="R90" s="64" t="n"/>
      <c r="S90" s="64" t="n"/>
      <c r="T90" s="32" t="n"/>
    </row>
    <row r="91" ht="62" customHeight="1">
      <c r="A91" s="10">
        <f>_xlfn.IMAGE("https://m.media-amazon.com/images/I/81AsBEWJi8L.jpg")</f>
        <v/>
      </c>
      <c r="B91" s="32" t="inlineStr">
        <is>
          <t>B0CQRXC2YT</t>
        </is>
      </c>
      <c r="C91" s="32" t="inlineStr">
        <is>
          <t>SATIN-3PC-TWIN-BURNT ORANGE</t>
        </is>
      </c>
      <c r="D91" s="32" t="inlineStr">
        <is>
          <t>DECOLURE Satin Bed Sheets - 3 Piece Luxury Silky Twin Size Bedding Set - Softer Than Silk, Wrinkle-Free with 15” Deep Pocket Fitted Sheet, Perfect for Hair &amp; Skin, Gifts for Women (Burnt Orange)</t>
        </is>
      </c>
      <c r="E91" s="32" t="inlineStr">
        <is>
          <t>Twin</t>
        </is>
      </c>
      <c r="F91" s="32" t="inlineStr">
        <is>
          <t>Burnt Orange</t>
        </is>
      </c>
      <c r="G91" s="33" t="n"/>
      <c r="H91" s="32" t="n"/>
      <c r="I91" s="61" t="n">
        <v>49.34</v>
      </c>
      <c r="J91" s="62" t="inlineStr">
        <is>
          <t>2026-03-30</t>
        </is>
      </c>
      <c r="K91" s="33" t="n">
        <v>18.60000000000001</v>
      </c>
      <c r="L91" s="63" t="n">
        <v>0.3769760843129308</v>
      </c>
      <c r="M91" s="64" t="n">
        <v>1</v>
      </c>
      <c r="N91" s="32" t="inlineStr">
        <is>
          <t>Active</t>
        </is>
      </c>
      <c r="O91" s="32" t="n"/>
      <c r="P91" s="65" t="n"/>
      <c r="Q91" s="64" t="n"/>
      <c r="R91" s="64" t="n"/>
      <c r="S91" s="64" t="n"/>
      <c r="T91" s="32" t="n"/>
    </row>
    <row r="92" ht="62" customHeight="1">
      <c r="A92" s="10">
        <f>_xlfn.IMAGE("https://m.media-amazon.com/images/I/81OrVgMfkxL.jpg")</f>
        <v/>
      </c>
      <c r="B92" s="32" t="inlineStr">
        <is>
          <t>B0BZPVY39R</t>
        </is>
      </c>
      <c r="C92" s="32" t="inlineStr">
        <is>
          <t>SATIN-CHAMPAGNE-TWIN</t>
        </is>
      </c>
      <c r="D92" s="32" t="inlineStr">
        <is>
          <t>DECOLURE Satin Bed Sheets - 3 Piece Luxury Silky Twin Size Bedding Set - Softer Than Silk, Wrinkle-Free with 15” Deep Pocket Fitted Sheet, Perfect for Hair &amp; Skin, Gifts for Women (Champagne)</t>
        </is>
      </c>
      <c r="E92" s="32" t="inlineStr">
        <is>
          <t>Twin</t>
        </is>
      </c>
      <c r="F92" s="32" t="inlineStr">
        <is>
          <t>Champagne</t>
        </is>
      </c>
      <c r="G92" s="33" t="n"/>
      <c r="H92" s="32" t="n"/>
      <c r="I92" s="61" t="n">
        <v>39.99</v>
      </c>
      <c r="J92" s="62" t="inlineStr">
        <is>
          <t>2026-03-30</t>
        </is>
      </c>
      <c r="K92" s="33" t="n">
        <v>18.28</v>
      </c>
      <c r="L92" s="63" t="n">
        <v>0.4571142785696424</v>
      </c>
      <c r="M92" s="64" t="n">
        <v>1</v>
      </c>
      <c r="N92" s="32" t="inlineStr">
        <is>
          <t>Active</t>
        </is>
      </c>
      <c r="O92" s="32" t="n"/>
      <c r="P92" s="65" t="n"/>
      <c r="Q92" s="64" t="n"/>
      <c r="R92" s="64" t="n"/>
      <c r="S92" s="64" t="n"/>
      <c r="T92" s="32" t="n"/>
    </row>
    <row r="93" ht="62" customHeight="1">
      <c r="A93" s="10">
        <f>_xlfn.IMAGE("https://m.media-amazon.com/images/I/81eTGAJjLvL.jpg")</f>
        <v/>
      </c>
      <c r="B93" s="32" t="inlineStr">
        <is>
          <t>B0BG25XZHJ</t>
        </is>
      </c>
      <c r="C93" s="32" t="inlineStr">
        <is>
          <t>SATIN-IVORY-TWIN</t>
        </is>
      </c>
      <c r="D93" s="32" t="inlineStr">
        <is>
          <t>DECOLURE Satin Bed Sheets - 3 Piece Luxury Silky Twin Size Bedding Set - Softer Than Silk, Wrinkle-Free with 15” Deep Pocket Fitted Sheet, Perfect for Hair &amp; Skin, Gifts for Women (Ivory)</t>
        </is>
      </c>
      <c r="E93" s="32" t="inlineStr">
        <is>
          <t>Twin</t>
        </is>
      </c>
      <c r="F93" s="32" t="inlineStr">
        <is>
          <t>Ivory</t>
        </is>
      </c>
      <c r="G93" s="33" t="n"/>
      <c r="H93" s="32" t="n"/>
      <c r="I93" s="61" t="n">
        <v>39.99</v>
      </c>
      <c r="J93" s="62" t="inlineStr">
        <is>
          <t>2026-03-30</t>
        </is>
      </c>
      <c r="K93" s="33" t="n">
        <v>17.46</v>
      </c>
      <c r="L93" s="63" t="n">
        <v>0.4366091522880721</v>
      </c>
      <c r="M93" s="64" t="n">
        <v>1</v>
      </c>
      <c r="N93" s="32" t="inlineStr">
        <is>
          <t>Inactive</t>
        </is>
      </c>
      <c r="O93" s="32" t="n"/>
      <c r="P93" s="65" t="n"/>
      <c r="Q93" s="64" t="n"/>
      <c r="R93" s="64" t="n"/>
      <c r="S93" s="64" t="n"/>
      <c r="T93" s="32" t="n"/>
    </row>
    <row r="94" ht="62" customHeight="1">
      <c r="A94" s="10">
        <f>_xlfn.IMAGE("https://m.media-amazon.com/images/I/81XZJvH2jAL.jpg")</f>
        <v/>
      </c>
      <c r="B94" s="32" t="inlineStr">
        <is>
          <t>B0CQRX8Q2P</t>
        </is>
      </c>
      <c r="C94" s="32" t="inlineStr">
        <is>
          <t>SATIN-3PC-TWIN-LAVENDER</t>
        </is>
      </c>
      <c r="D94" s="32" t="inlineStr">
        <is>
          <t>DECOLURE Satin Bed Sheets - 3 Piece Luxury Silky Twin Size Bedding Set - Softer Than Silk, Wrinkle-Free with 15” Deep Pocket Fitted Sheet, Perfect for Hair &amp; Skin, Gifts for Women (Lavender)</t>
        </is>
      </c>
      <c r="E94" s="32" t="inlineStr">
        <is>
          <t>Twin</t>
        </is>
      </c>
      <c r="F94" s="32" t="inlineStr">
        <is>
          <t>Lavender</t>
        </is>
      </c>
      <c r="G94" s="33" t="n"/>
      <c r="H94" s="32" t="n"/>
      <c r="I94" s="61" t="n">
        <v>39.99</v>
      </c>
      <c r="J94" s="62" t="inlineStr">
        <is>
          <t>2026-03-30</t>
        </is>
      </c>
      <c r="K94" s="33" t="n">
        <v>18.59</v>
      </c>
      <c r="L94" s="63" t="n">
        <v>0.4648662165541386</v>
      </c>
      <c r="M94" s="64" t="n">
        <v>1</v>
      </c>
      <c r="N94" s="32" t="inlineStr">
        <is>
          <t>Active</t>
        </is>
      </c>
      <c r="O94" s="32" t="n"/>
      <c r="P94" s="65" t="n"/>
      <c r="Q94" s="64" t="n"/>
      <c r="R94" s="64" t="n"/>
      <c r="S94" s="64" t="n"/>
      <c r="T94" s="32" t="n"/>
    </row>
    <row r="95" ht="62" customHeight="1">
      <c r="A95" s="10">
        <f>_xlfn.IMAGE("https://m.media-amazon.com/images/I/81rBoUpH30L.jpg")</f>
        <v/>
      </c>
      <c r="B95" s="32" t="inlineStr">
        <is>
          <t>B0839M48YF</t>
        </is>
      </c>
      <c r="C95" s="32" t="inlineStr">
        <is>
          <t>SATIN-TWIN-PURPLE</t>
        </is>
      </c>
      <c r="D95" s="32" t="inlineStr">
        <is>
          <t>DECOLURE Satin Bed Sheets - 3 Piece Luxury Silky Twin Size Bedding Set - Softer Than Silk, Wrinkle-Free with 15” Deep Pocket Fitted Sheet, Perfect for Hair &amp; Skin, Gifts for Women (Purple)</t>
        </is>
      </c>
      <c r="E95" s="32" t="inlineStr">
        <is>
          <t>Twin</t>
        </is>
      </c>
      <c r="F95" s="32" t="inlineStr">
        <is>
          <t>Purple</t>
        </is>
      </c>
      <c r="G95" s="33" t="n"/>
      <c r="H95" s="32" t="n"/>
      <c r="I95" s="61" t="n">
        <v>28.86</v>
      </c>
      <c r="J95" s="62" t="inlineStr">
        <is>
          <t>2026-03-22</t>
        </is>
      </c>
      <c r="K95" s="33" t="n">
        <v>8.77</v>
      </c>
      <c r="L95" s="63" t="n">
        <v>0.3038808038808039</v>
      </c>
      <c r="M95" s="64" t="n">
        <v>1</v>
      </c>
      <c r="N95" s="32" t="inlineStr">
        <is>
          <t>Active</t>
        </is>
      </c>
      <c r="O95" s="32" t="n"/>
      <c r="P95" s="65" t="n"/>
      <c r="Q95" s="64" t="n"/>
      <c r="R95" s="64" t="n"/>
      <c r="S95" s="64" t="n"/>
      <c r="T95" s="32" t="n"/>
    </row>
    <row r="96" ht="62" customHeight="1">
      <c r="A96" s="10">
        <f>_xlfn.IMAGE("https://m.media-amazon.com/images/I/81x0CFZ3vUL.jpg")</f>
        <v/>
      </c>
      <c r="B96" s="32" t="inlineStr">
        <is>
          <t>B0BG22FCVJ</t>
        </is>
      </c>
      <c r="C96" s="32" t="inlineStr">
        <is>
          <t>SATIN-ROSEWOOD-TWIN</t>
        </is>
      </c>
      <c r="D96" s="32" t="inlineStr">
        <is>
          <t>DECOLURE Satin Bed Sheets - 3 Piece Luxury Silky Twin Size Bedding Set - Softer Than Silk, Wrinkle-Free with 15” Deep Pocket Fitted Sheet, Perfect for Hair &amp; Skin, Gifts for Women (Rosewood)</t>
        </is>
      </c>
      <c r="E96" s="32" t="inlineStr">
        <is>
          <t>Twin</t>
        </is>
      </c>
      <c r="F96" s="32" t="inlineStr">
        <is>
          <t>Rosewood</t>
        </is>
      </c>
      <c r="G96" s="33" t="n"/>
      <c r="H96" s="32" t="n"/>
      <c r="I96" s="61" t="n">
        <v>39.99</v>
      </c>
      <c r="J96" s="62" t="inlineStr">
        <is>
          <t>2026-03-30</t>
        </is>
      </c>
      <c r="K96" s="33" t="n">
        <v>17.93</v>
      </c>
      <c r="L96" s="63" t="n">
        <v>0.4483620905226307</v>
      </c>
      <c r="M96" s="64" t="n">
        <v>1</v>
      </c>
      <c r="N96" s="32" t="inlineStr">
        <is>
          <t>Active</t>
        </is>
      </c>
      <c r="O96" s="32" t="n"/>
      <c r="P96" s="65" t="n"/>
      <c r="Q96" s="64" t="n"/>
      <c r="R96" s="64" t="n"/>
      <c r="S96" s="64" t="n"/>
      <c r="T96" s="32" t="n"/>
    </row>
    <row r="97" ht="62" customHeight="1">
      <c r="A97" s="10">
        <f>_xlfn.IMAGE("https://m.media-amazon.com/images/I/81cpDU4ugeL.jpg")</f>
        <v/>
      </c>
      <c r="B97" s="32" t="inlineStr">
        <is>
          <t>B0BG21NBG9</t>
        </is>
      </c>
      <c r="C97" s="32" t="inlineStr">
        <is>
          <t>SATIN-STONEGREY-TWIN</t>
        </is>
      </c>
      <c r="D97" s="32" t="inlineStr">
        <is>
          <t>DECOLURE Satin Bed Sheets - 3 Piece Luxury Silky Twin Size Bedding Set - Softer Than Silk, Wrinkle-Free with 15” Deep Pocket Fitted Sheet, Perfect for Hair &amp; Skin, Gifts for Women (Stone Grey)</t>
        </is>
      </c>
      <c r="E97" s="32" t="inlineStr">
        <is>
          <t>Twin</t>
        </is>
      </c>
      <c r="F97" s="32" t="inlineStr">
        <is>
          <t>Stone Grey</t>
        </is>
      </c>
      <c r="G97" s="33" t="n"/>
      <c r="H97" s="32" t="n"/>
      <c r="I97" s="61" t="n">
        <v>39.99</v>
      </c>
      <c r="J97" s="62" t="inlineStr">
        <is>
          <t>2026-03-30</t>
        </is>
      </c>
      <c r="K97" s="33" t="n">
        <v>18.18</v>
      </c>
      <c r="L97" s="63" t="n">
        <v>0.4546136534133535</v>
      </c>
      <c r="M97" s="64" t="n">
        <v>1</v>
      </c>
      <c r="N97" s="32" t="inlineStr">
        <is>
          <t>Active</t>
        </is>
      </c>
      <c r="O97" s="32" t="n"/>
      <c r="P97" s="65" t="n"/>
      <c r="Q97" s="64" t="n"/>
      <c r="R97" s="64" t="n"/>
      <c r="S97" s="64" t="n"/>
      <c r="T97" s="32" t="n"/>
    </row>
    <row r="98" ht="62" customHeight="1">
      <c r="A98" s="10">
        <f>_xlfn.IMAGE("https://m.media-amazon.com/images/I/81VOdox-tCL.jpg")</f>
        <v/>
      </c>
      <c r="B98" s="32" t="inlineStr">
        <is>
          <t>B09G6JK5ZL</t>
        </is>
      </c>
      <c r="C98" s="32" t="inlineStr">
        <is>
          <t>SATIN-STRIPE-TWIN-WHITE</t>
        </is>
      </c>
      <c r="D98" s="32" t="inlineStr">
        <is>
          <t>DECOLURE Satin Bed Sheets - 3 Piece Luxury Silky Twin Size Bedding Set - Softer Than Silk, Wrinkle-Free with 15” Deep Pocket Fitted Sheet, Perfect for Hair &amp; Skin, Gifts for Women (Striped White)</t>
        </is>
      </c>
      <c r="E98" s="32" t="inlineStr">
        <is>
          <t>Twin</t>
        </is>
      </c>
      <c r="F98" s="32" t="inlineStr">
        <is>
          <t>Striped White</t>
        </is>
      </c>
      <c r="G98" s="33" t="n"/>
      <c r="H98" s="32" t="n"/>
      <c r="I98" s="61" t="n">
        <v>39.99</v>
      </c>
      <c r="J98" s="62" t="inlineStr">
        <is>
          <t>2026-03-30</t>
        </is>
      </c>
      <c r="K98" s="33" t="n">
        <v>17.57</v>
      </c>
      <c r="L98" s="63" t="n">
        <v>0.4393598399599901</v>
      </c>
      <c r="M98" s="64" t="n">
        <v>1</v>
      </c>
      <c r="N98" s="32" t="inlineStr">
        <is>
          <t>Active</t>
        </is>
      </c>
      <c r="O98" s="32" t="n"/>
      <c r="P98" s="65" t="n"/>
      <c r="Q98" s="64" t="n"/>
      <c r="R98" s="64" t="n"/>
      <c r="S98" s="64" t="n"/>
      <c r="T98" s="32" t="n"/>
    </row>
    <row r="99" ht="62" customHeight="1">
      <c r="A99" s="10">
        <f>_xlfn.IMAGE("https://m.media-amazon.com/images/I/81VtFuMce8L.jpg")</f>
        <v/>
      </c>
      <c r="B99" s="32" t="inlineStr">
        <is>
          <t>B0839L9RSB</t>
        </is>
      </c>
      <c r="C99" s="32" t="inlineStr">
        <is>
          <t>SATIN-FULL-BLUE</t>
        </is>
      </c>
      <c r="D99" s="32" t="inlineStr">
        <is>
          <t>DECOLURE Satin Bed Sheets - 4 Piece Luxury Silky Full Size Bedding Set - Softer Than Silk, Wrinkle-Free with 15” Deep Pocket Fitted Sheet, Perfect for Hair &amp; Skin, Gifts for Women (Blue)</t>
        </is>
      </c>
      <c r="E99" s="32" t="inlineStr">
        <is>
          <t>Full</t>
        </is>
      </c>
      <c r="F99" s="32" t="inlineStr">
        <is>
          <t>Blue</t>
        </is>
      </c>
      <c r="G99" s="33" t="n"/>
      <c r="H99" s="32" t="n"/>
      <c r="I99" s="61" t="n">
        <v>44.99</v>
      </c>
      <c r="J99" s="62" t="inlineStr">
        <is>
          <t>2026-03-30</t>
        </is>
      </c>
      <c r="K99" s="33" t="n">
        <v>19.93</v>
      </c>
      <c r="L99" s="63" t="n">
        <v>0.4429873305178929</v>
      </c>
      <c r="M99" s="64" t="n"/>
      <c r="N99" s="32" t="inlineStr">
        <is>
          <t>Inactive</t>
        </is>
      </c>
      <c r="O99" s="32" t="n"/>
      <c r="P99" s="65" t="n"/>
      <c r="Q99" s="64" t="n"/>
      <c r="R99" s="64" t="n"/>
      <c r="S99" s="64" t="n"/>
      <c r="T99" s="32" t="n"/>
    </row>
    <row r="100" ht="62" customHeight="1">
      <c r="A100" s="10">
        <f>_xlfn.IMAGE("https://m.media-amazon.com/images/I/81Ktu4N6y2L.jpg")</f>
        <v/>
      </c>
      <c r="B100" s="32" t="inlineStr">
        <is>
          <t>B0BG21B7JS</t>
        </is>
      </c>
      <c r="C100" s="32" t="inlineStr">
        <is>
          <t>SATIN-ROSEWOOD-FULL</t>
        </is>
      </c>
      <c r="D100" s="32" t="inlineStr">
        <is>
          <t>DECOLURE Satin Bed Sheets - 4 Piece Luxury Silky Full Size Bedding Set - Softer Than Silk, Wrinkle-Free with 15” Deep Pocket Fitted Sheet, Perfect for Hair &amp; Skin, Gifts for Women (Rosewood)</t>
        </is>
      </c>
      <c r="E100" s="32" t="inlineStr">
        <is>
          <t>Full</t>
        </is>
      </c>
      <c r="F100" s="32" t="inlineStr">
        <is>
          <t>Rosewoord-01</t>
        </is>
      </c>
      <c r="G100" s="33" t="n"/>
      <c r="H100" s="32" t="n"/>
      <c r="I100" s="61" t="n">
        <v>54.12</v>
      </c>
      <c r="J100" s="62" t="inlineStr">
        <is>
          <t>2026-03-06</t>
        </is>
      </c>
      <c r="K100" s="33" t="n"/>
      <c r="L100" s="63" t="n"/>
      <c r="M100" s="64" t="n"/>
      <c r="N100" s="32" t="inlineStr">
        <is>
          <t>Inactive</t>
        </is>
      </c>
      <c r="O100" s="32" t="n"/>
      <c r="P100" s="65" t="n"/>
      <c r="Q100" s="64" t="n"/>
      <c r="R100" s="64" t="n"/>
      <c r="S100" s="64" t="n"/>
      <c r="T100" s="32" t="n"/>
    </row>
    <row r="101" ht="62" customHeight="1">
      <c r="A101" s="10">
        <f>_xlfn.IMAGE("https://m.media-amazon.com/images/I/81b2FINCUgL.jpg")</f>
        <v/>
      </c>
      <c r="B101" s="32" t="inlineStr">
        <is>
          <t>B0CQRY9WLG</t>
        </is>
      </c>
      <c r="C101" s="32" t="inlineStr">
        <is>
          <t>SATIN-4PC-FULL-SAGE GREEN</t>
        </is>
      </c>
      <c r="D101" s="32" t="inlineStr">
        <is>
          <t>DECOLURE Satin Bed Sheets - 4 Piece Luxury Silky Full Size Bedding Set - Softer Than Silk, Wrinkle-Free with 15” Deep Pocket Fitted Sheet, Perfect for Hair &amp; Skin, Gifts for Women (Sage Green)</t>
        </is>
      </c>
      <c r="E101" s="32" t="inlineStr">
        <is>
          <t>Full</t>
        </is>
      </c>
      <c r="F101" s="32" t="inlineStr">
        <is>
          <t>Sage Green</t>
        </is>
      </c>
      <c r="G101" s="33" t="n"/>
      <c r="H101" s="32" t="n"/>
      <c r="I101" s="61" t="n">
        <v>44.99</v>
      </c>
      <c r="J101" s="62" t="inlineStr">
        <is>
          <t>2026-03-30</t>
        </is>
      </c>
      <c r="K101" s="33" t="n">
        <v>20.79</v>
      </c>
      <c r="L101" s="63" t="n">
        <v>0.4621026894865525</v>
      </c>
      <c r="M101" s="64" t="n">
        <v>0</v>
      </c>
      <c r="N101" s="32" t="inlineStr">
        <is>
          <t>Active</t>
        </is>
      </c>
      <c r="O101" s="32" t="n"/>
      <c r="P101" s="65" t="n"/>
      <c r="Q101" s="64" t="n"/>
      <c r="R101" s="64" t="n"/>
      <c r="S101" s="64" t="n"/>
      <c r="T101" s="32" t="n"/>
    </row>
    <row r="102" ht="62" customHeight="1">
      <c r="A102" s="10">
        <f>_xlfn.IMAGE("https://m.media-amazon.com/images/I/81UtPaYWlbL.jpg")</f>
        <v/>
      </c>
      <c r="B102" s="32" t="inlineStr">
        <is>
          <t>B0BG1Z32KQ</t>
        </is>
      </c>
      <c r="C102" s="32" t="inlineStr">
        <is>
          <t>SATIN-SEA-TEAL-FULL</t>
        </is>
      </c>
      <c r="D102" s="32" t="inlineStr">
        <is>
          <t>DECOLURE Satin Bed Sheets - 4 Piece Luxury Silky Full Size Bedding Set - Softer Than Silk, Wrinkle-Free with 15” Deep Pocket Fitted Sheet, Perfect for Hair &amp; Skin, Gifts for Women (Sea Teal)</t>
        </is>
      </c>
      <c r="E102" s="32" t="inlineStr">
        <is>
          <t>Full</t>
        </is>
      </c>
      <c r="F102" s="32" t="inlineStr">
        <is>
          <t>Sea Teal</t>
        </is>
      </c>
      <c r="G102" s="33" t="n"/>
      <c r="H102" s="32" t="n"/>
      <c r="I102" s="61" t="n">
        <v>44.99</v>
      </c>
      <c r="J102" s="62" t="inlineStr">
        <is>
          <t>2026-03-30</t>
        </is>
      </c>
      <c r="K102" s="33" t="n">
        <v>19.93</v>
      </c>
      <c r="L102" s="63" t="n">
        <v>0.4429873305178929</v>
      </c>
      <c r="M102" s="64" t="n">
        <v>0</v>
      </c>
      <c r="N102" s="32" t="inlineStr">
        <is>
          <t>Active</t>
        </is>
      </c>
      <c r="O102" s="32" t="n"/>
      <c r="P102" s="65" t="n"/>
      <c r="Q102" s="64" t="n"/>
      <c r="R102" s="64" t="n"/>
      <c r="S102" s="64" t="n"/>
      <c r="T102" s="32" t="n"/>
    </row>
    <row r="103" ht="62" customHeight="1">
      <c r="A103" s="10">
        <f>_xlfn.IMAGE("https://m.media-amazon.com/images/I/812d7h4NK3L.jpg")</f>
        <v/>
      </c>
      <c r="B103" s="32" t="inlineStr">
        <is>
          <t>B0BG23H2QY</t>
        </is>
      </c>
      <c r="C103" s="32" t="inlineStr">
        <is>
          <t>SATIN-STONEGREY-FULL</t>
        </is>
      </c>
      <c r="D103" s="32" t="inlineStr">
        <is>
          <t>DECOLURE Satin Bed Sheets - 4 Piece Luxury Silky Full Size Bedding Set - Softer Than Silk, Wrinkle-Free with 15” Deep Pocket Fitted Sheet, Perfect for Hair &amp; Skin, Gifts for Women (Stone Grey)</t>
        </is>
      </c>
      <c r="E103" s="32" t="inlineStr">
        <is>
          <t>Full</t>
        </is>
      </c>
      <c r="F103" s="32" t="inlineStr">
        <is>
          <t>Stone Grey</t>
        </is>
      </c>
      <c r="G103" s="33" t="n"/>
      <c r="H103" s="32" t="n"/>
      <c r="I103" s="61" t="n">
        <v>44.99</v>
      </c>
      <c r="J103" s="62" t="inlineStr">
        <is>
          <t>2026-03-30</t>
        </is>
      </c>
      <c r="K103" s="33" t="n">
        <v>20.09</v>
      </c>
      <c r="L103" s="63" t="n">
        <v>0.4465436763725272</v>
      </c>
      <c r="M103" s="64" t="n">
        <v>0</v>
      </c>
      <c r="N103" s="32" t="inlineStr">
        <is>
          <t>Active</t>
        </is>
      </c>
      <c r="O103" s="32" t="n"/>
      <c r="P103" s="65" t="n"/>
      <c r="Q103" s="64" t="n"/>
      <c r="R103" s="64" t="n"/>
      <c r="S103" s="64" t="n"/>
      <c r="T103" s="32" t="n"/>
    </row>
    <row r="104" ht="62" customHeight="1">
      <c r="A104" s="10">
        <f>_xlfn.IMAGE("https://m.media-amazon.com/images/I/81HKWhCknYL.jpg")</f>
        <v/>
      </c>
      <c r="B104" s="32" t="inlineStr">
        <is>
          <t>B09G6HNZ3C</t>
        </is>
      </c>
      <c r="C104" s="32" t="inlineStr">
        <is>
          <t>SATIN-STRIPE-FULL-PINK</t>
        </is>
      </c>
      <c r="D104" s="32" t="inlineStr">
        <is>
          <t>DECOLURE Satin Bed Sheets - 4 Piece Luxury Silky Full Size Bedding Set - Softer Than Silk, Wrinkle-Free with 15” Deep Pocket Fitted Sheet, Perfect for Hair &amp; Skin, Gifts for Women (Striped Pink)</t>
        </is>
      </c>
      <c r="E104" s="32" t="inlineStr">
        <is>
          <t>Full</t>
        </is>
      </c>
      <c r="F104" s="32" t="inlineStr">
        <is>
          <t>Stripe Pink-01</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10">
        <f>_xlfn.IMAGE("https://m.media-amazon.com/images/I/81Bv43jZjZL.jpg")</f>
        <v/>
      </c>
      <c r="B105" s="32" t="inlineStr">
        <is>
          <t>B09G6KMXVX</t>
        </is>
      </c>
      <c r="C105" s="32" t="inlineStr">
        <is>
          <t>SATIN-STRIPE-FULL-BLACK</t>
        </is>
      </c>
      <c r="D105" s="32" t="inlineStr">
        <is>
          <t>DECOLURE Satin Bed Sheets - 4 Piece Luxury Silky Full Size Bedding Set - Softer Than Silk, Wrinkle-Free with 15” Deep Pocket Fitted Sheet, Perfect for Hair &amp; Skin, Gifts for Women (Striped Black)</t>
        </is>
      </c>
      <c r="E105" s="32" t="inlineStr">
        <is>
          <t>Full</t>
        </is>
      </c>
      <c r="F105" s="32" t="inlineStr">
        <is>
          <t>Striped Black</t>
        </is>
      </c>
      <c r="G105" s="33" t="n"/>
      <c r="H105" s="32" t="n"/>
      <c r="I105" s="61" t="n">
        <v>44.99</v>
      </c>
      <c r="J105" s="62" t="inlineStr">
        <is>
          <t>2026-03-30</t>
        </is>
      </c>
      <c r="K105" s="33" t="n">
        <v>19.15</v>
      </c>
      <c r="L105" s="63" t="n">
        <v>0.4256501444765504</v>
      </c>
      <c r="M105" s="64" t="n">
        <v>0</v>
      </c>
      <c r="N105" s="32" t="inlineStr">
        <is>
          <t>Inactive</t>
        </is>
      </c>
      <c r="O105" s="32" t="n"/>
      <c r="P105" s="65" t="n"/>
      <c r="Q105" s="64" t="n"/>
      <c r="R105" s="64" t="n"/>
      <c r="S105" s="64" t="n"/>
      <c r="T105" s="32" t="n"/>
    </row>
    <row r="106" ht="62" customHeight="1">
      <c r="A106" s="10">
        <f>_xlfn.IMAGE("https://m.media-amazon.com/images/I/81HcDE0HThL.jpg")</f>
        <v/>
      </c>
      <c r="B106" s="32" t="inlineStr">
        <is>
          <t>B09G6M7WJ2</t>
        </is>
      </c>
      <c r="C106" s="32" t="inlineStr">
        <is>
          <t>SATIN-STRIPE-FULL-BLUE</t>
        </is>
      </c>
      <c r="D106" s="32" t="inlineStr">
        <is>
          <t>DECOLURE Satin Bed Sheets - 4 Piece Luxury Silky Full Size Bedding Set - Softer Than Silk, Wrinkle-Free with 15” Deep Pocket Fitted Sheet, Perfect for Hair &amp; Skin, Gifts for Women (Striped Blue)</t>
        </is>
      </c>
      <c r="E106" s="32" t="inlineStr">
        <is>
          <t>Full</t>
        </is>
      </c>
      <c r="F106" s="32" t="inlineStr">
        <is>
          <t>Striped Blue</t>
        </is>
      </c>
      <c r="G106" s="33" t="n"/>
      <c r="H106" s="32" t="n"/>
      <c r="I106" s="61" t="n">
        <v>32.39</v>
      </c>
      <c r="J106" s="62" t="inlineStr">
        <is>
          <t>2026-03-30</t>
        </is>
      </c>
      <c r="K106" s="33" t="n">
        <v>9.15</v>
      </c>
      <c r="L106" s="63" t="n">
        <v>0.2824945970978697</v>
      </c>
      <c r="M106" s="64" t="n">
        <v>0</v>
      </c>
      <c r="N106" s="32" t="inlineStr">
        <is>
          <t>Active</t>
        </is>
      </c>
      <c r="O106" s="32" t="n"/>
      <c r="P106" s="65" t="n"/>
      <c r="Q106" s="64" t="n"/>
      <c r="R106" s="64" t="n"/>
      <c r="S106" s="64" t="n"/>
      <c r="T106" s="32" t="n"/>
    </row>
    <row r="107" ht="62" customHeight="1">
      <c r="A107" s="10">
        <f>_xlfn.IMAGE("https://m.media-amazon.com/images/I/81oeTNry2PL.jpg")</f>
        <v/>
      </c>
      <c r="B107" s="32" t="inlineStr">
        <is>
          <t>B09G6J1HVY</t>
        </is>
      </c>
      <c r="C107" s="32" t="inlineStr">
        <is>
          <t>SATIN-STRIPE-FULL-GRAY</t>
        </is>
      </c>
      <c r="D107" s="32" t="inlineStr">
        <is>
          <t>DECOLURE Satin Bed Sheets - 4 Piece Luxury Silky Full Size Bedding Set - Softer Than Silk, Wrinkle-Free with 15” Deep Pocket Fitted Sheet, Perfect for Hair &amp; Skin, Gifts for Women (Striped Grey)</t>
        </is>
      </c>
      <c r="E107" s="32" t="inlineStr">
        <is>
          <t>Full</t>
        </is>
      </c>
      <c r="F107" s="32" t="inlineStr">
        <is>
          <t>Striped Grey</t>
        </is>
      </c>
      <c r="G107" s="33" t="n"/>
      <c r="H107" s="32" t="n"/>
      <c r="I107" s="61" t="n">
        <v>44.99</v>
      </c>
      <c r="J107" s="62" t="inlineStr">
        <is>
          <t>2026-03-30</t>
        </is>
      </c>
      <c r="K107" s="33" t="n">
        <v>19.15</v>
      </c>
      <c r="L107" s="63" t="n">
        <v>0.4256501444765504</v>
      </c>
      <c r="M107" s="64" t="n">
        <v>0</v>
      </c>
      <c r="N107" s="32" t="inlineStr">
        <is>
          <t>Active</t>
        </is>
      </c>
      <c r="O107" s="32" t="n"/>
      <c r="P107" s="65" t="n"/>
      <c r="Q107" s="64" t="n"/>
      <c r="R107" s="64" t="n"/>
      <c r="S107" s="64" t="n"/>
      <c r="T107" s="32" t="n"/>
    </row>
    <row r="108" ht="62" customHeight="1">
      <c r="A108" s="10">
        <f>_xlfn.IMAGE("https://m.media-amazon.com/images/I/81HKWhCknYL.jpg")</f>
        <v/>
      </c>
      <c r="B108" s="32" t="inlineStr">
        <is>
          <t>B0DBQZWWHB</t>
        </is>
      </c>
      <c r="C108" s="32" t="inlineStr">
        <is>
          <t>SATIN-4PCS-FULL-STRIPE-PINK</t>
        </is>
      </c>
      <c r="D108" s="32" t="inlineStr">
        <is>
          <t>DECOLURE Satin Bed Sheets - 4 Piece Luxury Silky Full Size Bedding Set - Softer Than Silk, Wrinkle-Free with 15” Deep Pocket Fitted Sheet, Perfect for Hair &amp; Skin, Gifts for Women (Striped Pink)</t>
        </is>
      </c>
      <c r="E108" s="32" t="inlineStr">
        <is>
          <t>Full</t>
        </is>
      </c>
      <c r="F108" s="32" t="inlineStr">
        <is>
          <t>Striped Pink</t>
        </is>
      </c>
      <c r="G108" s="33" t="n"/>
      <c r="H108" s="32" t="n"/>
      <c r="I108" s="61" t="n">
        <v>44.99</v>
      </c>
      <c r="J108" s="62" t="inlineStr">
        <is>
          <t>2026-03-30</t>
        </is>
      </c>
      <c r="K108" s="33" t="n">
        <v>19.14</v>
      </c>
      <c r="L108" s="63" t="n">
        <v>0.4254278728606358</v>
      </c>
      <c r="M108" s="64" t="n">
        <v>0</v>
      </c>
      <c r="N108" s="32" t="inlineStr">
        <is>
          <t>Active</t>
        </is>
      </c>
      <c r="O108" s="32" t="n"/>
      <c r="P108" s="65" t="n"/>
      <c r="Q108" s="64" t="n"/>
      <c r="R108" s="64" t="n"/>
      <c r="S108" s="64" t="n"/>
      <c r="T108" s="32" t="n"/>
    </row>
    <row r="109" ht="62" customHeight="1">
      <c r="A109" s="10">
        <f>_xlfn.IMAGE("https://m.media-amazon.com/images/I/81pznhbbzLL.jpg")</f>
        <v/>
      </c>
      <c r="B109" s="32" t="inlineStr">
        <is>
          <t>B0BZPV4LYC</t>
        </is>
      </c>
      <c r="C109" s="32" t="inlineStr">
        <is>
          <t>SATIN-TAUPE-FULL</t>
        </is>
      </c>
      <c r="D109" s="32" t="inlineStr">
        <is>
          <t>DECOLURE Satin Bed Sheets - 4 Piece Luxury Silky Full Size Bedding Set - Softer Than Silk, Wrinkle-Free with 15” Deep Pocket Fitted Sheet, Perfect for Hair &amp; Skin, Gifts for Women (Taupe)</t>
        </is>
      </c>
      <c r="E109" s="32" t="inlineStr">
        <is>
          <t>Full</t>
        </is>
      </c>
      <c r="F109" s="32" t="inlineStr">
        <is>
          <t>Taupe</t>
        </is>
      </c>
      <c r="G109" s="33" t="n"/>
      <c r="H109" s="32" t="n"/>
      <c r="I109" s="61" t="n">
        <v>32.39</v>
      </c>
      <c r="J109" s="62" t="inlineStr">
        <is>
          <t>2026-03-30</t>
        </is>
      </c>
      <c r="K109" s="33" t="n">
        <v>10.09</v>
      </c>
      <c r="L109" s="63" t="n">
        <v>0.3115158999691263</v>
      </c>
      <c r="M109" s="64" t="n">
        <v>0</v>
      </c>
      <c r="N109" s="32" t="inlineStr">
        <is>
          <t>Active</t>
        </is>
      </c>
      <c r="O109" s="32" t="n"/>
      <c r="P109" s="65" t="n"/>
      <c r="Q109" s="64" t="n"/>
      <c r="R109" s="64" t="n"/>
      <c r="S109" s="64" t="n"/>
      <c r="T109" s="32" t="n"/>
    </row>
    <row r="110" ht="62" customHeight="1">
      <c r="A110" s="10">
        <f>_xlfn.IMAGE("https://m.media-amazon.com/images/I/81lsutcxZ4L.jpg")</f>
        <v/>
      </c>
      <c r="B110" s="32" t="inlineStr">
        <is>
          <t>B0BZPXJH4Q</t>
        </is>
      </c>
      <c r="C110" s="32" t="inlineStr">
        <is>
          <t>SATIN-CHAMPAGNE-KING</t>
        </is>
      </c>
      <c r="D110" s="32" t="inlineStr">
        <is>
          <t>DECOLURE Satin Bed Sheets - 4 Piece Luxury Silky King Size Bedding Set - Softer Than Silk, Wrinkle-Free with 15” Deep Pocket Fitted Sheet, Perfect for Hair &amp; Skin, Gifts for Women (Champagne)</t>
        </is>
      </c>
      <c r="E110" s="32" t="inlineStr">
        <is>
          <t>King</t>
        </is>
      </c>
      <c r="F110" s="32" t="inlineStr">
        <is>
          <t>Champagne-01</t>
        </is>
      </c>
      <c r="G110" s="33" t="n"/>
      <c r="H110" s="32" t="n"/>
      <c r="I110" s="61" t="n">
        <v>52.99</v>
      </c>
      <c r="J110" s="62" t="inlineStr">
        <is>
          <t>2026-03-30</t>
        </is>
      </c>
      <c r="K110" s="33" t="n">
        <v>23.3</v>
      </c>
      <c r="L110" s="63" t="n">
        <v>0.4397056048311001</v>
      </c>
      <c r="M110" s="64" t="n"/>
      <c r="N110" s="32" t="inlineStr">
        <is>
          <t>Inactive</t>
        </is>
      </c>
      <c r="O110" s="32" t="n"/>
      <c r="P110" s="65" t="n"/>
      <c r="Q110" s="64" t="n"/>
      <c r="R110" s="64" t="n"/>
      <c r="S110" s="64" t="n"/>
      <c r="T110" s="32" t="n"/>
    </row>
    <row r="111" ht="62" customHeight="1">
      <c r="A111" s="10">
        <f>_xlfn.IMAGE("https://m.media-amazon.com/images/I/81NOa451cTL.jpg")</f>
        <v/>
      </c>
      <c r="B111" s="32" t="inlineStr">
        <is>
          <t>B08KRYTRHY</t>
        </is>
      </c>
      <c r="C111" s="32" t="inlineStr">
        <is>
          <t>SATIN-GOLD-KING</t>
        </is>
      </c>
      <c r="D111" s="32" t="inlineStr">
        <is>
          <t>DECOLURE Satin Bed Sheets - 4 Piece Luxury Silky King Size Bedding Set - Softer Than Silk, Wrinkle-Free with 15” Deep Pocket Fitted Sheet, Perfect for Hair &amp; Skin, Gifts for Women (Gold)</t>
        </is>
      </c>
      <c r="E111" s="32" t="inlineStr">
        <is>
          <t>King</t>
        </is>
      </c>
      <c r="F111" s="32" t="inlineStr">
        <is>
          <t>Gold</t>
        </is>
      </c>
      <c r="G111" s="33" t="n"/>
      <c r="H111" s="32" t="n"/>
      <c r="I111" s="61" t="n">
        <v>52.99</v>
      </c>
      <c r="J111" s="62" t="inlineStr">
        <is>
          <t>2026-03-30</t>
        </is>
      </c>
      <c r="K111" s="33" t="n">
        <v>23.71</v>
      </c>
      <c r="L111" s="63" t="n">
        <v>0.4474429137573127</v>
      </c>
      <c r="M111" s="64" t="n"/>
      <c r="N111" s="32" t="inlineStr">
        <is>
          <t>Inactive</t>
        </is>
      </c>
      <c r="O111" s="32" t="n"/>
      <c r="P111" s="65" t="n"/>
      <c r="Q111" s="64" t="n"/>
      <c r="R111" s="64" t="n"/>
      <c r="S111" s="64" t="n"/>
      <c r="T111" s="32" t="n"/>
    </row>
    <row r="112" ht="62" customHeight="1">
      <c r="A112" s="10">
        <f>_xlfn.IMAGE("https://m.media-amazon.com/images/I/81RxsA0xn7L.jpg")</f>
        <v/>
      </c>
      <c r="B112" s="32" t="inlineStr">
        <is>
          <t>B0839MBPVF</t>
        </is>
      </c>
      <c r="C112" s="32" t="inlineStr">
        <is>
          <t>SATIN-KING-GREY</t>
        </is>
      </c>
      <c r="D112" s="32" t="inlineStr">
        <is>
          <t>DECOLURE Satin Bed Sheets - 4 Piece Luxury Silky King Size Bedding Set - Softer Than Silk, Wrinkle-Free with 15” Deep Pocket Fitted Sheet, Perfect for Hair &amp; Skin, Gifts for Women (Grey)</t>
        </is>
      </c>
      <c r="E112" s="32" t="inlineStr">
        <is>
          <t>King</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_xlfn.IMAGE("https://m.media-amazon.com/images/I/81zvGkE8vhL.jpg")</f>
        <v/>
      </c>
      <c r="B113" s="32" t="inlineStr">
        <is>
          <t>B0839LK8DB</t>
        </is>
      </c>
      <c r="C113" s="32" t="inlineStr">
        <is>
          <t>SATIN-KING-PINK</t>
        </is>
      </c>
      <c r="D113" s="32" t="inlineStr">
        <is>
          <t>DECOLURE Satin Bed Sheets - 4 Piece Luxury Silky King Size Bedding Set - Softer Than Silk, Wrinkle-Free with 15” Deep Pocket Fitted Sheet, Perfect for Hair &amp; Skin, Gifts for Women (Pink)</t>
        </is>
      </c>
      <c r="E113" s="32" t="inlineStr">
        <is>
          <t>King</t>
        </is>
      </c>
      <c r="F113" s="32" t="inlineStr">
        <is>
          <t>Pink</t>
        </is>
      </c>
      <c r="G113" s="33" t="n"/>
      <c r="H113" s="32" t="n"/>
      <c r="I113" s="61" t="n">
        <v>52.99</v>
      </c>
      <c r="J113" s="62" t="inlineStr">
        <is>
          <t>2026-03-30</t>
        </is>
      </c>
      <c r="K113" s="33" t="n">
        <v>23.8</v>
      </c>
      <c r="L113" s="63" t="n">
        <v>0.4491413474240423</v>
      </c>
      <c r="M113" s="64" t="n">
        <v>0</v>
      </c>
      <c r="N113" s="32" t="inlineStr">
        <is>
          <t>Active</t>
        </is>
      </c>
      <c r="O113" s="32" t="n"/>
      <c r="P113" s="65" t="n"/>
      <c r="Q113" s="64" t="n"/>
      <c r="R113" s="64" t="n"/>
      <c r="S113" s="64" t="n"/>
      <c r="T113" s="32" t="n"/>
    </row>
    <row r="114" ht="62" customHeight="1">
      <c r="A114" s="10">
        <f>_xlfn.IMAGE("https://m.media-amazon.com/images/I/81XsKf7Tk0L.jpg")</f>
        <v/>
      </c>
      <c r="B114" s="32" t="inlineStr">
        <is>
          <t>B0DBQVGKTV</t>
        </is>
      </c>
      <c r="C114" s="32" t="inlineStr">
        <is>
          <t>SATIN-4PCS-KING-RED</t>
        </is>
      </c>
      <c r="D114" s="32" t="inlineStr">
        <is>
          <t>DECOLURE Satin Sheets King Size Set 4 Pcs - Silky &amp; Luxuriously Soft Satin Bed Sheets w/15-inch Deep Pocket - Double Stitching, Wrinkle Free (Red-01)</t>
        </is>
      </c>
      <c r="E114" s="32" t="inlineStr">
        <is>
          <t>King</t>
        </is>
      </c>
      <c r="F114" s="32" t="inlineStr">
        <is>
          <t>Red</t>
        </is>
      </c>
      <c r="G114" s="33" t="n"/>
      <c r="H114" s="32" t="n"/>
      <c r="I114" s="61" t="n">
        <v>52.99</v>
      </c>
      <c r="J114" s="62" t="inlineStr">
        <is>
          <t>2026-03-30</t>
        </is>
      </c>
      <c r="K114" s="33" t="n">
        <v>24.41</v>
      </c>
      <c r="L114" s="63" t="n">
        <v>0.4606529533874315</v>
      </c>
      <c r="M114" s="64" t="n">
        <v>0</v>
      </c>
      <c r="N114" s="32" t="inlineStr">
        <is>
          <t>Active</t>
        </is>
      </c>
      <c r="O114" s="32" t="n"/>
      <c r="P114" s="65" t="n"/>
      <c r="Q114" s="64" t="n"/>
      <c r="R114" s="64" t="n"/>
      <c r="S114" s="64" t="n"/>
      <c r="T114" s="32" t="n"/>
    </row>
    <row r="115" ht="62" customHeight="1">
      <c r="A115" s="10">
        <f>_xlfn.IMAGE("https://m.media-amazon.com/images/I/81XsKf7Tk0L.jpg")</f>
        <v/>
      </c>
      <c r="B115" s="32" t="inlineStr">
        <is>
          <t>B08KRHXH6K</t>
        </is>
      </c>
      <c r="C115" s="32" t="inlineStr">
        <is>
          <t>SATIN-RED-KING</t>
        </is>
      </c>
      <c r="D115" s="32" t="inlineStr">
        <is>
          <t>DECOLURE Satin Bed Sheets - 4 Piece Luxury Silky King Size Bedding Set - Softer Than Silk, Wrinkle-Free with 15” Deep Pocket Fitted Sheet, Perfect for Hair &amp; Skin, Gifts for Women (Red)</t>
        </is>
      </c>
      <c r="E115" s="32" t="inlineStr">
        <is>
          <t>King</t>
        </is>
      </c>
      <c r="F115" s="32" t="inlineStr">
        <is>
          <t>Red-01</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_xlfn.IMAGE("https://m.media-amazon.com/images/I/81Ktu4N6y2L.jpg")</f>
        <v/>
      </c>
      <c r="B116" s="32" t="inlineStr">
        <is>
          <t>B0DBR1DWPP</t>
        </is>
      </c>
      <c r="C116" s="32" t="inlineStr">
        <is>
          <t>SATIN-4PCS-KING-ROSEWOOD</t>
        </is>
      </c>
      <c r="D116" s="32" t="inlineStr">
        <is>
          <t>DECOLURE Satin Sheets King Size Set 4 Pcs - Silky &amp; Luxuriously Soft Satin Bed Sheets w/ 15inch Deep Pocket- Double Stitching, Wrinkle Free (Rosewood)</t>
        </is>
      </c>
      <c r="E116" s="32" t="inlineStr">
        <is>
          <t>King</t>
        </is>
      </c>
      <c r="F116" s="32" t="inlineStr">
        <is>
          <t>Rosewood</t>
        </is>
      </c>
      <c r="G116" s="33" t="n"/>
      <c r="H116" s="32" t="n"/>
      <c r="I116" s="61" t="n">
        <v>49.99</v>
      </c>
      <c r="J116" s="62" t="inlineStr">
        <is>
          <t>2026-03-30</t>
        </is>
      </c>
      <c r="K116" s="33" t="n">
        <v>20.41</v>
      </c>
      <c r="L116" s="63" t="n">
        <v>0.4082816563312663</v>
      </c>
      <c r="M116" s="64" t="n">
        <v>0</v>
      </c>
      <c r="N116" s="32" t="inlineStr">
        <is>
          <t>Active</t>
        </is>
      </c>
      <c r="O116" s="32" t="n"/>
      <c r="P116" s="65" t="n"/>
      <c r="Q116" s="64" t="n"/>
      <c r="R116" s="64" t="n"/>
      <c r="S116" s="64" t="n"/>
      <c r="T116" s="32" t="n"/>
    </row>
    <row r="117" ht="62" customHeight="1">
      <c r="A117" s="10">
        <f>_xlfn.IMAGE("https://m.media-amazon.com/images/I/81Ktu4N6y2L.jpg")</f>
        <v/>
      </c>
      <c r="B117" s="32" t="inlineStr">
        <is>
          <t>B0BG21PLYK</t>
        </is>
      </c>
      <c r="C117" s="32" t="inlineStr">
        <is>
          <t>SATIN-ROSEWOOD-KING</t>
        </is>
      </c>
      <c r="D117" s="32" t="inlineStr">
        <is>
          <t>DECOLURE Satin Bed Sheets - 4 Piece Luxury Silky King Size Bedding Set - Softer Than Silk, Wrinkle-Free with 15” Deep Pocket Fitted Sheet, Perfect for Hair &amp; Skin, Gifts for Women (Rosewood)</t>
        </is>
      </c>
      <c r="E117" s="32" t="inlineStr">
        <is>
          <t>King</t>
        </is>
      </c>
      <c r="F117" s="32" t="inlineStr">
        <is>
          <t>Rosewood</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_xlfn.IMAGE("https://m.media-amazon.com/images/I/81UtPaYWlbL.jpg")</f>
        <v/>
      </c>
      <c r="B118" s="32" t="inlineStr">
        <is>
          <t>B0DBQZ1MMF</t>
        </is>
      </c>
      <c r="C118" s="32" t="inlineStr">
        <is>
          <t>SATIN-4PCS-KING-SEA-TEAL</t>
        </is>
      </c>
      <c r="D118" s="32" t="inlineStr">
        <is>
          <t>DECOLURE Satin Sheets King Size Set 4 Pcs - Silky &amp; Luxuriously Soft Satin Bed Sheets w/ 15inch Deep Pocket - Double Stitching, Wrinkle Free(Sea Teal-01)</t>
        </is>
      </c>
      <c r="E118" s="32" t="inlineStr">
        <is>
          <t>King</t>
        </is>
      </c>
      <c r="F118" s="32" t="inlineStr">
        <is>
          <t>Sea Teal</t>
        </is>
      </c>
      <c r="G118" s="33" t="n"/>
      <c r="H118" s="32" t="n"/>
      <c r="I118" s="61" t="n">
        <v>52.99</v>
      </c>
      <c r="J118" s="62" t="inlineStr">
        <is>
          <t>2026-03-30</t>
        </is>
      </c>
      <c r="K118" s="33" t="n">
        <v>23.47</v>
      </c>
      <c r="L118" s="63" t="n">
        <v>0.4429137573127005</v>
      </c>
      <c r="M118" s="64" t="n">
        <v>0</v>
      </c>
      <c r="N118" s="32" t="inlineStr">
        <is>
          <t>Active</t>
        </is>
      </c>
      <c r="O118" s="32" t="n"/>
      <c r="P118" s="65" t="n"/>
      <c r="Q118" s="64" t="n"/>
      <c r="R118" s="64" t="n"/>
      <c r="S118" s="64" t="n"/>
      <c r="T118" s="32" t="n"/>
    </row>
    <row r="119" ht="62" customHeight="1">
      <c r="A119" s="10">
        <f>_xlfn.IMAGE("https://m.media-amazon.com/images/I/81UtPaYWlbL.jpg")</f>
        <v/>
      </c>
      <c r="B119" s="32" t="inlineStr">
        <is>
          <t>B0BG22BZJJ</t>
        </is>
      </c>
      <c r="C119" s="32" t="inlineStr">
        <is>
          <t>SATIN-SEA-TEAL-KING</t>
        </is>
      </c>
      <c r="D119" s="32" t="inlineStr">
        <is>
          <t>DECOLURE Satin Bed Sheets - 4 Piece Luxury Silky King Size Bedding Set - Softer Than Silk, Wrinkle-Free with 15” Deep Pocket Fitted Sheet, Perfect for Hair &amp; Skin, Gifts for Women (Sea Teal)</t>
        </is>
      </c>
      <c r="E119" s="32" t="inlineStr">
        <is>
          <t>King</t>
        </is>
      </c>
      <c r="F119" s="32" t="inlineStr">
        <is>
          <t>Sea Teal-01</t>
        </is>
      </c>
      <c r="G119" s="33" t="n"/>
      <c r="H119" s="32" t="n"/>
      <c r="I119" s="61" t="n">
        <v>63.23</v>
      </c>
      <c r="J119" s="62" t="inlineStr">
        <is>
          <t>2026-03-30</t>
        </is>
      </c>
      <c r="K119" s="33" t="n">
        <v>25.1785</v>
      </c>
      <c r="L119" s="63" t="n">
        <v>0.3982049659971533</v>
      </c>
      <c r="M119" s="64" t="n">
        <v>0</v>
      </c>
      <c r="N119" s="32" t="inlineStr">
        <is>
          <t>Inactive</t>
        </is>
      </c>
      <c r="O119" s="32" t="n"/>
      <c r="P119" s="65" t="n"/>
      <c r="Q119" s="64" t="n"/>
      <c r="R119" s="64" t="n"/>
      <c r="S119" s="64" t="n"/>
      <c r="T119" s="32" t="n"/>
    </row>
    <row r="120" ht="62" customHeight="1">
      <c r="A120" s="10">
        <f>_xlfn.IMAGE("https://m.media-amazon.com/images/I/812d7h4NK3L.jpg")</f>
        <v/>
      </c>
      <c r="B120" s="32" t="inlineStr">
        <is>
          <t>B0DBR1X2XQ</t>
        </is>
      </c>
      <c r="C120" s="32" t="inlineStr">
        <is>
          <t>SATIN-4PCS-KING-STONEGREY</t>
        </is>
      </c>
      <c r="D120" s="32" t="inlineStr">
        <is>
          <t>DECOLURE Satin Sheets King Size Set 4 Pcs - Silky &amp; Luxuriously Soft Satin Bed Sheets w/ 15inch Deep Pocket-Double Stitching, Wrinkle Free(Stone Grey-002)</t>
        </is>
      </c>
      <c r="E120" s="32" t="inlineStr">
        <is>
          <t>King</t>
        </is>
      </c>
      <c r="F120" s="32" t="inlineStr">
        <is>
          <t>Stone Grey</t>
        </is>
      </c>
      <c r="G120" s="33" t="n"/>
      <c r="H120" s="32" t="n"/>
      <c r="I120" s="61" t="n">
        <v>52.99</v>
      </c>
      <c r="J120" s="62" t="inlineStr">
        <is>
          <t>2026-03-30</t>
        </is>
      </c>
      <c r="K120" s="33" t="n">
        <v>23.41</v>
      </c>
      <c r="L120" s="63" t="n">
        <v>0.4417814682015475</v>
      </c>
      <c r="M120" s="64" t="n"/>
      <c r="N120" s="32" t="inlineStr">
        <is>
          <t>Active</t>
        </is>
      </c>
      <c r="O120" s="32" t="n"/>
      <c r="P120" s="65" t="n"/>
      <c r="Q120" s="64" t="n"/>
      <c r="R120" s="64" t="n"/>
      <c r="S120" s="64" t="n"/>
      <c r="T120" s="32" t="n"/>
    </row>
    <row r="121" ht="62" customHeight="1">
      <c r="A121" s="10">
        <f>_xlfn.IMAGE("https://m.media-amazon.com/images/I/812d7h4NK3L.jpg")</f>
        <v/>
      </c>
      <c r="B121" s="32" t="inlineStr">
        <is>
          <t>B0BG22BFN6</t>
        </is>
      </c>
      <c r="C121" s="32" t="inlineStr">
        <is>
          <t>SATIN-STONEGREY-KING</t>
        </is>
      </c>
      <c r="D121" s="32" t="inlineStr">
        <is>
          <t>DECOLURE Satin Bed Sheets - 4 Piece Luxury Silky King Size Bedding Set - Softer Than Silk, Wrinkle-Free with 15” Deep Pocket Fitted Sheet, Perfect for Hair &amp; Skin, Gifts for Women (Stone Grey)</t>
        </is>
      </c>
      <c r="E121" s="32" t="inlineStr">
        <is>
          <t>King</t>
        </is>
      </c>
      <c r="F121" s="32" t="inlineStr">
        <is>
          <t>Stone Grey</t>
        </is>
      </c>
      <c r="G121" s="33" t="n"/>
      <c r="H121" s="32" t="n"/>
      <c r="I121" s="61" t="n">
        <v>52.99</v>
      </c>
      <c r="J121" s="62" t="inlineStr">
        <is>
          <t>2026-03-30</t>
        </is>
      </c>
      <c r="K121" s="33" t="n">
        <v>23.63</v>
      </c>
      <c r="L121" s="63" t="n">
        <v>0.4459331949424418</v>
      </c>
      <c r="M121" s="64" t="n"/>
      <c r="N121" s="32" t="inlineStr">
        <is>
          <t>Inactive</t>
        </is>
      </c>
      <c r="O121" s="32" t="n"/>
      <c r="P121" s="65" t="n"/>
      <c r="Q121" s="64" t="n"/>
      <c r="R121" s="64" t="n"/>
      <c r="S121" s="64" t="n"/>
      <c r="T121" s="32" t="n"/>
    </row>
    <row r="122" ht="62" customHeight="1">
      <c r="A122" s="10">
        <f>_xlfn.IMAGE("https://m.media-amazon.com/images/I/81HcDE0HThL.jpg")</f>
        <v/>
      </c>
      <c r="B122" s="32" t="inlineStr">
        <is>
          <t>B09G6JGMY9</t>
        </is>
      </c>
      <c r="C122" s="32" t="inlineStr">
        <is>
          <t>SATIN-STRIPE-KING-BLUE</t>
        </is>
      </c>
      <c r="D122" s="32" t="inlineStr">
        <is>
          <t>DECOLURE Satin Bed Sheets - 4 Piece Luxury Silky King Size Bedding Set - Softer Than Silk, Wrinkle-Free with 15” Deep Pocket Fitted Sheet, Perfect for Hair &amp; Skin, Gifts for Women (Striped Blue)</t>
        </is>
      </c>
      <c r="E122" s="32" t="inlineStr">
        <is>
          <t>King</t>
        </is>
      </c>
      <c r="F122" s="32" t="inlineStr">
        <is>
          <t>Striped Blue</t>
        </is>
      </c>
      <c r="G122" s="33" t="n"/>
      <c r="H122" s="32" t="n"/>
      <c r="I122" s="61" t="n">
        <v>34.49</v>
      </c>
      <c r="J122" s="62" t="inlineStr">
        <is>
          <t>2026-03-22</t>
        </is>
      </c>
      <c r="K122" s="33" t="n">
        <v>7.289999999999999</v>
      </c>
      <c r="L122" s="63" t="n">
        <v>0.2113656132212235</v>
      </c>
      <c r="M122" s="64" t="n">
        <v>0</v>
      </c>
      <c r="N122" s="32" t="inlineStr">
        <is>
          <t>Active</t>
        </is>
      </c>
      <c r="O122" s="32" t="n"/>
      <c r="P122" s="65" t="n"/>
      <c r="Q122" s="64" t="n"/>
      <c r="R122" s="64" t="n"/>
      <c r="S122" s="64" t="n"/>
      <c r="T122" s="32" t="n"/>
    </row>
    <row r="123" ht="62" customHeight="1">
      <c r="A123" s="10">
        <f>_xlfn.IMAGE("https://m.media-amazon.com/images/I/81wiiAf6okL.jpg")</f>
        <v/>
      </c>
      <c r="B123" s="32" t="inlineStr">
        <is>
          <t>B09G6JWZCZ</t>
        </is>
      </c>
      <c r="C123" s="32" t="inlineStr">
        <is>
          <t>SATIN-STRIPE-KING-PURPLE</t>
        </is>
      </c>
      <c r="D123" s="32" t="inlineStr">
        <is>
          <t>DECOLURE Satin Bed Sheets - 4 Piece Luxury Silky King Size Bedding Set - Softer Than Silk, Wrinkle-Free with 15” Deep Pocket Fitted Sheet, Perfect for Hair &amp; Skin, Gifts for Women (Striped Purple)</t>
        </is>
      </c>
      <c r="E123" s="32" t="inlineStr">
        <is>
          <t>King</t>
        </is>
      </c>
      <c r="F123" s="32" t="inlineStr">
        <is>
          <t>Striped Purple</t>
        </is>
      </c>
      <c r="G123" s="33" t="n"/>
      <c r="H123" s="32" t="n"/>
      <c r="I123" s="61" t="n">
        <v>52.99</v>
      </c>
      <c r="J123" s="62" t="inlineStr">
        <is>
          <t>2026-03-30</t>
        </is>
      </c>
      <c r="K123" s="33" t="n">
        <v>23.26</v>
      </c>
      <c r="L123" s="63" t="n">
        <v>0.4389507454236648</v>
      </c>
      <c r="M123" s="64" t="n"/>
      <c r="N123" s="32" t="inlineStr">
        <is>
          <t>Inactive</t>
        </is>
      </c>
      <c r="O123" s="32" t="n"/>
      <c r="P123" s="65" t="n"/>
      <c r="Q123" s="64" t="n"/>
      <c r="R123" s="64" t="n"/>
      <c r="S123" s="64" t="n"/>
      <c r="T123" s="32" t="n"/>
    </row>
    <row r="124" ht="62" customHeight="1">
      <c r="A124" s="10">
        <f>_xlfn.IMAGE("https://m.media-amazon.com/images/I/81-wlwJoLcL.jpg")</f>
        <v/>
      </c>
      <c r="B124" s="32" t="inlineStr">
        <is>
          <t>B09G6JHW3F</t>
        </is>
      </c>
      <c r="C124" s="32" t="inlineStr">
        <is>
          <t>SATIN-STRIPE-KING-RED</t>
        </is>
      </c>
      <c r="D124" s="32" t="inlineStr">
        <is>
          <t>DECOLURE Satin Bed Sheets - 4 Piece Luxury Silky King Size Bedding Set - Softer Than Silk, Wrinkle-Free with 15” Deep Pocket Fitted Sheet, Perfect for Hair &amp; Skin, Gifts for Women (Striped Red)</t>
        </is>
      </c>
      <c r="E124" s="32" t="inlineStr">
        <is>
          <t>King</t>
        </is>
      </c>
      <c r="F124" s="32" t="inlineStr">
        <is>
          <t>Striped Red</t>
        </is>
      </c>
      <c r="G124" s="33" t="n"/>
      <c r="H124" s="32" t="n"/>
      <c r="I124" s="61" t="n">
        <v>52.99</v>
      </c>
      <c r="J124" s="62" t="inlineStr">
        <is>
          <t>2026-03-30</t>
        </is>
      </c>
      <c r="K124" s="33" t="n">
        <v>23.48</v>
      </c>
      <c r="L124" s="63" t="n">
        <v>0.4431024721645593</v>
      </c>
      <c r="M124" s="64" t="n"/>
      <c r="N124" s="32" t="inlineStr">
        <is>
          <t>Inactive</t>
        </is>
      </c>
      <c r="O124" s="32" t="n"/>
      <c r="P124" s="65" t="n"/>
      <c r="Q124" s="64" t="n"/>
      <c r="R124" s="64" t="n"/>
      <c r="S124" s="64" t="n"/>
      <c r="T124" s="32" t="n"/>
    </row>
    <row r="125" ht="62" customHeight="1">
      <c r="A125" s="10">
        <f>_xlfn.IMAGE("https://m.media-amazon.com/images/I/81gmHuZbW4L.jpg")</f>
        <v/>
      </c>
      <c r="B125" s="32" t="inlineStr">
        <is>
          <t>B08KRX82NT</t>
        </is>
      </c>
      <c r="C125" s="32" t="inlineStr">
        <is>
          <t>SATIN-WHITE-KING</t>
        </is>
      </c>
      <c r="D125" s="32" t="inlineStr">
        <is>
          <t>DECOLURE Satin Bed Sheets - 4 Piece Luxury Silky King Size Bedding Set - Softer Than Silk, Wrinkle-Free with 15” Deep Pocket Fitted Sheet, Perfect for Hair &amp; Skin, Gifts for Women (White)</t>
        </is>
      </c>
      <c r="E125" s="32" t="inlineStr">
        <is>
          <t>King</t>
        </is>
      </c>
      <c r="F125" s="32" t="inlineStr">
        <is>
          <t>White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10">
        <f>_xlfn.IMAGE("https://m.media-amazon.com/images/I/81gmHuZbW4L.jpg")</f>
        <v/>
      </c>
      <c r="B126" s="32" t="inlineStr">
        <is>
          <t>B0CV4CY67M</t>
        </is>
      </c>
      <c r="C126" s="32" t="inlineStr">
        <is>
          <t>SATIN-4PC-WHITE-KING</t>
        </is>
      </c>
      <c r="D126" s="32" t="inlineStr">
        <is>
          <t>DECOLURE Satin Bed Sheets - 4 Piece Luxury Silky King Size Bedding Set - Softer Than Silk, Wrinkle-Free with 15” Deep Pocket Fitted Sheet, Perfect for Hair &amp; Skin, Gifts for Women (White)</t>
        </is>
      </c>
      <c r="E126" s="32" t="inlineStr">
        <is>
          <t>King</t>
        </is>
      </c>
      <c r="F126" s="32" t="inlineStr">
        <is>
          <t>White</t>
        </is>
      </c>
      <c r="G126" s="33" t="n"/>
      <c r="H126" s="32" t="n"/>
      <c r="I126" s="61" t="n">
        <v>52.99</v>
      </c>
      <c r="J126" s="62" t="inlineStr">
        <is>
          <t>2026-03-30</t>
        </is>
      </c>
      <c r="K126" s="33" t="n">
        <v>24.5</v>
      </c>
      <c r="L126" s="63" t="n">
        <v>0.4623513870541611</v>
      </c>
      <c r="M126" s="64" t="n"/>
      <c r="N126" s="32" t="inlineStr">
        <is>
          <t>Active</t>
        </is>
      </c>
      <c r="O126" s="32" t="n"/>
      <c r="P126" s="65" t="n"/>
      <c r="Q126" s="64" t="n"/>
      <c r="R126" s="64" t="n"/>
      <c r="S126" s="64" t="n"/>
      <c r="T126" s="32" t="n"/>
    </row>
    <row r="127" ht="62" customHeight="1">
      <c r="A127" s="10">
        <f>_xlfn.IMAGE("https://m.media-amazon.com/images/I/81XsKf7Tk0L.jpg")</f>
        <v/>
      </c>
      <c r="B127" s="32" t="inlineStr">
        <is>
          <t>B08KS1BYL1</t>
        </is>
      </c>
      <c r="C127" s="32" t="inlineStr">
        <is>
          <t>SATIN-RED-QUEEN</t>
        </is>
      </c>
      <c r="D127" s="32" t="inlineStr">
        <is>
          <t>DECOLURE Satin Bed Sheets - 4 Piece Luxury Silky Queen Size Bedding Set - Softer Than Silk, Wrinkle-Free with 15” Deep Pocket Fitted Sheet, Perfect for Hair &amp; Skin, Gifts for Women (Red)</t>
        </is>
      </c>
      <c r="E127" s="32" t="inlineStr">
        <is>
          <t>Queen</t>
        </is>
      </c>
      <c r="F127" s="32" t="inlineStr">
        <is>
          <t>Red-01</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10">
        <f>_xlfn.IMAGE("https://m.media-amazon.com/images/I/81UtPaYWlbL.jpg")</f>
        <v/>
      </c>
      <c r="B128" s="32" t="inlineStr">
        <is>
          <t>B0BG228RDJ</t>
        </is>
      </c>
      <c r="C128" s="32" t="inlineStr">
        <is>
          <t>SATIN-SEA-TEAL-QUEEN</t>
        </is>
      </c>
      <c r="D128" s="32" t="inlineStr">
        <is>
          <t>DECOLURE Satin Bed Sheets - 4 Piece Luxury Silky Queen Size Bedding Set - Softer Than Silk, Wrinkle-Free with 15” Deep Pocket Fitted Sheet, Perfect for Hair &amp; Skin, Gifts for Women (Sea Teal)</t>
        </is>
      </c>
      <c r="E128" s="32" t="inlineStr">
        <is>
          <t>Queen</t>
        </is>
      </c>
      <c r="F128" s="32" t="inlineStr">
        <is>
          <t>Sea Teal</t>
        </is>
      </c>
      <c r="G128" s="33" t="n"/>
      <c r="H128" s="32" t="n"/>
      <c r="I128" s="61" t="n">
        <v>47.99</v>
      </c>
      <c r="J128" s="62" t="inlineStr">
        <is>
          <t>2026-03-30</t>
        </is>
      </c>
      <c r="K128" s="33" t="n">
        <v>21.97</v>
      </c>
      <c r="L128" s="63" t="n">
        <v>0.4578037091060637</v>
      </c>
      <c r="M128" s="64" t="n"/>
      <c r="N128" s="32" t="inlineStr">
        <is>
          <t>Inactive</t>
        </is>
      </c>
      <c r="O128" s="32" t="n"/>
      <c r="P128" s="65" t="n"/>
      <c r="Q128" s="64" t="n"/>
      <c r="R128" s="64" t="n"/>
      <c r="S128" s="64" t="n"/>
      <c r="T128" s="32" t="n"/>
    </row>
    <row r="129" ht="62" customHeight="1">
      <c r="A129" s="10">
        <f>_xlfn.IMAGE("https://m.media-amazon.com/images/I/812d7h4NK3L.jpg")</f>
        <v/>
      </c>
      <c r="B129" s="32" t="inlineStr">
        <is>
          <t>B0DD4JMGXN</t>
        </is>
      </c>
      <c r="C129" s="32" t="inlineStr">
        <is>
          <t>SATIN-4PCS-QUEEN-STONE-GREY</t>
        </is>
      </c>
      <c r="D129" s="32" t="inlineStr">
        <is>
          <t>DECOLURE Satin Sheets Queen Size Set 4 Pcs- Silky &amp; Luxuriously Soft Satin Bed Sheets w/ 15inch Deep Pocket-Double Stitching, Wrinkle Free(Stone Grey-002)</t>
        </is>
      </c>
      <c r="E129" s="32" t="inlineStr">
        <is>
          <t>Queen</t>
        </is>
      </c>
      <c r="F129" s="32" t="inlineStr">
        <is>
          <t>Stone Grey</t>
        </is>
      </c>
      <c r="G129" s="33" t="n"/>
      <c r="H129" s="32" t="n"/>
      <c r="I129" s="61" t="n">
        <v>47.99</v>
      </c>
      <c r="J129" s="62" t="inlineStr">
        <is>
          <t>2026-03-30</t>
        </is>
      </c>
      <c r="K129" s="33" t="n">
        <v>20.69</v>
      </c>
      <c r="L129" s="63" t="n">
        <v>0.4311314857261929</v>
      </c>
      <c r="M129" s="64" t="n">
        <v>0</v>
      </c>
      <c r="N129" s="32" t="inlineStr">
        <is>
          <t>Active</t>
        </is>
      </c>
      <c r="O129" s="32" t="n"/>
      <c r="P129" s="65" t="n"/>
      <c r="Q129" s="64" t="n"/>
      <c r="R129" s="64" t="n"/>
      <c r="S129" s="64" t="n"/>
      <c r="T129" s="32" t="n"/>
    </row>
    <row r="130" ht="62" customHeight="1">
      <c r="A130" s="10">
        <f>_xlfn.IMAGE("https://m.media-amazon.com/images/I/812d7h4NK3L.jpg")</f>
        <v/>
      </c>
      <c r="B130" s="32" t="inlineStr">
        <is>
          <t>B0BG1NSZG8</t>
        </is>
      </c>
      <c r="C130" s="32" t="inlineStr">
        <is>
          <t>SATIN-STONEGREY-QUEEN</t>
        </is>
      </c>
      <c r="D130" s="32" t="inlineStr">
        <is>
          <t>DECOLURE Satin Bed Sheets - 4 Piece Luxury Silky Queen Size Bedding Set - Softer Than Silk, Wrinkle-Free with 15” Deep Pocket Fitted Sheet, Perfect for Hair &amp; Skin, Gifts for Women (Stone Grey)</t>
        </is>
      </c>
      <c r="E130" s="32" t="inlineStr">
        <is>
          <t>Queen</t>
        </is>
      </c>
      <c r="F130" s="32" t="inlineStr">
        <is>
          <t>Stone Grey</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10">
        <f>_xlfn.IMAGE("https://m.media-amazon.com/images/I/81HcDE0HThL.jpg")</f>
        <v/>
      </c>
      <c r="B131" s="32" t="inlineStr">
        <is>
          <t>B09G6K8WYQ</t>
        </is>
      </c>
      <c r="C131" s="32" t="inlineStr">
        <is>
          <t>SATIN-STRIPE-QUEEN-BLUE</t>
        </is>
      </c>
      <c r="D131" s="32" t="inlineStr">
        <is>
          <t>DECOLURE Satin Bed Sheets - 4 Piece Luxury Silky Queen Size Bedding Set - Softer Than Silk, Wrinkle-Free with 15” Deep Pocket Fitted Sheet, Perfect for Hair &amp; Skin, Gifts for Women (Striped Blue)</t>
        </is>
      </c>
      <c r="E131" s="32" t="inlineStr">
        <is>
          <t>Queen</t>
        </is>
      </c>
      <c r="F131" s="32" t="inlineStr">
        <is>
          <t>Striped Blue</t>
        </is>
      </c>
      <c r="G131" s="33" t="n"/>
      <c r="H131" s="32" t="n"/>
      <c r="I131" s="61" t="n">
        <v>47.99</v>
      </c>
      <c r="J131" s="62" t="inlineStr">
        <is>
          <t>2026-03-30</t>
        </is>
      </c>
      <c r="K131" s="33" t="n">
        <v>20.31</v>
      </c>
      <c r="L131" s="63" t="n">
        <v>0.4232131694102936</v>
      </c>
      <c r="M131" s="64" t="n">
        <v>0</v>
      </c>
      <c r="N131" s="32" t="inlineStr">
        <is>
          <t>Inactive</t>
        </is>
      </c>
      <c r="O131" s="32" t="n"/>
      <c r="P131" s="65" t="n"/>
      <c r="Q131" s="64" t="n"/>
      <c r="R131" s="64" t="n"/>
      <c r="S131" s="64" t="n"/>
      <c r="T131" s="32" t="n"/>
    </row>
    <row r="132" ht="62" customHeight="1">
      <c r="A132" s="10">
        <f>_xlfn.IMAGE("https://m.media-amazon.com/images/I/81oeTNry2PL.jpg")</f>
        <v/>
      </c>
      <c r="B132" s="32" t="inlineStr">
        <is>
          <t>B0DBR4XYLB</t>
        </is>
      </c>
      <c r="C132" s="32" t="inlineStr">
        <is>
          <t>SATIN-4PCS-QUEEN-STRIPE-GRAY</t>
        </is>
      </c>
      <c r="D132" s="32" t="inlineStr">
        <is>
          <t>DECOLURE Striped Satin Sheets Set - Luxurious Silky Feel Bed Sheets - All Season Soft Silky Satin Sheets with Deep Pocket Fitted Sheet, Flat Sheet and Pillowcase - 4 Pcs</t>
        </is>
      </c>
      <c r="E132" s="32" t="inlineStr">
        <is>
          <t>Queen</t>
        </is>
      </c>
      <c r="F132" s="32" t="inlineStr">
        <is>
          <t>Striped Grey</t>
        </is>
      </c>
      <c r="G132" s="33" t="n"/>
      <c r="H132" s="32" t="n"/>
      <c r="I132" s="61" t="n">
        <v>34.86</v>
      </c>
      <c r="J132" s="62" t="inlineStr">
        <is>
          <t>2026-03-30</t>
        </is>
      </c>
      <c r="K132" s="33" t="n">
        <v>9.4</v>
      </c>
      <c r="L132" s="63" t="n">
        <v>0.2696500286861733</v>
      </c>
      <c r="M132" s="64" t="n"/>
      <c r="N132" s="32" t="inlineStr">
        <is>
          <t>Active</t>
        </is>
      </c>
      <c r="O132" s="32" t="n"/>
      <c r="P132" s="65" t="n"/>
      <c r="Q132" s="64" t="n"/>
      <c r="R132" s="64" t="n"/>
      <c r="S132" s="64" t="n"/>
      <c r="T132" s="32" t="n"/>
    </row>
    <row r="133" ht="62" customHeight="1">
      <c r="A133" s="10">
        <f>_xlfn.IMAGE("https://m.media-amazon.com/images/I/81k1CBQWqyL.jpg")</f>
        <v/>
      </c>
      <c r="B133" s="32" t="inlineStr">
        <is>
          <t>B0CNS85C1K</t>
        </is>
      </c>
      <c r="C133" s="32" t="inlineStr">
        <is>
          <t>SATIN-TWIN-BLUSH PINK</t>
        </is>
      </c>
      <c r="D133" s="32" t="inlineStr">
        <is>
          <t>DECOLURE Satin Bed Sheets - 3 Piece Luxury Silky Twin Size Bedding Set - Softer Than Silk, Wrinkle-Free with 15” Deep Pocket Fitted Sheet, Perfect for Hair &amp; Skin, Gifts for Women (Blush Pink)</t>
        </is>
      </c>
      <c r="E133" s="32" t="inlineStr">
        <is>
          <t>Twin</t>
        </is>
      </c>
      <c r="F133" s="32" t="inlineStr">
        <is>
          <t>Blush Pink</t>
        </is>
      </c>
      <c r="G133" s="33" t="n"/>
      <c r="H133" s="32" t="n"/>
      <c r="I133" s="61" t="n">
        <v>39.99</v>
      </c>
      <c r="J133" s="62" t="inlineStr">
        <is>
          <t>2026-03-30</t>
        </is>
      </c>
      <c r="K133" s="33" t="n">
        <v>17.31</v>
      </c>
      <c r="L133" s="63" t="n">
        <v>0.4328582145536384</v>
      </c>
      <c r="M133" s="64" t="n">
        <v>0</v>
      </c>
      <c r="N133" s="32" t="inlineStr">
        <is>
          <t>Active</t>
        </is>
      </c>
      <c r="O133" s="32" t="n"/>
      <c r="P133" s="65" t="n"/>
      <c r="Q133" s="64" t="n"/>
      <c r="R133" s="64" t="n"/>
      <c r="S133" s="64" t="n"/>
      <c r="T133" s="32" t="n"/>
    </row>
    <row r="134" ht="62" customHeight="1">
      <c r="A134" s="10">
        <f>_xlfn.IMAGE("https://m.media-amazon.com/images/I/81ljfausmpL.jpg")</f>
        <v/>
      </c>
      <c r="B134" s="32" t="inlineStr">
        <is>
          <t>B0839M8LP5</t>
        </is>
      </c>
      <c r="C134" s="32" t="inlineStr">
        <is>
          <t>SATIN-TWIN-GREY</t>
        </is>
      </c>
      <c r="D134" s="32" t="inlineStr">
        <is>
          <t>DECOLURE Satin Bed Sheets - 3 Piece Luxury Silky Twin Size Bedding Set - Softer Than Silk, Wrinkle-Free with 15” Deep Pocket Fitted Sheet, Perfect for Hair &amp; Skin, Gifts for Women (Grey)</t>
        </is>
      </c>
      <c r="E134" s="32" t="inlineStr">
        <is>
          <t>Twin</t>
        </is>
      </c>
      <c r="F134" s="32" t="inlineStr">
        <is>
          <t>Grey</t>
        </is>
      </c>
      <c r="G134" s="33" t="n"/>
      <c r="H134" s="32" t="n"/>
      <c r="I134" s="61" t="n">
        <v>39.99</v>
      </c>
      <c r="J134" s="62" t="inlineStr">
        <is>
          <t>2026-03-30</t>
        </is>
      </c>
      <c r="K134" s="33" t="n">
        <v>18.48</v>
      </c>
      <c r="L134" s="63" t="n">
        <v>0.4621155288822207</v>
      </c>
      <c r="M134" s="64" t="n">
        <v>0</v>
      </c>
      <c r="N134" s="32" t="inlineStr">
        <is>
          <t>Active</t>
        </is>
      </c>
      <c r="O134" s="32" t="n"/>
      <c r="P134" s="65" t="n"/>
      <c r="Q134" s="64" t="n"/>
      <c r="R134" s="64" t="n"/>
      <c r="S134" s="64" t="n"/>
      <c r="T134" s="32" t="n"/>
    </row>
    <row r="135" ht="62" customHeight="1">
      <c r="A135" s="10">
        <f>_xlfn.IMAGE("https://m.media-amazon.com/images/I/81yX5wWsraL.jpg")</f>
        <v/>
      </c>
      <c r="B135" s="32" t="inlineStr">
        <is>
          <t>B08KR7V6TL</t>
        </is>
      </c>
      <c r="C135" s="32" t="inlineStr">
        <is>
          <t>SATIN-RED-TWIN</t>
        </is>
      </c>
      <c r="D135" s="32" t="inlineStr">
        <is>
          <t>DECOLURE Satin Bed Sheets - 3 Piece Luxury Silky Twin Size Bedding Set - Softer Than Silk, Wrinkle-Free with 15” Deep Pocket Fitted Sheet, Perfect for Hair &amp; Skin, Gifts for Women (Red)</t>
        </is>
      </c>
      <c r="E135" s="32" t="inlineStr">
        <is>
          <t>Twin</t>
        </is>
      </c>
      <c r="F135" s="32" t="inlineStr">
        <is>
          <t>Red</t>
        </is>
      </c>
      <c r="G135" s="33" t="n"/>
      <c r="H135" s="32" t="n"/>
      <c r="I135" s="61" t="n">
        <v>22.94</v>
      </c>
      <c r="J135" s="62" t="inlineStr">
        <is>
          <t>2026-03-30</t>
        </is>
      </c>
      <c r="K135" s="33" t="n">
        <v>3.59</v>
      </c>
      <c r="L135" s="63" t="n">
        <v>0.1564952048823016</v>
      </c>
      <c r="M135" s="64" t="n"/>
      <c r="N135" s="32" t="inlineStr">
        <is>
          <t>Inactive</t>
        </is>
      </c>
      <c r="O135" s="32" t="n"/>
      <c r="P135" s="65" t="n"/>
      <c r="Q135" s="64" t="n"/>
      <c r="R135" s="64" t="n"/>
      <c r="S135" s="64" t="n"/>
      <c r="T135" s="32" t="n"/>
    </row>
    <row r="136" ht="62" customHeight="1">
      <c r="A136" s="10">
        <f>_xlfn.IMAGE("https://m.media-amazon.com/images/I/8111LRuwkSL.jpg")</f>
        <v/>
      </c>
      <c r="B136" s="32" t="inlineStr">
        <is>
          <t>B0CQRYL8Z4</t>
        </is>
      </c>
      <c r="C136" s="32" t="inlineStr">
        <is>
          <t>SATIN-3PC-TWIN-SAGE GREEN</t>
        </is>
      </c>
      <c r="D136" s="32" t="inlineStr">
        <is>
          <t>DECOLURE Satin Bed Sheets - 3 Piece Luxury Silky Twin Size Bedding Set - Softer Than Silk, Wrinkle-Free with 15” Deep Pocket Fitted Sheet, Perfect for Hair &amp; Skin, Gifts for Women (Sage Green)</t>
        </is>
      </c>
      <c r="E136" s="32" t="inlineStr">
        <is>
          <t>Twin</t>
        </is>
      </c>
      <c r="F136" s="32" t="inlineStr">
        <is>
          <t>Sage Green</t>
        </is>
      </c>
      <c r="G136" s="33" t="n"/>
      <c r="H136" s="32" t="n"/>
      <c r="I136" s="61" t="n">
        <v>39.99</v>
      </c>
      <c r="J136" s="62" t="inlineStr">
        <is>
          <t>2026-03-30</t>
        </is>
      </c>
      <c r="K136" s="33" t="n">
        <v>18.05</v>
      </c>
      <c r="L136" s="63" t="n">
        <v>0.4513628407101776</v>
      </c>
      <c r="M136" s="64" t="n">
        <v>0</v>
      </c>
      <c r="N136" s="32" t="inlineStr">
        <is>
          <t>Active</t>
        </is>
      </c>
      <c r="O136" s="32" t="n"/>
      <c r="P136" s="65" t="n"/>
      <c r="Q136" s="64" t="n"/>
      <c r="R136" s="64" t="n"/>
      <c r="S136" s="64" t="n"/>
      <c r="T136" s="32" t="n"/>
    </row>
    <row r="137" ht="62" customHeight="1">
      <c r="A137" s="10">
        <f>_xlfn.IMAGE("https://m.media-amazon.com/images/I/819ez7t33gL.jpg")</f>
        <v/>
      </c>
      <c r="B137" s="32" t="inlineStr">
        <is>
          <t>B09G6H23C3</t>
        </is>
      </c>
      <c r="C137" s="32" t="inlineStr">
        <is>
          <t>SATIN-STRIPE-TWIN-BLACK</t>
        </is>
      </c>
      <c r="D137" s="32" t="inlineStr">
        <is>
          <t>DECOLURE Satin Bed Sheets - 3 Piece Luxury Silky Twin Size Bedding Set - Softer Than Silk, Wrinkle-Free with 15” Deep Pocket Fitted Sheet, Perfect for Hair &amp; Skin, Gifts for Women (Striped Black)</t>
        </is>
      </c>
      <c r="E137" s="32" t="inlineStr">
        <is>
          <t>Twin</t>
        </is>
      </c>
      <c r="F137" s="32" t="inlineStr">
        <is>
          <t>Striped Black</t>
        </is>
      </c>
      <c r="G137" s="33" t="n"/>
      <c r="H137" s="32" t="n"/>
      <c r="I137" s="61" t="n">
        <v>39.99</v>
      </c>
      <c r="J137" s="62" t="inlineStr">
        <is>
          <t>2026-03-30</t>
        </is>
      </c>
      <c r="K137" s="33" t="n">
        <v>16.93</v>
      </c>
      <c r="L137" s="63" t="n">
        <v>0.4233558389597399</v>
      </c>
      <c r="M137" s="64" t="n">
        <v>0</v>
      </c>
      <c r="N137" s="32" t="inlineStr">
        <is>
          <t>Active</t>
        </is>
      </c>
      <c r="O137" s="32" t="n"/>
      <c r="P137" s="65" t="n"/>
      <c r="Q137" s="64" t="n"/>
      <c r="R137" s="64" t="n"/>
      <c r="S137" s="64" t="n"/>
      <c r="T137" s="32" t="n"/>
    </row>
    <row r="138" ht="62" customHeight="1">
      <c r="A138" s="10">
        <f>_xlfn.IMAGE("https://m.media-amazon.com/images/I/81zKyEoJxzL.jpg")</f>
        <v/>
      </c>
      <c r="B138" s="32" t="inlineStr">
        <is>
          <t>B09G6L5Z5K</t>
        </is>
      </c>
      <c r="C138" s="32" t="inlineStr">
        <is>
          <t>SATIN-STRIPE-TWIN-BLUE</t>
        </is>
      </c>
      <c r="D138" s="32" t="inlineStr">
        <is>
          <t>DECOLURE Satin Bed Sheets - 3 Piece Luxury Silky Twin Size Bedding Set - Softer Than Silk, Wrinkle-Free with 15” Deep Pocket Fitted Sheet, Perfect for Hair &amp; Skin, Gifts for Women (Striped Blue)</t>
        </is>
      </c>
      <c r="E138" s="32" t="inlineStr">
        <is>
          <t>Twin</t>
        </is>
      </c>
      <c r="F138" s="32" t="inlineStr">
        <is>
          <t>Striped Blue</t>
        </is>
      </c>
      <c r="G138" s="33" t="n"/>
      <c r="H138" s="32" t="n"/>
      <c r="I138" s="61" t="n">
        <v>35.99</v>
      </c>
      <c r="J138" s="62" t="inlineStr">
        <is>
          <t>2026-03-30</t>
        </is>
      </c>
      <c r="K138" s="33" t="n">
        <v>13.72</v>
      </c>
      <c r="L138" s="63" t="n">
        <v>0.3812170047235345</v>
      </c>
      <c r="M138" s="64" t="n">
        <v>0</v>
      </c>
      <c r="N138" s="32" t="inlineStr">
        <is>
          <t>Active</t>
        </is>
      </c>
      <c r="O138" s="32" t="n"/>
      <c r="P138" s="65" t="n"/>
      <c r="Q138" s="64" t="n"/>
      <c r="R138" s="64" t="n"/>
      <c r="S138" s="64" t="n"/>
      <c r="T138" s="32" t="n"/>
    </row>
    <row r="139" ht="62" customHeight="1">
      <c r="A139" s="10">
        <f>_xlfn.IMAGE("https://m.media-amazon.com/images/I/81IyOpde-BL.jpg")</f>
        <v/>
      </c>
      <c r="B139" s="32" t="inlineStr">
        <is>
          <t>B09G6K2WSF</t>
        </is>
      </c>
      <c r="C139" s="32" t="inlineStr">
        <is>
          <t>SATIN-STRIPE-TWIN-GOLD</t>
        </is>
      </c>
      <c r="D139" s="32" t="inlineStr">
        <is>
          <t>DECOLURE Satin Bed Sheets - 3 Piece Luxury Silky Twin Size Bedding Set - Softer Than Silk, Wrinkle-Free with 15” Deep Pocket Fitted Sheet, Perfect for Hair &amp; Skin, Gifts for Women (Striped Gold)</t>
        </is>
      </c>
      <c r="E139" s="32" t="inlineStr">
        <is>
          <t>Twin</t>
        </is>
      </c>
      <c r="F139" s="32" t="inlineStr">
        <is>
          <t>Striped Gold</t>
        </is>
      </c>
      <c r="G139" s="33" t="n"/>
      <c r="H139" s="32" t="n"/>
      <c r="I139" s="61" t="n">
        <v>39.99</v>
      </c>
      <c r="J139" s="62" t="inlineStr">
        <is>
          <t>2026-03-30</t>
        </is>
      </c>
      <c r="K139" s="33" t="n">
        <v>15.95</v>
      </c>
      <c r="L139" s="63" t="n">
        <v>0.3988497124281071</v>
      </c>
      <c r="M139" s="64" t="n">
        <v>0</v>
      </c>
      <c r="N139" s="32" t="inlineStr">
        <is>
          <t>Active</t>
        </is>
      </c>
      <c r="O139" s="32" t="n"/>
      <c r="P139" s="65" t="n"/>
      <c r="Q139" s="64" t="n"/>
      <c r="R139" s="64" t="n"/>
      <c r="S139" s="64" t="n"/>
      <c r="T139" s="32" t="n"/>
    </row>
    <row r="140" ht="62" customHeight="1">
      <c r="A140" s="10">
        <f>_xlfn.IMAGE("https://m.media-amazon.com/images/I/81oeTNry2PL.jpg")</f>
        <v/>
      </c>
      <c r="B140" s="32" t="inlineStr">
        <is>
          <t>B09G6J7WQ8</t>
        </is>
      </c>
      <c r="C140" s="32" t="inlineStr">
        <is>
          <t>SATIN-STRIPE-TWIN-GRAY</t>
        </is>
      </c>
      <c r="D140" s="32" t="inlineStr">
        <is>
          <t>DECOLURE Satin Bed Sheets - 3 Piece Luxury Silky Twin Size Bedding Set - Softer Than Silk, Wrinkle-Free with 15” Deep Pocket Fitted Sheet, Perfect for Hair &amp; Skin, Gifts for Women (Striped Grey)</t>
        </is>
      </c>
      <c r="E140" s="32" t="inlineStr">
        <is>
          <t>Twin</t>
        </is>
      </c>
      <c r="F140" s="32" t="inlineStr">
        <is>
          <t>Striped Grey</t>
        </is>
      </c>
      <c r="G140" s="33" t="n"/>
      <c r="H140" s="32" t="n"/>
      <c r="I140" s="61" t="n">
        <v>28.79</v>
      </c>
      <c r="J140" s="62" t="inlineStr">
        <is>
          <t>2026-03-30</t>
        </is>
      </c>
      <c r="K140" s="33" t="n">
        <v>7.569999999999999</v>
      </c>
      <c r="L140" s="63" t="n">
        <v>0.2629385203195553</v>
      </c>
      <c r="M140" s="64" t="n">
        <v>0</v>
      </c>
      <c r="N140" s="32" t="inlineStr">
        <is>
          <t>Inactive</t>
        </is>
      </c>
      <c r="O140" s="32" t="n"/>
      <c r="P140" s="65" t="n"/>
      <c r="Q140" s="64" t="n"/>
      <c r="R140" s="64" t="n"/>
      <c r="S140" s="64" t="n"/>
      <c r="T140" s="32" t="n"/>
    </row>
    <row r="141" ht="62" customHeight="1">
      <c r="A141" s="10">
        <f>_xlfn.IMAGE("https://m.media-amazon.com/images/I/81LZ8DaZObL.jpg")</f>
        <v/>
      </c>
      <c r="B141" s="32" t="inlineStr">
        <is>
          <t>B09G6KRX7T</t>
        </is>
      </c>
      <c r="C141" s="32" t="inlineStr">
        <is>
          <t>SATIN-STRIPE-TWIN-PINK</t>
        </is>
      </c>
      <c r="D141" s="32" t="inlineStr">
        <is>
          <t>DECOLURE Satin Bed Sheets - 3 Piece Luxury Silky Twin Size Bedding Set - Softer Than Silk, Wrinkle-Free with 15” Deep Pocket Fitted Sheet, Perfect for Hair &amp; Skin, Gifts for Women (Striped Pink)</t>
        </is>
      </c>
      <c r="E141" s="32" t="inlineStr">
        <is>
          <t>Twin</t>
        </is>
      </c>
      <c r="F141" s="32" t="inlineStr">
        <is>
          <t>Striped Pink</t>
        </is>
      </c>
      <c r="G141" s="33" t="n"/>
      <c r="H141" s="32" t="n"/>
      <c r="I141" s="61" t="n">
        <v>39.99</v>
      </c>
      <c r="J141" s="62" t="inlineStr">
        <is>
          <t>2026-03-30</t>
        </is>
      </c>
      <c r="K141" s="33" t="n">
        <v>17.2</v>
      </c>
      <c r="L141" s="63" t="n">
        <v>0.4301075268817205</v>
      </c>
      <c r="M141" s="64" t="n"/>
      <c r="N141" s="32" t="inlineStr">
        <is>
          <t>Inactive</t>
        </is>
      </c>
      <c r="O141" s="32" t="n"/>
      <c r="P141" s="65" t="n"/>
      <c r="Q141" s="64" t="n"/>
      <c r="R141" s="64" t="n"/>
      <c r="S141" s="64" t="n"/>
      <c r="T141" s="32" t="n"/>
    </row>
    <row r="142" ht="62" customHeight="1">
      <c r="A142" s="10">
        <f>_xlfn.IMAGE("https://m.media-amazon.com/images/I/815cN-9mlkL.jpg")</f>
        <v/>
      </c>
      <c r="B142" s="32" t="inlineStr">
        <is>
          <t>B09G6JWVWD</t>
        </is>
      </c>
      <c r="C142" s="32" t="inlineStr">
        <is>
          <t>SATIN-STRIPE-TWIN-PURPLE</t>
        </is>
      </c>
      <c r="D142" s="32" t="inlineStr">
        <is>
          <t>DECOLURE Satin Bed Sheets - 3 Piece Luxury Silky Twin Size Bedding Set - Softer Than Silk, Wrinkle-Free with 15” Deep Pocket Fitted Sheet, Perfect for Hair &amp; Skin, Gifts for Women (Striped Purple)</t>
        </is>
      </c>
      <c r="E142" s="32" t="inlineStr">
        <is>
          <t>Twin</t>
        </is>
      </c>
      <c r="F142" s="32" t="inlineStr">
        <is>
          <t>Striped Purple</t>
        </is>
      </c>
      <c r="G142" s="33" t="n"/>
      <c r="H142" s="32" t="n"/>
      <c r="I142" s="61" t="n">
        <v>39.99</v>
      </c>
      <c r="J142" s="62" t="inlineStr">
        <is>
          <t>2026-03-30</t>
        </is>
      </c>
      <c r="K142" s="33" t="n">
        <v>17.4</v>
      </c>
      <c r="L142" s="63" t="n">
        <v>0.4351087771942986</v>
      </c>
      <c r="M142" s="64" t="n">
        <v>0</v>
      </c>
      <c r="N142" s="32" t="inlineStr">
        <is>
          <t>Active</t>
        </is>
      </c>
      <c r="O142" s="32" t="n"/>
      <c r="P142" s="65" t="n"/>
      <c r="Q142" s="64" t="n"/>
      <c r="R142" s="64" t="n"/>
      <c r="S142" s="64" t="n"/>
      <c r="T142" s="32" t="n"/>
    </row>
    <row r="143" ht="62" customHeight="1">
      <c r="A143" s="10">
        <f>_xlfn.IMAGE("https://m.media-amazon.com/images/I/81DY3DsTJhL.jpg")</f>
        <v/>
      </c>
      <c r="B143" s="32" t="inlineStr">
        <is>
          <t>B09G6M7WJ3</t>
        </is>
      </c>
      <c r="C143" s="32" t="inlineStr">
        <is>
          <t>SATIN-STRIPE-TWIN-RED</t>
        </is>
      </c>
      <c r="D143" s="32" t="inlineStr">
        <is>
          <t>DECOLURE Satin Bed Sheets - 3 Piece Luxury Silky Twin Size Bedding Set - Softer Than Silk, Wrinkle-Free with 15” Deep Pocket Fitted Sheet, Perfect for Hair &amp; Skin, Gifts for Women (Striped Red)</t>
        </is>
      </c>
      <c r="E143" s="32" t="inlineStr">
        <is>
          <t>Twin</t>
        </is>
      </c>
      <c r="F143" s="32" t="inlineStr">
        <is>
          <t>Striped Red</t>
        </is>
      </c>
      <c r="G143" s="33" t="n"/>
      <c r="H143" s="32" t="n"/>
      <c r="I143" s="61" t="n">
        <v>22.94</v>
      </c>
      <c r="J143" s="62" t="inlineStr">
        <is>
          <t>2026-03-30</t>
        </is>
      </c>
      <c r="K143" s="33" t="n">
        <v>2.48</v>
      </c>
      <c r="L143" s="63" t="n">
        <v>0.1081081081081081</v>
      </c>
      <c r="M143" s="64" t="n">
        <v>0</v>
      </c>
      <c r="N143" s="32" t="inlineStr">
        <is>
          <t>Active</t>
        </is>
      </c>
      <c r="O143" s="32" t="n"/>
      <c r="P143" s="65" t="n"/>
      <c r="Q143" s="64" t="n"/>
      <c r="R143" s="64" t="n"/>
      <c r="S143" s="64" t="n"/>
      <c r="T143" s="32" t="n"/>
    </row>
    <row r="144" ht="62" customHeight="1">
      <c r="A144" s="10">
        <f>_xlfn.IMAGE("https://m.media-amazon.com/images/I/81bfs+Nmq1L.jpg")</f>
        <v/>
      </c>
      <c r="B144" s="32" t="inlineStr">
        <is>
          <t>B0BZPVYJK4</t>
        </is>
      </c>
      <c r="C144" s="32" t="inlineStr">
        <is>
          <t>SATIN-TAUPE-TWIN</t>
        </is>
      </c>
      <c r="D144" s="32" t="inlineStr">
        <is>
          <t>DECOLURE Satin Bed Sheets - 3 Piece Luxury Silky Twin Size Bedding Set - Softer Than Silk, Wrinkle-Free with 15” Deep Pocket Fitted Sheet, Perfect for Hair &amp; Skin, Gifts for Women (Taupe)</t>
        </is>
      </c>
      <c r="E144" s="32" t="inlineStr">
        <is>
          <t>Twin</t>
        </is>
      </c>
      <c r="F144" s="32" t="inlineStr">
        <is>
          <t>Taupe</t>
        </is>
      </c>
      <c r="G144" s="33" t="n"/>
      <c r="H144" s="32" t="n"/>
      <c r="I144" s="61" t="n">
        <v>39.99</v>
      </c>
      <c r="J144" s="62" t="inlineStr">
        <is>
          <t>2026-03-30</t>
        </is>
      </c>
      <c r="K144" s="33" t="n">
        <v>17.2</v>
      </c>
      <c r="L144" s="63" t="n">
        <v>0.4301075268817205</v>
      </c>
      <c r="M144" s="64" t="n">
        <v>0</v>
      </c>
      <c r="N144" s="32" t="inlineStr">
        <is>
          <t>Active</t>
        </is>
      </c>
      <c r="O144" s="32" t="n"/>
      <c r="P144" s="65" t="n"/>
      <c r="Q144" s="64" t="n"/>
      <c r="R144" s="64" t="n"/>
      <c r="S144" s="64" t="n"/>
      <c r="T144" s="32" t="n"/>
    </row>
    <row r="146" ht="20" customHeight="1">
      <c r="A146" s="54" t="inlineStr">
        <is>
          <t>3 · OUR BFCM 2025 RESULT &amp; EVENT VISIBILITY</t>
        </is>
      </c>
    </row>
    <row r="147">
      <c r="A147" s="67" t="inlineStr">
        <is>
          <t>Window</t>
        </is>
      </c>
      <c r="B147" s="68" t="n"/>
      <c r="C147" s="69" t="n"/>
      <c r="D147" s="67" t="inlineStr">
        <is>
          <t>Ad spend</t>
        </is>
      </c>
      <c r="E147" s="67" t="inlineStr">
        <is>
          <t>Ad sales</t>
        </is>
      </c>
      <c r="F147" s="67" t="inlineStr">
        <is>
          <t>ACoS</t>
        </is>
      </c>
      <c r="G147" s="67" t="inlineStr">
        <is>
          <t>TACoS</t>
        </is>
      </c>
      <c r="H147" s="67" t="inlineStr">
        <is>
          <t>Total sales (derived)</t>
        </is>
      </c>
      <c r="J147" s="67" t="inlineStr">
        <is>
          <t>Ad orders</t>
        </is>
      </c>
      <c r="K147" s="67" t="inlineStr">
        <is>
          <t>CVR</t>
        </is>
      </c>
    </row>
    <row r="148">
      <c r="A148" s="70" t="inlineStr">
        <is>
          <t>Pre-event Oct 21 - Nov 19, 2025 (30d)</t>
        </is>
      </c>
      <c r="B148" s="68" t="n"/>
      <c r="C148" s="69" t="n"/>
      <c r="D148" s="71" t="n">
        <v>9724.07</v>
      </c>
      <c r="E148" s="71" t="n">
        <v>38134.05</v>
      </c>
      <c r="F148" s="72" t="n">
        <v>25.5</v>
      </c>
      <c r="G148" s="72" t="n">
        <v>14.66445424614631</v>
      </c>
      <c r="H148" s="71" t="n">
        <v>66310.48</v>
      </c>
      <c r="J148" s="73" t="n">
        <v>976</v>
      </c>
      <c r="K148" s="74" t="n">
        <v>14.18</v>
      </c>
    </row>
    <row r="149">
      <c r="A149" s="70" t="inlineStr">
        <is>
          <t>BFCM week Nov 20 - Dec 1, 2025 (12d)</t>
        </is>
      </c>
      <c r="B149" s="68" t="n"/>
      <c r="C149" s="69" t="n"/>
      <c r="D149" s="71" t="n">
        <v>8728.68</v>
      </c>
      <c r="E149" s="71" t="n">
        <v>39244.06</v>
      </c>
      <c r="F149" s="72" t="n">
        <v>22.2</v>
      </c>
      <c r="G149" s="72" t="n">
        <v>10.05642820456278</v>
      </c>
      <c r="H149" s="71" t="n">
        <v>86797.02</v>
      </c>
      <c r="J149" s="73" t="n">
        <v>1163</v>
      </c>
      <c r="K149" s="74" t="n">
        <v>21.72</v>
      </c>
    </row>
    <row r="150">
      <c r="A150" s="70" t="inlineStr">
        <is>
          <t>December 2 - 31, 2025 (30d)</t>
        </is>
      </c>
      <c r="B150" s="68" t="n"/>
      <c r="C150" s="69" t="n"/>
      <c r="D150" s="71" t="n">
        <v>17298.34</v>
      </c>
      <c r="E150" s="71" t="n">
        <v>77372.58</v>
      </c>
      <c r="F150" s="72" t="n">
        <v>22.4</v>
      </c>
      <c r="G150" s="72" t="n">
        <v>13.43959452969996</v>
      </c>
      <c r="H150" s="71" t="n">
        <v>128711.77</v>
      </c>
      <c r="J150" s="73" t="n">
        <v>1996</v>
      </c>
      <c r="K150" s="74" t="n">
        <v>15.97</v>
      </c>
    </row>
    <row r="152">
      <c r="A152" s="67" t="inlineStr">
        <is>
          <t>Actual sales (SellerBoard)</t>
        </is>
      </c>
      <c r="B152" s="68" t="n"/>
      <c r="C152" s="69" t="n"/>
      <c r="D152" s="67" t="inlineStr">
        <is>
          <t>Sales</t>
        </is>
      </c>
      <c r="E152" s="67" t="inlineStr">
        <is>
          <t>Units</t>
        </is>
      </c>
      <c r="F152" s="67" t="inlineStr">
        <is>
          <t>Organic units</t>
        </is>
      </c>
      <c r="G152" s="67" t="inlineStr">
        <is>
          <t>Ad units</t>
        </is>
      </c>
      <c r="H152" s="67" t="inlineStr">
        <is>
          <t>Ad cost</t>
        </is>
      </c>
      <c r="J152" s="67" t="inlineStr">
        <is>
          <t>TACoS (actual)</t>
        </is>
      </c>
      <c r="K152" s="67" t="inlineStr">
        <is>
          <t>Sessions</t>
        </is>
      </c>
      <c r="L152" s="67" t="inlineStr">
        <is>
          <t>Unit session %</t>
        </is>
      </c>
      <c r="M152" s="67" t="inlineStr">
        <is>
          <t>Avg price</t>
        </is>
      </c>
      <c r="N152" s="67" t="inlineStr">
        <is>
          <t>Refunds</t>
        </is>
      </c>
    </row>
    <row r="153">
      <c r="A153" s="70" t="inlineStr">
        <is>
          <t>Pre-event Oct 21 - Nov 19, 2025 (30d)</t>
        </is>
      </c>
      <c r="B153" s="68" t="n"/>
      <c r="C153" s="69" t="n"/>
      <c r="D153" s="71" t="n">
        <v>47285.27</v>
      </c>
      <c r="E153" s="73" t="n">
        <v>1704</v>
      </c>
      <c r="F153" s="73" t="n">
        <v>1467</v>
      </c>
      <c r="G153" s="73" t="n">
        <v>237</v>
      </c>
      <c r="H153" s="71" t="n">
        <v>7149.69</v>
      </c>
      <c r="J153" s="75" t="n">
        <v>0.1512033239949777</v>
      </c>
      <c r="K153" s="73" t="n">
        <v>35756</v>
      </c>
      <c r="L153" s="75" t="n">
        <v>0.04765633739791923</v>
      </c>
      <c r="M153" s="76" t="n">
        <v>27.74957159624413</v>
      </c>
      <c r="N153" s="73" t="n">
        <v>79</v>
      </c>
    </row>
    <row r="154">
      <c r="A154" s="70" t="inlineStr">
        <is>
          <t>BFCM week Nov 20 - Dec 1, 2025 (12d)</t>
        </is>
      </c>
      <c r="B154" s="68" t="n"/>
      <c r="C154" s="69" t="n"/>
      <c r="D154" s="71" t="n">
        <v>61830.52</v>
      </c>
      <c r="E154" s="73" t="n">
        <v>2667</v>
      </c>
      <c r="F154" s="73" t="n">
        <v>2445</v>
      </c>
      <c r="G154" s="73" t="n">
        <v>222</v>
      </c>
      <c r="H154" s="71" t="n">
        <v>6602.74</v>
      </c>
      <c r="J154" s="75" t="n">
        <v>0.1067877158400091</v>
      </c>
      <c r="K154" s="73" t="n">
        <v>38883</v>
      </c>
      <c r="L154" s="75" t="n">
        <v>0.06859038654424814</v>
      </c>
      <c r="M154" s="76" t="n">
        <v>23.18354705661792</v>
      </c>
      <c r="N154" s="73" t="n">
        <v>34</v>
      </c>
    </row>
    <row r="155">
      <c r="A155" s="70" t="inlineStr">
        <is>
          <t>December 2 - 31, 2025 (30d)</t>
        </is>
      </c>
      <c r="B155" s="68" t="n"/>
      <c r="C155" s="69" t="n"/>
      <c r="D155" s="71" t="n">
        <v>97478.5</v>
      </c>
      <c r="E155" s="73" t="n">
        <v>3494</v>
      </c>
      <c r="F155" s="73" t="n">
        <v>3124</v>
      </c>
      <c r="G155" s="73" t="n">
        <v>370</v>
      </c>
      <c r="H155" s="71" t="n">
        <v>12895.29</v>
      </c>
      <c r="J155" s="75" t="n">
        <v>0.1322885559379761</v>
      </c>
      <c r="K155" s="73" t="n">
        <v>59789</v>
      </c>
      <c r="L155" s="75" t="n">
        <v>0.05843884326548362</v>
      </c>
      <c r="M155" s="76" t="n">
        <v>27.89882655981683</v>
      </c>
      <c r="N155" s="73" t="n">
        <v>192</v>
      </c>
    </row>
    <row r="156">
      <c r="A156" s="59" t="inlineStr">
        <is>
          <t>SellerBoard, Ecotero account, Amazon parent B0CT3HF44M plus any of this product's child ASINs SellerBoard lists on their own, UTC days. Lift above uses these actual sales (3.27x; the ad-spend estimate was 3.27x). Amazon.ca sales here are in USD: SellerBoard converts to the account currency, while the Command Center table above is in CAD (ratio ~0.71). Lift is a ratio, so it is unaffected.</t>
        </is>
      </c>
    </row>
    <row r="157" ht="30" customHeight="1">
      <c r="A157" s="77" t="inlineStr">
        <is>
          <t>Deals we ran or scheduled, Nov 1 - Dec 5, 2025 (DataHub promotions; scheduled deal price not in the feed. Keepa price = lowest Buy Box seen during the deal, an observation for the hero child only, not the scheduled deal price): Coupon 10-22 to 11-16 (ran, 2 variations); Lightning Deal 11-03 to 11-04 (ran, 112 variations, 56 units); Lightning Deal 11-11 to 11-12 (ran, 112 variations, 79 units); Best Deal 11-20 to 12-02 (ran, 111 variations, 2,614 units).</t>
        </is>
      </c>
    </row>
    <row r="158" ht="26" customHeight="1">
      <c r="A158" s="77" t="inlineStr">
        <is>
          <t>Stock in BFCM week 2025 (FBA inventory snapshots, child-ASIN level, revision 2): 1 of 117 variations hit zero FBA stock on at least one observed day; weighted by today's sales mix that is ~0.4% of variation-days lost. Most important: B0839LQG4C 1/9 days. Snapshots missing: US Nov 26-27 and Dec 1 (Cyber Monday); CA Nov 24, 29-30.</t>
        </is>
      </c>
    </row>
    <row r="159">
      <c r="A159" s="59" t="inlineStr">
        <is>
          <t>Figures above are Amazon.ca in CAD. Visibility history is held for US ASINs only.</t>
        </is>
      </c>
    </row>
    <row r="161" ht="20" customHeight="1">
      <c r="A161" s="54" t="inlineStr">
        <is>
          <t>4 · COMPETITOR LANDSCAPE (15 mapped)</t>
        </is>
      </c>
    </row>
    <row r="162">
      <c r="A162" s="59" t="inlineStr">
        <is>
          <t>Sorted by tier, then estimated weekly units. Green = Command Center price/sales; blue = Data Dive listing; purple = Command Center search strategy (ASINsight); yellow = fill from Keepa / page check.</t>
        </is>
      </c>
    </row>
    <row r="163" ht="30" customHeight="1">
      <c r="A163"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Command Center CAD price (Mar 2026) - no live Canadian price source yet.</t>
        </is>
      </c>
    </row>
    <row r="164">
      <c r="A164" s="78" t="inlineStr">
        <is>
          <t>COMPETITOR</t>
        </is>
      </c>
      <c r="I164" s="79" t="inlineStr">
        <is>
          <t>LISTING - Data Dive</t>
        </is>
      </c>
      <c r="J164" s="80" t="inlineStr">
        <is>
          <t>SEARCH STRATEGY - Command Center ASINsight</t>
        </is>
      </c>
      <c r="K164" s="81" t="inlineStr">
        <is>
          <t>PRICE &amp; SALES - Command Center snapshot (date per row)</t>
        </is>
      </c>
      <c r="X164" s="79" t="inlineStr">
        <is>
          <t>LISTING - Data Dive</t>
        </is>
      </c>
      <c r="AA164" s="80" t="inlineStr">
        <is>
          <t>SEARCH STRATEGY - Command Center ASINsight</t>
        </is>
      </c>
      <c r="AR164" s="82" t="inlineStr">
        <is>
          <t>STR NOW - Amazon page check (Oct 13, P1 + P2)</t>
        </is>
      </c>
      <c r="AY164" s="83" t="inlineStr">
        <is>
          <t>BFCM 2025 - Keepa (P1 filled; yellow = not pulled yet)</t>
        </is>
      </c>
    </row>
    <row r="165" ht="48" customHeight="1">
      <c r="A165" s="22" t="inlineStr">
        <is>
          <t>Image</t>
        </is>
      </c>
      <c r="B165" s="22" t="inlineStr">
        <is>
          <t>Brand</t>
        </is>
      </c>
      <c r="C165" s="22" t="inlineStr">
        <is>
          <t>Product title</t>
        </is>
      </c>
      <c r="D165" s="22" t="inlineStr">
        <is>
          <t>Tier</t>
        </is>
      </c>
      <c r="E165" s="22" t="inlineStr">
        <is>
          <t>Parent ASIN</t>
        </is>
      </c>
      <c r="F165" s="22" t="inlineStr">
        <is>
          <t>Tracked child ASIN</t>
        </is>
      </c>
      <c r="G165" s="22" t="inlineStr">
        <is>
          <t>Size (title)</t>
        </is>
      </c>
      <c r="H165" s="22" t="inlineStr">
        <is>
          <t>Colour (title)</t>
        </is>
      </c>
      <c r="I165" s="22" t="inlineStr">
        <is>
          <t>Variations</t>
        </is>
      </c>
      <c r="J165" s="22" t="inlineStr">
        <is>
          <t>Hero child ASINs (share of their visibility)</t>
        </is>
      </c>
      <c r="K165" s="22" t="inlineStr">
        <is>
          <t>Price ($)</t>
        </is>
      </c>
      <c r="L165" s="22" t="inlineStr">
        <is>
          <t>List Price ($)</t>
        </is>
      </c>
      <c r="M165" s="22" t="inlineStr">
        <is>
          <t>List Price % over</t>
        </is>
      </c>
      <c r="N165" s="22" t="inlineStr">
        <is>
          <t>STR band</t>
        </is>
      </c>
      <c r="O165" s="22" t="inlineStr">
        <is>
          <t>Our price, same size ($)</t>
        </is>
      </c>
      <c r="P165" s="22" t="inlineStr">
        <is>
          <t>Their price vs ours</t>
        </is>
      </c>
      <c r="Q165" s="22" t="inlineStr">
        <is>
          <t>Comparison basis</t>
        </is>
      </c>
      <c r="R165" s="22" t="inlineStr">
        <is>
          <t>BSR</t>
        </is>
      </c>
      <c r="S165" s="22" t="inlineStr">
        <is>
          <t>Est weekly units</t>
        </is>
      </c>
      <c r="T165" s="22" t="inlineStr">
        <is>
          <t>Est monthly revenue ($)</t>
        </is>
      </c>
      <c r="U165" s="22" t="inlineStr">
        <is>
          <t>Rating</t>
        </is>
      </c>
      <c r="V165" s="22" t="inlineStr">
        <is>
          <t>Reviews</t>
        </is>
      </c>
      <c r="W165" s="22" t="inlineStr">
        <is>
          <t>Snapshot date</t>
        </is>
      </c>
      <c r="X165" s="22" t="inlineStr">
        <is>
          <t>Listed</t>
        </is>
      </c>
      <c r="Y165" s="22" t="inlineStr">
        <is>
          <t>Fulfil.</t>
        </is>
      </c>
      <c r="Z165" s="22" t="inlineStr">
        <is>
          <t>Seller country</t>
        </is>
      </c>
      <c r="AA165" s="22" t="inlineStr">
        <is>
          <t>ASINsight 7d traffic</t>
        </is>
      </c>
      <c r="AB165" s="22" t="inlineStr">
        <is>
          <t>Keywords ranked</t>
        </is>
      </c>
      <c r="AC165" s="22" t="inlineStr">
        <is>
          <t>Organic share of traffic</t>
        </is>
      </c>
      <c r="AD165" s="22" t="inlineStr">
        <is>
          <t>Ad share of traffic</t>
        </is>
      </c>
      <c r="AE165" s="22" t="inlineStr">
        <is>
          <t>Top keyword</t>
        </is>
      </c>
      <c r="AF165" s="22" t="inlineStr">
        <is>
          <t>SP reach</t>
        </is>
      </c>
      <c r="AG165" s="22" t="inlineStr">
        <is>
          <t>SB reach</t>
        </is>
      </c>
      <c r="AH165" s="22" t="inlineStr">
        <is>
          <t>SB video reach</t>
        </is>
      </c>
      <c r="AI165" s="22" t="inlineStr">
        <is>
          <t>Amazon's Choice reach</t>
        </is>
      </c>
      <c r="AJ165" s="22" t="inlineStr">
        <is>
          <t>Shared keywords</t>
        </is>
      </c>
      <c r="AK165" s="22" t="inlineStr">
        <is>
          <t>We win</t>
        </is>
      </c>
      <c r="AL165" s="22" t="inlineStr">
        <is>
          <t>We lose</t>
        </is>
      </c>
      <c r="AM165" s="22" t="inlineStr">
        <is>
          <t>Their keywords we miss</t>
        </is>
      </c>
      <c r="AN165" s="22" t="inlineStr">
        <is>
          <t>KWs they advertise, we don't</t>
        </is>
      </c>
      <c r="AO165" s="22" t="inlineStr">
        <is>
          <t>KWs they out-advertise us</t>
        </is>
      </c>
      <c r="AP165" s="22" t="inlineStr">
        <is>
          <t>Prime Day 2026 organic vis lift</t>
        </is>
      </c>
      <c r="AQ165" s="22" t="inlineStr">
        <is>
          <t>Organic trend (Aug-Sep vs Q2)</t>
        </is>
      </c>
      <c r="AR165" s="22" t="inlineStr">
        <is>
          <t>STR showing now? (Y/N)</t>
        </is>
      </c>
      <c r="AS165" s="22" t="inlineStr">
        <is>
          <t>STR label</t>
        </is>
      </c>
      <c r="AT165" s="22" t="inlineStr">
        <is>
          <t>Strikethrough price ($)</t>
        </is>
      </c>
      <c r="AU165" s="22" t="inlineStr">
        <is>
          <t>Page price at check ($)</t>
        </is>
      </c>
      <c r="AV165" s="22" t="inlineStr">
        <is>
          <t>Deal / coupon now</t>
        </is>
      </c>
      <c r="AW165" s="22" t="inlineStr">
        <is>
          <t>Orderable now (Y/N)</t>
        </is>
      </c>
      <c r="AX165" s="22" t="inlineStr">
        <is>
          <t>Checked (ET)</t>
        </is>
      </c>
      <c r="AY165" s="22" t="inlineStr">
        <is>
          <t>BFCM 2025 deal type</t>
        </is>
      </c>
      <c r="AZ165" s="22" t="inlineStr">
        <is>
          <t>BFCM 2025 deal dates</t>
        </is>
      </c>
      <c r="BA165" s="22" t="inlineStr">
        <is>
          <t>Pre-event price ($)</t>
        </is>
      </c>
      <c r="BB165" s="22" t="inlineStr">
        <is>
          <t>BFCM 2025 low ($)</t>
        </is>
      </c>
      <c r="BC165" s="22" t="inlineStr">
        <is>
          <t>BFCM 2025 discount</t>
        </is>
      </c>
      <c r="BD165" s="22" t="inlineStr">
        <is>
          <t>BSR pre-event</t>
        </is>
      </c>
      <c r="BE165" s="22" t="inlineStr">
        <is>
          <t>BSR BFCM wk</t>
        </is>
      </c>
      <c r="BF165" s="22" t="inlineStr">
        <is>
          <t>BSR lift (x)</t>
        </is>
      </c>
      <c r="BG165" s="22" t="inlineStr">
        <is>
          <t>OOS in BFCM? (Y/N)</t>
        </is>
      </c>
      <c r="BH165" s="22" t="inlineStr">
        <is>
          <t>Notes</t>
        </is>
      </c>
    </row>
    <row r="166" ht="62" customHeight="1">
      <c r="A166" s="10">
        <f>_xlfn.IMAGE("https://m.media-amazon.com/images/I/71MADUOjsFL.jpg")</f>
        <v/>
      </c>
      <c r="B166" s="84" t="inlineStr">
        <is>
          <t>Sasttie</t>
        </is>
      </c>
      <c r="C166" s="32" t="inlineStr">
        <is>
          <t>Sasttie Satin Sheets Queen - 4 Pieces Luxury Soft Black Silky Bed Sheets Set with Pillowcases - Smooth Silk-Like Drap Satin Fabric, Reinforced 14 Inches Pocket, Oeko-Tex Certified</t>
        </is>
      </c>
      <c r="D166" s="84" t="inlineStr">
        <is>
          <t>Untiered</t>
        </is>
      </c>
      <c r="E166" s="84" t="inlineStr">
        <is>
          <t>B0F2HNJ52T</t>
        </is>
      </c>
      <c r="F166" s="84" t="inlineStr">
        <is>
          <t>B0F2H8LPB3</t>
        </is>
      </c>
      <c r="G166" s="84" t="inlineStr">
        <is>
          <t>Queen</t>
        </is>
      </c>
      <c r="H166" s="84" t="inlineStr">
        <is>
          <t>Black</t>
        </is>
      </c>
      <c r="I166" s="85" t="n">
        <v>83</v>
      </c>
      <c r="J166" s="32" t="n"/>
      <c r="K166" s="86" t="n">
        <v>31.99</v>
      </c>
      <c r="L166" s="86" t="n"/>
      <c r="M166" s="87">
        <f>IF(AND(ISNUMBER(L166),ISNUMBER(K166),N(K166)&gt;0),L166/K166-1,"")</f>
        <v/>
      </c>
      <c r="N166" s="88">
        <f>IF(M166="","No List Price",IF(M166&lt;=0,"At/below price",IF(M166&lt;=0.12,"&lt;=12% STR zone",IF(M166&lt;=0.25,"12-25%","&gt;25% over"))))</f>
        <v/>
      </c>
      <c r="O166" s="86" t="n">
        <v>46.82057894736842</v>
      </c>
      <c r="P166" s="89">
        <f>IF(AND(ISNUMBER(K166),ISNUMBER(O166),N(O166)&gt;0),K166/O166-1,"")</f>
        <v/>
      </c>
      <c r="Q166" s="32" t="inlineStr">
        <is>
          <t>Same size (Queen), CAD. Ours: Command Center fee feed, Mar 2026 - STALE</t>
        </is>
      </c>
      <c r="R166" s="85" t="n">
        <v>1428</v>
      </c>
      <c r="S166" s="85" t="n"/>
      <c r="T166" s="90">
        <f>IF(AND(ISNUMBER(K166),ISNUMBER(S166)),K166*S166*52/12,"")</f>
        <v/>
      </c>
      <c r="U166" s="91" t="n">
        <v>4.2</v>
      </c>
      <c r="V166" s="85" t="n">
        <v>962</v>
      </c>
      <c r="W166" s="92" t="n">
        <v>46309</v>
      </c>
      <c r="X166" s="92" t="n"/>
      <c r="Y166" s="84" t="n"/>
      <c r="Z166" s="84" t="n"/>
      <c r="AA166" s="85" t="n"/>
      <c r="AB166" s="85" t="n"/>
      <c r="AC166" s="93" t="n"/>
      <c r="AD166" s="93" t="n"/>
      <c r="AE166" s="32" t="n"/>
      <c r="AF166" s="93" t="n"/>
      <c r="AG166" s="93" t="n"/>
      <c r="AH166" s="93" t="n"/>
      <c r="AI166" s="93" t="n"/>
      <c r="AJ166" s="85" t="n"/>
      <c r="AK166" s="85" t="n"/>
      <c r="AL166" s="85" t="n"/>
      <c r="AM166" s="85" t="n"/>
      <c r="AN166" s="85" t="n"/>
      <c r="AO166" s="85" t="n"/>
      <c r="AP166" s="94" t="n"/>
      <c r="AQ166" s="89" t="n"/>
      <c r="AR166" s="95" t="inlineStr">
        <is>
          <t>N</t>
        </is>
      </c>
      <c r="AS166" s="95" t="inlineStr">
        <is>
          <t>none</t>
        </is>
      </c>
      <c r="AT166" s="101" t="n"/>
      <c r="AU166" s="96" t="n">
        <v>31.99</v>
      </c>
      <c r="AV166" s="95" t="inlineStr">
        <is>
          <t>none</t>
        </is>
      </c>
      <c r="AW166" s="95" t="inlineStr">
        <is>
          <t>Y</t>
        </is>
      </c>
      <c r="AX166" s="95" t="inlineStr">
        <is>
          <t>2026-10-14 00:30:30</t>
        </is>
      </c>
      <c r="AY166" s="97" t="inlineStr">
        <is>
          <t>Prime Exclusive Discount</t>
        </is>
      </c>
      <c r="AZ166" s="97" t="inlineStr">
        <is>
          <t>11-08 to 12-05</t>
        </is>
      </c>
      <c r="BA166" s="98" t="n">
        <v>15.99</v>
      </c>
      <c r="BB166" s="98" t="n">
        <v>15.98</v>
      </c>
      <c r="BC166" s="87">
        <f>IF(AND(ISNUMBER(BA166),ISNUMBER(BB166),N(BA166)&gt;0),1-BB166/BA166,"")</f>
        <v/>
      </c>
      <c r="BD166" s="99" t="n">
        <v>71449</v>
      </c>
      <c r="BE166" s="99" t="n">
        <v>98796</v>
      </c>
      <c r="BF166" s="100">
        <f>IF(AND(ISNUMBER(BD166),ISNUMBER(BE166),N(BE166)&gt;0),BD166/BE166,"")</f>
        <v/>
      </c>
      <c r="BG166" s="97" t="inlineStr">
        <is>
          <t>N</t>
        </is>
      </c>
      <c r="BH166" s="97" t="inlineStr">
        <is>
          <t>Amazon.ca organic #1 for 'satin sheets queen'; satin; 300+ bought in past month bought past month; Search child B0F2H9HRJJ; selected Queen child B0F2H8LPB3. variation_count = distinct children exposed in page variation map, not a guaranteed complete catalogue</t>
        </is>
      </c>
    </row>
    <row r="167" ht="62" customHeight="1">
      <c r="A167" s="10">
        <f>_xlfn.IMAGE("https://m.media-amazon.com/images/I/71zGuoeuSrL.jpg")</f>
        <v/>
      </c>
      <c r="B167" s="84" t="inlineStr">
        <is>
          <t>MR&amp;HM</t>
        </is>
      </c>
      <c r="C167" s="32" t="inlineStr">
        <is>
          <t>MR&amp;HM Satin Sheets Queen Size with Elastic Corner Straps, Black</t>
        </is>
      </c>
      <c r="D167" s="84" t="inlineStr">
        <is>
          <t>Untiered</t>
        </is>
      </c>
      <c r="E167" s="84" t="inlineStr">
        <is>
          <t>B08NPFTQWB</t>
        </is>
      </c>
      <c r="F167" s="84" t="inlineStr">
        <is>
          <t>B08HM6WT6X</t>
        </is>
      </c>
      <c r="G167" s="84" t="inlineStr">
        <is>
          <t>Queen</t>
        </is>
      </c>
      <c r="H167" s="84" t="inlineStr">
        <is>
          <t>01- Black</t>
        </is>
      </c>
      <c r="I167" s="85" t="n">
        <v>182</v>
      </c>
      <c r="J167" s="32" t="n"/>
      <c r="K167" s="86" t="n">
        <v>40.99</v>
      </c>
      <c r="L167" s="86" t="n"/>
      <c r="M167" s="87">
        <f>IF(AND(ISNUMBER(L167),ISNUMBER(K167),N(K167)&gt;0),L167/K167-1,"")</f>
        <v/>
      </c>
      <c r="N167" s="88">
        <f>IF(M167="","No List Price",IF(M167&lt;=0,"At/below price",IF(M167&lt;=0.12,"&lt;=12% STR zone",IF(M167&lt;=0.25,"12-25%","&gt;25% over"))))</f>
        <v/>
      </c>
      <c r="O167" s="86" t="n">
        <v>46.82057894736842</v>
      </c>
      <c r="P167" s="89">
        <f>IF(AND(ISNUMBER(K167),ISNUMBER(O167),N(O167)&gt;0),K167/O167-1,"")</f>
        <v/>
      </c>
      <c r="Q167" s="32" t="inlineStr">
        <is>
          <t>Same size (Queen), CAD. Ours: Command Center fee feed, Mar 2026 - STALE</t>
        </is>
      </c>
      <c r="R167" s="85" t="n">
        <v>1512</v>
      </c>
      <c r="S167" s="85" t="n"/>
      <c r="T167" s="90">
        <f>IF(AND(ISNUMBER(K167),ISNUMBER(S167)),K167*S167*52/12,"")</f>
        <v/>
      </c>
      <c r="U167" s="91" t="n">
        <v>4.2</v>
      </c>
      <c r="V167" s="85" t="n">
        <v>17432</v>
      </c>
      <c r="W167" s="92" t="n">
        <v>46309</v>
      </c>
      <c r="X167" s="92" t="n"/>
      <c r="Y167" s="84" t="n"/>
      <c r="Z167" s="84" t="n"/>
      <c r="AA167" s="85" t="n"/>
      <c r="AB167" s="85" t="n"/>
      <c r="AC167" s="93" t="n"/>
      <c r="AD167" s="93" t="n"/>
      <c r="AE167" s="32" t="n"/>
      <c r="AF167" s="93" t="n"/>
      <c r="AG167" s="93" t="n"/>
      <c r="AH167" s="93" t="n"/>
      <c r="AI167" s="93" t="n"/>
      <c r="AJ167" s="85" t="n"/>
      <c r="AK167" s="85" t="n"/>
      <c r="AL167" s="85" t="n"/>
      <c r="AM167" s="85" t="n"/>
      <c r="AN167" s="85" t="n"/>
      <c r="AO167" s="85" t="n"/>
      <c r="AP167" s="94" t="n"/>
      <c r="AQ167" s="89" t="n"/>
      <c r="AR167" s="95" t="inlineStr">
        <is>
          <t>Y</t>
        </is>
      </c>
      <c r="AS167" s="95" t="inlineStr">
        <is>
          <t>Was price</t>
        </is>
      </c>
      <c r="AT167" s="96" t="n">
        <v>46.99</v>
      </c>
      <c r="AU167" s="96" t="n">
        <v>40.99</v>
      </c>
      <c r="AV167" s="95" t="inlineStr">
        <is>
          <t>none</t>
        </is>
      </c>
      <c r="AW167" s="95" t="inlineStr">
        <is>
          <t>Y</t>
        </is>
      </c>
      <c r="AX167" s="95" t="inlineStr">
        <is>
          <t>2026-10-14 00:30:54</t>
        </is>
      </c>
      <c r="AY167" s="97" t="inlineStr">
        <is>
          <t>None</t>
        </is>
      </c>
      <c r="AZ167" s="102" t="n"/>
      <c r="BA167" s="98" t="n">
        <v>17.99</v>
      </c>
      <c r="BB167" s="98" t="n">
        <v>17.99</v>
      </c>
      <c r="BC167" s="87">
        <f>IF(AND(ISNUMBER(BA167),ISNUMBER(BB167),N(BA167)&gt;0),1-BB167/BA167,"")</f>
        <v/>
      </c>
      <c r="BD167" s="99" t="n">
        <v>1500</v>
      </c>
      <c r="BE167" s="99" t="n">
        <v>1119</v>
      </c>
      <c r="BF167" s="100">
        <f>IF(AND(ISNUMBER(BD167),ISNUMBER(BE167),N(BE167)&gt;0),BD167/BE167,"")</f>
        <v/>
      </c>
      <c r="BG167" s="97" t="inlineStr">
        <is>
          <t>N</t>
        </is>
      </c>
      <c r="BH167" s="97" t="inlineStr">
        <is>
          <t>Amazon.ca organic #2 for 'satin sheets queen'; 100% Polyester Satin; 100+ bought in past month bought past month; variation_count = distinct children exposed in page variation map, not a guaranteed complete catalogue.</t>
        </is>
      </c>
    </row>
    <row r="168" ht="62" customHeight="1">
      <c r="A168" s="10">
        <f>_xlfn.IMAGE("https://m.media-amazon.com/images/I/71zxqUjprTL.jpg")</f>
        <v/>
      </c>
      <c r="B168" s="84" t="inlineStr">
        <is>
          <t>BEDELITE</t>
        </is>
      </c>
      <c r="C168" s="32" t="inlineStr">
        <is>
          <t>BEDELITE Satin Sheets Queen Size Bed Set, Black, 4 Pieces</t>
        </is>
      </c>
      <c r="D168" s="84" t="inlineStr">
        <is>
          <t>Untiered</t>
        </is>
      </c>
      <c r="E168" s="84" t="inlineStr">
        <is>
          <t>B0GJC51929</t>
        </is>
      </c>
      <c r="F168" s="84" t="inlineStr">
        <is>
          <t>B0GJCBX6CJ</t>
        </is>
      </c>
      <c r="G168" s="84" t="inlineStr">
        <is>
          <t>Queen</t>
        </is>
      </c>
      <c r="H168" s="84" t="inlineStr">
        <is>
          <t>Black</t>
        </is>
      </c>
      <c r="I168" s="85" t="n">
        <v>16</v>
      </c>
      <c r="J168" s="32" t="n"/>
      <c r="K168" s="86" t="n">
        <v>31.99</v>
      </c>
      <c r="L168" s="86" t="n"/>
      <c r="M168" s="87">
        <f>IF(AND(ISNUMBER(L168),ISNUMBER(K168),N(K168)&gt;0),L168/K168-1,"")</f>
        <v/>
      </c>
      <c r="N168" s="88">
        <f>IF(M168="","No List Price",IF(M168&lt;=0,"At/below price",IF(M168&lt;=0.12,"&lt;=12% STR zone",IF(M168&lt;=0.25,"12-25%","&gt;25% over"))))</f>
        <v/>
      </c>
      <c r="O168" s="86" t="n">
        <v>46.82057894736842</v>
      </c>
      <c r="P168" s="89">
        <f>IF(AND(ISNUMBER(K168),ISNUMBER(O168),N(O168)&gt;0),K168/O168-1,"")</f>
        <v/>
      </c>
      <c r="Q168" s="32" t="inlineStr">
        <is>
          <t>Same size (Queen), CAD. Ours: Command Center fee feed, Mar 2026 - STALE</t>
        </is>
      </c>
      <c r="R168" s="85" t="n">
        <v>8328</v>
      </c>
      <c r="S168" s="85" t="n"/>
      <c r="T168" s="90">
        <f>IF(AND(ISNUMBER(K168),ISNUMBER(S168)),K168*S168*52/12,"")</f>
        <v/>
      </c>
      <c r="U168" s="91" t="n">
        <v>4.1</v>
      </c>
      <c r="V168" s="85" t="n">
        <v>346</v>
      </c>
      <c r="W168" s="92" t="n">
        <v>46309</v>
      </c>
      <c r="X168" s="92" t="n"/>
      <c r="Y168" s="84" t="n"/>
      <c r="Z168" s="84" t="n"/>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Y</t>
        </is>
      </c>
      <c r="AS168" s="95" t="inlineStr">
        <is>
          <t>Was price</t>
        </is>
      </c>
      <c r="AT168" s="96" t="n">
        <v>37.99</v>
      </c>
      <c r="AU168" s="96" t="n">
        <v>31.99</v>
      </c>
      <c r="AV168" s="95" t="inlineStr">
        <is>
          <t>none</t>
        </is>
      </c>
      <c r="AW168" s="95" t="inlineStr">
        <is>
          <t>Y</t>
        </is>
      </c>
      <c r="AX168" s="95" t="inlineStr">
        <is>
          <t>2026-10-14 00:31:18</t>
        </is>
      </c>
      <c r="AY168" s="102" t="n"/>
      <c r="AZ168" s="102" t="n"/>
      <c r="BA168" s="101" t="n"/>
      <c r="BB168" s="101" t="n"/>
      <c r="BC168" s="87">
        <f>IF(AND(ISNUMBER(BA168),ISNUMBER(BB168),N(BA168)&gt;0),1-BB168/BA168,"")</f>
        <v/>
      </c>
      <c r="BD168" s="103" t="n"/>
      <c r="BE168" s="103" t="n"/>
      <c r="BF168" s="100">
        <f>IF(AND(ISNUMBER(BD168),ISNUMBER(BE168),N(BE168)&gt;0),BD168/BE168,"")</f>
        <v/>
      </c>
      <c r="BG168" s="102" t="n"/>
      <c r="BH168" s="97" t="inlineStr">
        <is>
          <t>Amazon.ca organic #3 for 'satin sheets queen'; 100% Polyester Satin; 100+ bought in past month bought past month; variation_count = distinct children exposed in page variation map, not a guaranteed complete catalogue.</t>
        </is>
      </c>
    </row>
    <row r="169" ht="62" customHeight="1">
      <c r="A169" s="10">
        <f>_xlfn.IMAGE("https://m.media-amazon.com/images/I/71C0hMb9zSL.jpg")</f>
        <v/>
      </c>
      <c r="B169" s="84" t="inlineStr">
        <is>
          <t>HENGWEITEXT</t>
        </is>
      </c>
      <c r="C169" s="32" t="inlineStr">
        <is>
          <t>HENGWEI Satin Sheet Set Queen Size, 4 Pieces Silky Bed Sheets with Deep Pocket, Luxury Soft Bedding Set Breathable and Cooling for Hair and Skin, 1 Flat Sheet, 1 Fitted Sheet, 2 Pillow Case</t>
        </is>
      </c>
      <c r="D169" s="84" t="inlineStr">
        <is>
          <t>Untiered</t>
        </is>
      </c>
      <c r="E169" s="84" t="inlineStr">
        <is>
          <t>B0B1DDMNRF</t>
        </is>
      </c>
      <c r="F169" s="84" t="inlineStr">
        <is>
          <t>B0BYC3HK7X</t>
        </is>
      </c>
      <c r="G169" s="84" t="inlineStr">
        <is>
          <t>Queen</t>
        </is>
      </c>
      <c r="H169" s="84" t="inlineStr">
        <is>
          <t>Sd-brown</t>
        </is>
      </c>
      <c r="I169" s="85" t="n">
        <v>23</v>
      </c>
      <c r="J169" s="32" t="n"/>
      <c r="K169" s="86" t="n">
        <v>31.99</v>
      </c>
      <c r="L169" s="86" t="n"/>
      <c r="M169" s="87">
        <f>IF(AND(ISNUMBER(L169),ISNUMBER(K169),N(K169)&gt;0),L169/K169-1,"")</f>
        <v/>
      </c>
      <c r="N169" s="88">
        <f>IF(M169="","No List Price",IF(M169&lt;=0,"At/below price",IF(M169&lt;=0.12,"&lt;=12% STR zone",IF(M169&lt;=0.25,"12-25%","&gt;25% over"))))</f>
        <v/>
      </c>
      <c r="O169" s="86" t="n">
        <v>46.82057894736842</v>
      </c>
      <c r="P169" s="89">
        <f>IF(AND(ISNUMBER(K169),ISNUMBER(O169),N(O169)&gt;0),K169/O169-1,"")</f>
        <v/>
      </c>
      <c r="Q169" s="32" t="inlineStr">
        <is>
          <t>Same size (Queen), CAD. Ours: Command Center fee feed, Mar 2026 - STALE</t>
        </is>
      </c>
      <c r="R169" s="85" t="n">
        <v>31358</v>
      </c>
      <c r="S169" s="85" t="n"/>
      <c r="T169" s="90">
        <f>IF(AND(ISNUMBER(K169),ISNUMBER(S169)),K169*S169*52/12,"")</f>
        <v/>
      </c>
      <c r="U169" s="91" t="n">
        <v>4.2</v>
      </c>
      <c r="V169" s="85" t="n">
        <v>2515</v>
      </c>
      <c r="W169" s="92" t="n">
        <v>46309</v>
      </c>
      <c r="X169" s="92" t="n"/>
      <c r="Y169" s="84" t="n"/>
      <c r="Z169" s="84" t="n"/>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N</t>
        </is>
      </c>
      <c r="AS169" s="95" t="inlineStr">
        <is>
          <t>none</t>
        </is>
      </c>
      <c r="AT169" s="101" t="n"/>
      <c r="AU169" s="96" t="n">
        <v>31.99</v>
      </c>
      <c r="AV169" s="95" t="inlineStr">
        <is>
          <t>none</t>
        </is>
      </c>
      <c r="AW169" s="95" t="inlineStr">
        <is>
          <t>Y</t>
        </is>
      </c>
      <c r="AX169" s="95" t="inlineStr">
        <is>
          <t>2026-10-14 00:33:00</t>
        </is>
      </c>
      <c r="AY169" s="102" t="n"/>
      <c r="AZ169" s="102" t="n"/>
      <c r="BA169" s="101" t="n"/>
      <c r="BB169" s="101" t="n"/>
      <c r="BC169" s="87">
        <f>IF(AND(ISNUMBER(BA169),ISNUMBER(BB169),N(BA169)&gt;0),1-BB169/BA169,"")</f>
        <v/>
      </c>
      <c r="BD169" s="103" t="n"/>
      <c r="BE169" s="103" t="n"/>
      <c r="BF169" s="100">
        <f>IF(AND(ISNUMBER(BD169),ISNUMBER(BE169),N(BE169)&gt;0),BD169/BE169,"")</f>
        <v/>
      </c>
      <c r="BG169" s="102" t="n"/>
      <c r="BH169" s="97" t="inlineStr">
        <is>
          <t>Amazon.ca organic #5 for 'silk satin sheets'; Satin; Search child B0BYCB7QDF; selected Queen child B0BYC3HK7X. variation_count = distinct children exposed in page variation map, not a guaranteed complete catalogue</t>
        </is>
      </c>
    </row>
    <row r="170" ht="62" customHeight="1">
      <c r="A170" s="10">
        <f>_xlfn.IMAGE("https://m.media-amazon.com/images/I/71r48b+Sh9L.jpg")</f>
        <v/>
      </c>
      <c r="B170" s="84" t="inlineStr">
        <is>
          <t>GOLAL</t>
        </is>
      </c>
      <c r="C170" s="32" t="inlineStr">
        <is>
          <t>Black Satin Sheets Queen Size - 4 Pieces Luxury Silky Soft Bed Sheets</t>
        </is>
      </c>
      <c r="D170" s="84" t="inlineStr">
        <is>
          <t>Untiered</t>
        </is>
      </c>
      <c r="E170" s="84" t="inlineStr">
        <is>
          <t>B09JB7K1PP</t>
        </is>
      </c>
      <c r="F170" s="84" t="inlineStr">
        <is>
          <t>B09G17XZC5</t>
        </is>
      </c>
      <c r="G170" s="84" t="inlineStr">
        <is>
          <t>Queen</t>
        </is>
      </c>
      <c r="H170" s="84" t="inlineStr">
        <is>
          <t>Black</t>
        </is>
      </c>
      <c r="I170" s="85" t="n">
        <v>91</v>
      </c>
      <c r="J170" s="32" t="n"/>
      <c r="K170" s="86" t="n">
        <v>47.99</v>
      </c>
      <c r="L170" s="86" t="n"/>
      <c r="M170" s="87">
        <f>IF(AND(ISNUMBER(L170),ISNUMBER(K170),N(K170)&gt;0),L170/K170-1,"")</f>
        <v/>
      </c>
      <c r="N170" s="88">
        <f>IF(M170="","No List Price",IF(M170&lt;=0,"At/below price",IF(M170&lt;=0.12,"&lt;=12% STR zone",IF(M170&lt;=0.25,"12-25%","&gt;25% over"))))</f>
        <v/>
      </c>
      <c r="O170" s="86" t="n">
        <v>46.82057894736842</v>
      </c>
      <c r="P170" s="89">
        <f>IF(AND(ISNUMBER(K170),ISNUMBER(O170),N(O170)&gt;0),K170/O170-1,"")</f>
        <v/>
      </c>
      <c r="Q170" s="32" t="inlineStr">
        <is>
          <t>Same size (Queen), CAD. Ours: Command Center fee feed, Mar 2026 - STALE</t>
        </is>
      </c>
      <c r="R170" s="85" t="n">
        <v>18076</v>
      </c>
      <c r="S170" s="85" t="n"/>
      <c r="T170" s="90">
        <f>IF(AND(ISNUMBER(K170),ISNUMBER(S170)),K170*S170*52/12,"")</f>
        <v/>
      </c>
      <c r="U170" s="91" t="n">
        <v>4.2</v>
      </c>
      <c r="V170" s="85" t="n">
        <v>1280</v>
      </c>
      <c r="W170" s="92" t="n">
        <v>46309</v>
      </c>
      <c r="X170" s="92" t="n"/>
      <c r="Y170" s="84" t="n"/>
      <c r="Z170" s="84" t="n"/>
      <c r="AA170" s="85" t="n"/>
      <c r="AB170" s="85" t="n"/>
      <c r="AC170" s="93" t="n"/>
      <c r="AD170" s="93" t="n"/>
      <c r="AE170" s="32" t="n"/>
      <c r="AF170" s="93" t="n"/>
      <c r="AG170" s="93" t="n"/>
      <c r="AH170" s="93" t="n"/>
      <c r="AI170" s="93" t="n"/>
      <c r="AJ170" s="85" t="n"/>
      <c r="AK170" s="85" t="n"/>
      <c r="AL170" s="85" t="n"/>
      <c r="AM170" s="85" t="n"/>
      <c r="AN170" s="85" t="n"/>
      <c r="AO170" s="85" t="n"/>
      <c r="AP170" s="94" t="n"/>
      <c r="AQ170" s="89" t="n"/>
      <c r="AR170" s="95" t="inlineStr">
        <is>
          <t>N</t>
        </is>
      </c>
      <c r="AS170" s="95" t="inlineStr">
        <is>
          <t>none</t>
        </is>
      </c>
      <c r="AT170" s="101" t="n"/>
      <c r="AU170" s="96" t="n">
        <v>47.99</v>
      </c>
      <c r="AV170" s="95" t="inlineStr">
        <is>
          <t>none</t>
        </is>
      </c>
      <c r="AW170" s="95" t="inlineStr">
        <is>
          <t>Y</t>
        </is>
      </c>
      <c r="AX170" s="95" t="inlineStr">
        <is>
          <t>2026-10-14 00:40:07</t>
        </is>
      </c>
      <c r="AY170" s="102" t="n"/>
      <c r="AZ170" s="102" t="n"/>
      <c r="BA170" s="101" t="n"/>
      <c r="BB170" s="101" t="n"/>
      <c r="BC170" s="87">
        <f>IF(AND(ISNUMBER(BA170),ISNUMBER(BB170),N(BA170)&gt;0),1-BB170/BA170,"")</f>
        <v/>
      </c>
      <c r="BD170" s="103" t="n"/>
      <c r="BE170" s="103" t="n"/>
      <c r="BF170" s="100">
        <f>IF(AND(ISNUMBER(BD170),ISNUMBER(BE170),N(BE170)&gt;0),BD170/BE170,"")</f>
        <v/>
      </c>
      <c r="BG170" s="102" t="n"/>
      <c r="BH170" s="97" t="inlineStr">
        <is>
          <t>Amazon.ca organic #7 for 'silk satin sheets'; 100% polyester; Exact standard Queen sheet/set option selected; pillowcase-only, short-Queen, multipack and different-piece-count options not substituted. Search child B09G18GF</t>
        </is>
      </c>
    </row>
    <row r="171" ht="62" customHeight="1">
      <c r="A171" s="10">
        <f>_xlfn.IMAGE("https://m.media-amazon.com/images/I/71ujt2CgaQL.jpg")</f>
        <v/>
      </c>
      <c r="B171" s="84" t="inlineStr">
        <is>
          <t>BEDELITE</t>
        </is>
      </c>
      <c r="C171" s="32" t="inlineStr">
        <is>
          <t>BEDELITE Satin Sheets Queen Size Bed Set, Black, 4 Pieces</t>
        </is>
      </c>
      <c r="D171" s="84" t="inlineStr">
        <is>
          <t>Untiered</t>
        </is>
      </c>
      <c r="E171" s="84" t="inlineStr">
        <is>
          <t>B0HHQTDM9B</t>
        </is>
      </c>
      <c r="F171" s="84" t="inlineStr">
        <is>
          <t>B0CSFTRP2X</t>
        </is>
      </c>
      <c r="G171" s="84" t="inlineStr">
        <is>
          <t>Queen</t>
        </is>
      </c>
      <c r="H171" s="84" t="inlineStr">
        <is>
          <t>Black</t>
        </is>
      </c>
      <c r="I171" s="85" t="n">
        <v>100</v>
      </c>
      <c r="J171" s="32" t="n"/>
      <c r="K171" s="86" t="n">
        <v>44.96</v>
      </c>
      <c r="L171" s="86" t="n"/>
      <c r="M171" s="87">
        <f>IF(AND(ISNUMBER(L171),ISNUMBER(K171),N(K171)&gt;0),L171/K171-1,"")</f>
        <v/>
      </c>
      <c r="N171" s="88">
        <f>IF(M171="","No List Price",IF(M171&lt;=0,"At/below price",IF(M171&lt;=0.12,"&lt;=12% STR zone",IF(M171&lt;=0.25,"12-25%","&gt;25% over"))))</f>
        <v/>
      </c>
      <c r="O171" s="86" t="n">
        <v>46.82057894736842</v>
      </c>
      <c r="P171" s="89">
        <f>IF(AND(ISNUMBER(K171),ISNUMBER(O171),N(O171)&gt;0),K171/O171-1,"")</f>
        <v/>
      </c>
      <c r="Q171" s="32" t="inlineStr">
        <is>
          <t>Same size (Queen), CAD. Ours: Command Center fee feed, Mar 2026 - STALE</t>
        </is>
      </c>
      <c r="R171" s="85" t="n">
        <v>128960</v>
      </c>
      <c r="S171" s="85" t="n"/>
      <c r="T171" s="90">
        <f>IF(AND(ISNUMBER(K171),ISNUMBER(S171)),K171*S171*52/12,"")</f>
        <v/>
      </c>
      <c r="U171" s="91" t="n">
        <v>4.4</v>
      </c>
      <c r="V171" s="85" t="n">
        <v>5584</v>
      </c>
      <c r="W171" s="92" t="n">
        <v>46309</v>
      </c>
      <c r="X171" s="92" t="n"/>
      <c r="Y171" s="84" t="n"/>
      <c r="Z171" s="84" t="n"/>
      <c r="AA171" s="85" t="n"/>
      <c r="AB171" s="85" t="n"/>
      <c r="AC171" s="93" t="n"/>
      <c r="AD171" s="93" t="n"/>
      <c r="AE171" s="32" t="n"/>
      <c r="AF171" s="93" t="n"/>
      <c r="AG171" s="93" t="n"/>
      <c r="AH171" s="93" t="n"/>
      <c r="AI171" s="93" t="n"/>
      <c r="AJ171" s="85" t="n"/>
      <c r="AK171" s="85" t="n"/>
      <c r="AL171" s="85" t="n"/>
      <c r="AM171" s="85" t="n"/>
      <c r="AN171" s="85" t="n"/>
      <c r="AO171" s="85" t="n"/>
      <c r="AP171" s="94" t="n"/>
      <c r="AQ171" s="89" t="n"/>
      <c r="AR171" s="95" t="inlineStr">
        <is>
          <t>N</t>
        </is>
      </c>
      <c r="AS171" s="95" t="inlineStr">
        <is>
          <t>none</t>
        </is>
      </c>
      <c r="AT171" s="101" t="n"/>
      <c r="AU171" s="96" t="n">
        <v>44.96</v>
      </c>
      <c r="AV171" s="95" t="inlineStr">
        <is>
          <t>none</t>
        </is>
      </c>
      <c r="AW171" s="95" t="inlineStr">
        <is>
          <t>Y</t>
        </is>
      </c>
      <c r="AX171" s="95" t="inlineStr">
        <is>
          <t>2026-10-14 00:35:12</t>
        </is>
      </c>
      <c r="AY171" s="97" t="inlineStr">
        <is>
          <t>Price cut only</t>
        </is>
      </c>
      <c r="AZ171" s="97" t="inlineStr">
        <is>
          <t>11-20 to 12-01</t>
        </is>
      </c>
      <c r="BA171" s="98" t="n">
        <v>17.99</v>
      </c>
      <c r="BB171" s="98" t="n">
        <v>17.09</v>
      </c>
      <c r="BC171" s="87">
        <f>IF(AND(ISNUMBER(BA171),ISNUMBER(BB171),N(BA171)&gt;0),1-BB171/BA171,"")</f>
        <v/>
      </c>
      <c r="BD171" s="99" t="n">
        <v>714</v>
      </c>
      <c r="BE171" s="99" t="n">
        <v>473</v>
      </c>
      <c r="BF171" s="100">
        <f>IF(AND(ISNUMBER(BD171),ISNUMBER(BE171),N(BE171)&gt;0),BD171/BE171,"")</f>
        <v/>
      </c>
      <c r="BG171" s="97" t="inlineStr">
        <is>
          <t>N</t>
        </is>
      </c>
      <c r="BH171" s="97" t="inlineStr">
        <is>
          <t>Amazon.ca organic #13 for 'satin sheets queen'; 100% Polyester Satin; variation_count = distinct children exposed in page variation map, not a guaranteed complete catalogue. Bought-past-month badge not displayed.</t>
        </is>
      </c>
    </row>
    <row r="172" ht="62" customHeight="1">
      <c r="A172" s="10">
        <f>_xlfn.IMAGE("https://m.media-amazon.com/images/I/81zLU1W0e8L.jpg")</f>
        <v/>
      </c>
      <c r="B172" s="84" t="inlineStr">
        <is>
          <t>Pure Bedding</t>
        </is>
      </c>
      <c r="C172" s="32" t="inlineStr">
        <is>
          <t>Pure Bedding Satin Sheets Queen [4-Piece, Black] Hotel Luxury Silky Bed Sheets - Extra Soft 1800 Microfiber Sheet Set, Wrinkle, Fade, Deep Pocket Fitted Sheet, Flat Sheet, Pillow Cases</t>
        </is>
      </c>
      <c r="D172" s="84" t="inlineStr">
        <is>
          <t>Untiered</t>
        </is>
      </c>
      <c r="E172" s="84" t="inlineStr">
        <is>
          <t>B07N6326HL</t>
        </is>
      </c>
      <c r="F172" s="84" t="inlineStr">
        <is>
          <t>B083G81VSH</t>
        </is>
      </c>
      <c r="G172" s="84" t="inlineStr">
        <is>
          <t>Queen</t>
        </is>
      </c>
      <c r="H172" s="84" t="inlineStr">
        <is>
          <t>Black</t>
        </is>
      </c>
      <c r="I172" s="85" t="n">
        <v>83</v>
      </c>
      <c r="J172" s="32" t="n"/>
      <c r="K172" s="86" t="n">
        <v>49.91</v>
      </c>
      <c r="L172" s="86" t="n"/>
      <c r="M172" s="87">
        <f>IF(AND(ISNUMBER(L172),ISNUMBER(K172),N(K172)&gt;0),L172/K172-1,"")</f>
        <v/>
      </c>
      <c r="N172" s="88">
        <f>IF(M172="","No List Price",IF(M172&lt;=0,"At/below price",IF(M172&lt;=0.12,"&lt;=12% STR zone",IF(M172&lt;=0.25,"12-25%","&gt;25% over"))))</f>
        <v/>
      </c>
      <c r="O172" s="86" t="n">
        <v>46.82057894736842</v>
      </c>
      <c r="P172" s="89">
        <f>IF(AND(ISNUMBER(K172),ISNUMBER(O172),N(O172)&gt;0),K172/O172-1,"")</f>
        <v/>
      </c>
      <c r="Q172" s="32" t="inlineStr">
        <is>
          <t>Same size (Queen), CAD. Ours: Command Center fee feed, Mar 2026 - STALE</t>
        </is>
      </c>
      <c r="R172" s="85" t="n">
        <v>188067</v>
      </c>
      <c r="S172" s="85" t="n"/>
      <c r="T172" s="90">
        <f>IF(AND(ISNUMBER(K172),ISNUMBER(S172)),K172*S172*52/12,"")</f>
        <v/>
      </c>
      <c r="U172" s="91" t="n">
        <v>4.2</v>
      </c>
      <c r="V172" s="85" t="n">
        <v>12410</v>
      </c>
      <c r="W172" s="92" t="n">
        <v>46309</v>
      </c>
      <c r="X172" s="92" t="n"/>
      <c r="Y172" s="84" t="n"/>
      <c r="Z172" s="84" t="n"/>
      <c r="AA172" s="85" t="n"/>
      <c r="AB172" s="85" t="n"/>
      <c r="AC172" s="93" t="n"/>
      <c r="AD172" s="93" t="n"/>
      <c r="AE172" s="32" t="n"/>
      <c r="AF172" s="93" t="n"/>
      <c r="AG172" s="93" t="n"/>
      <c r="AH172" s="93" t="n"/>
      <c r="AI172" s="93" t="n"/>
      <c r="AJ172" s="85" t="n"/>
      <c r="AK172" s="85" t="n"/>
      <c r="AL172" s="85" t="n"/>
      <c r="AM172" s="85" t="n"/>
      <c r="AN172" s="85" t="n"/>
      <c r="AO172" s="85" t="n"/>
      <c r="AP172" s="94" t="n"/>
      <c r="AQ172" s="89" t="n"/>
      <c r="AR172" s="95" t="inlineStr">
        <is>
          <t>N</t>
        </is>
      </c>
      <c r="AS172" s="95" t="inlineStr">
        <is>
          <t>none</t>
        </is>
      </c>
      <c r="AT172" s="101" t="n"/>
      <c r="AU172" s="96" t="n">
        <v>49.91</v>
      </c>
      <c r="AV172" s="95" t="inlineStr">
        <is>
          <t>none</t>
        </is>
      </c>
      <c r="AW172" s="95" t="inlineStr">
        <is>
          <t>Y</t>
        </is>
      </c>
      <c r="AX172" s="95" t="inlineStr">
        <is>
          <t>2026-10-14 00:35:19</t>
        </is>
      </c>
      <c r="AY172" s="97" t="inlineStr">
        <is>
          <t>Price cut only</t>
        </is>
      </c>
      <c r="AZ172" s="97" t="inlineStr">
        <is>
          <t>11-26 to 12-01</t>
        </is>
      </c>
      <c r="BA172" s="98" t="n">
        <v>18.99</v>
      </c>
      <c r="BB172" s="98" t="n">
        <v>17.54</v>
      </c>
      <c r="BC172" s="87">
        <f>IF(AND(ISNUMBER(BA172),ISNUMBER(BB172),N(BA172)&gt;0),1-BB172/BA172,"")</f>
        <v/>
      </c>
      <c r="BD172" s="99" t="n">
        <v>18619</v>
      </c>
      <c r="BE172" s="99" t="n">
        <v>22404</v>
      </c>
      <c r="BF172" s="100">
        <f>IF(AND(ISNUMBER(BD172),ISNUMBER(BE172),N(BE172)&gt;0),BD172/BE172,"")</f>
        <v/>
      </c>
      <c r="BG172" s="97" t="inlineStr">
        <is>
          <t>N</t>
        </is>
      </c>
      <c r="BH172" s="97" t="inlineStr">
        <is>
          <t>Amazon.ca organic #14 for 'silk satin sheets'; 100% Microfiber; variation_count = distinct children exposed in page variation map, not a guaranteed complete catalogue. Bought-past-month badge not displayed.</t>
        </is>
      </c>
    </row>
    <row r="173" ht="62" customHeight="1">
      <c r="A173" s="10">
        <f>_xlfn.IMAGE("https://m.media-amazon.com/images/I/71tkklWokTL.jpg")</f>
        <v/>
      </c>
      <c r="B173" s="84" t="inlineStr">
        <is>
          <t>LIFCOM</t>
        </is>
      </c>
      <c r="C173" s="32" t="inlineStr">
        <is>
          <t>Satin Sheets Queen Size Bed Set,Similar to Silk Sheets,4Pcs Luxury Satin Sheet Set with 15 Inches Deep Pocket (Queen, Dark Grey)</t>
        </is>
      </c>
      <c r="D173" s="84" t="inlineStr">
        <is>
          <t>Untiered</t>
        </is>
      </c>
      <c r="E173" s="84" t="inlineStr">
        <is>
          <t>B0DJXBHN44</t>
        </is>
      </c>
      <c r="F173" s="84" t="inlineStr">
        <is>
          <t>B0DCC37WB3</t>
        </is>
      </c>
      <c r="G173" s="84" t="inlineStr">
        <is>
          <t>Queen</t>
        </is>
      </c>
      <c r="H173" s="84" t="inlineStr">
        <is>
          <t>Dark Grey</t>
        </is>
      </c>
      <c r="I173" s="85" t="n">
        <v>70</v>
      </c>
      <c r="J173" s="32" t="n"/>
      <c r="K173" s="86" t="n">
        <v>42.74</v>
      </c>
      <c r="L173" s="86" t="n"/>
      <c r="M173" s="87">
        <f>IF(AND(ISNUMBER(L173),ISNUMBER(K173),N(K173)&gt;0),L173/K173-1,"")</f>
        <v/>
      </c>
      <c r="N173" s="88">
        <f>IF(M173="","No List Price",IF(M173&lt;=0,"At/below price",IF(M173&lt;=0.12,"&lt;=12% STR zone",IF(M173&lt;=0.25,"12-25%","&gt;25% over"))))</f>
        <v/>
      </c>
      <c r="O173" s="86" t="n">
        <v>46.82057894736842</v>
      </c>
      <c r="P173" s="89">
        <f>IF(AND(ISNUMBER(K173),ISNUMBER(O173),N(O173)&gt;0),K173/O173-1,"")</f>
        <v/>
      </c>
      <c r="Q173" s="32" t="inlineStr">
        <is>
          <t>Same size (Queen), CAD. Ours: Command Center fee feed, Mar 2026 - STALE</t>
        </is>
      </c>
      <c r="R173" s="85" t="n">
        <v>72861</v>
      </c>
      <c r="S173" s="85" t="n"/>
      <c r="T173" s="90">
        <f>IF(AND(ISNUMBER(K173),ISNUMBER(S173)),K173*S173*52/12,"")</f>
        <v/>
      </c>
      <c r="U173" s="91" t="n">
        <v>4.3</v>
      </c>
      <c r="V173" s="85" t="n">
        <v>351</v>
      </c>
      <c r="W173" s="92" t="n">
        <v>46309</v>
      </c>
      <c r="X173" s="92" t="n"/>
      <c r="Y173" s="84" t="n"/>
      <c r="Z173" s="84" t="n"/>
      <c r="AA173" s="85" t="n"/>
      <c r="AB173" s="85" t="n"/>
      <c r="AC173" s="93" t="n"/>
      <c r="AD173" s="93" t="n"/>
      <c r="AE173" s="32" t="n"/>
      <c r="AF173" s="93" t="n"/>
      <c r="AG173" s="93" t="n"/>
      <c r="AH173" s="93" t="n"/>
      <c r="AI173" s="93" t="n"/>
      <c r="AJ173" s="85" t="n"/>
      <c r="AK173" s="85" t="n"/>
      <c r="AL173" s="85" t="n"/>
      <c r="AM173" s="85" t="n"/>
      <c r="AN173" s="85" t="n"/>
      <c r="AO173" s="85" t="n"/>
      <c r="AP173" s="94" t="n"/>
      <c r="AQ173" s="89" t="n"/>
      <c r="AR173" s="95" t="inlineStr">
        <is>
          <t>Y</t>
        </is>
      </c>
      <c r="AS173" s="95" t="inlineStr">
        <is>
          <t>Was price</t>
        </is>
      </c>
      <c r="AT173" s="96" t="n">
        <v>44.99</v>
      </c>
      <c r="AU173" s="96" t="n">
        <v>42.74</v>
      </c>
      <c r="AV173" s="95" t="inlineStr">
        <is>
          <t>none</t>
        </is>
      </c>
      <c r="AW173" s="95" t="inlineStr">
        <is>
          <t>Y</t>
        </is>
      </c>
      <c r="AX173" s="95" t="inlineStr">
        <is>
          <t>2026-10-14 00:35:27</t>
        </is>
      </c>
      <c r="AY173" s="102" t="n"/>
      <c r="AZ173" s="102" t="n"/>
      <c r="BA173" s="101" t="n"/>
      <c r="BB173" s="101" t="n"/>
      <c r="BC173" s="87">
        <f>IF(AND(ISNUMBER(BA173),ISNUMBER(BB173),N(BA173)&gt;0),1-BB173/BA173,"")</f>
        <v/>
      </c>
      <c r="BD173" s="103" t="n"/>
      <c r="BE173" s="103" t="n"/>
      <c r="BF173" s="100">
        <f>IF(AND(ISNUMBER(BD173),ISNUMBER(BE173),N(BE173)&gt;0),BD173/BE173,"")</f>
        <v/>
      </c>
      <c r="BG173" s="102" t="n"/>
      <c r="BH173" s="97" t="inlineStr">
        <is>
          <t>Amazon.ca organic #15 for 'silk satin sheets'; Satin; Search child B0DCC5T8MG; selected Queen child B0DCC37WB3. variation_count = distinct children exposed in page variation map, not a guaranteed complete catalogue</t>
        </is>
      </c>
    </row>
    <row r="174" ht="62" customHeight="1">
      <c r="A174" s="10">
        <f>_xlfn.IMAGE("https://m.media-amazon.com/images/I/51r1auLPSDL.jpg")</f>
        <v/>
      </c>
      <c r="B174" s="84" t="inlineStr">
        <is>
          <t>Laura Ashley</t>
        </is>
      </c>
      <c r="C174" s="32" t="inlineStr">
        <is>
          <t>Laura Ashley - Queen Sheet Set, 100% Soft &amp; Silky Smooth Satin Bed Sheets, Deep Pockets, Bedding with Matching Fitted Sheet &amp; Pillowcases (Bliss Pink)</t>
        </is>
      </c>
      <c r="D174" s="84" t="inlineStr">
        <is>
          <t>Untiered</t>
        </is>
      </c>
      <c r="E174" s="84" t="inlineStr">
        <is>
          <t>B0G3QQZTY9</t>
        </is>
      </c>
      <c r="F174" s="84" t="inlineStr">
        <is>
          <t>B0G3C5G8FR</t>
        </is>
      </c>
      <c r="G174" s="84" t="inlineStr">
        <is>
          <t>Queen</t>
        </is>
      </c>
      <c r="H174" s="84" t="inlineStr">
        <is>
          <t>Bliss Pink</t>
        </is>
      </c>
      <c r="I174" s="85" t="n">
        <v>8</v>
      </c>
      <c r="J174" s="32" t="n"/>
      <c r="K174" s="86" t="n">
        <v>48.67</v>
      </c>
      <c r="L174" s="86" t="n"/>
      <c r="M174" s="87">
        <f>IF(AND(ISNUMBER(L174),ISNUMBER(K174),N(K174)&gt;0),L174/K174-1,"")</f>
        <v/>
      </c>
      <c r="N174" s="88">
        <f>IF(M174="","No List Price",IF(M174&lt;=0,"At/below price",IF(M174&lt;=0.12,"&lt;=12% STR zone",IF(M174&lt;=0.25,"12-25%","&gt;25% over"))))</f>
        <v/>
      </c>
      <c r="O174" s="86" t="n">
        <v>46.82057894736842</v>
      </c>
      <c r="P174" s="89">
        <f>IF(AND(ISNUMBER(K174),ISNUMBER(O174),N(O174)&gt;0),K174/O174-1,"")</f>
        <v/>
      </c>
      <c r="Q174" s="32" t="inlineStr">
        <is>
          <t>Same size (Queen), CAD. Ours: Command Center fee feed, Mar 2026 - STALE</t>
        </is>
      </c>
      <c r="R174" s="85" t="n">
        <v>329859</v>
      </c>
      <c r="S174" s="85" t="n"/>
      <c r="T174" s="90">
        <f>IF(AND(ISNUMBER(K174),ISNUMBER(S174)),K174*S174*52/12,"")</f>
        <v/>
      </c>
      <c r="U174" s="91" t="n">
        <v>4.3</v>
      </c>
      <c r="V174" s="85" t="n">
        <v>13</v>
      </c>
      <c r="W174" s="92" t="n">
        <v>46309</v>
      </c>
      <c r="X174" s="92" t="n"/>
      <c r="Y174" s="84" t="n"/>
      <c r="Z174" s="84" t="n"/>
      <c r="AA174" s="85" t="n"/>
      <c r="AB174" s="85" t="n"/>
      <c r="AC174" s="93" t="n"/>
      <c r="AD174" s="93" t="n"/>
      <c r="AE174" s="32" t="n"/>
      <c r="AF174" s="93" t="n"/>
      <c r="AG174" s="93" t="n"/>
      <c r="AH174" s="93" t="n"/>
      <c r="AI174" s="93" t="n"/>
      <c r="AJ174" s="85" t="n"/>
      <c r="AK174" s="85" t="n"/>
      <c r="AL174" s="85" t="n"/>
      <c r="AM174" s="85" t="n"/>
      <c r="AN174" s="85" t="n"/>
      <c r="AO174" s="85" t="n"/>
      <c r="AP174" s="94" t="n"/>
      <c r="AQ174" s="89" t="n"/>
      <c r="AR174" s="95" t="inlineStr">
        <is>
          <t>N</t>
        </is>
      </c>
      <c r="AS174" s="95" t="inlineStr">
        <is>
          <t>none</t>
        </is>
      </c>
      <c r="AT174" s="101" t="n"/>
      <c r="AU174" s="96" t="n">
        <v>48.67</v>
      </c>
      <c r="AV174" s="95" t="inlineStr">
        <is>
          <t>none</t>
        </is>
      </c>
      <c r="AW174" s="95" t="inlineStr">
        <is>
          <t>Y</t>
        </is>
      </c>
      <c r="AX174" s="95" t="inlineStr">
        <is>
          <t>2026-10-14 00:35:30</t>
        </is>
      </c>
      <c r="AY174" s="102" t="n"/>
      <c r="AZ174" s="102" t="n"/>
      <c r="BA174" s="101" t="n"/>
      <c r="BB174" s="101" t="n"/>
      <c r="BC174" s="87">
        <f>IF(AND(ISNUMBER(BA174),ISNUMBER(BB174),N(BA174)&gt;0),1-BB174/BA174,"")</f>
        <v/>
      </c>
      <c r="BD174" s="103" t="n"/>
      <c r="BE174" s="103" t="n"/>
      <c r="BF174" s="100">
        <f>IF(AND(ISNUMBER(BD174),ISNUMBER(BE174),N(BE174)&gt;0),BD174/BE174,"")</f>
        <v/>
      </c>
      <c r="BG174" s="102" t="n"/>
      <c r="BH174" s="97" t="inlineStr">
        <is>
          <t>Amazon.ca organic #16 for 'satin sheets queen'; 100% Polyester; variation_count = distinct children exposed in page variation map, not a guaranteed complete catalogue. Bought-past-month badge not displayed.</t>
        </is>
      </c>
    </row>
    <row r="175" ht="62" customHeight="1">
      <c r="A175" s="10">
        <f>_xlfn.IMAGE("https://m.media-amazon.com/images/I/71Ilt8ijNsL.jpg")</f>
        <v/>
      </c>
      <c r="B175" s="84" t="inlineStr">
        <is>
          <t>Lanest Housing</t>
        </is>
      </c>
      <c r="C175" s="32" t="inlineStr">
        <is>
          <t>Lanest Housing Silk Satin Sheets, 4-Piece Queen Size Satin Bed Sheet Set with Deep Pockets, Cooling Soft and Hypoallergenic Satin Sheets Queen - Black</t>
        </is>
      </c>
      <c r="D175" s="84" t="inlineStr">
        <is>
          <t>Untiered</t>
        </is>
      </c>
      <c r="E175" s="84" t="inlineStr">
        <is>
          <t>B07WD4MJHW</t>
        </is>
      </c>
      <c r="F175" s="84" t="inlineStr">
        <is>
          <t>B07VWFV7MB</t>
        </is>
      </c>
      <c r="G175" s="84" t="inlineStr">
        <is>
          <t>Queen</t>
        </is>
      </c>
      <c r="H175" s="84" t="inlineStr">
        <is>
          <t>Black</t>
        </is>
      </c>
      <c r="I175" s="85" t="n">
        <v>146</v>
      </c>
      <c r="J175" s="32" t="n"/>
      <c r="K175" s="86" t="n">
        <v>43.77</v>
      </c>
      <c r="L175" s="86" t="n"/>
      <c r="M175" s="87">
        <f>IF(AND(ISNUMBER(L175),ISNUMBER(K175),N(K175)&gt;0),L175/K175-1,"")</f>
        <v/>
      </c>
      <c r="N175" s="88">
        <f>IF(M175="","No List Price",IF(M175&lt;=0,"At/below price",IF(M175&lt;=0.12,"&lt;=12% STR zone",IF(M175&lt;=0.25,"12-25%","&gt;25% over"))))</f>
        <v/>
      </c>
      <c r="O175" s="86" t="n">
        <v>46.82057894736842</v>
      </c>
      <c r="P175" s="89">
        <f>IF(AND(ISNUMBER(K175),ISNUMBER(O175),N(O175)&gt;0),K175/O175-1,"")</f>
        <v/>
      </c>
      <c r="Q175" s="32" t="inlineStr">
        <is>
          <t>Same size (Queen), CAD. Ours: Command Center fee feed, Mar 2026 - STALE</t>
        </is>
      </c>
      <c r="R175" s="85" t="n">
        <v>153252</v>
      </c>
      <c r="S175" s="85" t="n"/>
      <c r="T175" s="90">
        <f>IF(AND(ISNUMBER(K175),ISNUMBER(S175)),K175*S175*52/12,"")</f>
        <v/>
      </c>
      <c r="U175" s="91" t="n">
        <v>4.2</v>
      </c>
      <c r="V175" s="85" t="n">
        <v>5574</v>
      </c>
      <c r="W175" s="92" t="n">
        <v>46309</v>
      </c>
      <c r="X175" s="92" t="n"/>
      <c r="Y175" s="84" t="n"/>
      <c r="Z175" s="84" t="n"/>
      <c r="AA175" s="85" t="n"/>
      <c r="AB175" s="85" t="n"/>
      <c r="AC175" s="93" t="n"/>
      <c r="AD175" s="93" t="n"/>
      <c r="AE175" s="32" t="n"/>
      <c r="AF175" s="93" t="n"/>
      <c r="AG175" s="93" t="n"/>
      <c r="AH175" s="93" t="n"/>
      <c r="AI175" s="93" t="n"/>
      <c r="AJ175" s="85" t="n"/>
      <c r="AK175" s="85" t="n"/>
      <c r="AL175" s="85" t="n"/>
      <c r="AM175" s="85" t="n"/>
      <c r="AN175" s="85" t="n"/>
      <c r="AO175" s="85" t="n"/>
      <c r="AP175" s="94" t="n"/>
      <c r="AQ175" s="89" t="n"/>
      <c r="AR175" s="95" t="inlineStr">
        <is>
          <t>Y</t>
        </is>
      </c>
      <c r="AS175" s="95" t="inlineStr">
        <is>
          <t>Was price</t>
        </is>
      </c>
      <c r="AT175" s="96" t="n">
        <v>52.02</v>
      </c>
      <c r="AU175" s="96" t="n">
        <v>43.77</v>
      </c>
      <c r="AV175" s="95" t="inlineStr">
        <is>
          <t>none</t>
        </is>
      </c>
      <c r="AW175" s="95" t="inlineStr">
        <is>
          <t>Y</t>
        </is>
      </c>
      <c r="AX175" s="95" t="inlineStr">
        <is>
          <t>2026-10-14 00:36:02</t>
        </is>
      </c>
      <c r="AY175" s="102" t="n"/>
      <c r="AZ175" s="102" t="n"/>
      <c r="BA175" s="101" t="n"/>
      <c r="BB175" s="101" t="n"/>
      <c r="BC175" s="87">
        <f>IF(AND(ISNUMBER(BA175),ISNUMBER(BB175),N(BA175)&gt;0),1-BB175/BA175,"")</f>
        <v/>
      </c>
      <c r="BD175" s="103" t="n"/>
      <c r="BE175" s="103" t="n"/>
      <c r="BF175" s="100">
        <f>IF(AND(ISNUMBER(BD175),ISNUMBER(BE175),N(BE175)&gt;0),BD175/BE175,"")</f>
        <v/>
      </c>
      <c r="BG175" s="102" t="n"/>
      <c r="BH175" s="97" t="inlineStr">
        <is>
          <t>Amazon.ca organic #21 for 'silk satin sheets'; 100% Polyester; variation_count = distinct children exposed in page variation map, not a guaranteed complete catalogue. Bought-past-month badge not displayed.</t>
        </is>
      </c>
    </row>
    <row r="176" ht="62" customHeight="1">
      <c r="A176" s="10">
        <f>_xlfn.IMAGE("https://m.media-amazon.com/images/I/81zLU1W0e8L.jpg")</f>
        <v/>
      </c>
      <c r="B176" s="84" t="inlineStr">
        <is>
          <t>Pure Bedding</t>
        </is>
      </c>
      <c r="C176" s="32" t="inlineStr">
        <is>
          <t>Satin Sheets Queen [4-Piece, Black] Hotel Luxury Silky Bed Sheets - Extra Soft 1800 Microfiber Sheet Set, Wrinkle, Fade, Stain Resistant - Deep Pocket Fitted Sheet, Flat Sheet, Pillow Cases</t>
        </is>
      </c>
      <c r="D176" s="84" t="inlineStr">
        <is>
          <t>Untiered</t>
        </is>
      </c>
      <c r="E176" s="84" t="inlineStr">
        <is>
          <t>B0FMPR6QQ3</t>
        </is>
      </c>
      <c r="F176" s="84" t="inlineStr">
        <is>
          <t>B0FVJG1KD3</t>
        </is>
      </c>
      <c r="G176" s="84" t="inlineStr">
        <is>
          <t>Queen</t>
        </is>
      </c>
      <c r="H176" s="84" t="inlineStr">
        <is>
          <t>Black-01</t>
        </is>
      </c>
      <c r="I176" s="85" t="n">
        <v>1</v>
      </c>
      <c r="J176" s="32" t="n"/>
      <c r="K176" s="86" t="n">
        <v>32.4</v>
      </c>
      <c r="L176" s="86" t="n"/>
      <c r="M176" s="87">
        <f>IF(AND(ISNUMBER(L176),ISNUMBER(K176),N(K176)&gt;0),L176/K176-1,"")</f>
        <v/>
      </c>
      <c r="N176" s="88">
        <f>IF(M176="","No List Price",IF(M176&lt;=0,"At/below price",IF(M176&lt;=0.12,"&lt;=12% STR zone",IF(M176&lt;=0.25,"12-25%","&gt;25% over"))))</f>
        <v/>
      </c>
      <c r="O176" s="86" t="n">
        <v>46.82057894736842</v>
      </c>
      <c r="P176" s="89">
        <f>IF(AND(ISNUMBER(K176),ISNUMBER(O176),N(O176)&gt;0),K176/O176-1,"")</f>
        <v/>
      </c>
      <c r="Q176" s="32" t="inlineStr">
        <is>
          <t>Same size (Queen), CAD. Ours: Command Center fee feed, Mar 2026 - STALE</t>
        </is>
      </c>
      <c r="R176" s="85" t="n">
        <v>887952</v>
      </c>
      <c r="S176" s="85" t="n"/>
      <c r="T176" s="90">
        <f>IF(AND(ISNUMBER(K176),ISNUMBER(S176)),K176*S176*52/12,"")</f>
        <v/>
      </c>
      <c r="U176" s="91" t="n">
        <v>4.2</v>
      </c>
      <c r="V176" s="85" t="n">
        <v>41</v>
      </c>
      <c r="W176" s="92" t="n">
        <v>46309</v>
      </c>
      <c r="X176" s="92" t="n"/>
      <c r="Y176" s="84" t="n"/>
      <c r="Z176" s="84" t="n"/>
      <c r="AA176" s="85" t="n"/>
      <c r="AB176" s="85" t="n"/>
      <c r="AC176" s="93" t="n"/>
      <c r="AD176" s="93" t="n"/>
      <c r="AE176" s="32" t="n"/>
      <c r="AF176" s="93" t="n"/>
      <c r="AG176" s="93" t="n"/>
      <c r="AH176" s="93" t="n"/>
      <c r="AI176" s="93" t="n"/>
      <c r="AJ176" s="85" t="n"/>
      <c r="AK176" s="85" t="n"/>
      <c r="AL176" s="85" t="n"/>
      <c r="AM176" s="85" t="n"/>
      <c r="AN176" s="85" t="n"/>
      <c r="AO176" s="85" t="n"/>
      <c r="AP176" s="94" t="n"/>
      <c r="AQ176" s="89" t="n"/>
      <c r="AR176" s="95" t="inlineStr">
        <is>
          <t>N</t>
        </is>
      </c>
      <c r="AS176" s="95" t="inlineStr">
        <is>
          <t>none</t>
        </is>
      </c>
      <c r="AT176" s="101" t="n"/>
      <c r="AU176" s="96" t="n">
        <v>32.4</v>
      </c>
      <c r="AV176" s="95" t="inlineStr">
        <is>
          <t>none</t>
        </is>
      </c>
      <c r="AW176" s="95" t="inlineStr">
        <is>
          <t>Y</t>
        </is>
      </c>
      <c r="AX176" s="95" t="inlineStr">
        <is>
          <t>2026-10-14 00:36:14</t>
        </is>
      </c>
      <c r="AY176" s="102" t="n"/>
      <c r="AZ176" s="102" t="n"/>
      <c r="BA176" s="101" t="n"/>
      <c r="BB176" s="101" t="n"/>
      <c r="BC176" s="87">
        <f>IF(AND(ISNUMBER(BA176),ISNUMBER(BB176),N(BA176)&gt;0),1-BB176/BA176,"")</f>
        <v/>
      </c>
      <c r="BD176" s="103" t="n"/>
      <c r="BE176" s="103" t="n"/>
      <c r="BF176" s="100">
        <f>IF(AND(ISNUMBER(BD176),ISNUMBER(BE176),N(BE176)&gt;0),BD176/BE176,"")</f>
        <v/>
      </c>
      <c r="BG176" s="102" t="n"/>
      <c r="BH176" s="97" t="inlineStr">
        <is>
          <t>Amazon.ca organic #22 for 'satin sheets queen'; 100% Microfiber; variation_count = distinct children exposed in page variation map, not a guaranteed complete catalogue. Bought-past-month badge not displayed.</t>
        </is>
      </c>
    </row>
    <row r="177" ht="62" customHeight="1">
      <c r="A177" s="10">
        <f>_xlfn.IMAGE("https://m.media-amazon.com/images/I/81ogMf3izDL.jpg")</f>
        <v/>
      </c>
      <c r="B177" s="84" t="inlineStr">
        <is>
          <t>Lirex</t>
        </is>
      </c>
      <c r="C177" s="32" t="inlineStr">
        <is>
          <t>Lirex Satin Sheets Queen Size Bed Set, 4 Piece Sheet Set with 14" Deep Pocket, Luxury Smooth &amp; Soft Microfiber, Includes 1 Fitted Sheet, 1 Flat Sheet and 2 Pillowcases, Blue Daisy</t>
        </is>
      </c>
      <c r="D177" s="84" t="inlineStr">
        <is>
          <t>Untiered</t>
        </is>
      </c>
      <c r="E177" s="84" t="inlineStr">
        <is>
          <t>B0GWPG1CXG</t>
        </is>
      </c>
      <c r="F177" s="84" t="inlineStr">
        <is>
          <t>B0GWPMHSL9</t>
        </is>
      </c>
      <c r="G177" s="84" t="inlineStr">
        <is>
          <t>Queen</t>
        </is>
      </c>
      <c r="H177" s="84" t="inlineStr">
        <is>
          <t>Blue Daisy</t>
        </is>
      </c>
      <c r="I177" s="85" t="n">
        <v>14</v>
      </c>
      <c r="J177" s="32" t="n"/>
      <c r="K177" s="86" t="n">
        <v>49.99</v>
      </c>
      <c r="L177" s="86" t="n"/>
      <c r="M177" s="87">
        <f>IF(AND(ISNUMBER(L177),ISNUMBER(K177),N(K177)&gt;0),L177/K177-1,"")</f>
        <v/>
      </c>
      <c r="N177" s="88">
        <f>IF(M177="","No List Price",IF(M177&lt;=0,"At/below price",IF(M177&lt;=0.12,"&lt;=12% STR zone",IF(M177&lt;=0.25,"12-25%","&gt;25% over"))))</f>
        <v/>
      </c>
      <c r="O177" s="86" t="n">
        <v>46.82057894736842</v>
      </c>
      <c r="P177" s="89">
        <f>IF(AND(ISNUMBER(K177),ISNUMBER(O177),N(O177)&gt;0),K177/O177-1,"")</f>
        <v/>
      </c>
      <c r="Q177" s="32" t="inlineStr">
        <is>
          <t>Same size (Queen), CAD. Ours: Command Center fee feed, Mar 2026 - STALE</t>
        </is>
      </c>
      <c r="R177" s="85" t="n">
        <v>96864</v>
      </c>
      <c r="S177" s="85" t="n"/>
      <c r="T177" s="90">
        <f>IF(AND(ISNUMBER(K177),ISNUMBER(S177)),K177*S177*52/12,"")</f>
        <v/>
      </c>
      <c r="U177" s="91" t="n">
        <v>4.6</v>
      </c>
      <c r="V177" s="85" t="n">
        <v>4</v>
      </c>
      <c r="W177" s="92" t="n">
        <v>46309</v>
      </c>
      <c r="X177" s="92" t="n"/>
      <c r="Y177" s="84" t="n"/>
      <c r="Z177" s="84" t="n"/>
      <c r="AA177" s="85" t="n"/>
      <c r="AB177" s="85" t="n"/>
      <c r="AC177" s="93" t="n"/>
      <c r="AD177" s="93" t="n"/>
      <c r="AE177" s="32" t="n"/>
      <c r="AF177" s="93" t="n"/>
      <c r="AG177" s="93" t="n"/>
      <c r="AH177" s="93" t="n"/>
      <c r="AI177" s="93" t="n"/>
      <c r="AJ177" s="85" t="n"/>
      <c r="AK177" s="85" t="n"/>
      <c r="AL177" s="85" t="n"/>
      <c r="AM177" s="85" t="n"/>
      <c r="AN177" s="85" t="n"/>
      <c r="AO177" s="85" t="n"/>
      <c r="AP177" s="94" t="n"/>
      <c r="AQ177" s="89" t="n"/>
      <c r="AR177" s="95" t="inlineStr">
        <is>
          <t>N</t>
        </is>
      </c>
      <c r="AS177" s="95" t="inlineStr">
        <is>
          <t>none</t>
        </is>
      </c>
      <c r="AT177" s="101" t="n"/>
      <c r="AU177" s="96" t="n">
        <v>49.99</v>
      </c>
      <c r="AV177" s="95" t="inlineStr">
        <is>
          <t>none</t>
        </is>
      </c>
      <c r="AW177" s="95" t="inlineStr">
        <is>
          <t>Y</t>
        </is>
      </c>
      <c r="AX177" s="95" t="inlineStr">
        <is>
          <t>2026-10-14 00:36:17</t>
        </is>
      </c>
      <c r="AY177" s="102" t="n"/>
      <c r="AZ177" s="102" t="n"/>
      <c r="BA177" s="101" t="n"/>
      <c r="BB177" s="101" t="n"/>
      <c r="BC177" s="87">
        <f>IF(AND(ISNUMBER(BA177),ISNUMBER(BB177),N(BA177)&gt;0),1-BB177/BA177,"")</f>
        <v/>
      </c>
      <c r="BD177" s="103" t="n"/>
      <c r="BE177" s="103" t="n"/>
      <c r="BF177" s="100">
        <f>IF(AND(ISNUMBER(BD177),ISNUMBER(BE177),N(BE177)&gt;0),BD177/BE177,"")</f>
        <v/>
      </c>
      <c r="BG177" s="102" t="n"/>
      <c r="BH177" s="97" t="inlineStr">
        <is>
          <t>Amazon.ca organic #22 for 'satin sheets king'; Polyester; Search child B0GWPTWBQL; selected Queen child B0GWPMHSL9. variation_count = distinct children exposed in page variation map, not a guaranteed complete catalogue</t>
        </is>
      </c>
    </row>
    <row r="178" ht="62" customHeight="1">
      <c r="A178" s="10">
        <f>_xlfn.IMAGE("https://m.media-amazon.com/images/I/61WvjxRfgdL.jpg")</f>
        <v/>
      </c>
      <c r="B178" s="84" t="inlineStr">
        <is>
          <t>Bare Home</t>
        </is>
      </c>
      <c r="C178" s="32" t="inlineStr">
        <is>
          <t>Bare Home Poly Satin Sheet Set Similar to Silk (Queen, Blush)</t>
        </is>
      </c>
      <c r="D178" s="84" t="inlineStr">
        <is>
          <t>Untiered</t>
        </is>
      </c>
      <c r="E178" s="84" t="inlineStr">
        <is>
          <t>B0DJHFP2WL</t>
        </is>
      </c>
      <c r="F178" s="84" t="inlineStr">
        <is>
          <t>B0DJDXH65M</t>
        </is>
      </c>
      <c r="G178" s="84" t="inlineStr">
        <is>
          <t>Queen</t>
        </is>
      </c>
      <c r="H178" s="84" t="inlineStr">
        <is>
          <t>05 - Blush</t>
        </is>
      </c>
      <c r="I178" s="85" t="n">
        <v>37</v>
      </c>
      <c r="J178" s="32" t="n"/>
      <c r="K178" s="86" t="n">
        <v>63.99</v>
      </c>
      <c r="L178" s="86" t="n"/>
      <c r="M178" s="87">
        <f>IF(AND(ISNUMBER(L178),ISNUMBER(K178),N(K178)&gt;0),L178/K178-1,"")</f>
        <v/>
      </c>
      <c r="N178" s="88">
        <f>IF(M178="","No List Price",IF(M178&lt;=0,"At/below price",IF(M178&lt;=0.12,"&lt;=12% STR zone",IF(M178&lt;=0.25,"12-25%","&gt;25% over"))))</f>
        <v/>
      </c>
      <c r="O178" s="86" t="n">
        <v>46.82057894736842</v>
      </c>
      <c r="P178" s="89">
        <f>IF(AND(ISNUMBER(K178),ISNUMBER(O178),N(O178)&gt;0),K178/O178-1,"")</f>
        <v/>
      </c>
      <c r="Q178" s="32" t="inlineStr">
        <is>
          <t>Same size (Queen), CAD. Ours: Command Center fee feed, Mar 2026 - STALE</t>
        </is>
      </c>
      <c r="R178" s="85" t="n">
        <v>55879</v>
      </c>
      <c r="S178" s="85" t="n"/>
      <c r="T178" s="90">
        <f>IF(AND(ISNUMBER(K178),ISNUMBER(S178)),K178*S178*52/12,"")</f>
        <v/>
      </c>
      <c r="U178" s="91" t="n">
        <v>3.6</v>
      </c>
      <c r="V178" s="85" t="n">
        <v>114</v>
      </c>
      <c r="W178" s="92" t="n">
        <v>46309</v>
      </c>
      <c r="X178" s="92" t="n"/>
      <c r="Y178" s="84" t="n"/>
      <c r="Z178" s="84" t="n"/>
      <c r="AA178" s="85" t="n"/>
      <c r="AB178" s="85" t="n"/>
      <c r="AC178" s="93" t="n"/>
      <c r="AD178" s="93" t="n"/>
      <c r="AE178" s="32" t="n"/>
      <c r="AF178" s="93" t="n"/>
      <c r="AG178" s="93" t="n"/>
      <c r="AH178" s="93" t="n"/>
      <c r="AI178" s="93" t="n"/>
      <c r="AJ178" s="85" t="n"/>
      <c r="AK178" s="85" t="n"/>
      <c r="AL178" s="85" t="n"/>
      <c r="AM178" s="85" t="n"/>
      <c r="AN178" s="85" t="n"/>
      <c r="AO178" s="85" t="n"/>
      <c r="AP178" s="94" t="n"/>
      <c r="AQ178" s="89" t="n"/>
      <c r="AR178" s="95" t="inlineStr">
        <is>
          <t>Y</t>
        </is>
      </c>
      <c r="AS178" s="95" t="inlineStr">
        <is>
          <t>Was price</t>
        </is>
      </c>
      <c r="AT178" s="96" t="n">
        <v>67.98999999999999</v>
      </c>
      <c r="AU178" s="96" t="n">
        <v>63.99</v>
      </c>
      <c r="AV178" s="95" t="inlineStr">
        <is>
          <t>none</t>
        </is>
      </c>
      <c r="AW178" s="95" t="inlineStr">
        <is>
          <t>Y</t>
        </is>
      </c>
      <c r="AX178" s="95" t="inlineStr">
        <is>
          <t>2026-10-14 00:35:34</t>
        </is>
      </c>
      <c r="AY178" s="102" t="n"/>
      <c r="AZ178" s="102" t="n"/>
      <c r="BA178" s="101" t="n"/>
      <c r="BB178" s="101" t="n"/>
      <c r="BC178" s="87">
        <f>IF(AND(ISNUMBER(BA178),ISNUMBER(BB178),N(BA178)&gt;0),1-BB178/BA178,"")</f>
        <v/>
      </c>
      <c r="BD178" s="103" t="n"/>
      <c r="BE178" s="103" t="n"/>
      <c r="BF178" s="100">
        <f>IF(AND(ISNUMBER(BD178),ISNUMBER(BE178),N(BE178)&gt;0),BD178/BE178,"")</f>
        <v/>
      </c>
      <c r="BG178" s="102" t="n"/>
      <c r="BH178" s="97" t="inlineStr">
        <is>
          <t>Amazon.ca organic #23 for 'satin sheets king'; Poly Satin; variation_count = distinct children exposed in page variation map, not a guaranteed complete catalogue. Bought-past-month badge not displayed.</t>
        </is>
      </c>
    </row>
    <row r="179" ht="62" customHeight="1">
      <c r="A179" s="10">
        <f>_xlfn.IMAGE("https://m.media-amazon.com/images/I/8192od9R6kL.jpg")</f>
        <v/>
      </c>
      <c r="B179" s="84" t="inlineStr">
        <is>
          <t>Martex</t>
        </is>
      </c>
      <c r="C179" s="32" t="inlineStr">
        <is>
          <t>4-Piece Martex Elegance Satin Sheets | Queen Size Bed Sheets | Luxury Hotel Quality Bed Sheets Set | Satin Sheets | Silky Soft &amp; Smooth | Great for Hair &amp; Skin | Leopard Print Sheets | Leopard</t>
        </is>
      </c>
      <c r="D179" s="84" t="inlineStr">
        <is>
          <t>Untiered</t>
        </is>
      </c>
      <c r="E179" s="84" t="inlineStr">
        <is>
          <t>B07XTX3G7J</t>
        </is>
      </c>
      <c r="F179" s="84" t="inlineStr">
        <is>
          <t>B07X5DPMJ9</t>
        </is>
      </c>
      <c r="G179" s="84" t="inlineStr">
        <is>
          <t>Queen</t>
        </is>
      </c>
      <c r="H179" s="84" t="inlineStr">
        <is>
          <t>Brown</t>
        </is>
      </c>
      <c r="I179" s="85" t="n">
        <v>28</v>
      </c>
      <c r="J179" s="32" t="n"/>
      <c r="K179" s="86" t="n">
        <v>46.45</v>
      </c>
      <c r="L179" s="86" t="n"/>
      <c r="M179" s="87">
        <f>IF(AND(ISNUMBER(L179),ISNUMBER(K179),N(K179)&gt;0),L179/K179-1,"")</f>
        <v/>
      </c>
      <c r="N179" s="88">
        <f>IF(M179="","No List Price",IF(M179&lt;=0,"At/below price",IF(M179&lt;=0.12,"&lt;=12% STR zone",IF(M179&lt;=0.25,"12-25%","&gt;25% over"))))</f>
        <v/>
      </c>
      <c r="O179" s="86" t="n">
        <v>46.82057894736842</v>
      </c>
      <c r="P179" s="89">
        <f>IF(AND(ISNUMBER(K179),ISNUMBER(O179),N(O179)&gt;0),K179/O179-1,"")</f>
        <v/>
      </c>
      <c r="Q179" s="32" t="inlineStr">
        <is>
          <t>Same size (Queen), CAD. Ours: Command Center fee feed, Mar 2026 - STALE</t>
        </is>
      </c>
      <c r="R179" s="85" t="n">
        <v>56349</v>
      </c>
      <c r="S179" s="85" t="n"/>
      <c r="T179" s="90">
        <f>IF(AND(ISNUMBER(K179),ISNUMBER(S179)),K179*S179*52/12,"")</f>
        <v/>
      </c>
      <c r="U179" s="91" t="n">
        <v>4.2</v>
      </c>
      <c r="V179" s="85" t="n">
        <v>1078</v>
      </c>
      <c r="W179" s="92" t="n">
        <v>46309</v>
      </c>
      <c r="X179" s="92" t="n"/>
      <c r="Y179" s="84" t="n"/>
      <c r="Z179" s="84" t="n"/>
      <c r="AA179" s="85" t="n"/>
      <c r="AB179" s="85" t="n"/>
      <c r="AC179" s="93" t="n"/>
      <c r="AD179" s="93" t="n"/>
      <c r="AE179" s="32" t="n"/>
      <c r="AF179" s="93" t="n"/>
      <c r="AG179" s="93" t="n"/>
      <c r="AH179" s="93" t="n"/>
      <c r="AI179" s="93" t="n"/>
      <c r="AJ179" s="85" t="n"/>
      <c r="AK179" s="85" t="n"/>
      <c r="AL179" s="85" t="n"/>
      <c r="AM179" s="85" t="n"/>
      <c r="AN179" s="85" t="n"/>
      <c r="AO179" s="85" t="n"/>
      <c r="AP179" s="94" t="n"/>
      <c r="AQ179" s="89" t="n"/>
      <c r="AR179" s="95" t="inlineStr">
        <is>
          <t>N</t>
        </is>
      </c>
      <c r="AS179" s="95" t="inlineStr">
        <is>
          <t>none</t>
        </is>
      </c>
      <c r="AT179" s="101" t="n"/>
      <c r="AU179" s="96" t="n">
        <v>46.45</v>
      </c>
      <c r="AV179" s="95" t="inlineStr">
        <is>
          <t>none</t>
        </is>
      </c>
      <c r="AW179" s="95" t="inlineStr">
        <is>
          <t>Y</t>
        </is>
      </c>
      <c r="AX179" s="95" t="inlineStr">
        <is>
          <t>2026-10-14 00:36:33</t>
        </is>
      </c>
      <c r="AY179" s="102" t="n"/>
      <c r="AZ179" s="102" t="n"/>
      <c r="BA179" s="101" t="n"/>
      <c r="BB179" s="101" t="n"/>
      <c r="BC179" s="87">
        <f>IF(AND(ISNUMBER(BA179),ISNUMBER(BB179),N(BA179)&gt;0),1-BB179/BA179,"")</f>
        <v/>
      </c>
      <c r="BD179" s="103" t="n"/>
      <c r="BE179" s="103" t="n"/>
      <c r="BF179" s="100">
        <f>IF(AND(ISNUMBER(BD179),ISNUMBER(BE179),N(BE179)&gt;0),BD179/BE179,"")</f>
        <v/>
      </c>
      <c r="BG179" s="102" t="n"/>
      <c r="BH179" s="97" t="inlineStr">
        <is>
          <t>Amazon.ca organic #24 for 'satin sheets queen'; 100% Polyester; variation_count = distinct children exposed in page variation map, not a guaranteed complete catalogue. Bought-past-month badge not displayed.</t>
        </is>
      </c>
    </row>
    <row r="180" ht="62" customHeight="1">
      <c r="A180" s="10">
        <f>_xlfn.IMAGE("https://m.media-amazon.com/images/I/71jFV5g+prL.jpg")</f>
        <v/>
      </c>
      <c r="B180" s="84" t="inlineStr">
        <is>
          <t>Beatrice Home Fashions</t>
        </is>
      </c>
      <c r="C180" s="32" t="inlineStr">
        <is>
          <t>Elite Home Products 100% Luxury Satin Polyester Solid Sheet Set, Queen, Leopard</t>
        </is>
      </c>
      <c r="D180" s="84" t="inlineStr">
        <is>
          <t>Untiered</t>
        </is>
      </c>
      <c r="E180" s="84" t="inlineStr">
        <is>
          <t>B077NL4NZK</t>
        </is>
      </c>
      <c r="F180" s="84" t="inlineStr">
        <is>
          <t>B0721C4SD3</t>
        </is>
      </c>
      <c r="G180" s="84" t="inlineStr">
        <is>
          <t>Queen</t>
        </is>
      </c>
      <c r="H180" s="84" t="inlineStr">
        <is>
          <t>Leopard</t>
        </is>
      </c>
      <c r="I180" s="85" t="n">
        <v>9</v>
      </c>
      <c r="J180" s="32" t="n"/>
      <c r="K180" s="86" t="n">
        <v>42.49</v>
      </c>
      <c r="L180" s="86" t="n"/>
      <c r="M180" s="87">
        <f>IF(AND(ISNUMBER(L180),ISNUMBER(K180),N(K180)&gt;0),L180/K180-1,"")</f>
        <v/>
      </c>
      <c r="N180" s="88">
        <f>IF(M180="","No List Price",IF(M180&lt;=0,"At/below price",IF(M180&lt;=0.12,"&lt;=12% STR zone",IF(M180&lt;=0.25,"12-25%","&gt;25% over"))))</f>
        <v/>
      </c>
      <c r="O180" s="86" t="n">
        <v>46.82057894736842</v>
      </c>
      <c r="P180" s="89">
        <f>IF(AND(ISNUMBER(K180),ISNUMBER(O180),N(O180)&gt;0),K180/O180-1,"")</f>
        <v/>
      </c>
      <c r="Q180" s="32" t="inlineStr">
        <is>
          <t>Same size (Queen), CAD. Ours: Command Center fee feed, Mar 2026 - STALE</t>
        </is>
      </c>
      <c r="R180" s="85" t="n">
        <v>387847</v>
      </c>
      <c r="S180" s="85" t="n"/>
      <c r="T180" s="90">
        <f>IF(AND(ISNUMBER(K180),ISNUMBER(S180)),K180*S180*52/12,"")</f>
        <v/>
      </c>
      <c r="U180" s="91" t="n">
        <v>4</v>
      </c>
      <c r="V180" s="85" t="n">
        <v>996</v>
      </c>
      <c r="W180" s="92" t="n">
        <v>46309</v>
      </c>
      <c r="X180" s="92" t="n"/>
      <c r="Y180" s="84" t="n"/>
      <c r="Z180" s="84" t="n"/>
      <c r="AA180" s="85" t="n"/>
      <c r="AB180" s="85" t="n"/>
      <c r="AC180" s="93" t="n"/>
      <c r="AD180" s="93" t="n"/>
      <c r="AE180" s="32" t="n"/>
      <c r="AF180" s="93" t="n"/>
      <c r="AG180" s="93" t="n"/>
      <c r="AH180" s="93" t="n"/>
      <c r="AI180" s="93" t="n"/>
      <c r="AJ180" s="85" t="n"/>
      <c r="AK180" s="85" t="n"/>
      <c r="AL180" s="85" t="n"/>
      <c r="AM180" s="85" t="n"/>
      <c r="AN180" s="85" t="n"/>
      <c r="AO180" s="85" t="n"/>
      <c r="AP180" s="94" t="n"/>
      <c r="AQ180" s="89" t="n"/>
      <c r="AR180" s="95" t="inlineStr">
        <is>
          <t>Y</t>
        </is>
      </c>
      <c r="AS180" s="95" t="inlineStr">
        <is>
          <t>Was price</t>
        </is>
      </c>
      <c r="AT180" s="96" t="n">
        <v>47.95</v>
      </c>
      <c r="AU180" s="96" t="n">
        <v>42.49</v>
      </c>
      <c r="AV180" s="95" t="inlineStr">
        <is>
          <t>none</t>
        </is>
      </c>
      <c r="AW180" s="95" t="inlineStr">
        <is>
          <t>Y</t>
        </is>
      </c>
      <c r="AX180" s="95" t="inlineStr">
        <is>
          <t>2026-10-14 00:36:30</t>
        </is>
      </c>
      <c r="AY180" s="102" t="n"/>
      <c r="AZ180" s="102" t="n"/>
      <c r="BA180" s="101" t="n"/>
      <c r="BB180" s="101" t="n"/>
      <c r="BC180" s="87">
        <f>IF(AND(ISNUMBER(BA180),ISNUMBER(BB180),N(BA180)&gt;0),1-BB180/BA180,"")</f>
        <v/>
      </c>
      <c r="BD180" s="103" t="n"/>
      <c r="BE180" s="103" t="n"/>
      <c r="BF180" s="100">
        <f>IF(AND(ISNUMBER(BD180),ISNUMBER(BE180),N(BE180)&gt;0),BD180/BE180,"")</f>
        <v/>
      </c>
      <c r="BG180" s="102" t="n"/>
      <c r="BH180" s="97" t="inlineStr">
        <is>
          <t>Amazon.ca organic #24 for 'satin sheets king'; 100% Polyester; Search child B072K5TZVP; selected Queen child B0721C4SD3. variation_count = distinct children exposed in page variation map, not a guaranteed complete catalogue</t>
        </is>
      </c>
    </row>
    <row r="182" ht="20" customHeight="1">
      <c r="A182" s="54" t="inlineStr">
        <is>
          <t>5 · WHAT THIS MEANS FOR BFCM</t>
        </is>
      </c>
    </row>
    <row r="183" ht="30" customHeight="1">
      <c r="A183" s="104" t="inlineStr">
        <is>
          <t>•  Price: 10 of 15 rivals sit below our price today (same size where the title states one). Cheapest strong rivals: Sasttie $31.99, BEDELITE $31.99, HENGWEITEXT $31.99, Pure Bedding $32.40. CA prices are CAD; our comparison price is the Command Center's Mar 2026 CAD price (no live Canadian price yet).</t>
        </is>
      </c>
    </row>
    <row r="184" ht="30" customHeight="1">
      <c r="A184" s="104" t="inlineStr">
        <is>
          <t>•  Top organic on Amazon.ca (Oct 13): #1 Sasttie $31.99 (satin sheets queen); #2 MR&amp;HM $40.99 (satin sheets queen); #3 BEDELITE $31.99 (satin sheets queen); #5 HENGWEITEXT $31.99 (silk satin sheets); #7 GOLAL $47.99 (silk satin sheets).</t>
        </is>
      </c>
    </row>
    <row r="185" ht="30" customHeight="1">
      <c r="A185" s="104"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86" ht="18" customHeight="1">
      <c r="A186" s="104" t="inlineStr">
        <is>
          <t>•  Our BFCM 2025: 3.27x daily sales in BFCM week vs the 30 days before; TACoS 10.1% vs 14.7% before; December 2.06x.</t>
        </is>
      </c>
    </row>
  </sheetData>
  <autoFilter ref="B165:BH180"/>
  <mergeCells count="67">
    <mergeCell ref="A15:BH15"/>
    <mergeCell ref="A186:BH186"/>
    <mergeCell ref="A157:BH157"/>
    <mergeCell ref="AR164:AX164"/>
    <mergeCell ref="A182:BH182"/>
    <mergeCell ref="L5:Q5"/>
    <mergeCell ref="A149:C149"/>
    <mergeCell ref="A1:BH1"/>
    <mergeCell ref="Q11:T11"/>
    <mergeCell ref="A154:C154"/>
    <mergeCell ref="L8:Q8"/>
    <mergeCell ref="A146:BH146"/>
    <mergeCell ref="L4:Q4"/>
    <mergeCell ref="D7:I7"/>
    <mergeCell ref="A13:D13"/>
    <mergeCell ref="A162:BH162"/>
    <mergeCell ref="I13:L13"/>
    <mergeCell ref="A16:BH16"/>
    <mergeCell ref="A183:BH183"/>
    <mergeCell ref="D4:I4"/>
    <mergeCell ref="L10:Q10"/>
    <mergeCell ref="E12:H12"/>
    <mergeCell ref="Q13:T13"/>
    <mergeCell ref="D9:I9"/>
    <mergeCell ref="A150:C150"/>
    <mergeCell ref="U12:X12"/>
    <mergeCell ref="L9:Q9"/>
    <mergeCell ref="Q12:T12"/>
    <mergeCell ref="A158:BH158"/>
    <mergeCell ref="A11:D11"/>
    <mergeCell ref="A164:H164"/>
    <mergeCell ref="AY164:BH164"/>
    <mergeCell ref="I11:L11"/>
    <mergeCell ref="A163:BH163"/>
    <mergeCell ref="A3:BH3"/>
    <mergeCell ref="L6:Q6"/>
    <mergeCell ref="D8:I8"/>
    <mergeCell ref="A4:B9"/>
    <mergeCell ref="A147:C147"/>
    <mergeCell ref="T6:Y6"/>
    <mergeCell ref="K164:W164"/>
    <mergeCell ref="A152:C152"/>
    <mergeCell ref="A155:C155"/>
    <mergeCell ref="D5:I5"/>
    <mergeCell ref="X164:Z164"/>
    <mergeCell ref="A185:BH185"/>
    <mergeCell ref="M11:P11"/>
    <mergeCell ref="U11:X11"/>
    <mergeCell ref="A159:BH159"/>
    <mergeCell ref="A148:C148"/>
    <mergeCell ref="E13:H13"/>
    <mergeCell ref="A184:BH184"/>
    <mergeCell ref="D10:I10"/>
    <mergeCell ref="L7:Q7"/>
    <mergeCell ref="T5:Y5"/>
    <mergeCell ref="A156:BH156"/>
    <mergeCell ref="AA164:AQ164"/>
    <mergeCell ref="A12:D12"/>
    <mergeCell ref="M13:P13"/>
    <mergeCell ref="A161:BH161"/>
    <mergeCell ref="I12:L12"/>
    <mergeCell ref="U13:X13"/>
    <mergeCell ref="M12:P12"/>
    <mergeCell ref="A153:C153"/>
    <mergeCell ref="T4:Y4"/>
    <mergeCell ref="D6:I6"/>
    <mergeCell ref="E11:H11"/>
  </mergeCells>
  <conditionalFormatting sqref="N166:N180">
    <cfRule type="expression" priority="1" dxfId="1">
      <formula>N166="&lt;=12% STR zone"</formula>
    </cfRule>
  </conditionalFormatting>
  <conditionalFormatting sqref="W166:W180">
    <cfRule type="expression" priority="2" dxfId="0">
      <formula>AND(ISNUMBER(W166),W166&lt;DATE(2026,10,6))</formula>
    </cfRule>
  </conditionalFormatting>
  <conditionalFormatting sqref="Q166:Q180">
    <cfRule type="expression" priority="3" dxfId="0">
      <formula>ISNUMBER(SEARCH("STALE",Q166))</formula>
    </cfRule>
  </conditionalFormatting>
  <conditionalFormatting sqref="P166:P180">
    <cfRule type="expression" priority="4" dxfId="0">
      <formula>AND(ISNUMBER(P166),P166&lt;0)</formula>
    </cfRule>
  </conditionalFormatting>
  <dataValidations count="3">
    <dataValidation sqref="AR166:AR180 BG166:BG180" showDropDown="0" showInputMessage="0" showErrorMessage="0" allowBlank="1" type="list">
      <formula1>"Y,N"</formula1>
    </dataValidation>
    <dataValidation sqref="AS166:AS180" showDropDown="0" showInputMessage="0" showErrorMessage="0" allowBlank="1" type="list">
      <formula1>"List Price,Typical price,Was price,None"</formula1>
    </dataValidation>
    <dataValidation sqref="AY166:AY18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BH194"/>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Sheets King Size | Softer Than Silk | Luxury 6 Pc Bed Set</t>
        </is>
      </c>
      <c r="K4" s="11" t="inlineStr">
        <is>
          <t>Sizes</t>
        </is>
      </c>
      <c r="L4" s="55" t="inlineStr">
        <is>
          <t>Full, King, Queen, Twin</t>
        </is>
      </c>
      <c r="S4" s="11" t="inlineStr">
        <is>
          <t>Break-even ACoS</t>
        </is>
      </c>
      <c r="T4" s="55" t="inlineStr">
        <is>
          <t>27%</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486</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B0D9QQWYP4 (one of our child ASINs, not the Amazon parent)</t>
        </is>
      </c>
    </row>
    <row r="7" ht="22" customHeight="1">
      <c r="C7" s="11" t="inlineStr">
        <is>
          <t>Parent ASIN (Amazon)</t>
        </is>
      </c>
      <c r="D7" s="55" t="inlineStr">
        <is>
          <t>B0HDTF4MN2</t>
        </is>
      </c>
      <c r="K7" s="11" t="inlineStr">
        <is>
          <t>Rating / reviews now</t>
        </is>
      </c>
      <c r="L7" s="55" t="inlineStr">
        <is>
          <t>4.4 / 1,628 (Helium 10 Xray, 2026-10-13)</t>
        </is>
      </c>
    </row>
    <row r="8" ht="22" customHeight="1">
      <c r="C8" s="11" t="inlineStr">
        <is>
          <t>Best-selling child ASIN</t>
        </is>
      </c>
      <c r="D8" s="55" t="inlineStr">
        <is>
          <t>B0C7FXXS6R</t>
        </is>
      </c>
      <c r="K8" s="11" t="inlineStr">
        <is>
          <t>Live prices held</t>
        </is>
      </c>
      <c r="L8" s="55" t="inlineStr">
        <is>
          <t>116 of 119 variations</t>
        </is>
      </c>
    </row>
    <row r="9" ht="22" customHeight="1">
      <c r="C9" s="11" t="inlineStr">
        <is>
          <t>Stage</t>
        </is>
      </c>
      <c r="D9" s="55" t="inlineStr">
        <is>
          <t>Maintenance</t>
        </is>
      </c>
      <c r="K9" s="11" t="inlineStr">
        <is>
          <t>Blended price (Command Center)</t>
        </is>
      </c>
      <c r="L9" s="55" t="inlineStr">
        <is>
          <t>$32.90 - fee feed as of 2026-03-30, STALE</t>
        </is>
      </c>
    </row>
    <row r="10">
      <c r="C10" s="11" t="inlineStr">
        <is>
          <t>Total variations (SKUs)</t>
        </is>
      </c>
      <c r="D10" s="55" t="n">
        <v>118</v>
      </c>
      <c r="K10" s="11" t="inlineStr">
        <is>
          <t>Contribution / unit</t>
        </is>
      </c>
      <c r="L10" s="55" t="inlineStr">
        <is>
          <t>$9.00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3.08x</t>
        </is>
      </c>
      <c r="E12" s="57" t="inlineStr">
        <is>
          <t>14.8%</t>
        </is>
      </c>
      <c r="I12" s="57" t="inlineStr">
        <is>
          <t>2.54x</t>
        </is>
      </c>
      <c r="M12" s="57" t="inlineStr">
        <is>
          <t>26</t>
        </is>
      </c>
      <c r="Q12" s="57" t="inlineStr">
        <is>
          <t>26</t>
        </is>
      </c>
      <c r="U12" s="57" t="inlineStr">
        <is>
          <t>0</t>
        </is>
      </c>
    </row>
    <row r="13">
      <c r="A13" s="58" t="inlineStr">
        <is>
          <t>daily sales, BFCM wk vs 30 days before (SellerBoard actual)</t>
        </is>
      </c>
      <c r="E13" s="58" t="inlineStr">
        <is>
          <t>vs 19.9%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(119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B0C7FXXS6R</t>
        </is>
      </c>
      <c r="C18" s="32" t="inlineStr">
        <is>
          <t>SATIN-KING-BLACK-6-PCS</t>
        </is>
      </c>
      <c r="D18" s="32" t="inlineStr">
        <is>
          <t>DECOLURE Satin Sheets King Size | Softer Than Silk | Luxury 6 Pc Bed Set</t>
        </is>
      </c>
      <c r="E18" s="32" t="inlineStr">
        <is>
          <t>King</t>
        </is>
      </c>
      <c r="F18" s="32" t="inlineStr">
        <is>
          <t>Black</t>
        </is>
      </c>
      <c r="G18" s="60" t="n">
        <v>33.95</v>
      </c>
      <c r="H18" s="32" t="inlineStr">
        <is>
          <t>Helium 10 Xray, 2026-10-13</t>
        </is>
      </c>
      <c r="I18" s="61" t="n">
        <v>33.95</v>
      </c>
      <c r="J18" s="62" t="inlineStr">
        <is>
          <t>2026-03-30</t>
        </is>
      </c>
      <c r="K18" s="33" t="n">
        <v>8.810000000000002</v>
      </c>
      <c r="L18" s="63" t="n">
        <v>0.259499263622975</v>
      </c>
      <c r="M18" s="64" t="n">
        <v>59</v>
      </c>
      <c r="N18" s="32" t="inlineStr">
        <is>
          <t>Active</t>
        </is>
      </c>
      <c r="O18" s="32" t="inlineStr">
        <is>
          <t>Yes (29%)</t>
        </is>
      </c>
      <c r="P18" s="65" t="n">
        <v>4.4</v>
      </c>
      <c r="Q18" s="64" t="n">
        <v>1628</v>
      </c>
      <c r="R18" s="64" t="n">
        <v>52125</v>
      </c>
      <c r="S18" s="64" t="n">
        <v>78</v>
      </c>
      <c r="T18" s="32" t="n"/>
    </row>
    <row r="19" ht="62" customHeight="1">
      <c r="A19" s="10">
        <f>_xlfn.IMAGE("https://m.media-amazon.com/images/I/81C4Dr0ylML.jpg")</f>
        <v/>
      </c>
      <c r="B19" s="32" t="inlineStr">
        <is>
          <t>B0C7FX1GFS</t>
        </is>
      </c>
      <c r="C19" s="32" t="inlineStr">
        <is>
          <t>SATIN-QUEEN-BLACK-6-PCS</t>
        </is>
      </c>
      <c r="D19" s="32" t="inlineStr">
        <is>
          <t>DECOLURE Satin Sheets Queen Size | Softer Than Silk | Luxury 6 Pc Bed Set</t>
        </is>
      </c>
      <c r="E19" s="32" t="inlineStr">
        <is>
          <t>Queen</t>
        </is>
      </c>
      <c r="F19" s="32" t="inlineStr">
        <is>
          <t>Black</t>
        </is>
      </c>
      <c r="G19" s="60" t="n">
        <v>29.95</v>
      </c>
      <c r="H19" s="32" t="inlineStr">
        <is>
          <t>Helium 10 Xray, 2026-10-13</t>
        </is>
      </c>
      <c r="I19" s="61" t="n">
        <v>29.95</v>
      </c>
      <c r="J19" s="62" t="inlineStr">
        <is>
          <t>2026-03-30</t>
        </is>
      </c>
      <c r="K19" s="33" t="n">
        <v>6.390000000000001</v>
      </c>
      <c r="L19" s="63" t="n">
        <v>0.2133555926544241</v>
      </c>
      <c r="M19" s="64" t="n">
        <v>39</v>
      </c>
      <c r="N19" s="32" t="inlineStr">
        <is>
          <t>Active</t>
        </is>
      </c>
      <c r="O19" s="32" t="inlineStr">
        <is>
          <t>Yes (38%)</t>
        </is>
      </c>
      <c r="P19" s="65" t="n">
        <v>4.4</v>
      </c>
      <c r="Q19" s="64" t="n">
        <v>1628</v>
      </c>
      <c r="R19" s="64" t="n">
        <v>52125</v>
      </c>
      <c r="S19" s="64" t="n">
        <v>165</v>
      </c>
      <c r="T19" s="32" t="n"/>
    </row>
    <row r="20" ht="62" customHeight="1">
      <c r="A20" s="10">
        <f>_xlfn.IMAGE("https://m.media-amazon.com/images/I/81osNI447+L.jpg")</f>
        <v/>
      </c>
      <c r="B20" s="32" t="inlineStr">
        <is>
          <t>B0C7FMCXBV</t>
        </is>
      </c>
      <c r="C20" s="32" t="inlineStr">
        <is>
          <t>SATIN-ROSEWOOD-QUEEN-6PCS</t>
        </is>
      </c>
      <c r="D20" s="32" t="inlineStr">
        <is>
          <t>DECOLURE Satin Sheets Queen Size | Softer Than Silk | Luxury 6 Pc Bed Set</t>
        </is>
      </c>
      <c r="E20" s="32" t="inlineStr">
        <is>
          <t>Queen</t>
        </is>
      </c>
      <c r="F20" s="32" t="inlineStr">
        <is>
          <t>Rosewood</t>
        </is>
      </c>
      <c r="G20" s="60" t="n">
        <v>31.95</v>
      </c>
      <c r="H20" s="32" t="inlineStr">
        <is>
          <t>Helium 10 Xray, 2026-10-13</t>
        </is>
      </c>
      <c r="I20" s="61" t="n">
        <v>31.95</v>
      </c>
      <c r="J20" s="62" t="inlineStr">
        <is>
          <t>2026-03-30</t>
        </is>
      </c>
      <c r="K20" s="33" t="n">
        <v>8.780000000000001</v>
      </c>
      <c r="L20" s="63" t="n">
        <v>0.2748043818466354</v>
      </c>
      <c r="M20" s="64" t="n">
        <v>24</v>
      </c>
      <c r="N20" s="32" t="inlineStr">
        <is>
          <t>Active</t>
        </is>
      </c>
      <c r="O20" s="32" t="inlineStr">
        <is>
          <t>Yes (6%)</t>
        </is>
      </c>
      <c r="P20" s="65" t="n">
        <v>4.4</v>
      </c>
      <c r="Q20" s="64" t="n">
        <v>1628</v>
      </c>
      <c r="R20" s="64" t="n">
        <v>52121</v>
      </c>
      <c r="S20" s="64" t="n">
        <v>11</v>
      </c>
      <c r="T20" s="32" t="n"/>
    </row>
    <row r="21" ht="62" customHeight="1">
      <c r="A21" s="10">
        <f>_xlfn.IMAGE("https://m.media-amazon.com/images/I/81u38yfz4ML.jpg")</f>
        <v/>
      </c>
      <c r="B21" s="32" t="inlineStr">
        <is>
          <t>B0C7FMYDFC</t>
        </is>
      </c>
      <c r="C21" s="32" t="inlineStr">
        <is>
          <t>SATIN-GOLD-KING-6PCS</t>
        </is>
      </c>
      <c r="D21" s="32" t="inlineStr">
        <is>
          <t>DECOLURE Satin Sheets King Size | Softer Than Silk | Luxury 6 Pc Bed Set</t>
        </is>
      </c>
      <c r="E21" s="32" t="inlineStr">
        <is>
          <t>King</t>
        </is>
      </c>
      <c r="F21" s="32" t="inlineStr">
        <is>
          <t>Gold</t>
        </is>
      </c>
      <c r="G21" s="60" t="n">
        <v>33.95</v>
      </c>
      <c r="H21" s="32" t="inlineStr">
        <is>
          <t>Helium 10 Xray, 2026-10-13</t>
        </is>
      </c>
      <c r="I21" s="61" t="n">
        <v>33.95</v>
      </c>
      <c r="J21" s="62" t="inlineStr">
        <is>
          <t>2026-03-30</t>
        </is>
      </c>
      <c r="K21" s="33" t="n">
        <v>8.590000000000002</v>
      </c>
      <c r="L21" s="63" t="n">
        <v>0.253019145802651</v>
      </c>
      <c r="M21" s="64" t="n">
        <v>20</v>
      </c>
      <c r="N21" s="32" t="inlineStr">
        <is>
          <t>Active</t>
        </is>
      </c>
      <c r="O21" s="32" t="n"/>
      <c r="P21" s="65" t="n">
        <v>4.4</v>
      </c>
      <c r="Q21" s="64" t="n">
        <v>1628</v>
      </c>
      <c r="R21" s="64" t="n">
        <v>52125</v>
      </c>
      <c r="S21" s="64" t="n">
        <v>2</v>
      </c>
      <c r="T21" s="32" t="n"/>
    </row>
    <row r="22" ht="62" customHeight="1">
      <c r="A22" s="10">
        <f>_xlfn.IMAGE("https://m.media-amazon.com/images/I/81C4Dr0ylML.jpg")</f>
        <v/>
      </c>
      <c r="B22" s="32" t="inlineStr">
        <is>
          <t>B0C7FMM2QN</t>
        </is>
      </c>
      <c r="C22" s="32" t="inlineStr">
        <is>
          <t>SATIN-FULL-BLACK-6PCS</t>
        </is>
      </c>
      <c r="D22" s="32" t="inlineStr">
        <is>
          <t>DECOLURE Satin Bed Sheets - 6 Piece Luxury Silky Full Size Bedding Set - Softer Than Silk, Wrinkle-Free with 15” Deep Pocket Fitted Sheet, Perfect for Hair &amp; Skin, Gifts for Women (Black)</t>
        </is>
      </c>
      <c r="E22" s="32" t="inlineStr">
        <is>
          <t>Full</t>
        </is>
      </c>
      <c r="F22" s="32" t="inlineStr">
        <is>
          <t>Black</t>
        </is>
      </c>
      <c r="G22" s="60" t="n">
        <v>29.95</v>
      </c>
      <c r="H22" s="32" t="inlineStr">
        <is>
          <t>Helium 10 Xray, 2026-10-13</t>
        </is>
      </c>
      <c r="I22" s="61" t="n">
        <v>29.95</v>
      </c>
      <c r="J22" s="62" t="inlineStr">
        <is>
          <t>2026-03-30</t>
        </is>
      </c>
      <c r="K22" s="33" t="n">
        <v>7.74</v>
      </c>
      <c r="L22" s="63" t="n">
        <v>0.2584307178631052</v>
      </c>
      <c r="M22" s="64" t="n">
        <v>15</v>
      </c>
      <c r="N22" s="32" t="inlineStr">
        <is>
          <t>Active</t>
        </is>
      </c>
      <c r="O22" s="32" t="inlineStr">
        <is>
          <t>Yes (6%)</t>
        </is>
      </c>
      <c r="P22" s="65" t="n">
        <v>4.4</v>
      </c>
      <c r="Q22" s="64" t="n">
        <v>1628</v>
      </c>
      <c r="R22" s="64" t="n">
        <v>52125</v>
      </c>
      <c r="S22" s="64" t="n">
        <v>5</v>
      </c>
      <c r="T22" s="32" t="n"/>
    </row>
    <row r="23" ht="62" customHeight="1">
      <c r="A23" s="10">
        <f>_xlfn.IMAGE("https://m.media-amazon.com/images/I/81uzoBSAZyL.jpg")</f>
        <v/>
      </c>
      <c r="B23" s="32" t="inlineStr">
        <is>
          <t>B0C7FJLP2F</t>
        </is>
      </c>
      <c r="C23" s="32" t="inlineStr">
        <is>
          <t>SATIN-RED-QUEEN-6PCS</t>
        </is>
      </c>
      <c r="D23" s="32" t="inlineStr">
        <is>
          <t>DECOLURE Satin Bed Sheets - 6 Piece Luxury Silky Queen Size Bedding Set - Softer Than Silk, Wrinkle-Free with 15” Deep Pocket Fitted Sheet, Perfect for Hair &amp; Skin, Gifts for Women (Red)</t>
        </is>
      </c>
      <c r="E23" s="32" t="inlineStr">
        <is>
          <t>Queen</t>
        </is>
      </c>
      <c r="F23" s="32" t="inlineStr">
        <is>
          <t>Red</t>
        </is>
      </c>
      <c r="G23" s="60" t="n">
        <v>31.95</v>
      </c>
      <c r="H23" s="32" t="inlineStr">
        <is>
          <t>Helium 10 Xray, 2026-10-13</t>
        </is>
      </c>
      <c r="I23" s="61" t="n">
        <v>31.95</v>
      </c>
      <c r="J23" s="62" t="inlineStr">
        <is>
          <t>2026-03-30</t>
        </is>
      </c>
      <c r="K23" s="33" t="n">
        <v>8.880000000000001</v>
      </c>
      <c r="L23" s="63" t="n">
        <v>0.2779342723004695</v>
      </c>
      <c r="M23" s="64" t="n">
        <v>14</v>
      </c>
      <c r="N23" s="32" t="inlineStr">
        <is>
          <t>Active</t>
        </is>
      </c>
      <c r="O23" s="32" t="n"/>
      <c r="P23" s="65" t="n">
        <v>4.4</v>
      </c>
      <c r="Q23" s="64" t="n">
        <v>1628</v>
      </c>
      <c r="R23" s="64" t="n">
        <v>52121</v>
      </c>
      <c r="S23" s="64" t="n">
        <v>3</v>
      </c>
      <c r="T23" s="32" t="n"/>
    </row>
    <row r="24" ht="62" customHeight="1">
      <c r="A24" s="10">
        <f>_xlfn.IMAGE("https://m.media-amazon.com/images/I/81u38yfz4ML.jpg")</f>
        <v/>
      </c>
      <c r="B24" s="32" t="inlineStr">
        <is>
          <t>B0C7FPM5CR</t>
        </is>
      </c>
      <c r="C24" s="32" t="inlineStr">
        <is>
          <t>SATIN-GOLD-QUEEN-6PCS</t>
        </is>
      </c>
      <c r="D24" s="32" t="inlineStr">
        <is>
          <t>DECOLURE Satin Sheets Queen Size | Softer Than Silk | Luxury 6 Pc Bed Set</t>
        </is>
      </c>
      <c r="E24" s="32" t="inlineStr">
        <is>
          <t>Queen</t>
        </is>
      </c>
      <c r="F24" s="32" t="inlineStr">
        <is>
          <t>Gold</t>
        </is>
      </c>
      <c r="G24" s="60" t="n">
        <v>31.95</v>
      </c>
      <c r="H24" s="32" t="inlineStr">
        <is>
          <t>Helium 10 Xray, 2026-10-13</t>
        </is>
      </c>
      <c r="I24" s="61" t="n">
        <v>31.95</v>
      </c>
      <c r="J24" s="62" t="inlineStr">
        <is>
          <t>2026-03-30</t>
        </is>
      </c>
      <c r="K24" s="33" t="n">
        <v>8.379999999999999</v>
      </c>
      <c r="L24" s="63" t="n">
        <v>0.2622848200312989</v>
      </c>
      <c r="M24" s="64" t="n">
        <v>11</v>
      </c>
      <c r="N24" s="32" t="inlineStr">
        <is>
          <t>Active</t>
        </is>
      </c>
      <c r="O24" s="32" t="n"/>
      <c r="P24" s="65" t="n">
        <v>4.4</v>
      </c>
      <c r="Q24" s="64" t="n">
        <v>1628</v>
      </c>
      <c r="R24" s="64" t="n">
        <v>52121</v>
      </c>
      <c r="S24" s="64" t="n">
        <v>3</v>
      </c>
      <c r="T24" s="32" t="n"/>
    </row>
    <row r="25" ht="62" customHeight="1">
      <c r="A25" s="10">
        <f>_xlfn.IMAGE("https://m.media-amazon.com/images/I/81NXdWsawHL.jpg")</f>
        <v/>
      </c>
      <c r="B25" s="32" t="inlineStr">
        <is>
          <t>B0C7FKZ4VG</t>
        </is>
      </c>
      <c r="C25" s="32" t="inlineStr">
        <is>
          <t>SATIN-CHAMPAGNE-KING-6PCS</t>
        </is>
      </c>
      <c r="D25" s="32" t="inlineStr">
        <is>
          <t>DECOLURE Satin Sheets King Size | Softer Than Silk | Luxury 6 Pc Bed Set</t>
        </is>
      </c>
      <c r="E25" s="32" t="inlineStr">
        <is>
          <t>King</t>
        </is>
      </c>
      <c r="F25" s="32" t="inlineStr">
        <is>
          <t>Champagne</t>
        </is>
      </c>
      <c r="G25" s="60" t="n">
        <v>33.95</v>
      </c>
      <c r="H25" s="32" t="inlineStr">
        <is>
          <t>Helium 10 Xray, 2026-10-13</t>
        </is>
      </c>
      <c r="I25" s="61" t="n">
        <v>33.95</v>
      </c>
      <c r="J25" s="62" t="inlineStr">
        <is>
          <t>2026-03-30</t>
        </is>
      </c>
      <c r="K25" s="33" t="n">
        <v>9.210000000000003</v>
      </c>
      <c r="L25" s="63" t="n">
        <v>0.2712812960235641</v>
      </c>
      <c r="M25" s="64" t="n">
        <v>10</v>
      </c>
      <c r="N25" s="32" t="inlineStr">
        <is>
          <t>Active</t>
        </is>
      </c>
      <c r="O25" s="32" t="n"/>
      <c r="P25" s="65" t="n">
        <v>4.4</v>
      </c>
      <c r="Q25" s="64" t="n">
        <v>1628</v>
      </c>
      <c r="R25" s="64" t="n">
        <v>52125</v>
      </c>
      <c r="S25" s="64" t="n">
        <v>1</v>
      </c>
      <c r="T25" s="32" t="n"/>
    </row>
    <row r="26" ht="62" customHeight="1">
      <c r="A26" s="10">
        <f>_xlfn.IMAGE("https://m.media-amazon.com/images/I/81C9qE083yL.jpg")</f>
        <v/>
      </c>
      <c r="B26" s="32" t="inlineStr">
        <is>
          <t>B0C7FNQH3B</t>
        </is>
      </c>
      <c r="C26" s="32" t="inlineStr">
        <is>
          <t>SATIN-KING-GREY-6PCS</t>
        </is>
      </c>
      <c r="D26" s="32" t="inlineStr">
        <is>
          <t>DECOLURE Satin Sheets King Size | Softer Than Silk | Luxury 6 Pc Bed Set</t>
        </is>
      </c>
      <c r="E26" s="32" t="inlineStr">
        <is>
          <t>King</t>
        </is>
      </c>
      <c r="F26" s="32" t="inlineStr">
        <is>
          <t>Grey</t>
        </is>
      </c>
      <c r="G26" s="60" t="n">
        <v>33.95</v>
      </c>
      <c r="H26" s="32" t="inlineStr">
        <is>
          <t>Helium 10 Xray, 2026-10-13</t>
        </is>
      </c>
      <c r="I26" s="61" t="n">
        <v>33.95</v>
      </c>
      <c r="J26" s="62" t="inlineStr">
        <is>
          <t>2026-03-20</t>
        </is>
      </c>
      <c r="K26" s="33" t="n">
        <v>9.160000000000004</v>
      </c>
      <c r="L26" s="63" t="n">
        <v>0.2698085419734905</v>
      </c>
      <c r="M26" s="64" t="n">
        <v>10</v>
      </c>
      <c r="N26" s="32" t="inlineStr">
        <is>
          <t>Active</t>
        </is>
      </c>
      <c r="O26" s="32" t="n"/>
      <c r="P26" s="65" t="n">
        <v>4.4</v>
      </c>
      <c r="Q26" s="64" t="n">
        <v>1628</v>
      </c>
      <c r="R26" s="64" t="n">
        <v>52125</v>
      </c>
      <c r="S26" s="64" t="n">
        <v>3</v>
      </c>
      <c r="T26" s="32" t="n"/>
    </row>
    <row r="27" ht="62" customHeight="1">
      <c r="A27" s="10">
        <f>_xlfn.IMAGE("https://m.media-amazon.com/images/I/81cInbBJAML.jpg")</f>
        <v/>
      </c>
      <c r="B27" s="32" t="inlineStr">
        <is>
          <t>B0C9LSVFPR</t>
        </is>
      </c>
      <c r="C27" s="32" t="inlineStr">
        <is>
          <t>PURPLE-SATIN-SET-6PCS</t>
        </is>
      </c>
      <c r="D27" s="32" t="inlineStr">
        <is>
          <t>DECOLURE Satin Sheets Queen Size | Softer Than Silk | Luxury 6 Pc Bed Set</t>
        </is>
      </c>
      <c r="E27" s="32" t="inlineStr">
        <is>
          <t>Queen</t>
        </is>
      </c>
      <c r="F27" s="32" t="inlineStr">
        <is>
          <t>Purple</t>
        </is>
      </c>
      <c r="G27" s="60" t="n">
        <v>34.95</v>
      </c>
      <c r="H27" s="32" t="inlineStr">
        <is>
          <t>Helium 10 Xray, 2026-10-13</t>
        </is>
      </c>
      <c r="I27" s="61" t="n">
        <v>46.95</v>
      </c>
      <c r="J27" s="62" t="inlineStr">
        <is>
          <t>2026-03-30</t>
        </is>
      </c>
      <c r="K27" s="33" t="n">
        <v>21.63</v>
      </c>
      <c r="L27" s="63" t="n">
        <v>0.4607028753993611</v>
      </c>
      <c r="M27" s="64" t="n">
        <v>10</v>
      </c>
      <c r="N27" s="32" t="inlineStr">
        <is>
          <t>Active</t>
        </is>
      </c>
      <c r="O27" s="32" t="n"/>
      <c r="P27" s="65" t="n">
        <v>4.4</v>
      </c>
      <c r="Q27" s="64" t="n">
        <v>1628</v>
      </c>
      <c r="R27" s="64" t="n">
        <v>52125</v>
      </c>
      <c r="S27" s="64" t="n">
        <v>5</v>
      </c>
      <c r="T27" s="32" t="n"/>
    </row>
    <row r="28" ht="62" customHeight="1">
      <c r="A28" s="10">
        <f>_xlfn.IMAGE("https://m.media-amazon.com/images/I/81UqLjdUA4L.jpg")</f>
        <v/>
      </c>
      <c r="B28" s="32" t="inlineStr">
        <is>
          <t>B0C7F622QD</t>
        </is>
      </c>
      <c r="C28" s="32" t="inlineStr">
        <is>
          <t>SATIN-TWIN-BLACK-6PCS</t>
        </is>
      </c>
      <c r="D28" s="32" t="inlineStr">
        <is>
          <t>DECOLURE Satin Sheets Twin Size | Softer Than Silk | Luxury 4 Pc Bed Set</t>
        </is>
      </c>
      <c r="E28" s="32" t="inlineStr">
        <is>
          <t>Twin</t>
        </is>
      </c>
      <c r="F28" s="32" t="inlineStr">
        <is>
          <t>Black</t>
        </is>
      </c>
      <c r="G28" s="60" t="n">
        <v>27.95</v>
      </c>
      <c r="H28" s="32" t="inlineStr">
        <is>
          <t>Helium 10 Xray, 2026-10-13</t>
        </is>
      </c>
      <c r="I28" s="61" t="n">
        <v>27.95</v>
      </c>
      <c r="J28" s="62" t="inlineStr">
        <is>
          <t>2026-03-30</t>
        </is>
      </c>
      <c r="K28" s="33" t="n">
        <v>8.899999999999997</v>
      </c>
      <c r="L28" s="63" t="n">
        <v>0.3184257602862253</v>
      </c>
      <c r="M28" s="64" t="n">
        <v>10</v>
      </c>
      <c r="N28" s="32" t="inlineStr">
        <is>
          <t>Active</t>
        </is>
      </c>
      <c r="O28" s="32" t="n"/>
      <c r="P28" s="65" t="n">
        <v>4.4</v>
      </c>
      <c r="Q28" s="64" t="n">
        <v>1628</v>
      </c>
      <c r="R28" s="64" t="n">
        <v>52121</v>
      </c>
      <c r="S28" s="64" t="n">
        <v>7</v>
      </c>
      <c r="T28" s="32" t="n"/>
    </row>
    <row r="29" ht="62" customHeight="1">
      <c r="A29" s="10">
        <f>_xlfn.IMAGE("https://m.media-amazon.com/images/I/81osNI447+L.jpg")</f>
        <v/>
      </c>
      <c r="B29" s="32" t="inlineStr">
        <is>
          <t>B0C7FM7GXS</t>
        </is>
      </c>
      <c r="C29" s="32" t="inlineStr">
        <is>
          <t>SATIN-ROSEWOOD-FULL-6PCS</t>
        </is>
      </c>
      <c r="D29" s="32" t="inlineStr">
        <is>
          <t>DECOLURE Satin Sheets Full Size | Softer Than Silk | Luxury 6 Pc Bed Set</t>
        </is>
      </c>
      <c r="E29" s="32" t="inlineStr">
        <is>
          <t>Full</t>
        </is>
      </c>
      <c r="F29" s="32" t="inlineStr">
        <is>
          <t>Rosewood</t>
        </is>
      </c>
      <c r="G29" s="60" t="n">
        <v>29.95</v>
      </c>
      <c r="H29" s="32" t="inlineStr">
        <is>
          <t>Helium 10 Xray, 2026-10-13</t>
        </is>
      </c>
      <c r="I29" s="61" t="n">
        <v>29.95</v>
      </c>
      <c r="J29" s="62" t="inlineStr">
        <is>
          <t>2026-03-30</t>
        </is>
      </c>
      <c r="K29" s="33" t="n">
        <v>8.32</v>
      </c>
      <c r="L29" s="63" t="n">
        <v>0.27779632721202</v>
      </c>
      <c r="M29" s="64" t="n">
        <v>9</v>
      </c>
      <c r="N29" s="32" t="inlineStr">
        <is>
          <t>Active</t>
        </is>
      </c>
      <c r="O29" s="32" t="n"/>
      <c r="P29" s="65" t="n">
        <v>4.4</v>
      </c>
      <c r="Q29" s="64" t="n">
        <v>1628</v>
      </c>
      <c r="R29" s="64" t="n">
        <v>52121</v>
      </c>
      <c r="S29" s="64" t="n">
        <v>4</v>
      </c>
      <c r="T29" s="32" t="n"/>
    </row>
    <row r="30" ht="62" customHeight="1">
      <c r="A30" s="10">
        <f>_xlfn.IMAGE("https://m.media-amazon.com/images/I/818xrpI8WdL.jpg")</f>
        <v/>
      </c>
      <c r="B30" s="32" t="inlineStr">
        <is>
          <t>B0C7FSZHXL</t>
        </is>
      </c>
      <c r="C30" s="32" t="inlineStr">
        <is>
          <t>SATIN-SEA-TEAL-KING-6PCS</t>
        </is>
      </c>
      <c r="D30" s="32" t="inlineStr">
        <is>
          <t>DECOLURE Satin Sheets King Size | Softer Than Silk | Luxury 6 Pc Bed Set</t>
        </is>
      </c>
      <c r="E30" s="32" t="inlineStr">
        <is>
          <t>King</t>
        </is>
      </c>
      <c r="F30" s="32" t="inlineStr">
        <is>
          <t>Sea Teal</t>
        </is>
      </c>
      <c r="G30" s="60" t="n">
        <v>33.95</v>
      </c>
      <c r="H30" s="32" t="inlineStr">
        <is>
          <t>Helium 10 Xray, 2026-10-13</t>
        </is>
      </c>
      <c r="I30" s="61" t="n">
        <v>33.95</v>
      </c>
      <c r="J30" s="62" t="inlineStr">
        <is>
          <t>2026-03-30</t>
        </is>
      </c>
      <c r="K30" s="33" t="n">
        <v>8.670000000000002</v>
      </c>
      <c r="L30" s="63" t="n">
        <v>0.2553755522827688</v>
      </c>
      <c r="M30" s="64" t="n">
        <v>9</v>
      </c>
      <c r="N30" s="32" t="inlineStr">
        <is>
          <t>Active</t>
        </is>
      </c>
      <c r="O30" s="32" t="n"/>
      <c r="P30" s="65" t="n">
        <v>4.4</v>
      </c>
      <c r="Q30" s="64" t="n">
        <v>1628</v>
      </c>
      <c r="R30" s="64" t="n">
        <v>52125</v>
      </c>
      <c r="S30" s="64" t="n">
        <v>3</v>
      </c>
      <c r="T30" s="32" t="n"/>
    </row>
    <row r="31" ht="62" customHeight="1">
      <c r="A31" s="10">
        <f>_xlfn.IMAGE("https://m.media-amazon.com/images/I/81PU9JNVXwL.jpg")</f>
        <v/>
      </c>
      <c r="B31" s="32" t="inlineStr">
        <is>
          <t>B0D9QQHLK8</t>
        </is>
      </c>
      <c r="C31" s="32" t="inlineStr">
        <is>
          <t>SATIN-6PC-QUEEN-NAVY BLUE</t>
        </is>
      </c>
      <c r="D31" s="32" t="inlineStr">
        <is>
          <t>DECOLURE Satin Sheets Queen Size | Softer Than Silk | Luxury 6 Pc Bed Set</t>
        </is>
      </c>
      <c r="E31" s="32" t="inlineStr">
        <is>
          <t>Queen</t>
        </is>
      </c>
      <c r="F31" s="32" t="inlineStr">
        <is>
          <t>Navy Blue</t>
        </is>
      </c>
      <c r="G31" s="60" t="n">
        <v>31.95</v>
      </c>
      <c r="H31" s="32" t="inlineStr">
        <is>
          <t>Helium 10 Xray, 2026-10-13</t>
        </is>
      </c>
      <c r="I31" s="61" t="n">
        <v>32.95</v>
      </c>
      <c r="J31" s="62" t="inlineStr">
        <is>
          <t>2026-03-30</t>
        </is>
      </c>
      <c r="K31" s="33" t="n">
        <v>9.859999999999999</v>
      </c>
      <c r="L31" s="63" t="n">
        <v>0.2992412746585735</v>
      </c>
      <c r="M31" s="64" t="n">
        <v>9</v>
      </c>
      <c r="N31" s="32" t="inlineStr">
        <is>
          <t>Active</t>
        </is>
      </c>
      <c r="O31" s="32" t="n"/>
      <c r="P31" s="65" t="n">
        <v>4.4</v>
      </c>
      <c r="Q31" s="64" t="n">
        <v>1628</v>
      </c>
      <c r="R31" s="64" t="n">
        <v>52121</v>
      </c>
      <c r="S31" s="64" t="n">
        <v>2</v>
      </c>
      <c r="T31" s="32" t="n"/>
    </row>
    <row r="32" ht="62" customHeight="1">
      <c r="A32" s="10">
        <f>_xlfn.IMAGE("https://m.media-amazon.com/images/I/81C9qE083yL.jpg")</f>
        <v/>
      </c>
      <c r="B32" s="32" t="inlineStr">
        <is>
          <t>B0C7F5ZR17</t>
        </is>
      </c>
      <c r="C32" s="32" t="inlineStr">
        <is>
          <t>SATIN-QUEEN-GREY-6PCS</t>
        </is>
      </c>
      <c r="D32" s="32" t="inlineStr">
        <is>
          <t>DECOLURE Satin Sheets Queen Size | Softer Than Silk | Luxury 6 Pc Bed Set</t>
        </is>
      </c>
      <c r="E32" s="32" t="inlineStr">
        <is>
          <t>Queen</t>
        </is>
      </c>
      <c r="F32" s="32" t="inlineStr">
        <is>
          <t>Grey</t>
        </is>
      </c>
      <c r="G32" s="60" t="n">
        <v>29.95</v>
      </c>
      <c r="H32" s="32" t="inlineStr">
        <is>
          <t>Helium 10 Xray, 2026-10-13</t>
        </is>
      </c>
      <c r="I32" s="61" t="n">
        <v>29.95</v>
      </c>
      <c r="J32" s="62" t="inlineStr">
        <is>
          <t>2026-03-30</t>
        </is>
      </c>
      <c r="K32" s="33" t="n">
        <v>6.270000000000001</v>
      </c>
      <c r="L32" s="63" t="n">
        <v>0.2093489148580969</v>
      </c>
      <c r="M32" s="64" t="n">
        <v>8</v>
      </c>
      <c r="N32" s="32" t="inlineStr">
        <is>
          <t>Active</t>
        </is>
      </c>
      <c r="O32" s="32" t="n"/>
      <c r="P32" s="65" t="n">
        <v>4.4</v>
      </c>
      <c r="Q32" s="64" t="n">
        <v>1628</v>
      </c>
      <c r="R32" s="64" t="n">
        <v>52125</v>
      </c>
      <c r="S32" s="64" t="n">
        <v>4</v>
      </c>
      <c r="T32" s="32" t="n"/>
    </row>
    <row r="33" ht="62" customHeight="1">
      <c r="A33" s="10">
        <f>_xlfn.IMAGE("https://m.media-amazon.com/images/I/818xrpI8WdL.jpg")</f>
        <v/>
      </c>
      <c r="B33" s="32" t="inlineStr">
        <is>
          <t>B0C7FD1CLN</t>
        </is>
      </c>
      <c r="C33" s="32" t="inlineStr">
        <is>
          <t>SATIN-SEA-TEAL-QUEEN-6PCS</t>
        </is>
      </c>
      <c r="D33" s="32" t="inlineStr">
        <is>
          <t>DECOLURE Satin Sheets Queen Size | Softer Than Silk | Luxury 6 Pc Bed Set</t>
        </is>
      </c>
      <c r="E33" s="32" t="inlineStr">
        <is>
          <t>Queen</t>
        </is>
      </c>
      <c r="F33" s="32" t="inlineStr">
        <is>
          <t>Sea Teal</t>
        </is>
      </c>
      <c r="G33" s="60" t="n">
        <v>31.95</v>
      </c>
      <c r="H33" s="32" t="inlineStr">
        <is>
          <t>Helium 10 Xray, 2026-10-13</t>
        </is>
      </c>
      <c r="I33" s="61" t="n">
        <v>31.95</v>
      </c>
      <c r="J33" s="62" t="inlineStr">
        <is>
          <t>2026-03-30</t>
        </is>
      </c>
      <c r="K33" s="33" t="n">
        <v>9.380000000000001</v>
      </c>
      <c r="L33" s="63" t="n">
        <v>0.2935837245696401</v>
      </c>
      <c r="M33" s="64" t="n">
        <v>8</v>
      </c>
      <c r="N33" s="32" t="inlineStr">
        <is>
          <t>Active</t>
        </is>
      </c>
      <c r="O33" s="32" t="n"/>
      <c r="P33" s="65" t="n">
        <v>4.4</v>
      </c>
      <c r="Q33" s="64" t="n">
        <v>1628</v>
      </c>
      <c r="R33" s="64" t="n">
        <v>52125</v>
      </c>
      <c r="S33" s="64" t="n">
        <v>50</v>
      </c>
      <c r="T33" s="32" t="n"/>
    </row>
    <row r="34" ht="62" customHeight="1">
      <c r="A34" s="10">
        <f>_xlfn.IMAGE("https://m.media-amazon.com/images/I/81h83JgkpAL.jpg")</f>
        <v/>
      </c>
      <c r="B34" s="32" t="inlineStr">
        <is>
          <t>B0D9QSG8V3</t>
        </is>
      </c>
      <c r="C34" s="32" t="inlineStr">
        <is>
          <t>SATIN-6PC-KING-DARK GREEN</t>
        </is>
      </c>
      <c r="D34" s="32" t="inlineStr">
        <is>
          <t>DECOLURE Satin Sheets King Size | Softer Than Silk | Luxury 6 Pc Bed Set</t>
        </is>
      </c>
      <c r="E34" s="32" t="inlineStr">
        <is>
          <t>King</t>
        </is>
      </c>
      <c r="F34" s="32" t="inlineStr">
        <is>
          <t>Dark Green</t>
        </is>
      </c>
      <c r="G34" s="60" t="n">
        <v>33.95</v>
      </c>
      <c r="H34" s="32" t="inlineStr">
        <is>
          <t>SellerBoard listing price, 2026-10-14</t>
        </is>
      </c>
      <c r="I34" s="61" t="n">
        <v>33.95</v>
      </c>
      <c r="J34" s="62" t="inlineStr">
        <is>
          <t>2026-03-30</t>
        </is>
      </c>
      <c r="K34" s="33" t="n">
        <v>8.640000000000002</v>
      </c>
      <c r="L34" s="63" t="n">
        <v>0.2544918998527246</v>
      </c>
      <c r="M34" s="64" t="n">
        <v>7</v>
      </c>
      <c r="N34" s="32" t="inlineStr">
        <is>
          <t>Inactive</t>
        </is>
      </c>
      <c r="O34" s="32" t="n"/>
      <c r="P34" s="65" t="n"/>
      <c r="Q34" s="64" t="n"/>
      <c r="R34" s="64" t="n"/>
      <c r="S34" s="64" t="n"/>
      <c r="T34" s="32" t="n"/>
    </row>
    <row r="35" ht="62" customHeight="1">
      <c r="A35" s="10">
        <f>_xlfn.IMAGE("https://m.media-amazon.com/images/I/81cInbBJAML.jpg")</f>
        <v/>
      </c>
      <c r="B35" s="32" t="inlineStr">
        <is>
          <t>B0C7FQQH6V</t>
        </is>
      </c>
      <c r="C35" s="32" t="inlineStr">
        <is>
          <t>SATIN-KING-PURPLE-6PCS</t>
        </is>
      </c>
      <c r="D35" s="32" t="inlineStr">
        <is>
          <t>DECOLURE Satin Sheets King Size | Softer Than Silk | Luxury 6 Pc Bed Set</t>
        </is>
      </c>
      <c r="E35" s="32" t="inlineStr">
        <is>
          <t>King</t>
        </is>
      </c>
      <c r="F35" s="32" t="inlineStr">
        <is>
          <t>Purple</t>
        </is>
      </c>
      <c r="G35" s="60" t="n">
        <v>33.95</v>
      </c>
      <c r="H35" s="32" t="inlineStr">
        <is>
          <t>Helium 10 Xray, 2026-10-13</t>
        </is>
      </c>
      <c r="I35" s="61" t="n">
        <v>33.95</v>
      </c>
      <c r="J35" s="62" t="inlineStr">
        <is>
          <t>2026-03-30</t>
        </is>
      </c>
      <c r="K35" s="33" t="n">
        <v>7.890000000000004</v>
      </c>
      <c r="L35" s="63" t="n">
        <v>0.2324005891016201</v>
      </c>
      <c r="M35" s="64" t="n">
        <v>7</v>
      </c>
      <c r="N35" s="32" t="inlineStr">
        <is>
          <t>Active</t>
        </is>
      </c>
      <c r="O35" s="32" t="n"/>
      <c r="P35" s="65" t="n">
        <v>4.4</v>
      </c>
      <c r="Q35" s="64" t="n">
        <v>1628</v>
      </c>
      <c r="R35" s="64" t="n">
        <v>52125</v>
      </c>
      <c r="S35" s="64" t="n">
        <v>4</v>
      </c>
      <c r="T35" s="32" t="n"/>
    </row>
    <row r="36" ht="62" customHeight="1">
      <c r="A36" s="10">
        <f>_xlfn.IMAGE("https://m.media-amazon.com/images/I/91LEDRktAdL.jpg")</f>
        <v/>
      </c>
      <c r="B36" s="32" t="inlineStr">
        <is>
          <t>B0C7JYWFP8</t>
        </is>
      </c>
      <c r="C36" s="32" t="inlineStr">
        <is>
          <t>SATIN-STRIPE-KING-RED--6-PCS</t>
        </is>
      </c>
      <c r="D36" s="32" t="inlineStr">
        <is>
          <t>DECOLURE Satin Sheets King Size | Softer Than Silk | Luxury 6 Pc Bed Set</t>
        </is>
      </c>
      <c r="E36" s="32" t="inlineStr">
        <is>
          <t>King</t>
        </is>
      </c>
      <c r="F36" s="32" t="inlineStr">
        <is>
          <t>Striped Red</t>
        </is>
      </c>
      <c r="G36" s="60" t="n">
        <v>33.95</v>
      </c>
      <c r="H36" s="32" t="inlineStr">
        <is>
          <t>Helium 10 Xray, 2026-10-13</t>
        </is>
      </c>
      <c r="I36" s="61" t="n">
        <v>33.95</v>
      </c>
      <c r="J36" s="62" t="inlineStr">
        <is>
          <t>2026-03-30</t>
        </is>
      </c>
      <c r="K36" s="33" t="n">
        <v>7.900000000000002</v>
      </c>
      <c r="L36" s="63" t="n">
        <v>0.2326951399116348</v>
      </c>
      <c r="M36" s="64" t="n">
        <v>7</v>
      </c>
      <c r="N36" s="32" t="inlineStr">
        <is>
          <t>Active</t>
        </is>
      </c>
      <c r="O36" s="32" t="n"/>
      <c r="P36" s="65" t="n">
        <v>4.4</v>
      </c>
      <c r="Q36" s="64" t="n">
        <v>1628</v>
      </c>
      <c r="R36" s="64" t="n">
        <v>52125</v>
      </c>
      <c r="S36" s="64" t="n">
        <v>2</v>
      </c>
      <c r="T36" s="32" t="n"/>
    </row>
    <row r="37" ht="62" customHeight="1">
      <c r="A37" s="10">
        <f>_xlfn.IMAGE("https://m.media-amazon.com/images/I/81gUBcWN2iL.jpg")</f>
        <v/>
      </c>
      <c r="B37" s="32" t="inlineStr">
        <is>
          <t>B0D9QSZH1N</t>
        </is>
      </c>
      <c r="C37" s="32" t="inlineStr">
        <is>
          <t>SATIN-6PC-QUEEN-BABY BLUE</t>
        </is>
      </c>
      <c r="D37" s="32" t="inlineStr">
        <is>
          <t>DECOLURE Satin Sheets Queen Size | Softer Than Silk | Luxury 6 Pc Bed Set</t>
        </is>
      </c>
      <c r="E37" s="32" t="inlineStr">
        <is>
          <t>Queen</t>
        </is>
      </c>
      <c r="F37" s="32" t="inlineStr">
        <is>
          <t>Baby Blue</t>
        </is>
      </c>
      <c r="G37" s="60" t="n">
        <v>35.95</v>
      </c>
      <c r="H37" s="32" t="inlineStr">
        <is>
          <t>Helium 10 Xray, 2026-10-13</t>
        </is>
      </c>
      <c r="I37" s="61" t="n">
        <v>31.95</v>
      </c>
      <c r="J37" s="62" t="inlineStr">
        <is>
          <t>2026-03-30</t>
        </is>
      </c>
      <c r="K37" s="33" t="n">
        <v>9.009999999999998</v>
      </c>
      <c r="L37" s="63" t="n">
        <v>0.2820031298904538</v>
      </c>
      <c r="M37" s="64" t="n">
        <v>7</v>
      </c>
      <c r="N37" s="32" t="inlineStr">
        <is>
          <t>Active</t>
        </is>
      </c>
      <c r="O37" s="32" t="n"/>
      <c r="P37" s="65" t="n">
        <v>4.4</v>
      </c>
      <c r="Q37" s="64" t="n">
        <v>1628</v>
      </c>
      <c r="R37" s="64" t="n">
        <v>52125</v>
      </c>
      <c r="S37" s="64" t="n">
        <v>3</v>
      </c>
      <c r="T37" s="32" t="n"/>
    </row>
    <row r="38" ht="62" customHeight="1">
      <c r="A38" s="10">
        <f>_xlfn.IMAGE("https://m.media-amazon.com/images/I/81Lq8U6Oz8L.jpg")</f>
        <v/>
      </c>
      <c r="B38" s="32" t="inlineStr">
        <is>
          <t>B0D9QTV7S6</t>
        </is>
      </c>
      <c r="C38" s="32" t="inlineStr">
        <is>
          <t>SATIN-6PC-QUEEN-BURNT ORANGE</t>
        </is>
      </c>
      <c r="D38" s="32" t="inlineStr">
        <is>
          <t>DECOLURE Satin Sheets Queen Size | Softer Than Silk | Luxury 6 Pc Bed Set</t>
        </is>
      </c>
      <c r="E38" s="32" t="inlineStr">
        <is>
          <t>Queen</t>
        </is>
      </c>
      <c r="F38" s="32" t="inlineStr">
        <is>
          <t>Burnt Orange</t>
        </is>
      </c>
      <c r="G38" s="60" t="n">
        <v>31.95</v>
      </c>
      <c r="H38" s="32" t="inlineStr">
        <is>
          <t>Helium 10 Xray, 2026-10-13</t>
        </is>
      </c>
      <c r="I38" s="61" t="n">
        <v>38.95</v>
      </c>
      <c r="J38" s="62" t="inlineStr">
        <is>
          <t>2026-03-30</t>
        </is>
      </c>
      <c r="K38" s="33" t="n">
        <v>14.56</v>
      </c>
      <c r="L38" s="63" t="n">
        <v>0.3738125802310654</v>
      </c>
      <c r="M38" s="64" t="n">
        <v>7</v>
      </c>
      <c r="N38" s="32" t="inlineStr">
        <is>
          <t>Active</t>
        </is>
      </c>
      <c r="O38" s="32" t="n"/>
      <c r="P38" s="65" t="n">
        <v>4.4</v>
      </c>
      <c r="Q38" s="64" t="n">
        <v>1628</v>
      </c>
      <c r="R38" s="64" t="n">
        <v>52121</v>
      </c>
      <c r="S38" s="64" t="n">
        <v>2</v>
      </c>
      <c r="T38" s="32" t="n"/>
    </row>
    <row r="39" ht="62" customHeight="1">
      <c r="A39" s="10">
        <f>_xlfn.IMAGE("https://m.media-amazon.com/images/I/81VLLob-TFL.jpg")</f>
        <v/>
      </c>
      <c r="B39" s="32" t="inlineStr">
        <is>
          <t>B0D9QSYPF2</t>
        </is>
      </c>
      <c r="C39" s="32" t="inlineStr">
        <is>
          <t>SATIN-6PC-QUEEN-LAVENDER</t>
        </is>
      </c>
      <c r="D39" s="32" t="inlineStr">
        <is>
          <t>DECOLURE Satin Sheets Queen Size | Softer Than Silk | Luxury 6 Pc Bed Set</t>
        </is>
      </c>
      <c r="E39" s="32" t="inlineStr">
        <is>
          <t>Queen</t>
        </is>
      </c>
      <c r="F39" s="32" t="inlineStr">
        <is>
          <t>Lavender</t>
        </is>
      </c>
      <c r="G39" s="60" t="n">
        <v>31.95</v>
      </c>
      <c r="H39" s="32" t="inlineStr">
        <is>
          <t>Helium 10 Xray, 2026-10-13</t>
        </is>
      </c>
      <c r="I39" s="61" t="n">
        <v>31.95</v>
      </c>
      <c r="J39" s="62" t="inlineStr">
        <is>
          <t>2026-03-30</t>
        </is>
      </c>
      <c r="K39" s="33" t="n">
        <v>8.280000000000001</v>
      </c>
      <c r="L39" s="63" t="n">
        <v>0.2591549295774648</v>
      </c>
      <c r="M39" s="64" t="n">
        <v>7</v>
      </c>
      <c r="N39" s="32" t="inlineStr">
        <is>
          <t>Active</t>
        </is>
      </c>
      <c r="O39" s="32" t="n"/>
      <c r="P39" s="65" t="n">
        <v>4.4</v>
      </c>
      <c r="Q39" s="64" t="n">
        <v>1628</v>
      </c>
      <c r="R39" s="64" t="n">
        <v>52125</v>
      </c>
      <c r="S39" s="64" t="n">
        <v>3</v>
      </c>
      <c r="T39" s="32" t="n"/>
    </row>
    <row r="40" ht="62" customHeight="1">
      <c r="A40" s="10">
        <f>_xlfn.IMAGE("https://m.media-amazon.com/images/I/81QbKTHtUqL.jpg")</f>
        <v/>
      </c>
      <c r="B40" s="32" t="inlineStr">
        <is>
          <t>B0C7FBBPL1</t>
        </is>
      </c>
      <c r="C40" s="32" t="inlineStr">
        <is>
          <t>SATIN-KING-BLUE-6PCS</t>
        </is>
      </c>
      <c r="D40" s="32" t="inlineStr">
        <is>
          <t>DECOLURE Satin Sheets King Size | Softer Than Silk | Luxury 6 Pc Bed Set</t>
        </is>
      </c>
      <c r="E40" s="32" t="inlineStr">
        <is>
          <t>King</t>
        </is>
      </c>
      <c r="F40" s="32" t="inlineStr">
        <is>
          <t>Blue</t>
        </is>
      </c>
      <c r="G40" s="60" t="n">
        <v>33.95</v>
      </c>
      <c r="H40" s="32" t="inlineStr">
        <is>
          <t>Helium 10 Xray, 2026-10-13</t>
        </is>
      </c>
      <c r="I40" s="61" t="n">
        <v>33.95</v>
      </c>
      <c r="J40" s="62" t="inlineStr">
        <is>
          <t>2026-03-30</t>
        </is>
      </c>
      <c r="K40" s="33" t="n">
        <v>8.360000000000001</v>
      </c>
      <c r="L40" s="63" t="n">
        <v>0.2462444771723122</v>
      </c>
      <c r="M40" s="64" t="n">
        <v>6</v>
      </c>
      <c r="N40" s="32" t="inlineStr">
        <is>
          <t>Active</t>
        </is>
      </c>
      <c r="O40" s="32" t="n"/>
      <c r="P40" s="65" t="n">
        <v>4.4</v>
      </c>
      <c r="Q40" s="64" t="n">
        <v>1628</v>
      </c>
      <c r="R40" s="64" t="n">
        <v>52121</v>
      </c>
      <c r="S40" s="64" t="n">
        <v>6</v>
      </c>
      <c r="T40" s="32" t="n"/>
    </row>
    <row r="41" ht="62" customHeight="1">
      <c r="A41" s="10">
        <f>_xlfn.IMAGE("https://m.media-amazon.com/images/I/81Lq8U6Oz8L.jpg")</f>
        <v/>
      </c>
      <c r="B41" s="32" t="inlineStr">
        <is>
          <t>B0D9QTXKQD</t>
        </is>
      </c>
      <c r="C41" s="32" t="inlineStr">
        <is>
          <t>SATIN-6PC-KING-BURNT ORANGE</t>
        </is>
      </c>
      <c r="D41" s="32" t="inlineStr">
        <is>
          <t>DECOLURE Satin Sheets King Size | Softer Than Silk | Luxury 6 Pc Bed Set</t>
        </is>
      </c>
      <c r="E41" s="32" t="inlineStr">
        <is>
          <t>King</t>
        </is>
      </c>
      <c r="F41" s="32" t="inlineStr">
        <is>
          <t>Burnt Orange</t>
        </is>
      </c>
      <c r="G41" s="60" t="n">
        <v>33.95</v>
      </c>
      <c r="H41" s="32" t="inlineStr">
        <is>
          <t>Helium 10 Xray, 2026-10-13</t>
        </is>
      </c>
      <c r="I41" s="61" t="n">
        <v>33.95</v>
      </c>
      <c r="J41" s="62" t="inlineStr">
        <is>
          <t>2026-03-30</t>
        </is>
      </c>
      <c r="K41" s="33" t="n">
        <v>9.010000000000003</v>
      </c>
      <c r="L41" s="63" t="n">
        <v>0.2653902798232696</v>
      </c>
      <c r="M41" s="64" t="n">
        <v>6</v>
      </c>
      <c r="N41" s="32" t="inlineStr">
        <is>
          <t>Active</t>
        </is>
      </c>
      <c r="O41" s="32" t="n"/>
      <c r="P41" s="65" t="n">
        <v>4.4</v>
      </c>
      <c r="Q41" s="64" t="n">
        <v>1628</v>
      </c>
      <c r="R41" s="64" t="n">
        <v>52125</v>
      </c>
      <c r="S41" s="64" t="n">
        <v>1</v>
      </c>
      <c r="T41" s="32" t="n"/>
    </row>
    <row r="42" ht="62" customHeight="1">
      <c r="A42" s="10">
        <f>_xlfn.IMAGE("https://m.media-amazon.com/images/I/81VLLob-TFL.jpg")</f>
        <v/>
      </c>
      <c r="B42" s="32" t="inlineStr">
        <is>
          <t>B0D9QRRTN7</t>
        </is>
      </c>
      <c r="C42" s="32" t="inlineStr">
        <is>
          <t>SATIN-6PC-KING-LAVENDER</t>
        </is>
      </c>
      <c r="D42" s="32" t="inlineStr">
        <is>
          <t>DECOLURE Satin Sheets King Size | Softer Than Silk | Luxury 6 Pc Bed Set</t>
        </is>
      </c>
      <c r="E42" s="32" t="inlineStr">
        <is>
          <t>King</t>
        </is>
      </c>
      <c r="F42" s="32" t="inlineStr">
        <is>
          <t>Lavender</t>
        </is>
      </c>
      <c r="G42" s="60" t="n">
        <v>33.95</v>
      </c>
      <c r="H42" s="32" t="inlineStr">
        <is>
          <t>Helium 10 Xray, 2026-10-13</t>
        </is>
      </c>
      <c r="I42" s="61" t="n">
        <v>33.95</v>
      </c>
      <c r="J42" s="62" t="inlineStr">
        <is>
          <t>2026-03-30</t>
        </is>
      </c>
      <c r="K42" s="33" t="n">
        <v>8.030000000000003</v>
      </c>
      <c r="L42" s="63" t="n">
        <v>0.2365243004418263</v>
      </c>
      <c r="M42" s="64" t="n">
        <v>6</v>
      </c>
      <c r="N42" s="32" t="inlineStr">
        <is>
          <t>Active</t>
        </is>
      </c>
      <c r="O42" s="32" t="n"/>
      <c r="P42" s="65" t="n">
        <v>4.4</v>
      </c>
      <c r="Q42" s="64" t="n">
        <v>1628</v>
      </c>
      <c r="R42" s="64" t="n">
        <v>52125</v>
      </c>
      <c r="S42" s="64" t="n">
        <v>3</v>
      </c>
      <c r="T42" s="32" t="n"/>
    </row>
    <row r="43" ht="62" customHeight="1">
      <c r="A43" s="10">
        <f>_xlfn.IMAGE("https://m.media-amazon.com/images/I/81k4pZo8ZKL.jpg")</f>
        <v/>
      </c>
      <c r="B43" s="32" t="inlineStr">
        <is>
          <t>B0C7KB5TWS</t>
        </is>
      </c>
      <c r="C43" s="32" t="inlineStr">
        <is>
          <t>SATIN-STRIPE-KING-BLACK--6-PCS</t>
        </is>
      </c>
      <c r="D43" s="32" t="inlineStr">
        <is>
          <t>DECOLURE Satin Sheets King Size | Softer Than Silk | Luxury 6 Pc Bed Set</t>
        </is>
      </c>
      <c r="E43" s="32" t="inlineStr">
        <is>
          <t>King</t>
        </is>
      </c>
      <c r="F43" s="32" t="inlineStr">
        <is>
          <t>Striped Black</t>
        </is>
      </c>
      <c r="G43" s="60" t="n">
        <v>33.95</v>
      </c>
      <c r="H43" s="32" t="inlineStr">
        <is>
          <t>Helium 10 Xray, 2026-10-13</t>
        </is>
      </c>
      <c r="I43" s="61" t="n">
        <v>33.95</v>
      </c>
      <c r="J43" s="62" t="inlineStr">
        <is>
          <t>2026-03-30</t>
        </is>
      </c>
      <c r="K43" s="33" t="n">
        <v>8.360000000000005</v>
      </c>
      <c r="L43" s="63" t="n">
        <v>0.2462444771723123</v>
      </c>
      <c r="M43" s="64" t="n">
        <v>6</v>
      </c>
      <c r="N43" s="32" t="inlineStr">
        <is>
          <t>Active</t>
        </is>
      </c>
      <c r="O43" s="32" t="n"/>
      <c r="P43" s="65" t="n">
        <v>4.4</v>
      </c>
      <c r="Q43" s="64" t="n">
        <v>1628</v>
      </c>
      <c r="R43" s="64" t="n">
        <v>52125</v>
      </c>
      <c r="S43" s="64" t="n">
        <v>3</v>
      </c>
      <c r="T43" s="32" t="n"/>
    </row>
    <row r="44" ht="62" customHeight="1">
      <c r="A44" s="10">
        <f>_xlfn.IMAGE("https://m.media-amazon.com/images/I/81PBLKf1SBL.jpg")</f>
        <v/>
      </c>
      <c r="B44" s="32" t="inlineStr">
        <is>
          <t>B0C7K74SLC</t>
        </is>
      </c>
      <c r="C44" s="32" t="inlineStr">
        <is>
          <t>SATIN-STRIPE-KING-GRAY--6-PCS</t>
        </is>
      </c>
      <c r="D44" s="32" t="inlineStr">
        <is>
          <t>DECOLURE Satin Sheets King Size | Softer Than Silk | Luxury 6 Pc Bed Set</t>
        </is>
      </c>
      <c r="E44" s="32" t="inlineStr">
        <is>
          <t>King</t>
        </is>
      </c>
      <c r="F44" s="32" t="inlineStr">
        <is>
          <t>Striped Grey</t>
        </is>
      </c>
      <c r="G44" s="60" t="n">
        <v>33.95</v>
      </c>
      <c r="H44" s="32" t="inlineStr">
        <is>
          <t>Helium 10 Xray, 2026-10-13</t>
        </is>
      </c>
      <c r="I44" s="61" t="n">
        <v>33.95</v>
      </c>
      <c r="J44" s="62" t="inlineStr">
        <is>
          <t>2026-03-30</t>
        </is>
      </c>
      <c r="K44" s="33" t="n">
        <v>7.910000000000002</v>
      </c>
      <c r="L44" s="63" t="n">
        <v>0.2329896907216495</v>
      </c>
      <c r="M44" s="64" t="n">
        <v>6</v>
      </c>
      <c r="N44" s="32" t="inlineStr">
        <is>
          <t>Active</t>
        </is>
      </c>
      <c r="O44" s="32" t="n"/>
      <c r="P44" s="65" t="n">
        <v>4.4</v>
      </c>
      <c r="Q44" s="64" t="n">
        <v>1628</v>
      </c>
      <c r="R44" s="64" t="n">
        <v>52125</v>
      </c>
      <c r="S44" s="64" t="n">
        <v>2</v>
      </c>
      <c r="T44" s="32" t="n"/>
    </row>
    <row r="45" ht="62" customHeight="1">
      <c r="A45" s="10">
        <f>_xlfn.IMAGE("https://m.media-amazon.com/images/I/81h83JgkpAL.jpg")</f>
        <v/>
      </c>
      <c r="B45" s="32" t="inlineStr">
        <is>
          <t>B0D9QSYR9G</t>
        </is>
      </c>
      <c r="C45" s="32" t="inlineStr">
        <is>
          <t>SATIN-6PC-QUEEN-DARK GREEN</t>
        </is>
      </c>
      <c r="D45" s="32" t="inlineStr">
        <is>
          <t>DECOLURE Satin Sheets Queen Size | Softer Than Silk | Luxury 6 Pc Bed Set</t>
        </is>
      </c>
      <c r="E45" s="32" t="inlineStr">
        <is>
          <t>Queen</t>
        </is>
      </c>
      <c r="F45" s="32" t="inlineStr">
        <is>
          <t>Dark Green</t>
        </is>
      </c>
      <c r="G45" s="60" t="n">
        <v>31.95</v>
      </c>
      <c r="H45" s="32" t="inlineStr">
        <is>
          <t>Helium 10 Xray, 2026-10-13</t>
        </is>
      </c>
      <c r="I45" s="61" t="n">
        <v>31.95</v>
      </c>
      <c r="J45" s="62" t="inlineStr">
        <is>
          <t>2026-03-30</t>
        </is>
      </c>
      <c r="K45" s="33" t="n">
        <v>9.409999999999998</v>
      </c>
      <c r="L45" s="63" t="n">
        <v>0.2945226917057903</v>
      </c>
      <c r="M45" s="64" t="n">
        <v>6</v>
      </c>
      <c r="N45" s="32" t="inlineStr">
        <is>
          <t>Active</t>
        </is>
      </c>
      <c r="O45" s="32" t="n"/>
      <c r="P45" s="65" t="n">
        <v>4.4</v>
      </c>
      <c r="Q45" s="64" t="n">
        <v>1628</v>
      </c>
      <c r="R45" s="64" t="n">
        <v>52125</v>
      </c>
      <c r="S45" s="64" t="n">
        <v>4</v>
      </c>
      <c r="T45" s="32" t="n"/>
    </row>
    <row r="46" ht="62" customHeight="1">
      <c r="A46" s="10">
        <f>_xlfn.IMAGE("https://m.media-amazon.com/images/I/81TFWOCMZHL.jpg")</f>
        <v/>
      </c>
      <c r="B46" s="32" t="inlineStr">
        <is>
          <t>B0C7FMQP5L</t>
        </is>
      </c>
      <c r="C46" s="32" t="inlineStr">
        <is>
          <t>SATIN-IVORY-QUEEN-6PCS</t>
        </is>
      </c>
      <c r="D46" s="32" t="inlineStr">
        <is>
          <t>DECOLURE Satin Sheets Queen Size | Softer Than Silk | Luxury 6 Pc Bed Set</t>
        </is>
      </c>
      <c r="E46" s="32" t="inlineStr">
        <is>
          <t>Queen</t>
        </is>
      </c>
      <c r="F46" s="32" t="inlineStr">
        <is>
          <t>Ivory</t>
        </is>
      </c>
      <c r="G46" s="60" t="n">
        <v>31.95</v>
      </c>
      <c r="H46" s="32" t="inlineStr">
        <is>
          <t>Helium 10 Xray, 2026-10-13</t>
        </is>
      </c>
      <c r="I46" s="61" t="n">
        <v>31.95</v>
      </c>
      <c r="J46" s="62" t="inlineStr">
        <is>
          <t>2026-03-30</t>
        </is>
      </c>
      <c r="K46" s="33" t="n">
        <v>9.369999999999997</v>
      </c>
      <c r="L46" s="63" t="n">
        <v>0.2932707355242566</v>
      </c>
      <c r="M46" s="64" t="n">
        <v>6</v>
      </c>
      <c r="N46" s="32" t="inlineStr">
        <is>
          <t>Active</t>
        </is>
      </c>
      <c r="O46" s="32" t="n"/>
      <c r="P46" s="65" t="n">
        <v>4.4</v>
      </c>
      <c r="Q46" s="64" t="n">
        <v>1628</v>
      </c>
      <c r="R46" s="64" t="n">
        <v>52125</v>
      </c>
      <c r="S46" s="64" t="n">
        <v>3</v>
      </c>
      <c r="T46" s="32" t="n"/>
    </row>
    <row r="47" ht="62" customHeight="1">
      <c r="A47" s="10">
        <f>_xlfn.IMAGE("https://m.media-amazon.com/images/I/81OBu-lV5UL.jpg")</f>
        <v/>
      </c>
      <c r="B47" s="32" t="inlineStr">
        <is>
          <t>B0C7FSZ6RY</t>
        </is>
      </c>
      <c r="C47" s="32" t="inlineStr">
        <is>
          <t>SATIN-QUEEN-PINK-6PCS</t>
        </is>
      </c>
      <c r="D47" s="32" t="inlineStr">
        <is>
          <t>DECOLURE Satin Sheets Queen Size | Softer Than Silk | Luxury 6 Pc Bed Set</t>
        </is>
      </c>
      <c r="E47" s="32" t="inlineStr">
        <is>
          <t>Queen</t>
        </is>
      </c>
      <c r="F47" s="32" t="inlineStr">
        <is>
          <t>Pink</t>
        </is>
      </c>
      <c r="G47" s="60" t="n">
        <v>31.95</v>
      </c>
      <c r="H47" s="32" t="inlineStr">
        <is>
          <t>Helium 10 Xray, 2026-10-13</t>
        </is>
      </c>
      <c r="I47" s="61" t="n">
        <v>31.95</v>
      </c>
      <c r="J47" s="62" t="inlineStr">
        <is>
          <t>2026-03-30</t>
        </is>
      </c>
      <c r="K47" s="33" t="n">
        <v>9.56</v>
      </c>
      <c r="L47" s="63" t="n">
        <v>0.2992175273865415</v>
      </c>
      <c r="M47" s="64" t="n">
        <v>6</v>
      </c>
      <c r="N47" s="32" t="inlineStr">
        <is>
          <t>Active</t>
        </is>
      </c>
      <c r="O47" s="32" t="n"/>
      <c r="P47" s="65" t="n">
        <v>4.4</v>
      </c>
      <c r="Q47" s="64" t="n">
        <v>1628</v>
      </c>
      <c r="R47" s="64" t="n">
        <v>52125</v>
      </c>
      <c r="S47" s="64" t="n">
        <v>5</v>
      </c>
      <c r="T47" s="32" t="n"/>
    </row>
    <row r="48" ht="62" customHeight="1">
      <c r="A48" s="10">
        <f>_xlfn.IMAGE("https://m.media-amazon.com/images/I/815cp0gvpML.jpg")</f>
        <v/>
      </c>
      <c r="B48" s="32" t="inlineStr">
        <is>
          <t>B0C7FTB8MQ</t>
        </is>
      </c>
      <c r="C48" s="32" t="inlineStr">
        <is>
          <t>SATIN-STONEGREY-QUEEN-6PCS</t>
        </is>
      </c>
      <c r="D48" s="32" t="inlineStr">
        <is>
          <t>DECOLURE Satin Sheets Queen Size | Softer Than Silk | Luxury 6 Pc Bed Set</t>
        </is>
      </c>
      <c r="E48" s="32" t="inlineStr">
        <is>
          <t>Queen</t>
        </is>
      </c>
      <c r="F48" s="32" t="inlineStr">
        <is>
          <t>Stone Grey</t>
        </is>
      </c>
      <c r="G48" s="60" t="n">
        <v>31.95</v>
      </c>
      <c r="H48" s="32" t="inlineStr">
        <is>
          <t>Helium 10 Xray, 2026-10-13</t>
        </is>
      </c>
      <c r="I48" s="61" t="n">
        <v>31.95</v>
      </c>
      <c r="J48" s="62" t="inlineStr">
        <is>
          <t>2026-03-30</t>
        </is>
      </c>
      <c r="K48" s="33" t="n">
        <v>8.760000000000002</v>
      </c>
      <c r="L48" s="63" t="n">
        <v>0.2741784037558686</v>
      </c>
      <c r="M48" s="64" t="n">
        <v>6</v>
      </c>
      <c r="N48" s="32" t="inlineStr">
        <is>
          <t>Active</t>
        </is>
      </c>
      <c r="O48" s="32" t="inlineStr">
        <is>
          <t>Yes (2%)</t>
        </is>
      </c>
      <c r="P48" s="65" t="n">
        <v>4.4</v>
      </c>
      <c r="Q48" s="64" t="n">
        <v>1628</v>
      </c>
      <c r="R48" s="64" t="n">
        <v>52125</v>
      </c>
      <c r="S48" s="64" t="n">
        <v>78</v>
      </c>
      <c r="T48" s="32" t="n"/>
    </row>
    <row r="49" ht="62" customHeight="1">
      <c r="A49" s="10">
        <f>_xlfn.IMAGE("https://m.media-amazon.com/images/I/81VLLob-TFL.jpg")</f>
        <v/>
      </c>
      <c r="B49" s="32" t="inlineStr">
        <is>
          <t>B0D9QR6YSH</t>
        </is>
      </c>
      <c r="C49" s="32" t="inlineStr">
        <is>
          <t>SATIN-6PC-FULL-LAVENDER</t>
        </is>
      </c>
      <c r="D49" s="32" t="inlineStr">
        <is>
          <t>DECOLURE Satin Sheets Full Size | Softer Than Silk | Luxury 6 Pc Bed Set</t>
        </is>
      </c>
      <c r="E49" s="32" t="inlineStr">
        <is>
          <t>Full</t>
        </is>
      </c>
      <c r="F49" s="32" t="inlineStr">
        <is>
          <t>Lavender</t>
        </is>
      </c>
      <c r="G49" s="60" t="n">
        <v>29.95</v>
      </c>
      <c r="H49" s="32" t="inlineStr">
        <is>
          <t>Helium 10 Xray, 2026-10-13</t>
        </is>
      </c>
      <c r="I49" s="61" t="n">
        <v>29.95</v>
      </c>
      <c r="J49" s="62" t="inlineStr">
        <is>
          <t>2026-03-30</t>
        </is>
      </c>
      <c r="K49" s="33" t="n">
        <v>6.190000000000001</v>
      </c>
      <c r="L49" s="63" t="n">
        <v>0.2066777963272121</v>
      </c>
      <c r="M49" s="64" t="n">
        <v>5</v>
      </c>
      <c r="N49" s="32" t="inlineStr">
        <is>
          <t>Active</t>
        </is>
      </c>
      <c r="O49" s="32" t="n"/>
      <c r="P49" s="65" t="n">
        <v>4.4</v>
      </c>
      <c r="Q49" s="64" t="n">
        <v>1628</v>
      </c>
      <c r="R49" s="64" t="n">
        <v>52125</v>
      </c>
      <c r="S49" s="64" t="n">
        <v>5</v>
      </c>
      <c r="T49" s="32" t="n"/>
    </row>
    <row r="50" ht="62" customHeight="1">
      <c r="A50" s="10">
        <f>_xlfn.IMAGE("https://m.media-amazon.com/images/I/81uzoBSAZyL.jpg")</f>
        <v/>
      </c>
      <c r="B50" s="32" t="inlineStr">
        <is>
          <t>B0C7FKF7J1</t>
        </is>
      </c>
      <c r="C50" s="32" t="inlineStr">
        <is>
          <t>SATIN-RED-KING-6PCS</t>
        </is>
      </c>
      <c r="D50" s="32" t="inlineStr">
        <is>
          <t>DECOLURE Satin Sheets King Size | Softer Than Silk | Luxury 6 Pc Bed Set</t>
        </is>
      </c>
      <c r="E50" s="32" t="inlineStr">
        <is>
          <t>King</t>
        </is>
      </c>
      <c r="F50" s="32" t="inlineStr">
        <is>
          <t>Red</t>
        </is>
      </c>
      <c r="G50" s="60" t="n">
        <v>33.95</v>
      </c>
      <c r="H50" s="32" t="inlineStr">
        <is>
          <t>Helium 10 Xray, 2026-10-13</t>
        </is>
      </c>
      <c r="I50" s="61" t="n">
        <v>51.95</v>
      </c>
      <c r="J50" s="62" t="inlineStr">
        <is>
          <t>2026-03-10</t>
        </is>
      </c>
      <c r="K50" s="33" t="n">
        <v>23.69</v>
      </c>
      <c r="L50" s="63" t="n">
        <v>0.4560153994225217</v>
      </c>
      <c r="M50" s="64" t="n">
        <v>5</v>
      </c>
      <c r="N50" s="32" t="inlineStr">
        <is>
          <t>Active</t>
        </is>
      </c>
      <c r="O50" s="32" t="n"/>
      <c r="P50" s="65" t="n">
        <v>4.4</v>
      </c>
      <c r="Q50" s="64" t="n">
        <v>1628</v>
      </c>
      <c r="R50" s="64" t="n">
        <v>52125</v>
      </c>
      <c r="S50" s="64" t="n">
        <v>65</v>
      </c>
      <c r="T50" s="32" t="n"/>
    </row>
    <row r="51" ht="62" customHeight="1">
      <c r="A51" s="10">
        <f>_xlfn.IMAGE("https://m.media-amazon.com/images/I/81osNI447+L.jpg")</f>
        <v/>
      </c>
      <c r="B51" s="32" t="inlineStr">
        <is>
          <t>B0C7FP1L1V</t>
        </is>
      </c>
      <c r="C51" s="32" t="inlineStr">
        <is>
          <t>SATIN-ROSEWOOD-KING-6PCS</t>
        </is>
      </c>
      <c r="D51" s="32" t="inlineStr">
        <is>
          <t>DECOLURE Satin Sheets King Size | Softer Than Silk | Luxury 6 Pc Bed Set</t>
        </is>
      </c>
      <c r="E51" s="32" t="inlineStr">
        <is>
          <t>King</t>
        </is>
      </c>
      <c r="F51" s="32" t="inlineStr">
        <is>
          <t>Rosewood</t>
        </is>
      </c>
      <c r="G51" s="60" t="n">
        <v>33.95</v>
      </c>
      <c r="H51" s="32" t="inlineStr">
        <is>
          <t>Helium 10 Xray, 2026-10-13</t>
        </is>
      </c>
      <c r="I51" s="61" t="n">
        <v>31.95</v>
      </c>
      <c r="J51" s="62" t="inlineStr">
        <is>
          <t>2026-03-30</t>
        </is>
      </c>
      <c r="K51" s="33" t="n">
        <v>7.959999999999999</v>
      </c>
      <c r="L51" s="63" t="n">
        <v>0.2491392801251956</v>
      </c>
      <c r="M51" s="64" t="n">
        <v>5</v>
      </c>
      <c r="N51" s="32" t="inlineStr">
        <is>
          <t>Active</t>
        </is>
      </c>
      <c r="O51" s="32" t="n"/>
      <c r="P51" s="65" t="n">
        <v>4.4</v>
      </c>
      <c r="Q51" s="64" t="n">
        <v>1628</v>
      </c>
      <c r="R51" s="64" t="n">
        <v>52125</v>
      </c>
      <c r="S51" s="64" t="n">
        <v>0.4812</v>
      </c>
      <c r="T51" s="32" t="n"/>
    </row>
    <row r="52" ht="62" customHeight="1">
      <c r="A52" s="10">
        <f>_xlfn.IMAGE("https://m.media-amazon.com/images/I/91wFGUsQtVL.jpg")</f>
        <v/>
      </c>
      <c r="B52" s="32" t="inlineStr">
        <is>
          <t>B0C7K92CTB</t>
        </is>
      </c>
      <c r="C52" s="32" t="inlineStr">
        <is>
          <t>SATIN-STRIPE-QUEEN-GOLD--6-PCS</t>
        </is>
      </c>
      <c r="D52" s="32" t="inlineStr">
        <is>
          <t>DECOLURE Satin Sheets Queen Size | Softer Than Silk | Luxury 6 Pc Bed Set</t>
        </is>
      </c>
      <c r="E52" s="32" t="inlineStr">
        <is>
          <t>Queen</t>
        </is>
      </c>
      <c r="F52" s="32" t="inlineStr">
        <is>
          <t>Striped Gold</t>
        </is>
      </c>
      <c r="G52" s="60" t="n">
        <v>31.95</v>
      </c>
      <c r="H52" s="32" t="inlineStr">
        <is>
          <t>Helium 10 Xray, 2026-10-13</t>
        </is>
      </c>
      <c r="I52" s="61" t="n">
        <v>17.84</v>
      </c>
      <c r="J52" s="62" t="inlineStr">
        <is>
          <t>2026-03-30</t>
        </is>
      </c>
      <c r="K52" s="33" t="n">
        <v>-4.579999999999998</v>
      </c>
      <c r="L52" s="63" t="n">
        <v>-0.256726457399103</v>
      </c>
      <c r="M52" s="64" t="n">
        <v>5</v>
      </c>
      <c r="N52" s="32" t="inlineStr">
        <is>
          <t>Active</t>
        </is>
      </c>
      <c r="O52" s="32" t="n"/>
      <c r="P52" s="65" t="n">
        <v>4.4</v>
      </c>
      <c r="Q52" s="64" t="n">
        <v>1628</v>
      </c>
      <c r="R52" s="64" t="n">
        <v>52125</v>
      </c>
      <c r="S52" s="64" t="n">
        <v>6</v>
      </c>
      <c r="T52" s="32" t="n"/>
    </row>
    <row r="53" ht="62" customHeight="1">
      <c r="A53" s="10">
        <f>_xlfn.IMAGE("https://m.media-amazon.com/images/I/81gUBcWN2iL.jpg")</f>
        <v/>
      </c>
      <c r="B53" s="32" t="inlineStr">
        <is>
          <t>B0D9QSZR2C</t>
        </is>
      </c>
      <c r="C53" s="32" t="inlineStr">
        <is>
          <t>SATIN-6PC-KING-BABY BLUE</t>
        </is>
      </c>
      <c r="D53" s="32" t="inlineStr">
        <is>
          <t>DECOLURE Satin Sheets King Size | Softer Than Silk | Luxury 6 Pc Bed Set</t>
        </is>
      </c>
      <c r="E53" s="32" t="inlineStr">
        <is>
          <t>King</t>
        </is>
      </c>
      <c r="F53" s="32" t="inlineStr">
        <is>
          <t>Baby Blue</t>
        </is>
      </c>
      <c r="G53" s="60" t="n">
        <v>33.95</v>
      </c>
      <c r="H53" s="32" t="inlineStr">
        <is>
          <t>Helium 10 Xray, 2026-10-13</t>
        </is>
      </c>
      <c r="I53" s="61" t="n">
        <v>33.95</v>
      </c>
      <c r="J53" s="62" t="inlineStr">
        <is>
          <t>2026-03-04</t>
        </is>
      </c>
      <c r="K53" s="33" t="n">
        <v>8.910000000000002</v>
      </c>
      <c r="L53" s="63" t="n">
        <v>0.2624447717231222</v>
      </c>
      <c r="M53" s="64" t="n">
        <v>4</v>
      </c>
      <c r="N53" s="32" t="inlineStr">
        <is>
          <t>Active</t>
        </is>
      </c>
      <c r="O53" s="32" t="n"/>
      <c r="P53" s="65" t="n">
        <v>4.4</v>
      </c>
      <c r="Q53" s="64" t="n">
        <v>1628</v>
      </c>
      <c r="R53" s="64" t="n">
        <v>52121</v>
      </c>
      <c r="S53" s="64" t="n">
        <v>2</v>
      </c>
      <c r="T53" s="32" t="n"/>
    </row>
    <row r="54" ht="62" customHeight="1">
      <c r="A54" s="10">
        <f>_xlfn.IMAGE("https://m.media-amazon.com/images/I/81lpi8F4ATL.jpg")</f>
        <v/>
      </c>
      <c r="B54" s="32" t="inlineStr">
        <is>
          <t>B0D9QTCGWW</t>
        </is>
      </c>
      <c r="C54" s="32" t="inlineStr">
        <is>
          <t>SATIN-6PC-KING-SAGE GREEN</t>
        </is>
      </c>
      <c r="D54" s="32" t="inlineStr">
        <is>
          <t>DECOLURE Satin Sheets King Size | Softer Than Silk | Luxury 6 Pc Bed Set</t>
        </is>
      </c>
      <c r="E54" s="32" t="inlineStr">
        <is>
          <t>King</t>
        </is>
      </c>
      <c r="F54" s="32" t="inlineStr">
        <is>
          <t>Sage Green</t>
        </is>
      </c>
      <c r="G54" s="60" t="n">
        <v>33.95</v>
      </c>
      <c r="H54" s="32" t="inlineStr">
        <is>
          <t>Helium 10 Xray, 2026-10-13</t>
        </is>
      </c>
      <c r="I54" s="61" t="n">
        <v>33.95</v>
      </c>
      <c r="J54" s="62" t="inlineStr">
        <is>
          <t>2026-03-30</t>
        </is>
      </c>
      <c r="K54" s="33" t="n">
        <v>8.680000000000003</v>
      </c>
      <c r="L54" s="63" t="n">
        <v>0.2556701030927836</v>
      </c>
      <c r="M54" s="64" t="n">
        <v>4</v>
      </c>
      <c r="N54" s="32" t="inlineStr">
        <is>
          <t>Active</t>
        </is>
      </c>
      <c r="O54" s="32" t="n"/>
      <c r="P54" s="65" t="n">
        <v>4.4</v>
      </c>
      <c r="Q54" s="64" t="n">
        <v>1628</v>
      </c>
      <c r="R54" s="64" t="n">
        <v>52125</v>
      </c>
      <c r="S54" s="64" t="n">
        <v>1</v>
      </c>
      <c r="T54" s="32" t="n"/>
    </row>
    <row r="55" ht="62" customHeight="1">
      <c r="A55" s="10">
        <f>_xlfn.IMAGE("https://m.media-amazon.com/images/I/81JDVBgWOSL.jpg")</f>
        <v/>
      </c>
      <c r="B55" s="32" t="inlineStr">
        <is>
          <t>B0C7F5VMC8</t>
        </is>
      </c>
      <c r="C55" s="32" t="inlineStr">
        <is>
          <t>SATIN-WHITE-KING-6PCS</t>
        </is>
      </c>
      <c r="D55" s="32" t="inlineStr">
        <is>
          <t>DECOLURE Satin Bed Sheets - 6 Piece Luxury Silky King Size Bedding Set - Softer Than Silk, Wrinkle-Free with 15” Deep Pocket Fitted Sheet, Perfect for Hair &amp; Skin, Gifts for Women (White)</t>
        </is>
      </c>
      <c r="E55" s="32" t="inlineStr">
        <is>
          <t>King</t>
        </is>
      </c>
      <c r="F55" s="32" t="inlineStr">
        <is>
          <t>White</t>
        </is>
      </c>
      <c r="G55" s="60" t="n">
        <v>33.95</v>
      </c>
      <c r="H55" s="32" t="inlineStr">
        <is>
          <t>Helium 10 Xray, 2026-10-13</t>
        </is>
      </c>
      <c r="I55" s="61" t="n">
        <v>33.95</v>
      </c>
      <c r="J55" s="62" t="inlineStr">
        <is>
          <t>2026-03-30</t>
        </is>
      </c>
      <c r="K55" s="33" t="n">
        <v>8.300000000000002</v>
      </c>
      <c r="L55" s="63" t="n">
        <v>0.2444771723122239</v>
      </c>
      <c r="M55" s="64" t="n">
        <v>4</v>
      </c>
      <c r="N55" s="32" t="inlineStr">
        <is>
          <t>Active</t>
        </is>
      </c>
      <c r="O55" s="32" t="n"/>
      <c r="P55" s="65" t="n">
        <v>4</v>
      </c>
      <c r="Q55" s="64" t="n">
        <v>28</v>
      </c>
      <c r="R55" s="64" t="n">
        <v>1165488</v>
      </c>
      <c r="S55" s="64" t="n">
        <v>6</v>
      </c>
      <c r="T55" s="66" t="inlineStr">
        <is>
          <t>SEPARATE listing - not in the main review family</t>
        </is>
      </c>
    </row>
    <row r="56" ht="62" customHeight="1">
      <c r="A56" s="10">
        <f>_xlfn.IMAGE("https://m.media-amazon.com/images/I/81QbKTHtUqL.jpg")</f>
        <v/>
      </c>
      <c r="B56" s="32" t="inlineStr">
        <is>
          <t>B0C7FJ461D</t>
        </is>
      </c>
      <c r="C56" s="32" t="inlineStr">
        <is>
          <t>SATIN-QUEEN-BLUE-6PCS</t>
        </is>
      </c>
      <c r="D56" s="32" t="inlineStr">
        <is>
          <t>DECOLURE Satin Sheets Queen Size | Softer Than Silk | Luxury 6 Pc Bed Set</t>
        </is>
      </c>
      <c r="E56" s="32" t="inlineStr">
        <is>
          <t>Queen</t>
        </is>
      </c>
      <c r="F56" s="32" t="inlineStr">
        <is>
          <t>Blue</t>
        </is>
      </c>
      <c r="G56" s="60" t="n">
        <v>31.95</v>
      </c>
      <c r="H56" s="32" t="inlineStr">
        <is>
          <t>Helium 10 Xray, 2026-10-13</t>
        </is>
      </c>
      <c r="I56" s="61" t="n">
        <v>31.95</v>
      </c>
      <c r="J56" s="62" t="inlineStr">
        <is>
          <t>2026-03-30</t>
        </is>
      </c>
      <c r="K56" s="33" t="n">
        <v>9.009999999999998</v>
      </c>
      <c r="L56" s="63" t="n">
        <v>0.2820031298904538</v>
      </c>
      <c r="M56" s="64" t="n">
        <v>4</v>
      </c>
      <c r="N56" s="32" t="inlineStr">
        <is>
          <t>Active</t>
        </is>
      </c>
      <c r="O56" s="32" t="n"/>
      <c r="P56" s="65" t="n">
        <v>4.4</v>
      </c>
      <c r="Q56" s="64" t="n">
        <v>1628</v>
      </c>
      <c r="R56" s="64" t="n">
        <v>52121</v>
      </c>
      <c r="S56" s="64" t="n">
        <v>3</v>
      </c>
      <c r="T56" s="32" t="n"/>
    </row>
    <row r="57" ht="62" customHeight="1">
      <c r="A57" s="10">
        <f>_xlfn.IMAGE("https://m.media-amazon.com/images/I/81xV5hDfr6L.jpg")</f>
        <v/>
      </c>
      <c r="B57" s="32" t="inlineStr">
        <is>
          <t>B0C7KJMDNG</t>
        </is>
      </c>
      <c r="C57" s="32" t="inlineStr">
        <is>
          <t>SATIN-STRIPE-QUEEN-BLUE--6-PCS</t>
        </is>
      </c>
      <c r="D57" s="32" t="inlineStr">
        <is>
          <t>DECOLURE Satin Sheets Queen Size | Softer Than Silk | Luxury 6 Pc Bed Set</t>
        </is>
      </c>
      <c r="E57" s="32" t="inlineStr">
        <is>
          <t>Queen</t>
        </is>
      </c>
      <c r="F57" s="32" t="inlineStr">
        <is>
          <t>Striped Blue</t>
        </is>
      </c>
      <c r="G57" s="60" t="n">
        <v>31.95</v>
      </c>
      <c r="H57" s="32" t="inlineStr">
        <is>
          <t>Helium 10 Xray, 2026-10-13</t>
        </is>
      </c>
      <c r="I57" s="61" t="n">
        <v>31.95</v>
      </c>
      <c r="J57" s="62" t="inlineStr">
        <is>
          <t>2026-03-30</t>
        </is>
      </c>
      <c r="K57" s="33" t="n">
        <v>7.5</v>
      </c>
      <c r="L57" s="63" t="n">
        <v>0.2347417840375587</v>
      </c>
      <c r="M57" s="64" t="n">
        <v>4</v>
      </c>
      <c r="N57" s="32" t="inlineStr">
        <is>
          <t>Active</t>
        </is>
      </c>
      <c r="O57" s="32" t="n"/>
      <c r="P57" s="65" t="n">
        <v>4.4</v>
      </c>
      <c r="Q57" s="64" t="n">
        <v>1628</v>
      </c>
      <c r="R57" s="64" t="n">
        <v>52125</v>
      </c>
      <c r="S57" s="64" t="n">
        <v>4</v>
      </c>
      <c r="T57" s="32" t="n"/>
    </row>
    <row r="58" ht="62" customHeight="1">
      <c r="A58" s="10">
        <f>_xlfn.IMAGE("https://m.media-amazon.com/images/I/81NTDmYCSHL.jpg")</f>
        <v/>
      </c>
      <c r="B58" s="32" t="inlineStr">
        <is>
          <t>B0C7K5TSRR</t>
        </is>
      </c>
      <c r="C58" s="32" t="inlineStr">
        <is>
          <t>SATIN-STRIPE-TWIN-GOLD--6-PCS</t>
        </is>
      </c>
      <c r="D58" s="32" t="inlineStr">
        <is>
          <t>DECOLURE Satin Sheets Twin Size | Softer Than Silk | Luxury 4 Pc Bed Set</t>
        </is>
      </c>
      <c r="E58" s="32" t="inlineStr">
        <is>
          <t>Twin</t>
        </is>
      </c>
      <c r="F58" s="32" t="inlineStr">
        <is>
          <t>Striped Gold</t>
        </is>
      </c>
      <c r="G58" s="60" t="n">
        <v>27.95</v>
      </c>
      <c r="H58" s="32" t="inlineStr">
        <is>
          <t>Helium 10 Xray, 2026-10-13</t>
        </is>
      </c>
      <c r="I58" s="61" t="n">
        <v>34.95</v>
      </c>
      <c r="J58" s="62" t="inlineStr">
        <is>
          <t>2026-03-30</t>
        </is>
      </c>
      <c r="K58" s="33" t="n">
        <v>13.71</v>
      </c>
      <c r="L58" s="63" t="n">
        <v>0.392274678111588</v>
      </c>
      <c r="M58" s="64" t="n">
        <v>4</v>
      </c>
      <c r="N58" s="32" t="inlineStr">
        <is>
          <t>Active</t>
        </is>
      </c>
      <c r="O58" s="32" t="n"/>
      <c r="P58" s="65" t="n">
        <v>4.4</v>
      </c>
      <c r="Q58" s="64" t="n">
        <v>1628</v>
      </c>
      <c r="R58" s="64" t="n">
        <v>52125</v>
      </c>
      <c r="S58" s="64" t="n">
        <v>5</v>
      </c>
      <c r="T58" s="32" t="n"/>
    </row>
    <row r="59" ht="62" customHeight="1">
      <c r="A59" s="10">
        <f>_xlfn.IMAGE("https://m.media-amazon.com/images/I/81gUBcWN2iL.jpg")</f>
        <v/>
      </c>
      <c r="B59" s="32" t="inlineStr">
        <is>
          <t>B0D9QQWYP4</t>
        </is>
      </c>
      <c r="C59" s="32" t="inlineStr">
        <is>
          <t>SATIN-6PC-FULL-BABY BLUE</t>
        </is>
      </c>
      <c r="D59" s="32" t="inlineStr">
        <is>
          <t>DECOLURE Satin Sheets Full Size | Softer Than Silk | Luxury 6 Pc Bed Set</t>
        </is>
      </c>
      <c r="E59" s="32" t="inlineStr">
        <is>
          <t>Full</t>
        </is>
      </c>
      <c r="F59" s="32" t="inlineStr">
        <is>
          <t>Baby Blue</t>
        </is>
      </c>
      <c r="G59" s="60" t="n">
        <v>29.95</v>
      </c>
      <c r="H59" s="32" t="inlineStr">
        <is>
          <t>Helium 10 Xray, 2026-10-13</t>
        </is>
      </c>
      <c r="I59" s="61" t="n">
        <v>41.95</v>
      </c>
      <c r="J59" s="62" t="inlineStr">
        <is>
          <t>2026-03-30</t>
        </is>
      </c>
      <c r="K59" s="33" t="n">
        <v>16.89</v>
      </c>
      <c r="L59" s="63" t="n">
        <v>0.402622169249106</v>
      </c>
      <c r="M59" s="64" t="n">
        <v>3</v>
      </c>
      <c r="N59" s="32" t="inlineStr">
        <is>
          <t>Active</t>
        </is>
      </c>
      <c r="O59" s="32" t="n"/>
      <c r="P59" s="65" t="n">
        <v>4.4</v>
      </c>
      <c r="Q59" s="64" t="n">
        <v>1628</v>
      </c>
      <c r="R59" s="64" t="n">
        <v>52125</v>
      </c>
      <c r="S59" s="64" t="n">
        <v>4</v>
      </c>
      <c r="T59" s="32" t="n"/>
    </row>
    <row r="60" ht="62" customHeight="1">
      <c r="A60" s="10">
        <f>_xlfn.IMAGE("https://m.media-amazon.com/images/I/81QbKTHtUqL.jpg")</f>
        <v/>
      </c>
      <c r="B60" s="32" t="inlineStr">
        <is>
          <t>B0C7FXQZVG</t>
        </is>
      </c>
      <c r="C60" s="32" t="inlineStr">
        <is>
          <t>SATIN-FULL-BLUE-6PCS</t>
        </is>
      </c>
      <c r="D60" s="32" t="inlineStr">
        <is>
          <t>DECOLURE Satin Sheets Full Size | Softer Than Silk | Luxury 6 Pc Bed Set</t>
        </is>
      </c>
      <c r="E60" s="32" t="inlineStr">
        <is>
          <t>Full</t>
        </is>
      </c>
      <c r="F60" s="32" t="inlineStr">
        <is>
          <t>Blue</t>
        </is>
      </c>
      <c r="G60" s="60" t="n">
        <v>29.95</v>
      </c>
      <c r="H60" s="32" t="inlineStr">
        <is>
          <t>Helium 10 Xray, 2026-10-13</t>
        </is>
      </c>
      <c r="I60" s="61" t="n">
        <v>29.95</v>
      </c>
      <c r="J60" s="62" t="inlineStr">
        <is>
          <t>2026-03-30</t>
        </is>
      </c>
      <c r="K60" s="33" t="n">
        <v>7.699999999999999</v>
      </c>
      <c r="L60" s="63" t="n">
        <v>0.2570951585976627</v>
      </c>
      <c r="M60" s="64" t="n">
        <v>3</v>
      </c>
      <c r="N60" s="32" t="inlineStr">
        <is>
          <t>Active</t>
        </is>
      </c>
      <c r="O60" s="32" t="n"/>
      <c r="P60" s="65" t="n">
        <v>4.4</v>
      </c>
      <c r="Q60" s="64" t="n">
        <v>1628</v>
      </c>
      <c r="R60" s="64" t="n">
        <v>52121</v>
      </c>
      <c r="S60" s="64" t="n">
        <v>3</v>
      </c>
      <c r="T60" s="32" t="n"/>
    </row>
    <row r="61" ht="62" customHeight="1">
      <c r="A61" s="10">
        <f>_xlfn.IMAGE("https://m.media-amazon.com/images/I/81PU9JNVXwL._AC_SY355_.jpg")</f>
        <v/>
      </c>
      <c r="B61" s="32" t="inlineStr">
        <is>
          <t>B0D9QRCV3S</t>
        </is>
      </c>
      <c r="C61" s="32" t="inlineStr">
        <is>
          <t>SATIN-6PC-FULL-NAVY BLUE</t>
        </is>
      </c>
      <c r="D61" s="32" t="inlineStr">
        <is>
          <t>DECOLURE Satin Sheets Full Size | Softer Than Silk | Luxury 6 Pc Bed Set</t>
        </is>
      </c>
      <c r="E61" s="32" t="inlineStr">
        <is>
          <t>Full</t>
        </is>
      </c>
      <c r="F61" s="32" t="inlineStr">
        <is>
          <t>Navy Blue</t>
        </is>
      </c>
      <c r="G61" s="60" t="n">
        <v>29.95</v>
      </c>
      <c r="H61" s="32" t="inlineStr">
        <is>
          <t>Helium 10 Xray, 2026-10-13</t>
        </is>
      </c>
      <c r="I61" s="61" t="n">
        <v>36.95</v>
      </c>
      <c r="J61" s="62" t="inlineStr">
        <is>
          <t>2026-03-30</t>
        </is>
      </c>
      <c r="K61" s="33" t="n">
        <v>11.94</v>
      </c>
      <c r="L61" s="63" t="n">
        <v>0.3231393775372126</v>
      </c>
      <c r="M61" s="64" t="n">
        <v>3</v>
      </c>
      <c r="N61" s="32" t="n"/>
      <c r="O61" s="32" t="n"/>
      <c r="P61" s="65" t="n">
        <v>4.4</v>
      </c>
      <c r="Q61" s="64" t="n">
        <v>1628</v>
      </c>
      <c r="R61" s="64" t="n">
        <v>52125</v>
      </c>
      <c r="S61" s="64" t="n">
        <v>3</v>
      </c>
      <c r="T61" s="32" t="n"/>
    </row>
    <row r="62" ht="62" customHeight="1">
      <c r="A62" s="10">
        <f>_xlfn.IMAGE("https://m.media-amazon.com/images/I/81cInbBJAML.jpg")</f>
        <v/>
      </c>
      <c r="B62" s="32" t="inlineStr">
        <is>
          <t>B0C7F65432</t>
        </is>
      </c>
      <c r="C62" s="32" t="inlineStr">
        <is>
          <t>SATIN-FULL-PURPLE-6PCS</t>
        </is>
      </c>
      <c r="D62" s="32" t="inlineStr">
        <is>
          <t>DECOLURE Satin Sheets Full Size | Softer Than Silk | Luxury 6 Pc Bed Set</t>
        </is>
      </c>
      <c r="E62" s="32" t="inlineStr">
        <is>
          <t>Full</t>
        </is>
      </c>
      <c r="F62" s="32" t="inlineStr">
        <is>
          <t>Purple</t>
        </is>
      </c>
      <c r="G62" s="60" t="n">
        <v>29.95</v>
      </c>
      <c r="H62" s="32" t="inlineStr">
        <is>
          <t>Helium 10 Xray, 2026-10-13</t>
        </is>
      </c>
      <c r="I62" s="61" t="n">
        <v>32.95</v>
      </c>
      <c r="J62" s="62" t="inlineStr">
        <is>
          <t>2026-03-30</t>
        </is>
      </c>
      <c r="K62" s="33" t="n">
        <v>9.970000000000001</v>
      </c>
      <c r="L62" s="63" t="n">
        <v>0.3025796661608497</v>
      </c>
      <c r="M62" s="64" t="n">
        <v>3</v>
      </c>
      <c r="N62" s="32" t="inlineStr">
        <is>
          <t>Active</t>
        </is>
      </c>
      <c r="O62" s="32" t="n"/>
      <c r="P62" s="65" t="n">
        <v>4.4</v>
      </c>
      <c r="Q62" s="64" t="n">
        <v>1628</v>
      </c>
      <c r="R62" s="64" t="n">
        <v>52125</v>
      </c>
      <c r="S62" s="64" t="n">
        <v>3</v>
      </c>
      <c r="T62" s="32" t="n"/>
    </row>
    <row r="63" ht="62" customHeight="1">
      <c r="A63" s="10">
        <f>_xlfn.IMAGE("https://m.media-amazon.com/images/I/81uzoBSAZyL.jpg")</f>
        <v/>
      </c>
      <c r="B63" s="32" t="inlineStr">
        <is>
          <t>B0C7FWSYPL</t>
        </is>
      </c>
      <c r="C63" s="32" t="inlineStr">
        <is>
          <t>SATIN-RED-FULL-6-PCS</t>
        </is>
      </c>
      <c r="D63" s="32" t="inlineStr">
        <is>
          <t>DECOLURE Satin Sheets Full Size | Softer Than Silk | Luxury 6 Pc Bed Set</t>
        </is>
      </c>
      <c r="E63" s="32" t="inlineStr">
        <is>
          <t>Full</t>
        </is>
      </c>
      <c r="F63" s="32" t="inlineStr">
        <is>
          <t>Red</t>
        </is>
      </c>
      <c r="G63" s="60" t="n">
        <v>29.95</v>
      </c>
      <c r="H63" s="32" t="inlineStr">
        <is>
          <t>Helium 10 Xray, 2026-10-13</t>
        </is>
      </c>
      <c r="I63" s="61" t="n">
        <v>29.95</v>
      </c>
      <c r="J63" s="62" t="inlineStr">
        <is>
          <t>2026-03-30</t>
        </is>
      </c>
      <c r="K63" s="33" t="n">
        <v>7.56</v>
      </c>
      <c r="L63" s="63" t="n">
        <v>0.2524207011686144</v>
      </c>
      <c r="M63" s="64" t="n">
        <v>3</v>
      </c>
      <c r="N63" s="32" t="inlineStr">
        <is>
          <t>Active</t>
        </is>
      </c>
      <c r="O63" s="32" t="n"/>
      <c r="P63" s="65" t="n">
        <v>4.4</v>
      </c>
      <c r="Q63" s="64" t="n">
        <v>1628</v>
      </c>
      <c r="R63" s="64" t="n">
        <v>52125</v>
      </c>
      <c r="S63" s="64" t="n">
        <v>3</v>
      </c>
      <c r="T63" s="32" t="n"/>
    </row>
    <row r="64" ht="62" customHeight="1">
      <c r="A64" s="10">
        <f>_xlfn.IMAGE("https://m.media-amazon.com/images/I/81lpi8F4ATL.jpg")</f>
        <v/>
      </c>
      <c r="B64" s="32" t="inlineStr">
        <is>
          <t>B0D9QVPJ4C</t>
        </is>
      </c>
      <c r="C64" s="32" t="inlineStr">
        <is>
          <t>SATIN-6PC-FULL-SAGE GREEN</t>
        </is>
      </c>
      <c r="D64" s="32" t="inlineStr">
        <is>
          <t>DECOLURE Satin Sheets Full Size | Softer Than Silk | Luxury 6 Pc Bed Set</t>
        </is>
      </c>
      <c r="E64" s="32" t="inlineStr">
        <is>
          <t>Full</t>
        </is>
      </c>
      <c r="F64" s="32" t="inlineStr">
        <is>
          <t>Sage Green</t>
        </is>
      </c>
      <c r="G64" s="60" t="n">
        <v>29.95</v>
      </c>
      <c r="H64" s="32" t="inlineStr">
        <is>
          <t>Helium 10 Xray, 2026-10-13</t>
        </is>
      </c>
      <c r="I64" s="61" t="n">
        <v>17.97</v>
      </c>
      <c r="J64" s="62" t="inlineStr">
        <is>
          <t>2026-03-30</t>
        </is>
      </c>
      <c r="K64" s="33" t="n">
        <v>-4.470000000000001</v>
      </c>
      <c r="L64" s="63" t="n">
        <v>-0.2487479131886478</v>
      </c>
      <c r="M64" s="64" t="n">
        <v>3</v>
      </c>
      <c r="N64" s="32" t="inlineStr">
        <is>
          <t>Active</t>
        </is>
      </c>
      <c r="O64" s="32" t="n"/>
      <c r="P64" s="65" t="n">
        <v>4.4</v>
      </c>
      <c r="Q64" s="64" t="n">
        <v>1628</v>
      </c>
      <c r="R64" s="64" t="n">
        <v>52121</v>
      </c>
      <c r="S64" s="64" t="n">
        <v>5</v>
      </c>
      <c r="T64" s="32" t="n"/>
    </row>
    <row r="65" ht="62" customHeight="1">
      <c r="A65" s="10">
        <f>_xlfn.IMAGE("https://m.media-amazon.com/images/I/815cp0gvpML.jpg")</f>
        <v/>
      </c>
      <c r="B65" s="32" t="inlineStr">
        <is>
          <t>B0C7G4HJL5</t>
        </is>
      </c>
      <c r="C65" s="32" t="inlineStr">
        <is>
          <t>SATIN-STONEGREY-FULL-6PCS</t>
        </is>
      </c>
      <c r="D65" s="32" t="inlineStr">
        <is>
          <t>DECOLURE Satin Sheets Full Size | Softer Than Silk | Luxury 6 Pc Bed Set</t>
        </is>
      </c>
      <c r="E65" s="32" t="inlineStr">
        <is>
          <t>Full</t>
        </is>
      </c>
      <c r="F65" s="32" t="inlineStr">
        <is>
          <t>Stone Grey</t>
        </is>
      </c>
      <c r="G65" s="60" t="n">
        <v>29.95</v>
      </c>
      <c r="H65" s="32" t="inlineStr">
        <is>
          <t>Helium 10 Xray, 2026-10-13</t>
        </is>
      </c>
      <c r="I65" s="61" t="n">
        <v>40.95</v>
      </c>
      <c r="J65" s="62" t="inlineStr">
        <is>
          <t>2026-03-30</t>
        </is>
      </c>
      <c r="K65" s="33" t="n">
        <v>16.43</v>
      </c>
      <c r="L65" s="63" t="n">
        <v>0.4012210012210012</v>
      </c>
      <c r="M65" s="64" t="n">
        <v>3</v>
      </c>
      <c r="N65" s="32" t="inlineStr">
        <is>
          <t>Active</t>
        </is>
      </c>
      <c r="O65" s="32" t="n"/>
      <c r="P65" s="65" t="n">
        <v>4.4</v>
      </c>
      <c r="Q65" s="64" t="n">
        <v>1628</v>
      </c>
      <c r="R65" s="64" t="n">
        <v>52125</v>
      </c>
      <c r="S65" s="64" t="n">
        <v>3</v>
      </c>
      <c r="T65" s="32" t="n"/>
    </row>
    <row r="66" ht="62" customHeight="1">
      <c r="A66" s="10">
        <f>_xlfn.IMAGE("https://m.media-amazon.com/images/I/81lpi8F4ATL.jpg")</f>
        <v/>
      </c>
      <c r="B66" s="32" t="inlineStr">
        <is>
          <t>B0D9QWZJ4P</t>
        </is>
      </c>
      <c r="C66" s="32" t="inlineStr">
        <is>
          <t>SATIN-6PC-QUEEN-SAGE GREEN</t>
        </is>
      </c>
      <c r="D66" s="32" t="inlineStr">
        <is>
          <t>DECOLURE Satin Sheets Queen Size | Softer Than Silk | Luxury 6 Pc Bed Set</t>
        </is>
      </c>
      <c r="E66" s="32" t="inlineStr">
        <is>
          <t>Queen</t>
        </is>
      </c>
      <c r="F66" s="32" t="inlineStr">
        <is>
          <t>Sage Green</t>
        </is>
      </c>
      <c r="G66" s="60" t="n">
        <v>31.95</v>
      </c>
      <c r="H66" s="32" t="inlineStr">
        <is>
          <t>Helium 10 Xray, 2026-10-13</t>
        </is>
      </c>
      <c r="I66" s="61" t="n">
        <v>31.95</v>
      </c>
      <c r="J66" s="62" t="inlineStr">
        <is>
          <t>2026-03-30</t>
        </is>
      </c>
      <c r="K66" s="33" t="n">
        <v>8.379999999999999</v>
      </c>
      <c r="L66" s="63" t="n">
        <v>0.2622848200312989</v>
      </c>
      <c r="M66" s="64" t="n">
        <v>3</v>
      </c>
      <c r="N66" s="32" t="inlineStr">
        <is>
          <t>Active</t>
        </is>
      </c>
      <c r="O66" s="32" t="n"/>
      <c r="P66" s="65" t="n">
        <v>4.4</v>
      </c>
      <c r="Q66" s="64" t="n">
        <v>1628</v>
      </c>
      <c r="R66" s="64" t="n">
        <v>52121</v>
      </c>
      <c r="S66" s="64" t="n">
        <v>2</v>
      </c>
      <c r="T66" s="32" t="n"/>
    </row>
    <row r="67" ht="62" customHeight="1">
      <c r="A67" s="10">
        <f>_xlfn.IMAGE("https://m.media-amazon.com/images/I/81k4pZo8ZKL.jpg")</f>
        <v/>
      </c>
      <c r="B67" s="32" t="inlineStr">
        <is>
          <t>B0C7K5GC4L</t>
        </is>
      </c>
      <c r="C67" s="32" t="inlineStr">
        <is>
          <t>SATIN-STRIPE-QUEEN-BLACK--6-PCS</t>
        </is>
      </c>
      <c r="D67" s="32" t="inlineStr">
        <is>
          <t>DECOLURE Satin Sheets Queen Size | Softer Than Silk | Luxury 6 Pc Bed Set</t>
        </is>
      </c>
      <c r="E67" s="32" t="inlineStr">
        <is>
          <t>Queen</t>
        </is>
      </c>
      <c r="F67" s="32" t="inlineStr">
        <is>
          <t>Striped Black</t>
        </is>
      </c>
      <c r="G67" s="60" t="n">
        <v>31.95</v>
      </c>
      <c r="H67" s="32" t="inlineStr">
        <is>
          <t>Helium 10 Xray, 2026-10-13</t>
        </is>
      </c>
      <c r="I67" s="61" t="n">
        <v>31.95</v>
      </c>
      <c r="J67" s="62" t="inlineStr">
        <is>
          <t>2026-03-30</t>
        </is>
      </c>
      <c r="K67" s="33" t="n">
        <v>8.049999999999999</v>
      </c>
      <c r="L67" s="63" t="n">
        <v>0.2519561815336463</v>
      </c>
      <c r="M67" s="64" t="n">
        <v>3</v>
      </c>
      <c r="N67" s="32" t="inlineStr">
        <is>
          <t>Active</t>
        </is>
      </c>
      <c r="O67" s="32" t="n"/>
      <c r="P67" s="65" t="n">
        <v>4.4</v>
      </c>
      <c r="Q67" s="64" t="n">
        <v>1628</v>
      </c>
      <c r="R67" s="64" t="n">
        <v>52125</v>
      </c>
      <c r="S67" s="64" t="n">
        <v>3</v>
      </c>
      <c r="T67" s="32" t="n"/>
    </row>
    <row r="68" ht="62" customHeight="1">
      <c r="A68" s="10">
        <f>_xlfn.IMAGE("https://m.media-amazon.com/images/I/91LEDRktAdL.jpg")</f>
        <v/>
      </c>
      <c r="B68" s="32" t="inlineStr">
        <is>
          <t>B0C7KBHV72</t>
        </is>
      </c>
      <c r="C68" s="32" t="inlineStr">
        <is>
          <t>SATIN-STRIPE-QUEEN-RED--6-PCS</t>
        </is>
      </c>
      <c r="D68" s="32" t="inlineStr">
        <is>
          <t>DECOLURE Satin Bed Sheets - 6 Piece Luxury Silky Queen Size Bedding Set - Softer Than Silk, Wrinkle-Free with 15” Deep Pocket Fitted Sheet, Perfect for Hair &amp; Skin, Gifts for Women (Striped Red-01)</t>
        </is>
      </c>
      <c r="E68" s="32" t="inlineStr">
        <is>
          <t>Queen</t>
        </is>
      </c>
      <c r="F68" s="32" t="inlineStr">
        <is>
          <t>Striped Red</t>
        </is>
      </c>
      <c r="G68" s="60" t="n">
        <v>31.95</v>
      </c>
      <c r="H68" s="32" t="inlineStr">
        <is>
          <t>SellerBoard listing price, 2026-10-14</t>
        </is>
      </c>
      <c r="I68" s="61" t="n">
        <v>31.95</v>
      </c>
      <c r="J68" s="62" t="inlineStr">
        <is>
          <t>2026-03-30</t>
        </is>
      </c>
      <c r="K68" s="33" t="n">
        <v>7.49</v>
      </c>
      <c r="L68" s="63" t="n">
        <v>0.2344287949921753</v>
      </c>
      <c r="M68" s="64" t="n">
        <v>3</v>
      </c>
      <c r="N68" s="32" t="inlineStr">
        <is>
          <t>Active</t>
        </is>
      </c>
      <c r="O68" s="32" t="n"/>
      <c r="P68" s="65" t="n"/>
      <c r="Q68" s="64" t="n"/>
      <c r="R68" s="64" t="n"/>
      <c r="S68" s="64" t="n"/>
      <c r="T68" s="32" t="n"/>
    </row>
    <row r="69" ht="62" customHeight="1">
      <c r="A69" s="10">
        <f>_xlfn.IMAGE("https://m.media-amazon.com/images/I/81v12xURZRL.jpg")</f>
        <v/>
      </c>
      <c r="B69" s="32" t="inlineStr">
        <is>
          <t>B0C7JQ8266</t>
        </is>
      </c>
      <c r="C69" s="32" t="inlineStr">
        <is>
          <t>SATIN-STRIPE-QUEEN-WHITE--6-PCS</t>
        </is>
      </c>
      <c r="D69" s="32" t="inlineStr">
        <is>
          <t>DECOLURE Satin Sheets Queen Size | Softer Than Silk | Luxury 6 Pc Bed Set</t>
        </is>
      </c>
      <c r="E69" s="32" t="inlineStr">
        <is>
          <t>Queen</t>
        </is>
      </c>
      <c r="F69" s="32" t="inlineStr">
        <is>
          <t>Striped White</t>
        </is>
      </c>
      <c r="G69" s="60" t="n">
        <v>31.95</v>
      </c>
      <c r="H69" s="32" t="inlineStr">
        <is>
          <t>Helium 10 Xray, 2026-10-13</t>
        </is>
      </c>
      <c r="I69" s="61" t="n">
        <v>30.76</v>
      </c>
      <c r="J69" s="62" t="inlineStr">
        <is>
          <t>2026-03-30</t>
        </is>
      </c>
      <c r="K69" s="33" t="n">
        <v>6.520000000000001</v>
      </c>
      <c r="L69" s="63" t="n">
        <v>0.2119635890767231</v>
      </c>
      <c r="M69" s="64" t="n">
        <v>3</v>
      </c>
      <c r="N69" s="32" t="inlineStr">
        <is>
          <t>Active</t>
        </is>
      </c>
      <c r="O69" s="32" t="n"/>
      <c r="P69" s="65" t="n">
        <v>4.4</v>
      </c>
      <c r="Q69" s="64" t="n">
        <v>1628</v>
      </c>
      <c r="R69" s="64" t="n">
        <v>52125</v>
      </c>
      <c r="S69" s="64" t="n">
        <v>6</v>
      </c>
      <c r="T69" s="32" t="n"/>
    </row>
    <row r="70" ht="62" customHeight="1">
      <c r="A70" s="10">
        <f>_xlfn.IMAGE("https://m.media-amazon.com/images/I/81eI9Bizi9L.jpg")</f>
        <v/>
      </c>
      <c r="B70" s="32" t="inlineStr">
        <is>
          <t>B0C7FNVCWM</t>
        </is>
      </c>
      <c r="C70" s="32" t="inlineStr">
        <is>
          <t>SATIN-TWIN-GREY-6PCS</t>
        </is>
      </c>
      <c r="D70" s="32" t="inlineStr">
        <is>
          <t>DECOLURE Satin Sheets Twin Size | Softer Than Silk | Luxury 4 Pc Bed Set</t>
        </is>
      </c>
      <c r="E70" s="32" t="inlineStr">
        <is>
          <t>Twin</t>
        </is>
      </c>
      <c r="F70" s="32" t="inlineStr">
        <is>
          <t>Grey</t>
        </is>
      </c>
      <c r="G70" s="60" t="n">
        <v>27.95</v>
      </c>
      <c r="H70" s="32" t="inlineStr">
        <is>
          <t>Helium 10 Xray, 2026-10-13</t>
        </is>
      </c>
      <c r="I70" s="61" t="n">
        <v>27.95</v>
      </c>
      <c r="J70" s="62" t="inlineStr">
        <is>
          <t>2026-03-30</t>
        </is>
      </c>
      <c r="K70" s="33" t="n">
        <v>7.169999999999996</v>
      </c>
      <c r="L70" s="63" t="n">
        <v>0.2565295169946332</v>
      </c>
      <c r="M70" s="64" t="n">
        <v>3</v>
      </c>
      <c r="N70" s="32" t="inlineStr">
        <is>
          <t>Active</t>
        </is>
      </c>
      <c r="O70" s="32" t="n"/>
      <c r="P70" s="65" t="n">
        <v>4.4</v>
      </c>
      <c r="Q70" s="64" t="n">
        <v>1628</v>
      </c>
      <c r="R70" s="64" t="n">
        <v>52125</v>
      </c>
      <c r="S70" s="64" t="n">
        <v>6</v>
      </c>
      <c r="T70" s="32" t="n"/>
    </row>
    <row r="71" ht="62" customHeight="1">
      <c r="A71" s="10">
        <f>_xlfn.IMAGE("https://m.media-amazon.com/images/I/814pweSkMgL.jpg")</f>
        <v/>
      </c>
      <c r="B71" s="32" t="inlineStr">
        <is>
          <t>B0D9QTXKQ8</t>
        </is>
      </c>
      <c r="C71" s="32" t="inlineStr">
        <is>
          <t>SATIN-4PC-TWIN-LAVENDER</t>
        </is>
      </c>
      <c r="D71" s="32" t="inlineStr">
        <is>
          <t>DECOLURE Satin Sheets Twin Size | Softer Than Silk | Luxury 4 Pc Bed Set</t>
        </is>
      </c>
      <c r="E71" s="32" t="inlineStr">
        <is>
          <t>Twin</t>
        </is>
      </c>
      <c r="F71" s="32" t="inlineStr">
        <is>
          <t>Lavender</t>
        </is>
      </c>
      <c r="G71" s="60" t="n">
        <v>27.95</v>
      </c>
      <c r="H71" s="32" t="inlineStr">
        <is>
          <t>Helium 10 Xray, 2026-10-13</t>
        </is>
      </c>
      <c r="I71" s="61" t="n">
        <v>27.95</v>
      </c>
      <c r="J71" s="62" t="inlineStr">
        <is>
          <t>2026-03-30</t>
        </is>
      </c>
      <c r="K71" s="33" t="n">
        <v>9.529999999999998</v>
      </c>
      <c r="L71" s="63" t="n">
        <v>0.3409660107334525</v>
      </c>
      <c r="M71" s="64" t="n">
        <v>3</v>
      </c>
      <c r="N71" s="32" t="inlineStr">
        <is>
          <t>Active</t>
        </is>
      </c>
      <c r="O71" s="32" t="n"/>
      <c r="P71" s="65" t="n">
        <v>4.4</v>
      </c>
      <c r="Q71" s="64" t="n">
        <v>1628</v>
      </c>
      <c r="R71" s="64" t="n">
        <v>52125</v>
      </c>
      <c r="S71" s="64" t="n">
        <v>6</v>
      </c>
      <c r="T71" s="32" t="n"/>
    </row>
    <row r="72" ht="62" customHeight="1">
      <c r="A72" s="10">
        <f>_xlfn.IMAGE("https://m.media-amazon.com/images/I/81EP82PeCzL.jpg")</f>
        <v/>
      </c>
      <c r="B72" s="32" t="inlineStr">
        <is>
          <t>B0C7FDN7ZM</t>
        </is>
      </c>
      <c r="C72" s="32" t="inlineStr">
        <is>
          <t>SATIN-ROSEWOOD-TWIN-6PCS</t>
        </is>
      </c>
      <c r="D72" s="32" t="inlineStr">
        <is>
          <t>DECOLURE Satin Sheets Twin Size | Softer Than Silk | Luxury 4 Pc Bed Set</t>
        </is>
      </c>
      <c r="E72" s="32" t="inlineStr">
        <is>
          <t>Twin</t>
        </is>
      </c>
      <c r="F72" s="32" t="inlineStr">
        <is>
          <t>Rosewood</t>
        </is>
      </c>
      <c r="G72" s="60" t="n">
        <v>27.95</v>
      </c>
      <c r="H72" s="32" t="inlineStr">
        <is>
          <t>Helium 10 Xray, 2026-10-13</t>
        </is>
      </c>
      <c r="I72" s="61" t="n">
        <v>36.95</v>
      </c>
      <c r="J72" s="62" t="inlineStr">
        <is>
          <t>2026-03-30</t>
        </is>
      </c>
      <c r="K72" s="33" t="n">
        <v>16.47000000000001</v>
      </c>
      <c r="L72" s="63" t="n">
        <v>0.4457374830852505</v>
      </c>
      <c r="M72" s="64" t="n">
        <v>3</v>
      </c>
      <c r="N72" s="32" t="inlineStr">
        <is>
          <t>Active</t>
        </is>
      </c>
      <c r="O72" s="32" t="n"/>
      <c r="P72" s="65" t="n">
        <v>4.4</v>
      </c>
      <c r="Q72" s="64" t="n">
        <v>1628</v>
      </c>
      <c r="R72" s="64" t="n">
        <v>52125</v>
      </c>
      <c r="S72" s="64" t="n">
        <v>6</v>
      </c>
      <c r="T72" s="32" t="n"/>
    </row>
    <row r="73" ht="62" customHeight="1">
      <c r="A73" s="10">
        <f>_xlfn.IMAGE("https://m.media-amazon.com/images/I/81NXdWsawHL.jpg")</f>
        <v/>
      </c>
      <c r="B73" s="32" t="inlineStr">
        <is>
          <t>B0C7FSXPC5</t>
        </is>
      </c>
      <c r="C73" s="32" t="inlineStr">
        <is>
          <t>SATIN-CHAMPAGNE-FULL-6PCS</t>
        </is>
      </c>
      <c r="D73" s="32" t="inlineStr">
        <is>
          <t>DECOLURE Satin Sheets Full Size | Softer Than Silk | Luxury 6 Pc Bed Set</t>
        </is>
      </c>
      <c r="E73" s="32" t="inlineStr">
        <is>
          <t>Full</t>
        </is>
      </c>
      <c r="F73" s="32" t="inlineStr">
        <is>
          <t>Champagne</t>
        </is>
      </c>
      <c r="G73" s="60" t="n">
        <v>29.95</v>
      </c>
      <c r="H73" s="32" t="inlineStr">
        <is>
          <t>Helium 10 Xray, 2026-10-13</t>
        </is>
      </c>
      <c r="I73" s="61" t="n">
        <v>31.95</v>
      </c>
      <c r="J73" s="62" t="inlineStr">
        <is>
          <t>2026-03-30</t>
        </is>
      </c>
      <c r="K73" s="33" t="n">
        <v>9.270000000000001</v>
      </c>
      <c r="L73" s="63" t="n">
        <v>0.2901408450704226</v>
      </c>
      <c r="M73" s="64" t="n">
        <v>2</v>
      </c>
      <c r="N73" s="32" t="inlineStr">
        <is>
          <t>Active</t>
        </is>
      </c>
      <c r="O73" s="32" t="n"/>
      <c r="P73" s="65" t="n">
        <v>4.4</v>
      </c>
      <c r="Q73" s="64" t="n">
        <v>1628</v>
      </c>
      <c r="R73" s="64" t="n">
        <v>52125</v>
      </c>
      <c r="S73" s="64" t="n">
        <v>3</v>
      </c>
      <c r="T73" s="32" t="n"/>
    </row>
    <row r="74" ht="62" customHeight="1">
      <c r="A74" s="10">
        <f>_xlfn.IMAGE("https://m.media-amazon.com/images/I/81OBu-lV5UL.jpg")</f>
        <v/>
      </c>
      <c r="B74" s="32" t="inlineStr">
        <is>
          <t>B0C7FQTJYM</t>
        </is>
      </c>
      <c r="C74" s="32" t="inlineStr">
        <is>
          <t>SATIN-FULL-PINK-6PCS</t>
        </is>
      </c>
      <c r="D74" s="32" t="inlineStr">
        <is>
          <t>DECOLURE Satin Sheets Full Size | Softer Than Silk | Luxury 6 Pc Bed Set</t>
        </is>
      </c>
      <c r="E74" s="32" t="inlineStr">
        <is>
          <t>Full</t>
        </is>
      </c>
      <c r="F74" s="32" t="inlineStr">
        <is>
          <t>Pink</t>
        </is>
      </c>
      <c r="G74" s="60" t="n">
        <v>29.95</v>
      </c>
      <c r="H74" s="32" t="inlineStr">
        <is>
          <t>Helium 10 Xray, 2026-10-13</t>
        </is>
      </c>
      <c r="I74" s="61" t="n">
        <v>41.95</v>
      </c>
      <c r="J74" s="62" t="inlineStr">
        <is>
          <t>2026-03-30</t>
        </is>
      </c>
      <c r="K74" s="33" t="n">
        <v>18.8</v>
      </c>
      <c r="L74" s="63" t="n">
        <v>0.4481525625744935</v>
      </c>
      <c r="M74" s="64" t="n">
        <v>2</v>
      </c>
      <c r="N74" s="32" t="inlineStr">
        <is>
          <t>Active</t>
        </is>
      </c>
      <c r="O74" s="32" t="n"/>
      <c r="P74" s="65" t="n">
        <v>4.4</v>
      </c>
      <c r="Q74" s="64" t="n">
        <v>1628</v>
      </c>
      <c r="R74" s="64" t="n">
        <v>52125</v>
      </c>
      <c r="S74" s="64" t="n">
        <v>4</v>
      </c>
      <c r="T74" s="32" t="n"/>
    </row>
    <row r="75" ht="62" customHeight="1">
      <c r="A75" s="10">
        <f>_xlfn.IMAGE("https://m.media-amazon.com/images/I/818xrpI8WdL.jpg")</f>
        <v/>
      </c>
      <c r="B75" s="32" t="inlineStr">
        <is>
          <t>B0C7FW4Q1C</t>
        </is>
      </c>
      <c r="C75" s="32" t="inlineStr">
        <is>
          <t>SATIN-SEA-TEAL-FULL-6PCS</t>
        </is>
      </c>
      <c r="D75" s="32" t="inlineStr">
        <is>
          <t>DECOLURE Satin Sheets Full Size | Softer Than Silk | Luxury 6 Pc Bed Set</t>
        </is>
      </c>
      <c r="E75" s="32" t="inlineStr">
        <is>
          <t>Full</t>
        </is>
      </c>
      <c r="F75" s="32" t="inlineStr">
        <is>
          <t>Sea Teal</t>
        </is>
      </c>
      <c r="G75" s="60" t="n">
        <v>29.95</v>
      </c>
      <c r="H75" s="32" t="inlineStr">
        <is>
          <t>Helium 10 Xray, 2026-10-13</t>
        </is>
      </c>
      <c r="I75" s="61" t="n">
        <v>34.95</v>
      </c>
      <c r="J75" s="62" t="inlineStr">
        <is>
          <t>2026-03-30</t>
        </is>
      </c>
      <c r="K75" s="33" t="n">
        <v>11.91</v>
      </c>
      <c r="L75" s="63" t="n">
        <v>0.3407725321888412</v>
      </c>
      <c r="M75" s="64" t="n">
        <v>2</v>
      </c>
      <c r="N75" s="32" t="inlineStr">
        <is>
          <t>Active</t>
        </is>
      </c>
      <c r="O75" s="32" t="n"/>
      <c r="P75" s="65" t="n">
        <v>4.4</v>
      </c>
      <c r="Q75" s="64" t="n">
        <v>1628</v>
      </c>
      <c r="R75" s="64" t="n">
        <v>52125</v>
      </c>
      <c r="S75" s="64" t="n">
        <v>2</v>
      </c>
      <c r="T75" s="32" t="n"/>
    </row>
    <row r="76" ht="62" customHeight="1">
      <c r="A76" s="10">
        <f>_xlfn.IMAGE("https://m.media-amazon.com/images/I/81TFWOCMZHL.jpg")</f>
        <v/>
      </c>
      <c r="B76" s="32" t="inlineStr">
        <is>
          <t>B0C7FFMKP8</t>
        </is>
      </c>
      <c r="C76" s="32" t="inlineStr">
        <is>
          <t>SATIN-IVORY-KING-6PCS</t>
        </is>
      </c>
      <c r="D76" s="32" t="inlineStr">
        <is>
          <t>DECOLURE Satin Sheets King Size | Softer Than Silk | Luxury 6 Pc Bed Set</t>
        </is>
      </c>
      <c r="E76" s="32" t="inlineStr">
        <is>
          <t>King</t>
        </is>
      </c>
      <c r="F76" s="32" t="inlineStr">
        <is>
          <t>Ivory</t>
        </is>
      </c>
      <c r="G76" s="60" t="n">
        <v>33.95</v>
      </c>
      <c r="H76" s="32" t="inlineStr">
        <is>
          <t>Helium 10 Xray, 2026-10-13</t>
        </is>
      </c>
      <c r="I76" s="61" t="n">
        <v>33.95</v>
      </c>
      <c r="J76" s="62" t="inlineStr">
        <is>
          <t>2026-03-30</t>
        </is>
      </c>
      <c r="K76" s="33" t="n">
        <v>9.320000000000004</v>
      </c>
      <c r="L76" s="63" t="n">
        <v>0.2745213549337261</v>
      </c>
      <c r="M76" s="64" t="n">
        <v>2</v>
      </c>
      <c r="N76" s="32" t="inlineStr">
        <is>
          <t>Active</t>
        </is>
      </c>
      <c r="O76" s="32" t="n"/>
      <c r="P76" s="65" t="n">
        <v>4.4</v>
      </c>
      <c r="Q76" s="64" t="n">
        <v>1628</v>
      </c>
      <c r="R76" s="64" t="n">
        <v>52125</v>
      </c>
      <c r="S76" s="64" t="n">
        <v>4</v>
      </c>
      <c r="T76" s="32" t="n"/>
    </row>
    <row r="77" ht="62" customHeight="1">
      <c r="A77" s="10">
        <f>_xlfn.IMAGE("https://m.media-amazon.com/images/I/81OBu-lV5UL.jpg")</f>
        <v/>
      </c>
      <c r="B77" s="32" t="inlineStr">
        <is>
          <t>B0C7FMDPBF</t>
        </is>
      </c>
      <c r="C77" s="32" t="inlineStr">
        <is>
          <t>SATIN-KING-PINK-6PCS</t>
        </is>
      </c>
      <c r="D77" s="32" t="inlineStr">
        <is>
          <t>DECOLURE Satin Sheets King Size | Softer Than Silk | Luxury 6 Pc Bed Set</t>
        </is>
      </c>
      <c r="E77" s="32" t="inlineStr">
        <is>
          <t>King</t>
        </is>
      </c>
      <c r="F77" s="32" t="inlineStr">
        <is>
          <t>Pink</t>
        </is>
      </c>
      <c r="G77" s="60" t="n">
        <v>33.95</v>
      </c>
      <c r="H77" s="32" t="inlineStr">
        <is>
          <t>Helium 10 Xray, 2026-10-13</t>
        </is>
      </c>
      <c r="I77" s="61" t="n">
        <v>48.95</v>
      </c>
      <c r="J77" s="62" t="inlineStr">
        <is>
          <t>2026-03-30</t>
        </is>
      </c>
      <c r="K77" s="33" t="n">
        <v>22.08</v>
      </c>
      <c r="L77" s="63" t="n">
        <v>0.4510725229826352</v>
      </c>
      <c r="M77" s="64" t="n">
        <v>2</v>
      </c>
      <c r="N77" s="32" t="inlineStr">
        <is>
          <t>Active</t>
        </is>
      </c>
      <c r="O77" s="32" t="n"/>
      <c r="P77" s="65" t="n">
        <v>4.4</v>
      </c>
      <c r="Q77" s="64" t="n">
        <v>1628</v>
      </c>
      <c r="R77" s="64" t="n">
        <v>52125</v>
      </c>
      <c r="S77" s="64" t="n">
        <v>3</v>
      </c>
      <c r="T77" s="32" t="n"/>
    </row>
    <row r="78" ht="62" customHeight="1">
      <c r="A78" s="10">
        <f>_xlfn.IMAGE("https://m.media-amazon.com/images/I/81kHTwIB46L.jpg")</f>
        <v/>
      </c>
      <c r="B78" s="32" t="inlineStr">
        <is>
          <t>B0D9QR66X1</t>
        </is>
      </c>
      <c r="C78" s="32" t="inlineStr">
        <is>
          <t>SATIN-6PC-QUEEN-BLUSH PINK</t>
        </is>
      </c>
      <c r="D78" s="32" t="inlineStr">
        <is>
          <t>DECOLURE Satin Sheets Queen Size | Softer Than Silk | Luxury 6 Pc Bed Set</t>
        </is>
      </c>
      <c r="E78" s="32" t="inlineStr">
        <is>
          <t>Queen</t>
        </is>
      </c>
      <c r="F78" s="32" t="inlineStr">
        <is>
          <t>Blush Pink</t>
        </is>
      </c>
      <c r="G78" s="60" t="n">
        <v>31.95</v>
      </c>
      <c r="H78" s="32" t="inlineStr">
        <is>
          <t>Helium 10 Xray, 2026-10-13</t>
        </is>
      </c>
      <c r="I78" s="61" t="n">
        <v>31.95</v>
      </c>
      <c r="J78" s="62" t="inlineStr">
        <is>
          <t>2026-03-30</t>
        </is>
      </c>
      <c r="K78" s="33" t="n">
        <v>8.370000000000001</v>
      </c>
      <c r="L78" s="63" t="n">
        <v>0.2619718309859155</v>
      </c>
      <c r="M78" s="64" t="n">
        <v>2</v>
      </c>
      <c r="N78" s="32" t="inlineStr">
        <is>
          <t>Active</t>
        </is>
      </c>
      <c r="O78" s="32" t="n"/>
      <c r="P78" s="65" t="n">
        <v>4.4</v>
      </c>
      <c r="Q78" s="64" t="n">
        <v>1628</v>
      </c>
      <c r="R78" s="64" t="n">
        <v>52125</v>
      </c>
      <c r="S78" s="64" t="n">
        <v>118</v>
      </c>
      <c r="T78" s="32" t="n"/>
    </row>
    <row r="79" ht="62" customHeight="1">
      <c r="A79" s="10">
        <f>_xlfn.IMAGE("https://m.media-amazon.com/images/I/81PBLKf1SBL.jpg")</f>
        <v/>
      </c>
      <c r="B79" s="32" t="inlineStr">
        <is>
          <t>B0C7K438ML</t>
        </is>
      </c>
      <c r="C79" s="32" t="inlineStr">
        <is>
          <t>SATIN-STRIPE-QUEEN-GRAY--6-PCS</t>
        </is>
      </c>
      <c r="D79" s="32" t="inlineStr">
        <is>
          <t>DECOLURE Satin Sheets Queen Size | Softer Than Silk | Luxury 6 Pc Bed Set</t>
        </is>
      </c>
      <c r="E79" s="32" t="inlineStr">
        <is>
          <t>Queen</t>
        </is>
      </c>
      <c r="F79" s="32" t="inlineStr">
        <is>
          <t>Striped Grey</t>
        </is>
      </c>
      <c r="G79" s="60" t="n">
        <v>31.95</v>
      </c>
      <c r="H79" s="32" t="inlineStr">
        <is>
          <t>Helium 10 Xray, 2026-10-13</t>
        </is>
      </c>
      <c r="I79" s="61" t="n">
        <v>23.47</v>
      </c>
      <c r="J79" s="62" t="inlineStr">
        <is>
          <t>2026-03-30</t>
        </is>
      </c>
      <c r="K79" s="33" t="n">
        <v>0.4799999999999986</v>
      </c>
      <c r="L79" s="63" t="n">
        <v>0.02045164039198972</v>
      </c>
      <c r="M79" s="64" t="n">
        <v>2</v>
      </c>
      <c r="N79" s="32" t="inlineStr">
        <is>
          <t>Active</t>
        </is>
      </c>
      <c r="O79" s="32" t="n"/>
      <c r="P79" s="65" t="n">
        <v>4.4</v>
      </c>
      <c r="Q79" s="64" t="n">
        <v>1628</v>
      </c>
      <c r="R79" s="64" t="n">
        <v>52125</v>
      </c>
      <c r="S79" s="64" t="n">
        <v>4</v>
      </c>
      <c r="T79" s="32" t="n"/>
    </row>
    <row r="80" ht="62" customHeight="1">
      <c r="A80" s="10">
        <f>_xlfn.IMAGE("https://m.media-amazon.com/images/I/81Z3bEG6bxL.jpg")</f>
        <v/>
      </c>
      <c r="B80" s="32" t="inlineStr">
        <is>
          <t>B0C7FK58RV</t>
        </is>
      </c>
      <c r="C80" s="32" t="inlineStr">
        <is>
          <t>SATIN-TAUPE-QUEEN-6PCS</t>
        </is>
      </c>
      <c r="D80" s="32" t="inlineStr">
        <is>
          <t>DECOLURE Satin Sheets Queen Size | Softer Than Silk | Luxury 6 Pc Bed Set</t>
        </is>
      </c>
      <c r="E80" s="32" t="inlineStr">
        <is>
          <t>Queen</t>
        </is>
      </c>
      <c r="F80" s="32" t="inlineStr">
        <is>
          <t>Taupe</t>
        </is>
      </c>
      <c r="G80" s="60" t="n">
        <v>31.95</v>
      </c>
      <c r="H80" s="32" t="inlineStr">
        <is>
          <t>Helium 10 Xray, 2026-10-13</t>
        </is>
      </c>
      <c r="I80" s="61" t="n">
        <v>31.95</v>
      </c>
      <c r="J80" s="62" t="inlineStr">
        <is>
          <t>2026-03-30</t>
        </is>
      </c>
      <c r="K80" s="33" t="n">
        <v>8.160000000000002</v>
      </c>
      <c r="L80" s="63" t="n">
        <v>0.2553990610328639</v>
      </c>
      <c r="M80" s="64" t="n">
        <v>2</v>
      </c>
      <c r="N80" s="32" t="inlineStr">
        <is>
          <t>Active</t>
        </is>
      </c>
      <c r="O80" s="32" t="n"/>
      <c r="P80" s="65" t="n">
        <v>4.4</v>
      </c>
      <c r="Q80" s="64" t="n">
        <v>1628</v>
      </c>
      <c r="R80" s="64" t="n">
        <v>52125</v>
      </c>
      <c r="S80" s="64" t="n">
        <v>2</v>
      </c>
      <c r="T80" s="32" t="n"/>
    </row>
    <row r="81" ht="62" customHeight="1">
      <c r="A81" s="10">
        <f>_xlfn.IMAGE("https://m.media-amazon.com/images/I/81JDVBgWOSL.jpg")</f>
        <v/>
      </c>
      <c r="B81" s="32" t="inlineStr">
        <is>
          <t>B0C7FR94LJ</t>
        </is>
      </c>
      <c r="C81" s="32" t="inlineStr">
        <is>
          <t>SATIN-WHITE-QUEEN-6PCS</t>
        </is>
      </c>
      <c r="D81" s="32" t="inlineStr">
        <is>
          <t>DECOLURE Satin Sheets Queen Size | Softer Than Silk | Luxury 6 Pc Bed Set</t>
        </is>
      </c>
      <c r="E81" s="32" t="inlineStr">
        <is>
          <t>Queen</t>
        </is>
      </c>
      <c r="F81" s="32" t="inlineStr">
        <is>
          <t>White</t>
        </is>
      </c>
      <c r="G81" s="60" t="n">
        <v>31.95</v>
      </c>
      <c r="H81" s="32" t="inlineStr">
        <is>
          <t>Helium 10 Xray, 2026-10-13</t>
        </is>
      </c>
      <c r="I81" s="61" t="n">
        <v>31.95</v>
      </c>
      <c r="J81" s="62" t="inlineStr">
        <is>
          <t>2026-03-30</t>
        </is>
      </c>
      <c r="K81" s="33" t="n">
        <v>7.9</v>
      </c>
      <c r="L81" s="63" t="n">
        <v>0.2472613458528951</v>
      </c>
      <c r="M81" s="64" t="n">
        <v>2</v>
      </c>
      <c r="N81" s="32" t="inlineStr">
        <is>
          <t>Active</t>
        </is>
      </c>
      <c r="O81" s="32" t="n"/>
      <c r="P81" s="65" t="n">
        <v>4.4</v>
      </c>
      <c r="Q81" s="64" t="n">
        <v>1628</v>
      </c>
      <c r="R81" s="64" t="n">
        <v>52121</v>
      </c>
      <c r="S81" s="64" t="n">
        <v>2</v>
      </c>
      <c r="T81" s="32" t="n"/>
    </row>
    <row r="82" ht="62" customHeight="1">
      <c r="A82" s="10">
        <f>_xlfn.IMAGE("https://m.media-amazon.com/images/I/81pfKYhsMoL.jpg")</f>
        <v/>
      </c>
      <c r="B82" s="32" t="inlineStr">
        <is>
          <t>B0C7FFM7L9</t>
        </is>
      </c>
      <c r="C82" s="32" t="inlineStr">
        <is>
          <t>SATIN-TWIN-BLUE-6PCS</t>
        </is>
      </c>
      <c r="D82" s="32" t="inlineStr">
        <is>
          <t>DECOLURE Satin Sheets Twin Size | Softer Than Silk | Luxury 4 Pc Bed Set</t>
        </is>
      </c>
      <c r="E82" s="32" t="inlineStr">
        <is>
          <t>Twin</t>
        </is>
      </c>
      <c r="F82" s="32" t="inlineStr">
        <is>
          <t>Blue</t>
        </is>
      </c>
      <c r="G82" s="60" t="n">
        <v>27.95</v>
      </c>
      <c r="H82" s="32" t="inlineStr">
        <is>
          <t>Helium 10 Xray, 2026-10-13</t>
        </is>
      </c>
      <c r="I82" s="61" t="n">
        <v>37.95</v>
      </c>
      <c r="J82" s="62" t="inlineStr">
        <is>
          <t>2026-03-30</t>
        </is>
      </c>
      <c r="K82" s="33" t="n">
        <v>17.14</v>
      </c>
      <c r="L82" s="63" t="n">
        <v>0.451646903820817</v>
      </c>
      <c r="M82" s="64" t="n">
        <v>2</v>
      </c>
      <c r="N82" s="32" t="inlineStr">
        <is>
          <t>Active</t>
        </is>
      </c>
      <c r="O82" s="32" t="n"/>
      <c r="P82" s="65" t="n">
        <v>4.4</v>
      </c>
      <c r="Q82" s="64" t="n">
        <v>1628</v>
      </c>
      <c r="R82" s="64" t="n">
        <v>52125</v>
      </c>
      <c r="S82" s="64" t="n">
        <v>4</v>
      </c>
      <c r="T82" s="32" t="n"/>
    </row>
    <row r="83" ht="62" customHeight="1">
      <c r="A83" s="10">
        <f>_xlfn.IMAGE("https://m.media-amazon.com/images/I/81GTdnhbh2L.jpg")</f>
        <v/>
      </c>
      <c r="B83" s="32" t="inlineStr">
        <is>
          <t>B0C7FM1K6P</t>
        </is>
      </c>
      <c r="C83" s="32" t="inlineStr">
        <is>
          <t>SATIN-IVORY-TWIN-6PCS</t>
        </is>
      </c>
      <c r="D83" s="32" t="inlineStr">
        <is>
          <t>DECOLURE Satin Sheets Twin Size | Softer Than Silk | Luxury 4 Pc Bed Set</t>
        </is>
      </c>
      <c r="E83" s="32" t="inlineStr">
        <is>
          <t>Twin</t>
        </is>
      </c>
      <c r="F83" s="32" t="inlineStr">
        <is>
          <t>Ivory</t>
        </is>
      </c>
      <c r="G83" s="60" t="n">
        <v>27.95</v>
      </c>
      <c r="H83" s="32" t="inlineStr">
        <is>
          <t>Helium 10 Xray, 2026-10-13</t>
        </is>
      </c>
      <c r="I83" s="61" t="n">
        <v>32.95</v>
      </c>
      <c r="J83" s="62" t="inlineStr">
        <is>
          <t>2026-03-30</t>
        </is>
      </c>
      <c r="K83" s="33" t="n">
        <v>12.29</v>
      </c>
      <c r="L83" s="63" t="n">
        <v>0.3729893778452201</v>
      </c>
      <c r="M83" s="64" t="n">
        <v>2</v>
      </c>
      <c r="N83" s="32" t="inlineStr">
        <is>
          <t>Active</t>
        </is>
      </c>
      <c r="O83" s="32" t="n"/>
      <c r="P83" s="65" t="n">
        <v>4.4</v>
      </c>
      <c r="Q83" s="64" t="n">
        <v>1628</v>
      </c>
      <c r="R83" s="64" t="n">
        <v>52125</v>
      </c>
      <c r="S83" s="64" t="n">
        <v>6</v>
      </c>
      <c r="T83" s="32" t="n"/>
    </row>
    <row r="84" ht="62" customHeight="1">
      <c r="A84" s="10">
        <f>_xlfn.IMAGE("https://m.media-amazon.com/images/I/81Y-A5xTlcL.jpg")</f>
        <v/>
      </c>
      <c r="B84" s="32" t="inlineStr">
        <is>
          <t>B0D9QSYXL8</t>
        </is>
      </c>
      <c r="C84" s="32" t="inlineStr">
        <is>
          <t>SATIN-4PC-TWIN-NAVY BLUE</t>
        </is>
      </c>
      <c r="D84" s="32" t="inlineStr">
        <is>
          <t>DECOLURE Satin Sheets Twin Size | Softer Than Silk | Luxury 4 Pc Bed Set</t>
        </is>
      </c>
      <c r="E84" s="32" t="inlineStr">
        <is>
          <t>Twin</t>
        </is>
      </c>
      <c r="F84" s="32" t="inlineStr">
        <is>
          <t>Navy Blue</t>
        </is>
      </c>
      <c r="G84" s="60" t="n">
        <v>27.95</v>
      </c>
      <c r="H84" s="32" t="inlineStr">
        <is>
          <t>Helium 10 Xray, 2026-10-13</t>
        </is>
      </c>
      <c r="I84" s="61" t="n">
        <v>22.49</v>
      </c>
      <c r="J84" s="62" t="inlineStr">
        <is>
          <t>2026-03-30</t>
        </is>
      </c>
      <c r="K84" s="33" t="n">
        <v>3.979999999999997</v>
      </c>
      <c r="L84" s="63" t="n">
        <v>0.1769675411293907</v>
      </c>
      <c r="M84" s="64" t="n">
        <v>2</v>
      </c>
      <c r="N84" s="32" t="inlineStr">
        <is>
          <t>Active</t>
        </is>
      </c>
      <c r="O84" s="32" t="n"/>
      <c r="P84" s="65" t="n">
        <v>4.4</v>
      </c>
      <c r="Q84" s="64" t="n">
        <v>1628</v>
      </c>
      <c r="R84" s="64" t="n">
        <v>52125</v>
      </c>
      <c r="S84" s="64" t="n">
        <v>6</v>
      </c>
      <c r="T84" s="32" t="n"/>
    </row>
    <row r="85" ht="62" customHeight="1">
      <c r="A85" s="10">
        <f>_xlfn.IMAGE("https://m.media-amazon.com/images/I/81G94nrfhtL.jpg")</f>
        <v/>
      </c>
      <c r="B85" s="32" t="inlineStr">
        <is>
          <t>B0C7K6YWWL</t>
        </is>
      </c>
      <c r="C85" s="32" t="inlineStr">
        <is>
          <t>SATIN-STRIPE-TWIN-PURPLE--6-PCS</t>
        </is>
      </c>
      <c r="D85" s="32" t="inlineStr">
        <is>
          <t>DECOLURE Satin Sheets Twin Size | Softer Than Silk | Luxury 4 Pc Bed Set</t>
        </is>
      </c>
      <c r="E85" s="32" t="inlineStr">
        <is>
          <t>Twin</t>
        </is>
      </c>
      <c r="F85" s="32" t="inlineStr">
        <is>
          <t>Striped Purple</t>
        </is>
      </c>
      <c r="G85" s="60" t="n">
        <v>27.95</v>
      </c>
      <c r="H85" s="32" t="inlineStr">
        <is>
          <t>Helium 10 Xray, 2026-10-13</t>
        </is>
      </c>
      <c r="I85" s="61" t="n">
        <v>32.95</v>
      </c>
      <c r="J85" s="62" t="inlineStr">
        <is>
          <t>2026-03-30</t>
        </is>
      </c>
      <c r="K85" s="33" t="n">
        <v>12.45</v>
      </c>
      <c r="L85" s="63" t="n">
        <v>0.377845220030349</v>
      </c>
      <c r="M85" s="64" t="n">
        <v>2</v>
      </c>
      <c r="N85" s="32" t="inlineStr">
        <is>
          <t>Active</t>
        </is>
      </c>
      <c r="O85" s="32" t="n"/>
      <c r="P85" s="65" t="n">
        <v>4.4</v>
      </c>
      <c r="Q85" s="64" t="n">
        <v>1628</v>
      </c>
      <c r="R85" s="64" t="n">
        <v>52121</v>
      </c>
      <c r="S85" s="64" t="n">
        <v>5</v>
      </c>
      <c r="T85" s="32" t="n"/>
    </row>
    <row r="86" ht="62" customHeight="1">
      <c r="A86" s="10">
        <f>_xlfn.IMAGE("https://m.media-amazon.com/images/I/81u38yfz4ML.jpg")</f>
        <v/>
      </c>
      <c r="B86" s="32" t="inlineStr">
        <is>
          <t>B0C7FTBBQB</t>
        </is>
      </c>
      <c r="C86" s="32" t="inlineStr">
        <is>
          <t>SATIN-GOLD-FULL-6PCS</t>
        </is>
      </c>
      <c r="D86" s="32" t="inlineStr">
        <is>
          <t>DECOLURE Satin Sheets Full Size | Softer Than Silk | Luxury 6 Pc Bed Set</t>
        </is>
      </c>
      <c r="E86" s="32" t="inlineStr">
        <is>
          <t>Full</t>
        </is>
      </c>
      <c r="F86" s="32" t="inlineStr">
        <is>
          <t>Gold</t>
        </is>
      </c>
      <c r="G86" s="60" t="n">
        <v>29.95</v>
      </c>
      <c r="H86" s="32" t="inlineStr">
        <is>
          <t>Helium 10 Xray, 2026-10-13</t>
        </is>
      </c>
      <c r="I86" s="61" t="n">
        <v>38.95</v>
      </c>
      <c r="J86" s="62" t="inlineStr">
        <is>
          <t>2026-03-30</t>
        </is>
      </c>
      <c r="K86" s="33" t="n">
        <v>15.47</v>
      </c>
      <c r="L86" s="63" t="n">
        <v>0.397175866495507</v>
      </c>
      <c r="M86" s="64" t="n">
        <v>1</v>
      </c>
      <c r="N86" s="32" t="inlineStr">
        <is>
          <t>Active</t>
        </is>
      </c>
      <c r="O86" s="32" t="n"/>
      <c r="P86" s="65" t="n">
        <v>4.4</v>
      </c>
      <c r="Q86" s="64" t="n">
        <v>1628</v>
      </c>
      <c r="R86" s="64" t="n">
        <v>52125</v>
      </c>
      <c r="S86" s="64" t="n">
        <v>3</v>
      </c>
      <c r="T86" s="32" t="n"/>
    </row>
    <row r="87" ht="62" customHeight="1">
      <c r="A87" s="10">
        <f>_xlfn.IMAGE("https://m.media-amazon.com/images/I/81C9qE083yL.jpg")</f>
        <v/>
      </c>
      <c r="B87" s="32" t="inlineStr">
        <is>
          <t>B0C7FJFVZY</t>
        </is>
      </c>
      <c r="C87" s="32" t="inlineStr">
        <is>
          <t>SATIN-FULL-GREY-6PCS</t>
        </is>
      </c>
      <c r="D87" s="32" t="inlineStr">
        <is>
          <t>DECOLURE Satin Sheets Full Size | Softer Than Silk | Luxury 6 Pc Bed Set</t>
        </is>
      </c>
      <c r="E87" s="32" t="inlineStr">
        <is>
          <t>Full</t>
        </is>
      </c>
      <c r="F87" s="32" t="inlineStr">
        <is>
          <t>Grey</t>
        </is>
      </c>
      <c r="G87" s="60" t="n">
        <v>29.95</v>
      </c>
      <c r="H87" s="32" t="inlineStr">
        <is>
          <t>Helium 10 Xray, 2026-10-13</t>
        </is>
      </c>
      <c r="I87" s="61" t="n">
        <v>29.95</v>
      </c>
      <c r="J87" s="62" t="inlineStr">
        <is>
          <t>2026-03-30</t>
        </is>
      </c>
      <c r="K87" s="33" t="n">
        <v>7.73</v>
      </c>
      <c r="L87" s="63" t="n">
        <v>0.2580968280467446</v>
      </c>
      <c r="M87" s="64" t="n">
        <v>1</v>
      </c>
      <c r="N87" s="32" t="inlineStr">
        <is>
          <t>Active</t>
        </is>
      </c>
      <c r="O87" s="32" t="n"/>
      <c r="P87" s="65" t="n">
        <v>4.4</v>
      </c>
      <c r="Q87" s="64" t="n">
        <v>1628</v>
      </c>
      <c r="R87" s="64" t="n">
        <v>52125</v>
      </c>
      <c r="S87" s="64" t="n">
        <v>3</v>
      </c>
      <c r="T87" s="32" t="n"/>
    </row>
    <row r="88" ht="62" customHeight="1">
      <c r="A88" s="10">
        <f>_xlfn.IMAGE("https://m.media-amazon.com/images/I/81k4pZo8ZKL.jpg")</f>
        <v/>
      </c>
      <c r="B88" s="32" t="inlineStr">
        <is>
          <t>B0C7KB53RJ</t>
        </is>
      </c>
      <c r="C88" s="32" t="inlineStr">
        <is>
          <t>SATIN-STRIPE-FULL-BLACK--6-PCS</t>
        </is>
      </c>
      <c r="D88" s="32" t="inlineStr">
        <is>
          <t>DECOLURE Satin Sheets Full Size | Softer Than Silk | Luxury 6 Pc Bed Set</t>
        </is>
      </c>
      <c r="E88" s="32" t="inlineStr">
        <is>
          <t>Full</t>
        </is>
      </c>
      <c r="F88" s="32" t="inlineStr">
        <is>
          <t>Striped Black</t>
        </is>
      </c>
      <c r="G88" s="60" t="n">
        <v>29.95</v>
      </c>
      <c r="H88" s="32" t="inlineStr">
        <is>
          <t>Helium 10 Xray, 2026-10-13</t>
        </is>
      </c>
      <c r="I88" s="61" t="n">
        <v>29.95</v>
      </c>
      <c r="J88" s="62" t="inlineStr">
        <is>
          <t>2026-03-30</t>
        </is>
      </c>
      <c r="K88" s="33" t="n">
        <v>7.06</v>
      </c>
      <c r="L88" s="63" t="n">
        <v>0.2357262103505843</v>
      </c>
      <c r="M88" s="64" t="n">
        <v>1</v>
      </c>
      <c r="N88" s="32" t="inlineStr">
        <is>
          <t>Active</t>
        </is>
      </c>
      <c r="O88" s="32" t="n"/>
      <c r="P88" s="65" t="n">
        <v>4.4</v>
      </c>
      <c r="Q88" s="64" t="n">
        <v>1628</v>
      </c>
      <c r="R88" s="64" t="n">
        <v>52125</v>
      </c>
      <c r="S88" s="64" t="n">
        <v>6</v>
      </c>
      <c r="T88" s="32" t="n"/>
    </row>
    <row r="89" ht="62" customHeight="1">
      <c r="A89" s="10">
        <f>_xlfn.IMAGE("https://m.media-amazon.com/images/I/81xV5hDfr6L._AC_SY355_.jpg")</f>
        <v/>
      </c>
      <c r="B89" s="32" t="inlineStr">
        <is>
          <t>B0C7K6CKLC</t>
        </is>
      </c>
      <c r="C89" s="32" t="inlineStr">
        <is>
          <t>SATIN-STRIPE-FULL-BLUE--6-PCS</t>
        </is>
      </c>
      <c r="D89" s="32" t="inlineStr">
        <is>
          <t>DECOLURE Satin Sheets Full Size | Softer Than Silk | Luxury 6 Pc Bed Set</t>
        </is>
      </c>
      <c r="E89" s="32" t="inlineStr">
        <is>
          <t>Full</t>
        </is>
      </c>
      <c r="F89" s="32" t="inlineStr">
        <is>
          <t>Striped Blue</t>
        </is>
      </c>
      <c r="G89" s="60" t="n">
        <v>29.95</v>
      </c>
      <c r="H89" s="32" t="inlineStr">
        <is>
          <t>Helium 10 Xray, 2026-10-13</t>
        </is>
      </c>
      <c r="I89" s="61" t="n">
        <v>25.86</v>
      </c>
      <c r="J89" s="62" t="inlineStr">
        <is>
          <t>2026-03-30</t>
        </is>
      </c>
      <c r="K89" s="33" t="n">
        <v>2.67</v>
      </c>
      <c r="L89" s="63" t="n">
        <v>0.1032482598607889</v>
      </c>
      <c r="M89" s="64" t="n">
        <v>1</v>
      </c>
      <c r="N89" s="32" t="n"/>
      <c r="O89" s="32" t="n"/>
      <c r="P89" s="65" t="n">
        <v>4.4</v>
      </c>
      <c r="Q89" s="64" t="n">
        <v>1628</v>
      </c>
      <c r="R89" s="64" t="n">
        <v>52125</v>
      </c>
      <c r="S89" s="64" t="n">
        <v>7</v>
      </c>
      <c r="T89" s="32" t="n"/>
    </row>
    <row r="90" ht="62" customHeight="1">
      <c r="A90" s="10">
        <f>_xlfn.IMAGE("https://m.media-amazon.com/images/I/91wFGUsQtVL._AC_SY355_.jpg")</f>
        <v/>
      </c>
      <c r="B90" s="32" t="inlineStr">
        <is>
          <t>B0C7KGFHT7</t>
        </is>
      </c>
      <c r="C90" s="32" t="inlineStr">
        <is>
          <t>SATIN-STRIPE-FULL-GOLD--6-PCS</t>
        </is>
      </c>
      <c r="D90" s="32" t="inlineStr">
        <is>
          <t>DECOLURE Satin Sheets Full Size | Softer Than Silk | Luxury 6 Pc Bed Set</t>
        </is>
      </c>
      <c r="E90" s="32" t="inlineStr">
        <is>
          <t>Full</t>
        </is>
      </c>
      <c r="F90" s="32" t="inlineStr">
        <is>
          <t>Striped Gold</t>
        </is>
      </c>
      <c r="G90" s="60" t="n">
        <v>29.95</v>
      </c>
      <c r="H90" s="32" t="inlineStr">
        <is>
          <t>Helium 10 Xray, 2026-10-13</t>
        </is>
      </c>
      <c r="I90" s="61" t="n">
        <v>25.16</v>
      </c>
      <c r="J90" s="62" t="inlineStr">
        <is>
          <t>2026-03-30</t>
        </is>
      </c>
      <c r="K90" s="33" t="n">
        <v>1.98</v>
      </c>
      <c r="L90" s="63" t="n">
        <v>0.07869634340222577</v>
      </c>
      <c r="M90" s="64" t="n">
        <v>1</v>
      </c>
      <c r="N90" s="32" t="n"/>
      <c r="O90" s="32" t="n"/>
      <c r="P90" s="65" t="n">
        <v>4.4</v>
      </c>
      <c r="Q90" s="64" t="n">
        <v>1628</v>
      </c>
      <c r="R90" s="64" t="n">
        <v>52125</v>
      </c>
      <c r="S90" s="64" t="n">
        <v>5</v>
      </c>
      <c r="T90" s="32" t="n"/>
    </row>
    <row r="91" ht="62" customHeight="1">
      <c r="A91" s="10">
        <f>_xlfn.IMAGE("https://m.media-amazon.com/images/I/81kFS+X+OiL.jpg")</f>
        <v/>
      </c>
      <c r="B91" s="32" t="inlineStr">
        <is>
          <t>B0C7K3WWDT</t>
        </is>
      </c>
      <c r="C91" s="32" t="inlineStr">
        <is>
          <t>SATIN-STRIPE-FULL-PURPLE--6-PCS</t>
        </is>
      </c>
      <c r="D91" s="32" t="inlineStr">
        <is>
          <t>DECOLURE Satin Sheets Full Size | Softer Than Silk | Luxury 6 Pc Bed Set</t>
        </is>
      </c>
      <c r="E91" s="32" t="inlineStr">
        <is>
          <t>Full</t>
        </is>
      </c>
      <c r="F91" s="32" t="inlineStr">
        <is>
          <t>Striped Purple</t>
        </is>
      </c>
      <c r="G91" s="60" t="n">
        <v>29.95</v>
      </c>
      <c r="H91" s="32" t="inlineStr">
        <is>
          <t>Helium 10 Xray, 2026-10-13</t>
        </is>
      </c>
      <c r="I91" s="61" t="n">
        <v>17.97</v>
      </c>
      <c r="J91" s="62" t="inlineStr">
        <is>
          <t>2026-03-30</t>
        </is>
      </c>
      <c r="K91" s="33" t="n">
        <v>-3.180000000000001</v>
      </c>
      <c r="L91" s="63" t="n">
        <v>-0.1769616026711186</v>
      </c>
      <c r="M91" s="64" t="n">
        <v>1</v>
      </c>
      <c r="N91" s="32" t="inlineStr">
        <is>
          <t>Active</t>
        </is>
      </c>
      <c r="O91" s="32" t="n"/>
      <c r="P91" s="65" t="n">
        <v>4.4</v>
      </c>
      <c r="Q91" s="64" t="n">
        <v>1628</v>
      </c>
      <c r="R91" s="64" t="n">
        <v>52125</v>
      </c>
      <c r="S91" s="64" t="n">
        <v>3</v>
      </c>
      <c r="T91" s="32" t="n"/>
    </row>
    <row r="92" ht="62" customHeight="1">
      <c r="A92" s="10">
        <f>_xlfn.IMAGE("https://m.media-amazon.com/images/I/815cp0gvpML.jpg")</f>
        <v/>
      </c>
      <c r="B92" s="32" t="inlineStr">
        <is>
          <t>B0C7FLGJS8</t>
        </is>
      </c>
      <c r="C92" s="32" t="inlineStr">
        <is>
          <t>SATIN-STONEGREY-KING-6PCS</t>
        </is>
      </c>
      <c r="D92" s="32" t="inlineStr">
        <is>
          <t>DECOLURE Satin Bed Sheets - 6 Piece Luxury Silky King Size Bedding Set - Softer Than Silk, Wrinkle-Free with 15” Deep Pocket Fitted Sheet, Perfect for Hair &amp; Skin, Gifts for Women (Stone Grey)</t>
        </is>
      </c>
      <c r="E92" s="32" t="inlineStr">
        <is>
          <t>King</t>
        </is>
      </c>
      <c r="F92" s="32" t="inlineStr">
        <is>
          <t>Stone Grey</t>
        </is>
      </c>
      <c r="G92" s="60" t="n">
        <v>33.95</v>
      </c>
      <c r="H92" s="32" t="inlineStr">
        <is>
          <t>SellerBoard listing price, 2026-10-14</t>
        </is>
      </c>
      <c r="I92" s="61" t="n">
        <v>33.95</v>
      </c>
      <c r="J92" s="62" t="inlineStr">
        <is>
          <t>2026-03-30</t>
        </is>
      </c>
      <c r="K92" s="33" t="n">
        <v>8.900000000000002</v>
      </c>
      <c r="L92" s="63" t="n">
        <v>0.2621502209131076</v>
      </c>
      <c r="M92" s="64" t="n">
        <v>1</v>
      </c>
      <c r="N92" s="32" t="inlineStr">
        <is>
          <t>Active</t>
        </is>
      </c>
      <c r="O92" s="32" t="n"/>
      <c r="P92" s="65" t="n"/>
      <c r="Q92" s="64" t="n"/>
      <c r="R92" s="64" t="n"/>
      <c r="S92" s="64" t="n"/>
      <c r="T92" s="32" t="n"/>
    </row>
    <row r="93" ht="62" customHeight="1">
      <c r="A93" s="10">
        <f>_xlfn.IMAGE("https://m.media-amazon.com/images/I/81Z3bEG6bxL.jpg")</f>
        <v/>
      </c>
      <c r="B93" s="32" t="inlineStr">
        <is>
          <t>B0C7FNXRJF</t>
        </is>
      </c>
      <c r="C93" s="32" t="inlineStr">
        <is>
          <t>SATIN-TAUPE-KING-6PCS</t>
        </is>
      </c>
      <c r="D93" s="32" t="inlineStr">
        <is>
          <t>DECOLURE Satin Sheets King Size | Softer Than Silk | Luxury 6 Pc Bed Set</t>
        </is>
      </c>
      <c r="E93" s="32" t="inlineStr">
        <is>
          <t>King</t>
        </is>
      </c>
      <c r="F93" s="32" t="inlineStr">
        <is>
          <t>Taupe</t>
        </is>
      </c>
      <c r="G93" s="60" t="n">
        <v>33.95</v>
      </c>
      <c r="H93" s="32" t="inlineStr">
        <is>
          <t>SellerBoard listing price, 2026-10-14</t>
        </is>
      </c>
      <c r="I93" s="61" t="n">
        <v>33.95</v>
      </c>
      <c r="J93" s="62" t="inlineStr">
        <is>
          <t>2026-03-30</t>
        </is>
      </c>
      <c r="K93" s="33" t="n">
        <v>8.370000000000005</v>
      </c>
      <c r="L93" s="63" t="n">
        <v>0.2465390279823271</v>
      </c>
      <c r="M93" s="64" t="n">
        <v>1</v>
      </c>
      <c r="N93" s="32" t="inlineStr">
        <is>
          <t>Inactive</t>
        </is>
      </c>
      <c r="O93" s="32" t="n"/>
      <c r="P93" s="65" t="n"/>
      <c r="Q93" s="64" t="n"/>
      <c r="R93" s="64" t="n"/>
      <c r="S93" s="64" t="n"/>
      <c r="T93" s="32" t="n"/>
    </row>
    <row r="94" ht="62" customHeight="1">
      <c r="A94" s="10">
        <f>_xlfn.IMAGE("https://m.media-amazon.com/images/I/81WPJBv71TL.jpg")</f>
        <v/>
      </c>
      <c r="B94" s="32" t="inlineStr">
        <is>
          <t>B0C7FFRNMH</t>
        </is>
      </c>
      <c r="C94" s="32" t="inlineStr">
        <is>
          <t>SATIN-CHAMPAGNE-QUEEN-6PCS</t>
        </is>
      </c>
      <c r="D94" s="32" t="inlineStr">
        <is>
          <t>DECOLURE Satin Sheets Queen Size | Softer Than Silk | Luxury 6 Pc Bed Set</t>
        </is>
      </c>
      <c r="E94" s="32" t="inlineStr">
        <is>
          <t>Queen</t>
        </is>
      </c>
      <c r="F94" s="32" t="inlineStr">
        <is>
          <t>Champagne</t>
        </is>
      </c>
      <c r="G94" s="60" t="n">
        <v>31.95</v>
      </c>
      <c r="H94" s="32" t="inlineStr">
        <is>
          <t>SellerBoard listing price, 2026-10-14</t>
        </is>
      </c>
      <c r="I94" s="61" t="n">
        <v>31.95</v>
      </c>
      <c r="J94" s="62" t="inlineStr">
        <is>
          <t>2026-03-30</t>
        </is>
      </c>
      <c r="K94" s="33" t="n">
        <v>8.780000000000001</v>
      </c>
      <c r="L94" s="63" t="n">
        <v>0.2748043818466354</v>
      </c>
      <c r="M94" s="64" t="n">
        <v>1</v>
      </c>
      <c r="N94" s="32" t="inlineStr">
        <is>
          <t>Inactive</t>
        </is>
      </c>
      <c r="O94" s="32" t="n"/>
      <c r="P94" s="65" t="n"/>
      <c r="Q94" s="64" t="n"/>
      <c r="R94" s="64" t="n"/>
      <c r="S94" s="64" t="n"/>
      <c r="T94" s="32" t="n"/>
    </row>
    <row r="95" ht="62" customHeight="1">
      <c r="A95" s="10">
        <f>_xlfn.IMAGE("https://m.media-amazon.com/images/I/81OT2-k0G5L.jpg")</f>
        <v/>
      </c>
      <c r="B95" s="32" t="inlineStr">
        <is>
          <t>B0D9QTQGSJ</t>
        </is>
      </c>
      <c r="C95" s="32" t="inlineStr">
        <is>
          <t>SATIN-4PC-TWIN-BABY BLUE</t>
        </is>
      </c>
      <c r="D95" s="32" t="inlineStr">
        <is>
          <t>DECOLURE Satin Sheets Twin Size | Softer Than Silk | Luxury 4 Pc Bed Set</t>
        </is>
      </c>
      <c r="E95" s="32" t="inlineStr">
        <is>
          <t>Twin</t>
        </is>
      </c>
      <c r="F95" s="32" t="inlineStr">
        <is>
          <t>Baby Blue</t>
        </is>
      </c>
      <c r="G95" s="60" t="n">
        <v>27.95</v>
      </c>
      <c r="H95" s="32" t="inlineStr">
        <is>
          <t>Helium 10 Xray, 2026-10-13</t>
        </is>
      </c>
      <c r="I95" s="61" t="n">
        <v>27.95</v>
      </c>
      <c r="J95" s="62" t="inlineStr">
        <is>
          <t>2026-03-30</t>
        </is>
      </c>
      <c r="K95" s="33" t="n">
        <v>9.27</v>
      </c>
      <c r="L95" s="63" t="n">
        <v>0.3316636851520572</v>
      </c>
      <c r="M95" s="64" t="n">
        <v>1</v>
      </c>
      <c r="N95" s="32" t="inlineStr">
        <is>
          <t>Active</t>
        </is>
      </c>
      <c r="O95" s="32" t="n"/>
      <c r="P95" s="65" t="n">
        <v>4.4</v>
      </c>
      <c r="Q95" s="64" t="n">
        <v>1628</v>
      </c>
      <c r="R95" s="64" t="n">
        <v>52125</v>
      </c>
      <c r="S95" s="64" t="n">
        <v>6</v>
      </c>
      <c r="T95" s="32" t="n"/>
    </row>
    <row r="96" ht="62" customHeight="1">
      <c r="A96" s="10">
        <f>_xlfn.IMAGE("https://m.media-amazon.com/images/I/81DhwdBOQ+L.jpg")</f>
        <v/>
      </c>
      <c r="B96" s="32" t="inlineStr">
        <is>
          <t>B0C7FXTXLD</t>
        </is>
      </c>
      <c r="C96" s="32" t="inlineStr">
        <is>
          <t>SATIN-GOLD-TWIN-6PCS</t>
        </is>
      </c>
      <c r="D96" s="32" t="inlineStr">
        <is>
          <t>DECOLURE Satin Sheets Twin Size | Softer Than Silk | Luxury 4 Pc Bed Set</t>
        </is>
      </c>
      <c r="E96" s="32" t="inlineStr">
        <is>
          <t>Twin</t>
        </is>
      </c>
      <c r="F96" s="32" t="inlineStr">
        <is>
          <t>Gold</t>
        </is>
      </c>
      <c r="G96" s="60" t="n">
        <v>27.95</v>
      </c>
      <c r="H96" s="32" t="inlineStr">
        <is>
          <t>Helium 10 Xray, 2026-10-13</t>
        </is>
      </c>
      <c r="I96" s="61" t="n">
        <v>29.95</v>
      </c>
      <c r="J96" s="62" t="inlineStr">
        <is>
          <t>2026-03-10</t>
        </is>
      </c>
      <c r="K96" s="33" t="n">
        <v>10.35</v>
      </c>
      <c r="L96" s="63" t="n">
        <v>0.3455759599332221</v>
      </c>
      <c r="M96" s="64" t="n">
        <v>1</v>
      </c>
      <c r="N96" s="32" t="inlineStr">
        <is>
          <t>Active</t>
        </is>
      </c>
      <c r="O96" s="32" t="n"/>
      <c r="P96" s="65" t="n">
        <v>4.4</v>
      </c>
      <c r="Q96" s="64" t="n">
        <v>1628</v>
      </c>
      <c r="R96" s="64" t="n">
        <v>52125</v>
      </c>
      <c r="S96" s="64" t="n">
        <v>5</v>
      </c>
      <c r="T96" s="32" t="n"/>
    </row>
    <row r="97" ht="62" customHeight="1">
      <c r="A97" s="10">
        <f>_xlfn.IMAGE("https://m.media-amazon.com/images/I/81hLIvldLEL.jpg")</f>
        <v/>
      </c>
      <c r="B97" s="32" t="inlineStr">
        <is>
          <t>B0C7FK2H2W</t>
        </is>
      </c>
      <c r="C97" s="32" t="inlineStr">
        <is>
          <t>SATIN-RED-TWIN-6PCS</t>
        </is>
      </c>
      <c r="D97" s="32" t="inlineStr">
        <is>
          <t>DECOLURE Satin Sheets Twin Size | Softer Than Silk | Luxury 4 Pc Bed Set</t>
        </is>
      </c>
      <c r="E97" s="32" t="inlineStr">
        <is>
          <t>Twin</t>
        </is>
      </c>
      <c r="F97" s="32" t="inlineStr">
        <is>
          <t>Red</t>
        </is>
      </c>
      <c r="G97" s="60" t="n">
        <v>27.95</v>
      </c>
      <c r="H97" s="32" t="inlineStr">
        <is>
          <t>Helium 10 Xray, 2026-10-13</t>
        </is>
      </c>
      <c r="I97" s="61" t="n">
        <v>27.95</v>
      </c>
      <c r="J97" s="62" t="inlineStr">
        <is>
          <t>2026-03-30</t>
        </is>
      </c>
      <c r="K97" s="33" t="n">
        <v>9.659999999999997</v>
      </c>
      <c r="L97" s="63" t="n">
        <v>0.3456171735241502</v>
      </c>
      <c r="M97" s="64" t="n">
        <v>1</v>
      </c>
      <c r="N97" s="32" t="inlineStr">
        <is>
          <t>Active</t>
        </is>
      </c>
      <c r="O97" s="32" t="n"/>
      <c r="P97" s="65" t="n">
        <v>4.4</v>
      </c>
      <c r="Q97" s="64" t="n">
        <v>1628</v>
      </c>
      <c r="R97" s="64" t="n">
        <v>52121</v>
      </c>
      <c r="S97" s="64" t="n">
        <v>6</v>
      </c>
      <c r="T97" s="32" t="n"/>
    </row>
    <row r="98" ht="62" customHeight="1">
      <c r="A98" s="10">
        <f>_xlfn.IMAGE("https://m.media-amazon.com/images/I/81Brwb+ofkL.jpg")</f>
        <v/>
      </c>
      <c r="B98" s="32" t="inlineStr">
        <is>
          <t>B0D9QRVYMT</t>
        </is>
      </c>
      <c r="C98" s="32" t="inlineStr">
        <is>
          <t>SATIN-4PC-TWIN-SAGE GREEN</t>
        </is>
      </c>
      <c r="D98" s="32" t="inlineStr">
        <is>
          <t>DECOLURE Satin Sheets Twin Size | Softer Than Silk | Luxury 4 Pc Bed Set</t>
        </is>
      </c>
      <c r="E98" s="32" t="inlineStr">
        <is>
          <t>Twin</t>
        </is>
      </c>
      <c r="F98" s="32" t="inlineStr">
        <is>
          <t>Sage Green</t>
        </is>
      </c>
      <c r="G98" s="60" t="n">
        <v>27.95</v>
      </c>
      <c r="H98" s="32" t="inlineStr">
        <is>
          <t>Helium 10 Xray, 2026-10-13</t>
        </is>
      </c>
      <c r="I98" s="61" t="n">
        <v>22.49</v>
      </c>
      <c r="J98" s="62" t="inlineStr">
        <is>
          <t>2026-03-30</t>
        </is>
      </c>
      <c r="K98" s="33" t="n">
        <v>3.259999999999998</v>
      </c>
      <c r="L98" s="63" t="n">
        <v>0.1449533125833703</v>
      </c>
      <c r="M98" s="64" t="n">
        <v>1</v>
      </c>
      <c r="N98" s="32" t="inlineStr">
        <is>
          <t>Active</t>
        </is>
      </c>
      <c r="O98" s="32" t="n"/>
      <c r="P98" s="65" t="n">
        <v>4.4</v>
      </c>
      <c r="Q98" s="64" t="n">
        <v>1628</v>
      </c>
      <c r="R98" s="64" t="n">
        <v>52125</v>
      </c>
      <c r="S98" s="64" t="n">
        <v>6</v>
      </c>
      <c r="T98" s="32" t="n"/>
    </row>
    <row r="99" ht="62" customHeight="1">
      <c r="A99" s="10">
        <f>_xlfn.IMAGE("https://m.media-amazon.com/images/I/81kHTwIB46L.jpg")</f>
        <v/>
      </c>
      <c r="B99" s="32" t="inlineStr">
        <is>
          <t>B0D9QT3LWG</t>
        </is>
      </c>
      <c r="C99" s="32" t="inlineStr">
        <is>
          <t>SATIN-6PC-FULL-BLUSH PINK</t>
        </is>
      </c>
      <c r="D99" s="32" t="inlineStr">
        <is>
          <t>DECOLURE Satin Sheets Full Size | Softer Than Silk | Luxury 6 Pc Bed Set</t>
        </is>
      </c>
      <c r="E99" s="32" t="inlineStr">
        <is>
          <t>Full</t>
        </is>
      </c>
      <c r="F99" s="32" t="inlineStr">
        <is>
          <t>Blush Pink</t>
        </is>
      </c>
      <c r="G99" s="60" t="n">
        <v>29.95</v>
      </c>
      <c r="H99" s="32" t="inlineStr">
        <is>
          <t>Helium 10 Xray, 2026-10-13</t>
        </is>
      </c>
      <c r="I99" s="61" t="n">
        <v>29.95</v>
      </c>
      <c r="J99" s="62" t="inlineStr">
        <is>
          <t>2026-03-30</t>
        </is>
      </c>
      <c r="K99" s="33" t="n">
        <v>7.23</v>
      </c>
      <c r="L99" s="63" t="n">
        <v>0.2414023372287145</v>
      </c>
      <c r="M99" s="64" t="n">
        <v>0</v>
      </c>
      <c r="N99" s="32" t="inlineStr">
        <is>
          <t>Active</t>
        </is>
      </c>
      <c r="O99" s="32" t="n"/>
      <c r="P99" s="65" t="n">
        <v>4.4</v>
      </c>
      <c r="Q99" s="64" t="n">
        <v>1628</v>
      </c>
      <c r="R99" s="64" t="n">
        <v>52125</v>
      </c>
      <c r="S99" s="64" t="n">
        <v>3</v>
      </c>
      <c r="T99" s="32" t="n"/>
    </row>
    <row r="100" ht="62" customHeight="1">
      <c r="A100" s="10">
        <f>_xlfn.IMAGE("https://m.media-amazon.com/images/I/81Lq8U6Oz8L.jpg")</f>
        <v/>
      </c>
      <c r="B100" s="32" t="inlineStr">
        <is>
          <t>B0D9QRNBSH</t>
        </is>
      </c>
      <c r="C100" s="32" t="inlineStr">
        <is>
          <t>SATIN-6PC-FULL-BURNT ORANGE</t>
        </is>
      </c>
      <c r="D100" s="32" t="inlineStr">
        <is>
          <t>DECOLURE Satin Sheets Full Size | Softer Than Silk | Luxury 6 Pc Bed Set</t>
        </is>
      </c>
      <c r="E100" s="32" t="inlineStr">
        <is>
          <t>Full</t>
        </is>
      </c>
      <c r="F100" s="32" t="inlineStr">
        <is>
          <t>Burnt Orange</t>
        </is>
      </c>
      <c r="G100" s="60" t="n">
        <v>29.95</v>
      </c>
      <c r="H100" s="32" t="inlineStr">
        <is>
          <t>Helium 10 Xray, 2026-10-13</t>
        </is>
      </c>
      <c r="I100" s="61" t="n">
        <v>29.95</v>
      </c>
      <c r="J100" s="62" t="inlineStr">
        <is>
          <t>2026-03-30</t>
        </is>
      </c>
      <c r="K100" s="33" t="n">
        <v>6.5</v>
      </c>
      <c r="L100" s="63" t="n">
        <v>0.2170283806343906</v>
      </c>
      <c r="M100" s="64" t="n">
        <v>0</v>
      </c>
      <c r="N100" s="32" t="inlineStr">
        <is>
          <t>Active</t>
        </is>
      </c>
      <c r="O100" s="32" t="n"/>
      <c r="P100" s="65" t="n">
        <v>4.4</v>
      </c>
      <c r="Q100" s="64" t="n">
        <v>1628</v>
      </c>
      <c r="R100" s="64" t="n">
        <v>52125</v>
      </c>
      <c r="S100" s="64" t="n">
        <v>3</v>
      </c>
      <c r="T100" s="32" t="n"/>
    </row>
    <row r="101" ht="62" customHeight="1">
      <c r="A101" s="10">
        <f>_xlfn.IMAGE("https://m.media-amazon.com/images/I/81h83JgkpAL.jpg")</f>
        <v/>
      </c>
      <c r="B101" s="32" t="inlineStr">
        <is>
          <t>B0D9QR4PS8</t>
        </is>
      </c>
      <c r="C101" s="32" t="inlineStr">
        <is>
          <t>SATIN-6PC-FULL-DARK GREEN</t>
        </is>
      </c>
      <c r="D101" s="32" t="inlineStr">
        <is>
          <t>DECOLURE Satin Sheets Full Size | Softer Than Silk | Luxury 6 Pc Bed Set</t>
        </is>
      </c>
      <c r="E101" s="32" t="inlineStr">
        <is>
          <t>Full</t>
        </is>
      </c>
      <c r="F101" s="32" t="inlineStr">
        <is>
          <t>Dark Green</t>
        </is>
      </c>
      <c r="G101" s="60" t="n">
        <v>29.95</v>
      </c>
      <c r="H101" s="32" t="inlineStr">
        <is>
          <t>SellerBoard listing price, 2026-10-14</t>
        </is>
      </c>
      <c r="I101" s="61" t="n">
        <v>29.95</v>
      </c>
      <c r="J101" s="62" t="inlineStr">
        <is>
          <t>2026-03-30</t>
        </is>
      </c>
      <c r="K101" s="33" t="n">
        <v>6.740000000000002</v>
      </c>
      <c r="L101" s="63" t="n">
        <v>0.2250417362270451</v>
      </c>
      <c r="M101" s="64" t="n">
        <v>0</v>
      </c>
      <c r="N101" s="32" t="inlineStr">
        <is>
          <t>Active</t>
        </is>
      </c>
      <c r="O101" s="32" t="n"/>
      <c r="P101" s="65" t="n"/>
      <c r="Q101" s="64" t="n"/>
      <c r="R101" s="64" t="n"/>
      <c r="S101" s="64" t="n"/>
      <c r="T101" s="32" t="n"/>
    </row>
    <row r="102" ht="62" customHeight="1">
      <c r="A102" s="10">
        <f>_xlfn.IMAGE("https://m.media-amazon.com/images/I/81TFWOCMZHL.jpg")</f>
        <v/>
      </c>
      <c r="B102" s="32" t="inlineStr">
        <is>
          <t>B0C7FKJWJV</t>
        </is>
      </c>
      <c r="C102" s="32" t="inlineStr">
        <is>
          <t>SATIN-IVORY-FULL-6PCS</t>
        </is>
      </c>
      <c r="D102" s="32" t="inlineStr">
        <is>
          <t>DECOLURE Satin Sheets Full Size | Softer Than Silk | Luxury 6 Pc Bed Set</t>
        </is>
      </c>
      <c r="E102" s="32" t="inlineStr">
        <is>
          <t>Full</t>
        </is>
      </c>
      <c r="F102" s="32" t="inlineStr">
        <is>
          <t>Ivory</t>
        </is>
      </c>
      <c r="G102" s="60" t="n">
        <v>29.95</v>
      </c>
      <c r="H102" s="32" t="inlineStr">
        <is>
          <t>Helium 10 Xray, 2026-10-13</t>
        </is>
      </c>
      <c r="I102" s="61" t="n">
        <v>29.95</v>
      </c>
      <c r="J102" s="62" t="inlineStr">
        <is>
          <t>2026-03-30</t>
        </is>
      </c>
      <c r="K102" s="33" t="n">
        <v>7.42</v>
      </c>
      <c r="L102" s="63" t="n">
        <v>0.2477462437395659</v>
      </c>
      <c r="M102" s="64" t="n">
        <v>0</v>
      </c>
      <c r="N102" s="32" t="inlineStr">
        <is>
          <t>Active</t>
        </is>
      </c>
      <c r="O102" s="32" t="n"/>
      <c r="P102" s="65" t="n">
        <v>4.4</v>
      </c>
      <c r="Q102" s="64" t="n">
        <v>1628</v>
      </c>
      <c r="R102" s="64" t="n">
        <v>52125</v>
      </c>
      <c r="S102" s="64" t="n">
        <v>3</v>
      </c>
      <c r="T102" s="32" t="n"/>
    </row>
    <row r="103" ht="62" customHeight="1">
      <c r="A103" s="10">
        <f>_xlfn.IMAGE("https://m.media-amazon.com/images/I/81PBLKf1SBL.jpg")</f>
        <v/>
      </c>
      <c r="B103" s="32" t="inlineStr">
        <is>
          <t>B0C7K7NCKW</t>
        </is>
      </c>
      <c r="C103" s="32" t="inlineStr">
        <is>
          <t>SATIN-STRIPE-FULL-GRAY--6-PCS</t>
        </is>
      </c>
      <c r="D103" s="32" t="inlineStr">
        <is>
          <t>DECOLURE Satin Sheets Full Size | Softer Than Silk | Luxury 6 Pc Bed Set</t>
        </is>
      </c>
      <c r="E103" s="32" t="inlineStr">
        <is>
          <t>Full</t>
        </is>
      </c>
      <c r="F103" s="32" t="inlineStr">
        <is>
          <t>Striped Grey</t>
        </is>
      </c>
      <c r="G103" s="60" t="n">
        <v>29.95</v>
      </c>
      <c r="H103" s="32" t="inlineStr">
        <is>
          <t>Helium 10 Xray, 2026-10-13</t>
        </is>
      </c>
      <c r="I103" s="61" t="n">
        <v>25.16</v>
      </c>
      <c r="J103" s="62" t="inlineStr">
        <is>
          <t>2026-03-30</t>
        </is>
      </c>
      <c r="K103" s="33" t="n">
        <v>2.119999999999999</v>
      </c>
      <c r="L103" s="63" t="n">
        <v>0.08426073131955482</v>
      </c>
      <c r="M103" s="64" t="n">
        <v>0</v>
      </c>
      <c r="N103" s="32" t="inlineStr">
        <is>
          <t>Active</t>
        </is>
      </c>
      <c r="O103" s="32" t="n"/>
      <c r="P103" s="65" t="n">
        <v>4.4</v>
      </c>
      <c r="Q103" s="64" t="n">
        <v>1628</v>
      </c>
      <c r="R103" s="64" t="n">
        <v>52125</v>
      </c>
      <c r="S103" s="64" t="n">
        <v>3</v>
      </c>
      <c r="T103" s="32" t="n"/>
    </row>
    <row r="104" ht="62" customHeight="1">
      <c r="A104" s="10">
        <f>_xlfn.IMAGE("https://m.media-amazon.com/images/I/81-NapzaU0L.jpg")</f>
        <v/>
      </c>
      <c r="B104" s="32" t="inlineStr">
        <is>
          <t>B0C7K7YWH2</t>
        </is>
      </c>
      <c r="C104" s="32" t="inlineStr">
        <is>
          <t>SATIN-STRIPE-FULL-PINK--6--PCS</t>
        </is>
      </c>
      <c r="D104" s="32" t="inlineStr">
        <is>
          <t>DECOLURE Satin Sheets Full Size | Softer Than Silk | Luxury 6 Pc Bed Set</t>
        </is>
      </c>
      <c r="E104" s="32" t="inlineStr">
        <is>
          <t>Full</t>
        </is>
      </c>
      <c r="F104" s="32" t="inlineStr">
        <is>
          <t>Striped Pink</t>
        </is>
      </c>
      <c r="G104" s="60" t="n">
        <v>29.95</v>
      </c>
      <c r="H104" s="32" t="inlineStr">
        <is>
          <t>SellerBoard listing price, 2026-10-14</t>
        </is>
      </c>
      <c r="I104" s="61" t="n">
        <v>17.97</v>
      </c>
      <c r="J104" s="62" t="inlineStr">
        <is>
          <t>2026-03-30</t>
        </is>
      </c>
      <c r="K104" s="33" t="n">
        <v>-4.219999999999999</v>
      </c>
      <c r="L104" s="63" t="n">
        <v>-0.234835837506956</v>
      </c>
      <c r="M104" s="64" t="n"/>
      <c r="N104" s="32" t="inlineStr">
        <is>
          <t>Inactive</t>
        </is>
      </c>
      <c r="O104" s="32" t="n"/>
      <c r="P104" s="65" t="n"/>
      <c r="Q104" s="64" t="n"/>
      <c r="R104" s="64" t="n"/>
      <c r="S104" s="64" t="n"/>
      <c r="T104" s="32" t="n"/>
    </row>
    <row r="105" ht="62" customHeight="1">
      <c r="A105" s="10">
        <f>_xlfn.IMAGE("https://m.media-amazon.com/images/I/8121oIZnHFL.jpg")</f>
        <v/>
      </c>
      <c r="B105" s="32" t="inlineStr">
        <is>
          <t>B0C7JYS2K4</t>
        </is>
      </c>
      <c r="C105" s="32" t="inlineStr">
        <is>
          <t>SATIN-STRIPE-FULL-RED--6-PCS</t>
        </is>
      </c>
      <c r="D105" s="32" t="inlineStr">
        <is>
          <t>DECOLURE Satin Sheets Full Size | Softer Than Silk | Luxury 6 Pc Bed Set</t>
        </is>
      </c>
      <c r="E105" s="32" t="inlineStr">
        <is>
          <t>Full</t>
        </is>
      </c>
      <c r="F105" s="32" t="inlineStr">
        <is>
          <t>Striped Red</t>
        </is>
      </c>
      <c r="G105" s="60" t="n">
        <v>29.95</v>
      </c>
      <c r="H105" s="32" t="inlineStr">
        <is>
          <t>SellerBoard listing price, 2026-10-14</t>
        </is>
      </c>
      <c r="I105" s="61" t="n">
        <v>17.97</v>
      </c>
      <c r="J105" s="62" t="inlineStr">
        <is>
          <t>2026-03-30</t>
        </is>
      </c>
      <c r="K105" s="33" t="n">
        <v>-4.539999999999999</v>
      </c>
      <c r="L105" s="63" t="n">
        <v>-0.2526432943795214</v>
      </c>
      <c r="M105" s="64" t="n"/>
      <c r="N105" s="32" t="inlineStr">
        <is>
          <t>Inactive</t>
        </is>
      </c>
      <c r="O105" s="32" t="n"/>
      <c r="P105" s="65" t="n"/>
      <c r="Q105" s="64" t="n"/>
      <c r="R105" s="64" t="n"/>
      <c r="S105" s="64" t="n"/>
      <c r="T105" s="32" t="n"/>
    </row>
    <row r="106" ht="62" customHeight="1">
      <c r="A106" s="10">
        <f>_xlfn.IMAGE("https://m.media-amazon.com/images/I/81v12xURZRL.jpg")</f>
        <v/>
      </c>
      <c r="B106" s="32" t="inlineStr">
        <is>
          <t>B0C7K2B1Y3</t>
        </is>
      </c>
      <c r="C106" s="32" t="inlineStr">
        <is>
          <t>SATIN-STRIPE-FULL-WHITE--6-PCS</t>
        </is>
      </c>
      <c r="D106" s="32" t="inlineStr">
        <is>
          <t>DECOLURE Satin Sheets Full Size | Softer Than Silk | Luxury 6 Pc Bed Set</t>
        </is>
      </c>
      <c r="E106" s="32" t="inlineStr">
        <is>
          <t>Full</t>
        </is>
      </c>
      <c r="F106" s="32" t="inlineStr">
        <is>
          <t>Striped White</t>
        </is>
      </c>
      <c r="G106" s="60" t="n">
        <v>29.95</v>
      </c>
      <c r="H106" s="32" t="inlineStr">
        <is>
          <t>Helium 10 Xray, 2026-10-13</t>
        </is>
      </c>
      <c r="I106" s="61" t="n">
        <v>16.97</v>
      </c>
      <c r="J106" s="62" t="inlineStr">
        <is>
          <t>2026-03-30</t>
        </is>
      </c>
      <c r="K106" s="33" t="n">
        <v>-4.370000000000002</v>
      </c>
      <c r="L106" s="63" t="n">
        <v>-0.2575132586918092</v>
      </c>
      <c r="M106" s="64" t="n">
        <v>0</v>
      </c>
      <c r="N106" s="32" t="inlineStr">
        <is>
          <t>Active</t>
        </is>
      </c>
      <c r="O106" s="32" t="n"/>
      <c r="P106" s="65" t="n">
        <v>4.4</v>
      </c>
      <c r="Q106" s="64" t="n">
        <v>1628</v>
      </c>
      <c r="R106" s="64" t="n">
        <v>52125</v>
      </c>
      <c r="S106" s="64" t="n">
        <v>3</v>
      </c>
      <c r="T106" s="32" t="n"/>
    </row>
    <row r="107" ht="62" customHeight="1">
      <c r="A107" s="10">
        <f>_xlfn.IMAGE("https://m.media-amazon.com/images/I/81Z3bEG6bxL.jpg")</f>
        <v/>
      </c>
      <c r="B107" s="32" t="inlineStr">
        <is>
          <t>B0C7FHXP11</t>
        </is>
      </c>
      <c r="C107" s="32" t="inlineStr">
        <is>
          <t>SATIN-TAUPE-FULL-6PCS</t>
        </is>
      </c>
      <c r="D107" s="32" t="inlineStr">
        <is>
          <t>DECOLURE Satin Sheets Full Size | Softer Than Silk | Luxury 6 Pc Bed Set</t>
        </is>
      </c>
      <c r="E107" s="32" t="inlineStr">
        <is>
          <t>Full</t>
        </is>
      </c>
      <c r="F107" s="32" t="inlineStr">
        <is>
          <t>Taupe</t>
        </is>
      </c>
      <c r="G107" s="60" t="n">
        <v>29.95</v>
      </c>
      <c r="H107" s="32" t="inlineStr">
        <is>
          <t>Helium 10 Xray, 2026-10-13</t>
        </is>
      </c>
      <c r="I107" s="61" t="n">
        <v>20.96</v>
      </c>
      <c r="J107" s="62" t="inlineStr">
        <is>
          <t>2026-03-30</t>
        </is>
      </c>
      <c r="K107" s="33" t="n">
        <v>-0.5199999999999996</v>
      </c>
      <c r="L107" s="63" t="n">
        <v>-0.02480916030534349</v>
      </c>
      <c r="M107" s="64" t="n">
        <v>0</v>
      </c>
      <c r="N107" s="32" t="inlineStr">
        <is>
          <t>Active</t>
        </is>
      </c>
      <c r="O107" s="32" t="n"/>
      <c r="P107" s="65" t="n">
        <v>4.4</v>
      </c>
      <c r="Q107" s="64" t="n">
        <v>1628</v>
      </c>
      <c r="R107" s="64" t="n">
        <v>52125</v>
      </c>
      <c r="S107" s="64" t="n">
        <v>3</v>
      </c>
      <c r="T107" s="32" t="n"/>
    </row>
    <row r="108" ht="62" customHeight="1">
      <c r="A108" s="10">
        <f>_xlfn.IMAGE("https://m.media-amazon.com/images/I/81JDVBgWOSL.jpg")</f>
        <v/>
      </c>
      <c r="B108" s="32" t="inlineStr">
        <is>
          <t>B0D9R9B1VT</t>
        </is>
      </c>
      <c r="C108" s="32" t="inlineStr">
        <is>
          <t>SATIN-6PC-FULL-WHITE</t>
        </is>
      </c>
      <c r="D108" s="32" t="inlineStr">
        <is>
          <t>DECOLURE Satin Sheets Full Size | Softer Than Silk | Luxury 6 Pc Bed Set</t>
        </is>
      </c>
      <c r="E108" s="32" t="inlineStr">
        <is>
          <t>Full</t>
        </is>
      </c>
      <c r="F108" s="32" t="inlineStr">
        <is>
          <t>White</t>
        </is>
      </c>
      <c r="G108" s="60" t="n">
        <v>29.95</v>
      </c>
      <c r="H108" s="32" t="inlineStr">
        <is>
          <t>Helium 10 Xray, 2026-10-13</t>
        </is>
      </c>
      <c r="I108" s="61" t="n">
        <v>29.95</v>
      </c>
      <c r="J108" s="62" t="inlineStr">
        <is>
          <t>2026-03-30</t>
        </is>
      </c>
      <c r="K108" s="33" t="n">
        <v>7.260000000000002</v>
      </c>
      <c r="L108" s="63" t="n">
        <v>0.2424040066777964</v>
      </c>
      <c r="M108" s="64" t="n">
        <v>0</v>
      </c>
      <c r="N108" s="32" t="inlineStr">
        <is>
          <t>Active</t>
        </is>
      </c>
      <c r="O108" s="32" t="n"/>
      <c r="P108" s="65" t="n">
        <v>4.4</v>
      </c>
      <c r="Q108" s="64" t="n">
        <v>1628</v>
      </c>
      <c r="R108" s="64" t="n">
        <v>52125</v>
      </c>
      <c r="S108" s="64" t="n">
        <v>3</v>
      </c>
      <c r="T108" s="32" t="n"/>
    </row>
    <row r="109" ht="62" customHeight="1">
      <c r="A109" s="10">
        <f>_xlfn.IMAGE("https://m.media-amazon.com/images/I/81JDVBgWOSL.jpg")</f>
        <v/>
      </c>
      <c r="B109" s="32" t="inlineStr">
        <is>
          <t>B0HK541FW9</t>
        </is>
      </c>
      <c r="C109" s="32" t="n"/>
      <c r="D109" s="32" t="inlineStr">
        <is>
          <t>DECOLURE Satin Sheets King Size | Softer Than Silk | Luxury 6 Pc Bed Set</t>
        </is>
      </c>
      <c r="E109" s="32" t="inlineStr">
        <is>
          <t>King</t>
        </is>
      </c>
      <c r="F109" s="32" t="n"/>
      <c r="G109" s="33" t="n"/>
      <c r="H109" s="32" t="n"/>
      <c r="I109" s="33" t="n"/>
      <c r="J109" s="32" t="n"/>
      <c r="K109" s="33" t="n"/>
      <c r="L109" s="63" t="n"/>
      <c r="M109" s="64" t="n"/>
      <c r="N109" s="32" t="inlineStr">
        <is>
          <t>Inactive</t>
        </is>
      </c>
      <c r="O109" s="32" t="n"/>
      <c r="P109" s="65" t="n"/>
      <c r="Q109" s="64" t="n"/>
      <c r="R109" s="64" t="n"/>
      <c r="S109" s="64" t="n"/>
      <c r="T109" s="32" t="n"/>
    </row>
    <row r="110" ht="62" customHeight="1">
      <c r="A110" s="10">
        <f>_xlfn.IMAGE("https://m.media-amazon.com/images/I/81kHTwIB46L.jpg")</f>
        <v/>
      </c>
      <c r="B110" s="32" t="inlineStr">
        <is>
          <t>B0D9QSG9LD</t>
        </is>
      </c>
      <c r="C110" s="32" t="inlineStr">
        <is>
          <t>SATIN-6PC-KING-BLUSH PINK</t>
        </is>
      </c>
      <c r="D110" s="32" t="inlineStr">
        <is>
          <t>DECOLURE Satin Sheets King Size | Softer Than Silk | Luxury 6 Pc Bed Set</t>
        </is>
      </c>
      <c r="E110" s="32" t="inlineStr">
        <is>
          <t>King</t>
        </is>
      </c>
      <c r="F110" s="32" t="inlineStr">
        <is>
          <t>Blush Pink</t>
        </is>
      </c>
      <c r="G110" s="60" t="n">
        <v>33.95</v>
      </c>
      <c r="H110" s="32" t="inlineStr">
        <is>
          <t>SellerBoard listing price, 2026-10-14</t>
        </is>
      </c>
      <c r="I110" s="61" t="n">
        <v>33.95</v>
      </c>
      <c r="J110" s="62" t="inlineStr">
        <is>
          <t>2026-03-30</t>
        </is>
      </c>
      <c r="K110" s="33" t="n">
        <v>8.570000000000002</v>
      </c>
      <c r="L110" s="63" t="n">
        <v>0.2524300441826215</v>
      </c>
      <c r="M110" s="64" t="n"/>
      <c r="N110" s="32" t="inlineStr">
        <is>
          <t>Inactive</t>
        </is>
      </c>
      <c r="O110" s="32" t="n"/>
      <c r="P110" s="65" t="n"/>
      <c r="Q110" s="64" t="n"/>
      <c r="R110" s="64" t="n"/>
      <c r="S110" s="64" t="n"/>
      <c r="T110" s="32" t="n"/>
    </row>
    <row r="111" ht="62" customHeight="1">
      <c r="A111" s="10">
        <f>_xlfn.IMAGE("https://m.media-amazon.com/images/I/81PU9JNVXwL.jpg")</f>
        <v/>
      </c>
      <c r="B111" s="32" t="inlineStr">
        <is>
          <t>B0D9QSHBSX</t>
        </is>
      </c>
      <c r="C111" s="32" t="inlineStr">
        <is>
          <t>SATIN-6PC-KING-NAVY BLUE</t>
        </is>
      </c>
      <c r="D111" s="32" t="inlineStr">
        <is>
          <t>DECOLURE Satin Sheets King Size | Softer Than Silk | Luxury 6 Pc Bed Set</t>
        </is>
      </c>
      <c r="E111" s="32" t="inlineStr">
        <is>
          <t>King</t>
        </is>
      </c>
      <c r="F111" s="32" t="inlineStr">
        <is>
          <t>Navy Blue</t>
        </is>
      </c>
      <c r="G111" s="60" t="n">
        <v>33.95</v>
      </c>
      <c r="H111" s="32" t="inlineStr">
        <is>
          <t>SellerBoard listing price, 2026-10-14</t>
        </is>
      </c>
      <c r="I111" s="61" t="n">
        <v>33.95</v>
      </c>
      <c r="J111" s="62" t="inlineStr">
        <is>
          <t>2026-03-26</t>
        </is>
      </c>
      <c r="K111" s="33" t="n">
        <v>8.300000000000004</v>
      </c>
      <c r="L111" s="63" t="n">
        <v>0.244477172312224</v>
      </c>
      <c r="M111" s="64" t="n"/>
      <c r="N111" s="32" t="inlineStr">
        <is>
          <t>Inactive</t>
        </is>
      </c>
      <c r="O111" s="32" t="n"/>
      <c r="P111" s="65" t="n"/>
      <c r="Q111" s="64" t="n"/>
      <c r="R111" s="64" t="n"/>
      <c r="S111" s="64" t="n"/>
      <c r="T111" s="32" t="n"/>
    </row>
    <row r="112" ht="62" customHeight="1">
      <c r="A112" s="10">
        <f>_xlfn.IMAGE("https://m.media-amazon.com/images/I/815cp0gvpML.jpg")</f>
        <v/>
      </c>
      <c r="B112" s="32" t="inlineStr">
        <is>
          <t>B0HF5BK6Y9</t>
        </is>
      </c>
      <c r="C112" s="32" t="inlineStr">
        <is>
          <t>SATIN-STONEGREY-6PC-KING</t>
        </is>
      </c>
      <c r="D112" s="32" t="inlineStr">
        <is>
          <t>DECOLURE Satin Sheets King Size | Softer Than Silk | Luxury 6 Pc Bed Set</t>
        </is>
      </c>
      <c r="E112" s="32" t="inlineStr">
        <is>
          <t>King</t>
        </is>
      </c>
      <c r="F112" s="32" t="inlineStr">
        <is>
          <t>Stone 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_xlfn.IMAGE("https://m.media-amazon.com/images/I/81xV5hDfr6L.jpg")</f>
        <v/>
      </c>
      <c r="B113" s="32" t="inlineStr">
        <is>
          <t>B0C7KBKH28</t>
        </is>
      </c>
      <c r="C113" s="32" t="inlineStr">
        <is>
          <t>SATIN-STRIPE-KING-BLUE--6-PCS</t>
        </is>
      </c>
      <c r="D113" s="32" t="inlineStr">
        <is>
          <t>DECOLURE Satin Sheets King Size | Softer Than Silk | Luxury 6 Pc Bed Set</t>
        </is>
      </c>
      <c r="E113" s="32" t="inlineStr">
        <is>
          <t>King</t>
        </is>
      </c>
      <c r="F113" s="32" t="inlineStr">
        <is>
          <t>Striped Blue</t>
        </is>
      </c>
      <c r="G113" s="60" t="n">
        <v>33.95</v>
      </c>
      <c r="H113" s="32" t="inlineStr">
        <is>
          <t>SellerBoard listing price, 2026-10-14</t>
        </is>
      </c>
      <c r="I113" s="61" t="n">
        <v>33.95</v>
      </c>
      <c r="J113" s="62" t="inlineStr">
        <is>
          <t>2026-03-30</t>
        </is>
      </c>
      <c r="K113" s="33" t="n">
        <v>7.700000000000003</v>
      </c>
      <c r="L113" s="63" t="n">
        <v>0.2268041237113403</v>
      </c>
      <c r="M113" s="64" t="n"/>
      <c r="N113" s="32" t="inlineStr">
        <is>
          <t>Inactive</t>
        </is>
      </c>
      <c r="O113" s="32" t="n"/>
      <c r="P113" s="65" t="n"/>
      <c r="Q113" s="64" t="n"/>
      <c r="R113" s="64" t="n"/>
      <c r="S113" s="64" t="n"/>
      <c r="T113" s="32" t="n"/>
    </row>
    <row r="114" ht="62" customHeight="1">
      <c r="A114" s="10">
        <f>_xlfn.IMAGE("https://m.media-amazon.com/images/I/91wFGUsQtVL.jpg")</f>
        <v/>
      </c>
      <c r="B114" s="32" t="inlineStr">
        <is>
          <t>B0C7KBFK2P</t>
        </is>
      </c>
      <c r="C114" s="32" t="inlineStr">
        <is>
          <t>SATIN-STRIPE-KING-GOLD--6-PCS</t>
        </is>
      </c>
      <c r="D114" s="32" t="inlineStr">
        <is>
          <t>DECOLURE Satin Sheets King Size | Softer Than Silk | Luxury 6 Pc Bed Set</t>
        </is>
      </c>
      <c r="E114" s="32" t="inlineStr">
        <is>
          <t>King</t>
        </is>
      </c>
      <c r="F114" s="32" t="inlineStr">
        <is>
          <t>Striped Gold</t>
        </is>
      </c>
      <c r="G114" s="60" t="n">
        <v>46.95</v>
      </c>
      <c r="H114" s="32" t="inlineStr">
        <is>
          <t>SellerBoard listing price, 2026-10-14</t>
        </is>
      </c>
      <c r="I114" s="61" t="n">
        <v>33.95</v>
      </c>
      <c r="J114" s="62" t="inlineStr">
        <is>
          <t>2026-03-30</t>
        </is>
      </c>
      <c r="K114" s="33" t="n">
        <v>7.490000000000002</v>
      </c>
      <c r="L114" s="63" t="n">
        <v>0.2206185567010309</v>
      </c>
      <c r="M114" s="64" t="n"/>
      <c r="N114" s="32" t="inlineStr">
        <is>
          <t>Inactive</t>
        </is>
      </c>
      <c r="O114" s="32" t="n"/>
      <c r="P114" s="65" t="n"/>
      <c r="Q114" s="64" t="n"/>
      <c r="R114" s="64" t="n"/>
      <c r="S114" s="64" t="n"/>
      <c r="T114" s="32" t="n"/>
    </row>
    <row r="115" ht="62" customHeight="1">
      <c r="A115" s="10">
        <f>_xlfn.IMAGE("https://m.media-amazon.com/images/I/81-NapzaU0L.jpg")</f>
        <v/>
      </c>
      <c r="B115" s="32" t="inlineStr">
        <is>
          <t>B0C7K2LV1N</t>
        </is>
      </c>
      <c r="C115" s="32" t="inlineStr">
        <is>
          <t>SATIN-STRIPE-KING-PINK--6-PCS</t>
        </is>
      </c>
      <c r="D115" s="32" t="inlineStr">
        <is>
          <t>DECOLURE Satin Sheets King Size | Softer Than Silk | Luxury 6 Pc Bed Set</t>
        </is>
      </c>
      <c r="E115" s="32" t="inlineStr">
        <is>
          <t>King</t>
        </is>
      </c>
      <c r="F115" s="32" t="inlineStr">
        <is>
          <t>Striped Pink</t>
        </is>
      </c>
      <c r="G115" s="60" t="n">
        <v>33.95</v>
      </c>
      <c r="H115" s="32" t="inlineStr">
        <is>
          <t>Helium 10 Xray, 2026-10-13</t>
        </is>
      </c>
      <c r="I115" s="61" t="n">
        <v>33.95</v>
      </c>
      <c r="J115" s="62" t="inlineStr">
        <is>
          <t>2026-03-30</t>
        </is>
      </c>
      <c r="K115" s="33" t="n">
        <v>7.010000000000003</v>
      </c>
      <c r="L115" s="63" t="n">
        <v>0.2064801178203241</v>
      </c>
      <c r="M115" s="64" t="n"/>
      <c r="N115" s="32" t="inlineStr">
        <is>
          <t>Active</t>
        </is>
      </c>
      <c r="O115" s="32" t="n"/>
      <c r="P115" s="65" t="n">
        <v>4.4</v>
      </c>
      <c r="Q115" s="64" t="n">
        <v>1628</v>
      </c>
      <c r="R115" s="64" t="n">
        <v>52125</v>
      </c>
      <c r="S115" s="64" t="n">
        <v>0</v>
      </c>
      <c r="T115" s="32" t="n"/>
    </row>
    <row r="116" ht="62" customHeight="1">
      <c r="A116" s="10">
        <f>_xlfn.IMAGE("https://m.media-amazon.com/images/I/81G94nrfhtL.jpg")</f>
        <v/>
      </c>
      <c r="B116" s="32" t="inlineStr">
        <is>
          <t>B0C7KGGWS8</t>
        </is>
      </c>
      <c r="C116" s="32" t="inlineStr">
        <is>
          <t>SATIN-STRIPE-KING-PURPLE--6-PCS</t>
        </is>
      </c>
      <c r="D116" s="32" t="inlineStr">
        <is>
          <t>DECOLURE Satin Sheets King Size | Softer Than Silk | Luxury 6 Pc Bed Set</t>
        </is>
      </c>
      <c r="E116" s="32" t="inlineStr">
        <is>
          <t>King</t>
        </is>
      </c>
      <c r="F116" s="32" t="inlineStr">
        <is>
          <t>Striped Purple</t>
        </is>
      </c>
      <c r="G116" s="60" t="n">
        <v>32.95</v>
      </c>
      <c r="H116" s="32" t="inlineStr">
        <is>
          <t>SellerBoard listing price, 2026-10-14</t>
        </is>
      </c>
      <c r="I116" s="61" t="n">
        <v>33.95</v>
      </c>
      <c r="J116" s="62" t="inlineStr">
        <is>
          <t>2026-03-30</t>
        </is>
      </c>
      <c r="K116" s="33" t="n">
        <v>7.510000000000003</v>
      </c>
      <c r="L116" s="63" t="n">
        <v>0.2212076583210605</v>
      </c>
      <c r="M116" s="64" t="n">
        <v>0</v>
      </c>
      <c r="N116" s="32" t="inlineStr">
        <is>
          <t>Inactive</t>
        </is>
      </c>
      <c r="O116" s="32" t="n"/>
      <c r="P116" s="65" t="n"/>
      <c r="Q116" s="64" t="n"/>
      <c r="R116" s="64" t="n"/>
      <c r="S116" s="64" t="n"/>
      <c r="T116" s="32" t="n"/>
    </row>
    <row r="117" ht="62" customHeight="1">
      <c r="A117" s="10">
        <f>_xlfn.IMAGE("https://m.media-amazon.com/images/I/81v12xURZRL.jpg")</f>
        <v/>
      </c>
      <c r="B117" s="32" t="inlineStr">
        <is>
          <t>B0C7KD5MPK</t>
        </is>
      </c>
      <c r="C117" s="32" t="inlineStr">
        <is>
          <t>SATIN-STRIPE-KING-WHITE--6-PCS</t>
        </is>
      </c>
      <c r="D117" s="32" t="inlineStr">
        <is>
          <t>DECOLURE Satin Sheets King Size | Softer Than Silk | Luxury 6 Pc Bed Set</t>
        </is>
      </c>
      <c r="E117" s="32" t="inlineStr">
        <is>
          <t>King</t>
        </is>
      </c>
      <c r="F117" s="32" t="inlineStr">
        <is>
          <t>Striped White</t>
        </is>
      </c>
      <c r="G117" s="60" t="n">
        <v>33.95</v>
      </c>
      <c r="H117" s="32" t="inlineStr">
        <is>
          <t>SellerBoard listing price, 2026-10-14</t>
        </is>
      </c>
      <c r="I117" s="61" t="n">
        <v>33.95</v>
      </c>
      <c r="J117" s="62" t="inlineStr">
        <is>
          <t>2026-03-30</t>
        </is>
      </c>
      <c r="K117" s="33" t="n">
        <v>8.530000000000005</v>
      </c>
      <c r="L117" s="63" t="n">
        <v>0.2512518409425627</v>
      </c>
      <c r="M117" s="64" t="n">
        <v>0</v>
      </c>
      <c r="N117" s="32" t="inlineStr">
        <is>
          <t>Inactive</t>
        </is>
      </c>
      <c r="O117" s="32" t="n"/>
      <c r="P117" s="65" t="n"/>
      <c r="Q117" s="64" t="n"/>
      <c r="R117" s="64" t="n"/>
      <c r="S117" s="64" t="n"/>
      <c r="T117" s="32" t="n"/>
    </row>
    <row r="118" ht="62" customHeight="1">
      <c r="A118" s="10">
        <f>_xlfn.IMAGE("https://m.media-amazon.com/images/I/8121oIZnHFL.jpg")</f>
        <v/>
      </c>
      <c r="B118" s="32" t="inlineStr">
        <is>
          <t>B0HK4S8TBH</t>
        </is>
      </c>
      <c r="C118" s="32" t="inlineStr">
        <is>
          <t>SATIN-6PCS-STRIPE-QUEEN-RED</t>
        </is>
      </c>
      <c r="D118" s="32" t="inlineStr">
        <is>
          <t>DECOLURE Satin Sheets Queen Size | Softer Than Silk | Luxury 6 Pc Bed Set</t>
        </is>
      </c>
      <c r="E118" s="32" t="inlineStr">
        <is>
          <t>Queen</t>
        </is>
      </c>
      <c r="F118" s="32" t="inlineStr">
        <is>
          <t>Red</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_xlfn.IMAGE("https://m.media-amazon.com/images/I/81-NapzaU0L.jpg")</f>
        <v/>
      </c>
      <c r="B119" s="32" t="inlineStr">
        <is>
          <t>B0C7KD9LMR</t>
        </is>
      </c>
      <c r="C119" s="32" t="inlineStr">
        <is>
          <t>SATIN-STRIPE-QUEEN-PINK--6-PCS</t>
        </is>
      </c>
      <c r="D119" s="32" t="inlineStr">
        <is>
          <t>DECOLURE Satin Sheets Queen Size | Softer Than Silk | Luxury 6 Pc Bed Set</t>
        </is>
      </c>
      <c r="E119" s="32" t="inlineStr">
        <is>
          <t>Queen</t>
        </is>
      </c>
      <c r="F119" s="32" t="inlineStr">
        <is>
          <t>Striped Pink</t>
        </is>
      </c>
      <c r="G119" s="60" t="n">
        <v>31.95</v>
      </c>
      <c r="H119" s="32" t="inlineStr">
        <is>
          <t>Helium 10 Xray, 2026-10-13</t>
        </is>
      </c>
      <c r="I119" s="61" t="n">
        <v>31.95</v>
      </c>
      <c r="J119" s="62" t="inlineStr">
        <is>
          <t>2026-03-30</t>
        </is>
      </c>
      <c r="K119" s="33" t="n">
        <v>7.6</v>
      </c>
      <c r="L119" s="63" t="n">
        <v>0.2378716744913928</v>
      </c>
      <c r="M119" s="64" t="n">
        <v>0</v>
      </c>
      <c r="N119" s="32" t="inlineStr">
        <is>
          <t>Active</t>
        </is>
      </c>
      <c r="O119" s="32" t="n"/>
      <c r="P119" s="65" t="n">
        <v>4.4</v>
      </c>
      <c r="Q119" s="64" t="n">
        <v>1628</v>
      </c>
      <c r="R119" s="64" t="n">
        <v>52125</v>
      </c>
      <c r="S119" s="64" t="n">
        <v>1</v>
      </c>
      <c r="T119" s="32" t="n"/>
    </row>
    <row r="120" ht="62" customHeight="1">
      <c r="A120" s="10">
        <f>_xlfn.IMAGE("https://m.media-amazon.com/images/I/81G94nrfhtL.jpg")</f>
        <v/>
      </c>
      <c r="B120" s="32" t="inlineStr">
        <is>
          <t>B0C7KFWRM8</t>
        </is>
      </c>
      <c r="C120" s="32" t="inlineStr">
        <is>
          <t>SATIN-STRIPE-QUEEN-PURPLE--6-PCS</t>
        </is>
      </c>
      <c r="D120" s="32" t="inlineStr">
        <is>
          <t>DECOLURE Satin Sheets Queen Size | Softer Than Silk | Luxury 6 Pc Bed Set</t>
        </is>
      </c>
      <c r="E120" s="32" t="inlineStr">
        <is>
          <t>Queen</t>
        </is>
      </c>
      <c r="F120" s="32" t="inlineStr">
        <is>
          <t>Striped Purple</t>
        </is>
      </c>
      <c r="G120" s="60" t="n">
        <v>31.95</v>
      </c>
      <c r="H120" s="32" t="inlineStr">
        <is>
          <t>SellerBoard listing price, 2026-10-14</t>
        </is>
      </c>
      <c r="I120" s="61" t="n">
        <v>31.95</v>
      </c>
      <c r="J120" s="62" t="inlineStr">
        <is>
          <t>2026-03-30</t>
        </is>
      </c>
      <c r="K120" s="33" t="n">
        <v>7.750000000000002</v>
      </c>
      <c r="L120" s="63" t="n">
        <v>0.242566510172144</v>
      </c>
      <c r="M120" s="64" t="n"/>
      <c r="N120" s="32" t="inlineStr">
        <is>
          <t>Inactive</t>
        </is>
      </c>
      <c r="O120" s="32" t="n"/>
      <c r="P120" s="65" t="n"/>
      <c r="Q120" s="64" t="n"/>
      <c r="R120" s="64" t="n"/>
      <c r="S120" s="64" t="n"/>
      <c r="T120" s="32" t="n"/>
    </row>
    <row r="121" ht="62" customHeight="1">
      <c r="A121" s="10">
        <f>_xlfn.IMAGE("https://m.media-amazon.com/images/I/81z6+tLQ6rL.jpg")</f>
        <v/>
      </c>
      <c r="B121" s="32" t="inlineStr">
        <is>
          <t>B0D9QQ99HB</t>
        </is>
      </c>
      <c r="C121" s="32" t="inlineStr">
        <is>
          <t>SATIN-4PC-TWIN-BLUSH PINK</t>
        </is>
      </c>
      <c r="D121" s="32" t="inlineStr">
        <is>
          <t>DECOLURE Satin Sheets Twin Size | Softer Than Silk | Luxury 4 Pc Bed Set</t>
        </is>
      </c>
      <c r="E121" s="32" t="inlineStr">
        <is>
          <t>Twin</t>
        </is>
      </c>
      <c r="F121" s="32" t="inlineStr">
        <is>
          <t>Blush Pink</t>
        </is>
      </c>
      <c r="G121" s="60" t="n">
        <v>27.95</v>
      </c>
      <c r="H121" s="32" t="inlineStr">
        <is>
          <t>Helium 10 Xray, 2026-10-13</t>
        </is>
      </c>
      <c r="I121" s="61" t="n">
        <v>34.95</v>
      </c>
      <c r="J121" s="62" t="inlineStr">
        <is>
          <t>2026-03-30</t>
        </is>
      </c>
      <c r="K121" s="33" t="n">
        <v>15.05</v>
      </c>
      <c r="L121" s="63" t="n">
        <v>0.4306151645207439</v>
      </c>
      <c r="M121" s="64" t="n">
        <v>0</v>
      </c>
      <c r="N121" s="32" t="inlineStr">
        <is>
          <t>Active</t>
        </is>
      </c>
      <c r="O121" s="32" t="n"/>
      <c r="P121" s="65" t="n">
        <v>4.4</v>
      </c>
      <c r="Q121" s="64" t="n">
        <v>1628</v>
      </c>
      <c r="R121" s="64" t="n">
        <v>52121</v>
      </c>
      <c r="S121" s="64" t="n">
        <v>2</v>
      </c>
      <c r="T121" s="32" t="n"/>
    </row>
    <row r="122" ht="62" customHeight="1">
      <c r="A122" s="10">
        <f>_xlfn.IMAGE("https://m.media-amazon.com/images/I/81xslWeND-L.jpg")</f>
        <v/>
      </c>
      <c r="B122" s="32" t="inlineStr">
        <is>
          <t>B0D9QSQ8W7</t>
        </is>
      </c>
      <c r="C122" s="32" t="inlineStr">
        <is>
          <t>SATIN-4PC-TWIN-BURNT ORANGE</t>
        </is>
      </c>
      <c r="D122" s="32" t="inlineStr">
        <is>
          <t>DECOLURE Satin Sheets Twin Size | Softer Than Silk | Luxury 4 Pc Bed Set</t>
        </is>
      </c>
      <c r="E122" s="32" t="inlineStr">
        <is>
          <t>Twin</t>
        </is>
      </c>
      <c r="F122" s="32" t="inlineStr">
        <is>
          <t>Burnt Orange</t>
        </is>
      </c>
      <c r="G122" s="60" t="n">
        <v>27.95</v>
      </c>
      <c r="H122" s="32" t="inlineStr">
        <is>
          <t>Helium 10 Xray, 2026-10-13</t>
        </is>
      </c>
      <c r="I122" s="61" t="n">
        <v>27.95</v>
      </c>
      <c r="J122" s="62" t="inlineStr">
        <is>
          <t>2026-03-30</t>
        </is>
      </c>
      <c r="K122" s="33" t="n">
        <v>8.409999999999998</v>
      </c>
      <c r="L122" s="63" t="n">
        <v>0.3008944543828264</v>
      </c>
      <c r="M122" s="64" t="n">
        <v>0</v>
      </c>
      <c r="N122" s="32" t="inlineStr">
        <is>
          <t>Active</t>
        </is>
      </c>
      <c r="O122" s="32" t="n"/>
      <c r="P122" s="65" t="n">
        <v>4.4</v>
      </c>
      <c r="Q122" s="64" t="n">
        <v>1628</v>
      </c>
      <c r="R122" s="64" t="n">
        <v>52125</v>
      </c>
      <c r="S122" s="64" t="n">
        <v>5</v>
      </c>
      <c r="T122" s="32" t="n"/>
    </row>
    <row r="123" ht="62" customHeight="1">
      <c r="A123" s="10">
        <f>_xlfn.IMAGE("https://m.media-amazon.com/images/I/81WPJBv71TL.jpg")</f>
        <v/>
      </c>
      <c r="B123" s="32" t="inlineStr">
        <is>
          <t>B0C7FLZ6S8</t>
        </is>
      </c>
      <c r="C123" s="32" t="inlineStr">
        <is>
          <t>SATIN-CHAMPAGNE-TWIN-6PCS</t>
        </is>
      </c>
      <c r="D123" s="32" t="inlineStr">
        <is>
          <t>DECOLURE Satin Sheets Twin Size | Softer Than Silk | Luxury 4 Pc Bed Set</t>
        </is>
      </c>
      <c r="E123" s="32" t="inlineStr">
        <is>
          <t>Twin</t>
        </is>
      </c>
      <c r="F123" s="32" t="inlineStr">
        <is>
          <t>Champagne</t>
        </is>
      </c>
      <c r="G123" s="60" t="n">
        <v>27.95</v>
      </c>
      <c r="H123" s="32" t="inlineStr">
        <is>
          <t>Helium 10 Xray, 2026-10-13</t>
        </is>
      </c>
      <c r="I123" s="61" t="n">
        <v>34.95</v>
      </c>
      <c r="J123" s="62" t="inlineStr">
        <is>
          <t>2026-03-30</t>
        </is>
      </c>
      <c r="K123" s="33" t="n">
        <v>14.89</v>
      </c>
      <c r="L123" s="63" t="n">
        <v>0.4260371959942775</v>
      </c>
      <c r="M123" s="64" t="n">
        <v>0</v>
      </c>
      <c r="N123" s="32" t="inlineStr">
        <is>
          <t>Active</t>
        </is>
      </c>
      <c r="O123" s="32" t="n"/>
      <c r="P123" s="65" t="n">
        <v>4.4</v>
      </c>
      <c r="Q123" s="64" t="n">
        <v>1628</v>
      </c>
      <c r="R123" s="64" t="n">
        <v>52125</v>
      </c>
      <c r="S123" s="64" t="n">
        <v>5</v>
      </c>
      <c r="T123" s="32" t="n"/>
    </row>
    <row r="124" ht="62" customHeight="1">
      <c r="A124" s="10">
        <f>_xlfn.IMAGE("https://m.media-amazon.com/images/I/81Gw0km1nlL.jpg")</f>
        <v/>
      </c>
      <c r="B124" s="32" t="inlineStr">
        <is>
          <t>B0D9QRPTXQ</t>
        </is>
      </c>
      <c r="C124" s="32" t="inlineStr">
        <is>
          <t>SATIN-4PC-TWIN-DARK GREEN</t>
        </is>
      </c>
      <c r="D124" s="32" t="inlineStr">
        <is>
          <t>DECOLURE Satin Sheets Twin Size | Softer Than Silk | Luxury 4 Pc Bed Set</t>
        </is>
      </c>
      <c r="E124" s="32" t="inlineStr">
        <is>
          <t>Twin</t>
        </is>
      </c>
      <c r="F124" s="32" t="inlineStr">
        <is>
          <t>Dark Green</t>
        </is>
      </c>
      <c r="G124" s="60" t="n">
        <v>27.95</v>
      </c>
      <c r="H124" s="32" t="inlineStr">
        <is>
          <t>Helium 10 Xray, 2026-10-13</t>
        </is>
      </c>
      <c r="I124" s="61" t="n">
        <v>36.95</v>
      </c>
      <c r="J124" s="62" t="inlineStr">
        <is>
          <t>2026-03-30</t>
        </is>
      </c>
      <c r="K124" s="33" t="n">
        <v>14.25</v>
      </c>
      <c r="L124" s="63" t="n">
        <v>0.3856562922868742</v>
      </c>
      <c r="M124" s="64" t="n">
        <v>0</v>
      </c>
      <c r="N124" s="32" t="inlineStr">
        <is>
          <t>Active</t>
        </is>
      </c>
      <c r="O124" s="32" t="n"/>
      <c r="P124" s="65" t="n">
        <v>4.4</v>
      </c>
      <c r="Q124" s="64" t="n">
        <v>1628</v>
      </c>
      <c r="R124" s="64" t="n">
        <v>52125</v>
      </c>
      <c r="S124" s="64" t="n">
        <v>6</v>
      </c>
      <c r="T124" s="32" t="n"/>
    </row>
    <row r="125" ht="62" customHeight="1">
      <c r="A125" s="10">
        <f>_xlfn.IMAGE("https://m.media-amazon.com/images/I/81DvfRbabuL.jpg")</f>
        <v/>
      </c>
      <c r="B125" s="32" t="inlineStr">
        <is>
          <t>B0C7FKPZNT</t>
        </is>
      </c>
      <c r="C125" s="32" t="inlineStr">
        <is>
          <t>SATIN-TWIN-PINK-6PCS</t>
        </is>
      </c>
      <c r="D125" s="32" t="inlineStr">
        <is>
          <t>DECOLURE Satin Sheets Twin Size | Softer Than Silk | Luxury 4 Pc Bed Set</t>
        </is>
      </c>
      <c r="E125" s="32" t="inlineStr">
        <is>
          <t>Twin</t>
        </is>
      </c>
      <c r="F125" s="32" t="inlineStr">
        <is>
          <t>Pink</t>
        </is>
      </c>
      <c r="G125" s="60" t="n">
        <v>27.95</v>
      </c>
      <c r="H125" s="32" t="inlineStr">
        <is>
          <t>Helium 10 Xray, 2026-10-13</t>
        </is>
      </c>
      <c r="I125" s="61" t="n">
        <v>30.95</v>
      </c>
      <c r="J125" s="62" t="inlineStr">
        <is>
          <t>2026-03-30</t>
        </is>
      </c>
      <c r="K125" s="33" t="n">
        <v>11.2</v>
      </c>
      <c r="L125" s="63" t="n">
        <v>0.3618739903069466</v>
      </c>
      <c r="M125" s="64" t="n">
        <v>0</v>
      </c>
      <c r="N125" s="32" t="inlineStr">
        <is>
          <t>Active</t>
        </is>
      </c>
      <c r="O125" s="32" t="n"/>
      <c r="P125" s="65" t="n">
        <v>4.4</v>
      </c>
      <c r="Q125" s="64" t="n">
        <v>1628</v>
      </c>
      <c r="R125" s="64" t="n">
        <v>52125</v>
      </c>
      <c r="S125" s="64" t="n">
        <v>7</v>
      </c>
      <c r="T125" s="32" t="n"/>
    </row>
    <row r="126" ht="62" customHeight="1">
      <c r="A126" s="10">
        <f>_xlfn.IMAGE("https://m.media-amazon.com/images/I/81fsuYvK0nL.jpg")</f>
        <v/>
      </c>
      <c r="B126" s="32" t="inlineStr">
        <is>
          <t>B0C7FXRDSZ</t>
        </is>
      </c>
      <c r="C126" s="32" t="inlineStr">
        <is>
          <t>SATIN-TWIN-PURPLE-6PCS</t>
        </is>
      </c>
      <c r="D126" s="32" t="inlineStr">
        <is>
          <t>DECOLURE Satin Sheets Twin Size | Softer Than Silk | Luxury 4 Pc Bed Set</t>
        </is>
      </c>
      <c r="E126" s="32" t="inlineStr">
        <is>
          <t>Twin</t>
        </is>
      </c>
      <c r="F126" s="32" t="inlineStr">
        <is>
          <t>Purple</t>
        </is>
      </c>
      <c r="G126" s="60" t="n">
        <v>27.95</v>
      </c>
      <c r="H126" s="32" t="inlineStr">
        <is>
          <t>Helium 10 Xray, 2026-10-13</t>
        </is>
      </c>
      <c r="I126" s="61" t="n">
        <v>27.95</v>
      </c>
      <c r="J126" s="62" t="inlineStr">
        <is>
          <t>2026-03-30</t>
        </is>
      </c>
      <c r="K126" s="33" t="n">
        <v>8.519999999999996</v>
      </c>
      <c r="L126" s="63" t="n">
        <v>0.3048300536672628</v>
      </c>
      <c r="M126" s="64" t="n">
        <v>0</v>
      </c>
      <c r="N126" s="32" t="inlineStr">
        <is>
          <t>Active</t>
        </is>
      </c>
      <c r="O126" s="32" t="n"/>
      <c r="P126" s="65" t="n">
        <v>4.4</v>
      </c>
      <c r="Q126" s="64" t="n">
        <v>1628</v>
      </c>
      <c r="R126" s="64" t="n">
        <v>52121</v>
      </c>
      <c r="S126" s="64" t="n">
        <v>6</v>
      </c>
      <c r="T126" s="32" t="n"/>
    </row>
    <row r="127" ht="62" customHeight="1">
      <c r="A127" s="10">
        <f>_xlfn.IMAGE("https://m.media-amazon.com/images/I/81iitr63ZVL.jpg")</f>
        <v/>
      </c>
      <c r="B127" s="32" t="inlineStr">
        <is>
          <t>B0C7FF3CWB</t>
        </is>
      </c>
      <c r="C127" s="32" t="inlineStr">
        <is>
          <t>SATIN-SEA-TEAL-TWIN-6PCS</t>
        </is>
      </c>
      <c r="D127" s="32" t="inlineStr">
        <is>
          <t>DECOLURE Satin Sheets Twin Size | Softer Than Silk | Luxury 4 Pc Bed Set</t>
        </is>
      </c>
      <c r="E127" s="32" t="inlineStr">
        <is>
          <t>Twin</t>
        </is>
      </c>
      <c r="F127" s="32" t="inlineStr">
        <is>
          <t>Sea Teal</t>
        </is>
      </c>
      <c r="G127" s="60" t="n">
        <v>27.95</v>
      </c>
      <c r="H127" s="32" t="inlineStr">
        <is>
          <t>Helium 10 Xray, 2026-10-13</t>
        </is>
      </c>
      <c r="I127" s="61" t="n">
        <v>34.95</v>
      </c>
      <c r="J127" s="62" t="inlineStr">
        <is>
          <t>2026-03-30</t>
        </is>
      </c>
      <c r="K127" s="33" t="n">
        <v>14.53</v>
      </c>
      <c r="L127" s="63" t="n">
        <v>0.4157367668097282</v>
      </c>
      <c r="M127" s="64" t="n">
        <v>0</v>
      </c>
      <c r="N127" s="32" t="inlineStr">
        <is>
          <t>Active</t>
        </is>
      </c>
      <c r="O127" s="32" t="n"/>
      <c r="P127" s="65" t="n">
        <v>4.4</v>
      </c>
      <c r="Q127" s="64" t="n">
        <v>1628</v>
      </c>
      <c r="R127" s="64" t="n">
        <v>52125</v>
      </c>
      <c r="S127" s="64" t="n">
        <v>6</v>
      </c>
      <c r="T127" s="32" t="n"/>
    </row>
    <row r="128" ht="62" customHeight="1">
      <c r="A128" s="10">
        <f>_xlfn.IMAGE("https://m.media-amazon.com/images/I/81tof11clrL.jpg")</f>
        <v/>
      </c>
      <c r="B128" s="32" t="inlineStr">
        <is>
          <t>B0C7F9HG21</t>
        </is>
      </c>
      <c r="C128" s="32" t="inlineStr">
        <is>
          <t>SATIN-STONEGREY-TWIN-6PCS</t>
        </is>
      </c>
      <c r="D128" s="32" t="inlineStr">
        <is>
          <t>DECOLURE Satin Sheets Twin Size | Softer Than Silk | Luxury 4 Pc Bed Set</t>
        </is>
      </c>
      <c r="E128" s="32" t="inlineStr">
        <is>
          <t>Twin</t>
        </is>
      </c>
      <c r="F128" s="32" t="inlineStr">
        <is>
          <t>Stone Grey</t>
        </is>
      </c>
      <c r="G128" s="60" t="n">
        <v>27.95</v>
      </c>
      <c r="H128" s="32" t="inlineStr">
        <is>
          <t>Helium 10 Xray, 2026-10-13</t>
        </is>
      </c>
      <c r="I128" s="61" t="n">
        <v>36.95</v>
      </c>
      <c r="J128" s="62" t="inlineStr">
        <is>
          <t>2026-03-30</t>
        </is>
      </c>
      <c r="K128" s="33" t="n">
        <v>16.3</v>
      </c>
      <c r="L128" s="63" t="n">
        <v>0.4411366711772667</v>
      </c>
      <c r="M128" s="64" t="n">
        <v>0</v>
      </c>
      <c r="N128" s="32" t="inlineStr">
        <is>
          <t>Active</t>
        </is>
      </c>
      <c r="O128" s="32" t="n"/>
      <c r="P128" s="65" t="n">
        <v>4.4</v>
      </c>
      <c r="Q128" s="64" t="n">
        <v>1628</v>
      </c>
      <c r="R128" s="64" t="n">
        <v>52125</v>
      </c>
      <c r="S128" s="64" t="n">
        <v>6</v>
      </c>
      <c r="T128" s="32" t="n"/>
    </row>
    <row r="129" ht="62" customHeight="1">
      <c r="A129" s="10">
        <f>_xlfn.IMAGE("https://m.media-amazon.com/images/I/81FdNp1E3ZL.jpg")</f>
        <v/>
      </c>
      <c r="B129" s="32" t="inlineStr">
        <is>
          <t>B0C7K6WTJ1</t>
        </is>
      </c>
      <c r="C129" s="32" t="inlineStr">
        <is>
          <t>SATIN-STRIPE-TWIN-BLACK--6-PCS</t>
        </is>
      </c>
      <c r="D129" s="32" t="inlineStr">
        <is>
          <t>DECOLURE Satin Sheets Twin Size | Softer Than Silk | Luxury 4 Pc Bed Set</t>
        </is>
      </c>
      <c r="E129" s="32" t="inlineStr">
        <is>
          <t>Twin</t>
        </is>
      </c>
      <c r="F129" s="32" t="inlineStr">
        <is>
          <t>Striped Black</t>
        </is>
      </c>
      <c r="G129" s="60" t="n">
        <v>27.95</v>
      </c>
      <c r="H129" s="32" t="inlineStr">
        <is>
          <t>Helium 10 Xray, 2026-10-13</t>
        </is>
      </c>
      <c r="I129" s="61" t="n">
        <v>27.95</v>
      </c>
      <c r="J129" s="62" t="inlineStr">
        <is>
          <t>2026-03-30</t>
        </is>
      </c>
      <c r="K129" s="33" t="n">
        <v>7.25</v>
      </c>
      <c r="L129" s="63" t="n">
        <v>0.259391771019678</v>
      </c>
      <c r="M129" s="64" t="n">
        <v>0</v>
      </c>
      <c r="N129" s="32" t="inlineStr">
        <is>
          <t>Active</t>
        </is>
      </c>
      <c r="O129" s="32" t="n"/>
      <c r="P129" s="65" t="n">
        <v>4.4</v>
      </c>
      <c r="Q129" s="64" t="n">
        <v>1628</v>
      </c>
      <c r="R129" s="64" t="n">
        <v>52125</v>
      </c>
      <c r="S129" s="64" t="n">
        <v>5</v>
      </c>
      <c r="T129" s="32" t="n"/>
    </row>
    <row r="130" ht="62" customHeight="1">
      <c r="A130" s="10">
        <f>_xlfn.IMAGE("https://m.media-amazon.com/images/I/81N5DWhx8TL.jpg")</f>
        <v/>
      </c>
      <c r="B130" s="32" t="inlineStr">
        <is>
          <t>B0C7JVQWDH</t>
        </is>
      </c>
      <c r="C130" s="32" t="inlineStr">
        <is>
          <t>SATIN-STRIPE-TWIN-BLUE--6-PCS</t>
        </is>
      </c>
      <c r="D130" s="32" t="inlineStr">
        <is>
          <t>DECOLURE Satin Sheets Twin Size | Softer Than Silk | Luxury 4 Pc Bed Set</t>
        </is>
      </c>
      <c r="E130" s="32" t="inlineStr">
        <is>
          <t>Twin</t>
        </is>
      </c>
      <c r="F130" s="32" t="inlineStr">
        <is>
          <t>Striped Blue</t>
        </is>
      </c>
      <c r="G130" s="60" t="n">
        <v>27.95</v>
      </c>
      <c r="H130" s="32" t="inlineStr">
        <is>
          <t>Helium 10 Xray, 2026-10-13</t>
        </is>
      </c>
      <c r="I130" s="61" t="n">
        <v>29.95</v>
      </c>
      <c r="J130" s="62" t="inlineStr">
        <is>
          <t>2026-03-30</t>
        </is>
      </c>
      <c r="K130" s="33" t="n">
        <v>9.370000000000003</v>
      </c>
      <c r="L130" s="63" t="n">
        <v>0.3128547579298833</v>
      </c>
      <c r="M130" s="64" t="n">
        <v>0</v>
      </c>
      <c r="N130" s="32" t="inlineStr">
        <is>
          <t>Active</t>
        </is>
      </c>
      <c r="O130" s="32" t="n"/>
      <c r="P130" s="65" t="n">
        <v>4.4</v>
      </c>
      <c r="Q130" s="64" t="n">
        <v>1628</v>
      </c>
      <c r="R130" s="64" t="n">
        <v>52125</v>
      </c>
      <c r="S130" s="64" t="n">
        <v>6</v>
      </c>
      <c r="T130" s="32" t="n"/>
    </row>
    <row r="131" ht="62" customHeight="1">
      <c r="A131" s="10">
        <f>_xlfn.IMAGE("https://m.media-amazon.com/images/I/81D2zpVVytL.jpg")</f>
        <v/>
      </c>
      <c r="B131" s="32" t="inlineStr">
        <is>
          <t>B0C7K62XCT</t>
        </is>
      </c>
      <c r="C131" s="32" t="inlineStr">
        <is>
          <t>SATIN-STRIPE-TWIN-GRAY--6-PCS</t>
        </is>
      </c>
      <c r="D131" s="32" t="inlineStr">
        <is>
          <t>DECOLURE Satin Sheets Twin Size | Softer Than Silk | Luxury 4 Pc Bed Set</t>
        </is>
      </c>
      <c r="E131" s="32" t="inlineStr">
        <is>
          <t>Twin</t>
        </is>
      </c>
      <c r="F131" s="32" t="inlineStr">
        <is>
          <t>Striped Grey</t>
        </is>
      </c>
      <c r="G131" s="60" t="n">
        <v>27.95</v>
      </c>
      <c r="H131" s="32" t="inlineStr">
        <is>
          <t>Helium 10 Xray, 2026-10-13</t>
        </is>
      </c>
      <c r="I131" s="61" t="n">
        <v>33.95</v>
      </c>
      <c r="J131" s="62" t="inlineStr">
        <is>
          <t>2026-03-30</t>
        </is>
      </c>
      <c r="K131" s="33" t="n">
        <v>12.77</v>
      </c>
      <c r="L131" s="63" t="n">
        <v>0.3761413843888072</v>
      </c>
      <c r="M131" s="64" t="n">
        <v>0</v>
      </c>
      <c r="N131" s="32" t="inlineStr">
        <is>
          <t>Active</t>
        </is>
      </c>
      <c r="O131" s="32" t="n"/>
      <c r="P131" s="65" t="n">
        <v>4.4</v>
      </c>
      <c r="Q131" s="64" t="n">
        <v>1628</v>
      </c>
      <c r="R131" s="64" t="n">
        <v>52125</v>
      </c>
      <c r="S131" s="64" t="n">
        <v>7</v>
      </c>
      <c r="T131" s="32" t="n"/>
    </row>
    <row r="132" ht="62" customHeight="1">
      <c r="A132" s="10">
        <f>_xlfn.IMAGE("https://m.media-amazon.com/images/I/81jr5OVoTrL.jpg")</f>
        <v/>
      </c>
      <c r="B132" s="32" t="inlineStr">
        <is>
          <t>B0C7KB2CR6</t>
        </is>
      </c>
      <c r="C132" s="32" t="inlineStr">
        <is>
          <t>SATIN-STRIPE-TWIN-PINK--6-PCS</t>
        </is>
      </c>
      <c r="D132" s="32" t="inlineStr">
        <is>
          <t>DECOLURE Satin Sheets Twin Size | Softer Than Silk | Luxury 4 Pc Bed Set</t>
        </is>
      </c>
      <c r="E132" s="32" t="inlineStr">
        <is>
          <t>Twin</t>
        </is>
      </c>
      <c r="F132" s="32" t="inlineStr">
        <is>
          <t>Striped Pink</t>
        </is>
      </c>
      <c r="G132" s="60" t="n">
        <v>27.95</v>
      </c>
      <c r="H132" s="32" t="inlineStr">
        <is>
          <t>Helium 10 Xray, 2026-10-13</t>
        </is>
      </c>
      <c r="I132" s="61" t="n">
        <v>27.95</v>
      </c>
      <c r="J132" s="62" t="inlineStr">
        <is>
          <t>2026-03-30</t>
        </is>
      </c>
      <c r="K132" s="33" t="n">
        <v>7.809999999999999</v>
      </c>
      <c r="L132" s="63" t="n">
        <v>0.279427549194991</v>
      </c>
      <c r="M132" s="64" t="n">
        <v>0</v>
      </c>
      <c r="N132" s="32" t="inlineStr">
        <is>
          <t>Active</t>
        </is>
      </c>
      <c r="O132" s="32" t="n"/>
      <c r="P132" s="65" t="n">
        <v>4.4</v>
      </c>
      <c r="Q132" s="64" t="n">
        <v>1628</v>
      </c>
      <c r="R132" s="64" t="n">
        <v>52125</v>
      </c>
      <c r="S132" s="64" t="n">
        <v>6</v>
      </c>
      <c r="T132" s="32" t="n"/>
    </row>
    <row r="133" ht="62" customHeight="1">
      <c r="A133" s="10">
        <f>_xlfn.IMAGE("https://m.media-amazon.com/images/I/8121oIZnHFL.jpg")</f>
        <v/>
      </c>
      <c r="B133" s="32" t="inlineStr">
        <is>
          <t>B0C7JQ5MZY</t>
        </is>
      </c>
      <c r="C133" s="32" t="inlineStr">
        <is>
          <t>SATIN-STRIPE-TWIN-RED--6-PCS</t>
        </is>
      </c>
      <c r="D133" s="32" t="inlineStr">
        <is>
          <t>DECOLURE Satin Sheets Twin Size | Softer Than Silk | Luxury 4 Pc Bed Set</t>
        </is>
      </c>
      <c r="E133" s="32" t="inlineStr">
        <is>
          <t>Twin</t>
        </is>
      </c>
      <c r="F133" s="32" t="inlineStr">
        <is>
          <t>Striped Red</t>
        </is>
      </c>
      <c r="G133" s="60" t="n">
        <v>27.95</v>
      </c>
      <c r="H133" s="32" t="inlineStr">
        <is>
          <t>Helium 10 Xray, 2026-10-13</t>
        </is>
      </c>
      <c r="I133" s="61" t="n">
        <v>34.95</v>
      </c>
      <c r="J133" s="62" t="inlineStr">
        <is>
          <t>2026-03-30</t>
        </is>
      </c>
      <c r="K133" s="33" t="n">
        <v>13.44</v>
      </c>
      <c r="L133" s="63" t="n">
        <v>0.384549356223176</v>
      </c>
      <c r="M133" s="64" t="n">
        <v>0</v>
      </c>
      <c r="N133" s="32" t="inlineStr">
        <is>
          <t>Active</t>
        </is>
      </c>
      <c r="O133" s="32" t="n"/>
      <c r="P133" s="65" t="n">
        <v>4.4</v>
      </c>
      <c r="Q133" s="64" t="n">
        <v>1628</v>
      </c>
      <c r="R133" s="64" t="n">
        <v>52125</v>
      </c>
      <c r="S133" s="64" t="n">
        <v>5</v>
      </c>
      <c r="T133" s="32" t="n"/>
    </row>
    <row r="134" ht="62" customHeight="1">
      <c r="A134" s="10">
        <f>_xlfn.IMAGE("https://m.media-amazon.com/images/I/81RVAQq5A8L.jpg")</f>
        <v/>
      </c>
      <c r="B134" s="32" t="inlineStr">
        <is>
          <t>B0C7KGK2WK</t>
        </is>
      </c>
      <c r="C134" s="32" t="inlineStr">
        <is>
          <t>SATIN-STRIPE-TWIN-WHITE--6-PCS</t>
        </is>
      </c>
      <c r="D134" s="32" t="inlineStr">
        <is>
          <t>DECOLURE Satin Bed Sheets - 4 Piece Luxury Silky Twin Size Bedding Set - Softer Than Silk, Wrinkle-Free with 15” Deep Pocket Fitted Sheet, Perfect for Hair &amp; Skin, Gifts for Women (Striped White)</t>
        </is>
      </c>
      <c r="E134" s="32" t="inlineStr">
        <is>
          <t>Twin</t>
        </is>
      </c>
      <c r="F134" s="32" t="inlineStr">
        <is>
          <t>Striped White</t>
        </is>
      </c>
      <c r="G134" s="60" t="n">
        <v>27.95</v>
      </c>
      <c r="H134" s="32" t="inlineStr">
        <is>
          <t>Helium 10 Xray, 2026-10-13</t>
        </is>
      </c>
      <c r="I134" s="61" t="n">
        <v>16.97</v>
      </c>
      <c r="J134" s="62" t="inlineStr">
        <is>
          <t>2026-03-30</t>
        </is>
      </c>
      <c r="K134" s="33" t="n">
        <v>-1.900000000000002</v>
      </c>
      <c r="L134" s="63" t="n">
        <v>-0.1119622863877432</v>
      </c>
      <c r="M134" s="64" t="n">
        <v>0</v>
      </c>
      <c r="N134" s="32" t="inlineStr">
        <is>
          <t>Active</t>
        </is>
      </c>
      <c r="O134" s="32" t="n"/>
      <c r="P134" s="65" t="n">
        <v>4.4</v>
      </c>
      <c r="Q134" s="64" t="n">
        <v>1628</v>
      </c>
      <c r="R134" s="64" t="n">
        <v>52125</v>
      </c>
      <c r="S134" s="64" t="n">
        <v>7</v>
      </c>
      <c r="T134" s="32" t="n"/>
    </row>
    <row r="135" ht="62" customHeight="1">
      <c r="A135" s="10">
        <f>_xlfn.IMAGE("https://m.media-amazon.com/images/I/81MYfM3XgsL.jpg")</f>
        <v/>
      </c>
      <c r="B135" s="32" t="inlineStr">
        <is>
          <t>B0C7FD12CQ</t>
        </is>
      </c>
      <c r="C135" s="32" t="inlineStr">
        <is>
          <t>SATIN-TAUPE-TWIN-6PCS</t>
        </is>
      </c>
      <c r="D135" s="32" t="inlineStr">
        <is>
          <t>DECOLURE Satin Sheets Twin Size | Softer Than Silk | Luxury 4 Pc Bed Set</t>
        </is>
      </c>
      <c r="E135" s="32" t="inlineStr">
        <is>
          <t>Twin</t>
        </is>
      </c>
      <c r="F135" s="32" t="inlineStr">
        <is>
          <t>Taupe</t>
        </is>
      </c>
      <c r="G135" s="60" t="n">
        <v>27.95</v>
      </c>
      <c r="H135" s="32" t="inlineStr">
        <is>
          <t>Helium 10 Xray, 2026-10-13</t>
        </is>
      </c>
      <c r="I135" s="61" t="n">
        <v>31.95</v>
      </c>
      <c r="J135" s="62" t="inlineStr">
        <is>
          <t>2026-03-30</t>
        </is>
      </c>
      <c r="K135" s="33" t="n">
        <v>11.64</v>
      </c>
      <c r="L135" s="63" t="n">
        <v>0.3643192488262911</v>
      </c>
      <c r="M135" s="64" t="n">
        <v>0</v>
      </c>
      <c r="N135" s="32" t="inlineStr">
        <is>
          <t>Active</t>
        </is>
      </c>
      <c r="O135" s="32" t="n"/>
      <c r="P135" s="65" t="n">
        <v>4.4</v>
      </c>
      <c r="Q135" s="64" t="n">
        <v>1628</v>
      </c>
      <c r="R135" s="64" t="n">
        <v>52125</v>
      </c>
      <c r="S135" s="64" t="n">
        <v>6</v>
      </c>
      <c r="T135" s="32" t="n"/>
    </row>
    <row r="136" ht="62" customHeight="1">
      <c r="A136" s="10">
        <f>_xlfn.IMAGE("https://m.media-amazon.com/images/I/81r29XS-EcL.jpg")</f>
        <v/>
      </c>
      <c r="B136" s="32" t="inlineStr">
        <is>
          <t>B0C7FBCF2X</t>
        </is>
      </c>
      <c r="C136" s="32" t="inlineStr">
        <is>
          <t>SATIN-WHITE-TWIN-6PCS</t>
        </is>
      </c>
      <c r="D136" s="32" t="inlineStr">
        <is>
          <t>DECOLURE Satin Sheets Twin Size | Softer Than Silk | Luxury 4 Pc Bed Set</t>
        </is>
      </c>
      <c r="E136" s="32" t="inlineStr">
        <is>
          <t>Twin</t>
        </is>
      </c>
      <c r="F136" s="32" t="inlineStr">
        <is>
          <t>White</t>
        </is>
      </c>
      <c r="G136" s="60" t="n">
        <v>27.95</v>
      </c>
      <c r="H136" s="32" t="inlineStr">
        <is>
          <t>Helium 10 Xray, 2026-10-13</t>
        </is>
      </c>
      <c r="I136" s="61" t="n">
        <v>27.95</v>
      </c>
      <c r="J136" s="62" t="inlineStr">
        <is>
          <t>2026-03-30</t>
        </is>
      </c>
      <c r="K136" s="33" t="n">
        <v>8.279999999999996</v>
      </c>
      <c r="L136" s="63" t="n">
        <v>0.2962432915921286</v>
      </c>
      <c r="M136" s="64" t="n">
        <v>0</v>
      </c>
      <c r="N136" s="32" t="inlineStr">
        <is>
          <t>Active</t>
        </is>
      </c>
      <c r="O136" s="32" t="n"/>
      <c r="P136" s="65" t="n">
        <v>4.4</v>
      </c>
      <c r="Q136" s="64" t="n">
        <v>1628</v>
      </c>
      <c r="R136" s="64" t="n">
        <v>52125</v>
      </c>
      <c r="S136" s="64" t="n">
        <v>5</v>
      </c>
      <c r="T136" s="32" t="n"/>
    </row>
    <row r="138" ht="20" customHeight="1">
      <c r="A138" s="54" t="inlineStr">
        <is>
          <t>3 · OUR BFCM 2025 RESULT &amp; EVENT VISIBILITY</t>
        </is>
      </c>
    </row>
    <row r="139">
      <c r="A139" s="67" t="inlineStr">
        <is>
          <t>Window</t>
        </is>
      </c>
      <c r="B139" s="68" t="n"/>
      <c r="C139" s="69" t="n"/>
      <c r="D139" s="67" t="inlineStr">
        <is>
          <t>Ad spend</t>
        </is>
      </c>
      <c r="E139" s="67" t="inlineStr">
        <is>
          <t>Ad sales</t>
        </is>
      </c>
      <c r="F139" s="67" t="inlineStr">
        <is>
          <t>ACoS</t>
        </is>
      </c>
      <c r="G139" s="67" t="inlineStr">
        <is>
          <t>TACoS</t>
        </is>
      </c>
      <c r="H139" s="67" t="inlineStr">
        <is>
          <t>Total sales (derived)</t>
        </is>
      </c>
      <c r="J139" s="67" t="inlineStr">
        <is>
          <t>Ad orders</t>
        </is>
      </c>
      <c r="K139" s="67" t="inlineStr">
        <is>
          <t>CVR</t>
        </is>
      </c>
    </row>
    <row r="140">
      <c r="A140" s="70" t="inlineStr">
        <is>
          <t>Pre-event Oct 21 - Nov 19, 2025 (30d)</t>
        </is>
      </c>
      <c r="B140" s="68" t="n"/>
      <c r="C140" s="69" t="n"/>
      <c r="D140" s="71" t="n">
        <v>5199.1</v>
      </c>
      <c r="E140" s="71" t="n">
        <v>14337.74</v>
      </c>
      <c r="F140" s="72" t="n">
        <v>36.3</v>
      </c>
      <c r="G140" s="72" t="n">
        <v>19.89891895719269</v>
      </c>
      <c r="H140" s="71" t="n">
        <v>26127.55</v>
      </c>
      <c r="J140" s="73" t="n">
        <v>432</v>
      </c>
      <c r="K140" s="74" t="n">
        <v>14.29</v>
      </c>
    </row>
    <row r="141">
      <c r="A141" s="70" t="inlineStr">
        <is>
          <t>BFCM week Nov 20 - Dec 1, 2025 (12d)</t>
        </is>
      </c>
      <c r="B141" s="68" t="n"/>
      <c r="C141" s="69" t="n"/>
      <c r="D141" s="71" t="n">
        <v>4785.809999999999</v>
      </c>
      <c r="E141" s="71" t="n">
        <v>19198.22</v>
      </c>
      <c r="F141" s="72" t="n">
        <v>24.9</v>
      </c>
      <c r="G141" s="72" t="n">
        <v>14.84492240692087</v>
      </c>
      <c r="H141" s="71" t="n">
        <v>32238.7</v>
      </c>
      <c r="J141" s="73" t="n">
        <v>618</v>
      </c>
      <c r="K141" s="74" t="n">
        <v>18.49</v>
      </c>
    </row>
    <row r="142">
      <c r="A142" s="70" t="inlineStr">
        <is>
          <t>December 2 - 31, 2025 (30d)</t>
        </is>
      </c>
      <c r="B142" s="68" t="n"/>
      <c r="C142" s="69" t="n"/>
      <c r="D142" s="71" t="n">
        <v>11052.01</v>
      </c>
      <c r="E142" s="71" t="n">
        <v>39026.04999999999</v>
      </c>
      <c r="F142" s="72" t="n">
        <v>28.3</v>
      </c>
      <c r="G142" s="72" t="n">
        <v>16.7518607856755</v>
      </c>
      <c r="H142" s="71" t="n">
        <v>65974.82000000001</v>
      </c>
      <c r="J142" s="73" t="n">
        <v>1227</v>
      </c>
      <c r="K142" s="74" t="n">
        <v>16.93</v>
      </c>
    </row>
    <row r="144">
      <c r="A144" s="67" t="inlineStr">
        <is>
          <t>Actual sales (SellerBoard)</t>
        </is>
      </c>
      <c r="B144" s="68" t="n"/>
      <c r="C144" s="69" t="n"/>
      <c r="D144" s="67" t="inlineStr">
        <is>
          <t>Sales</t>
        </is>
      </c>
      <c r="E144" s="67" t="inlineStr">
        <is>
          <t>Units</t>
        </is>
      </c>
      <c r="F144" s="67" t="inlineStr">
        <is>
          <t>Organic units</t>
        </is>
      </c>
      <c r="G144" s="67" t="inlineStr">
        <is>
          <t>Ad units</t>
        </is>
      </c>
      <c r="H144" s="67" t="inlineStr">
        <is>
          <t>Ad cost</t>
        </is>
      </c>
      <c r="J144" s="67" t="inlineStr">
        <is>
          <t>TACoS (actual)</t>
        </is>
      </c>
      <c r="K144" s="67" t="inlineStr">
        <is>
          <t>Sessions</t>
        </is>
      </c>
      <c r="L144" s="67" t="inlineStr">
        <is>
          <t>Unit session %</t>
        </is>
      </c>
      <c r="M144" s="67" t="inlineStr">
        <is>
          <t>Avg price</t>
        </is>
      </c>
      <c r="N144" s="67" t="inlineStr">
        <is>
          <t>Refunds</t>
        </is>
      </c>
    </row>
    <row r="145">
      <c r="A145" s="70" t="inlineStr">
        <is>
          <t>Pre-event Oct 21 - Nov 19, 2025 (30d)</t>
        </is>
      </c>
      <c r="B145" s="68" t="n"/>
      <c r="C145" s="69" t="n"/>
      <c r="D145" s="71" t="n">
        <v>26325.25</v>
      </c>
      <c r="E145" s="73" t="n">
        <v>797</v>
      </c>
      <c r="F145" s="73" t="n">
        <v>658</v>
      </c>
      <c r="G145" s="73" t="n">
        <v>139</v>
      </c>
      <c r="H145" s="71" t="n">
        <v>5222.87</v>
      </c>
      <c r="J145" s="75" t="n">
        <v>0.198397736013903</v>
      </c>
      <c r="K145" s="73" t="n">
        <v>12231</v>
      </c>
      <c r="L145" s="75" t="n">
        <v>0.06516229253536097</v>
      </c>
      <c r="M145" s="76" t="n">
        <v>33.03042659974906</v>
      </c>
      <c r="N145" s="73" t="n">
        <v>44</v>
      </c>
    </row>
    <row r="146">
      <c r="A146" s="70" t="inlineStr">
        <is>
          <t>BFCM week Nov 20 - Dec 1, 2025 (12d)</t>
        </is>
      </c>
      <c r="B146" s="68" t="n"/>
      <c r="C146" s="69" t="n"/>
      <c r="D146" s="71" t="n">
        <v>32391.03</v>
      </c>
      <c r="E146" s="73" t="n">
        <v>1072</v>
      </c>
      <c r="F146" s="73" t="n">
        <v>927</v>
      </c>
      <c r="G146" s="73" t="n">
        <v>145</v>
      </c>
      <c r="H146" s="71" t="n">
        <v>4831.48</v>
      </c>
      <c r="J146" s="75" t="n">
        <v>0.1491610485989485</v>
      </c>
      <c r="K146" s="73" t="n">
        <v>13542</v>
      </c>
      <c r="L146" s="75" t="n">
        <v>0.07916112834145621</v>
      </c>
      <c r="M146" s="76" t="n">
        <v>30.21551305970149</v>
      </c>
      <c r="N146" s="73" t="n">
        <v>10</v>
      </c>
    </row>
    <row r="147">
      <c r="A147" s="70" t="inlineStr">
        <is>
          <t>December 2 - 31, 2025 (30d)</t>
        </is>
      </c>
      <c r="B147" s="68" t="n"/>
      <c r="C147" s="69" t="n"/>
      <c r="D147" s="71" t="n">
        <v>66735.47</v>
      </c>
      <c r="E147" s="73" t="n">
        <v>2149</v>
      </c>
      <c r="F147" s="73" t="n">
        <v>1781</v>
      </c>
      <c r="G147" s="73" t="n">
        <v>368</v>
      </c>
      <c r="H147" s="71" t="n">
        <v>11102.92</v>
      </c>
      <c r="J147" s="75" t="n">
        <v>0.1663720956786549</v>
      </c>
      <c r="K147" s="73" t="n">
        <v>27084</v>
      </c>
      <c r="L147" s="75" t="n">
        <v>0.07934573918180475</v>
      </c>
      <c r="M147" s="76" t="n">
        <v>31.05419730107026</v>
      </c>
      <c r="N147" s="73" t="n">
        <v>84</v>
      </c>
    </row>
    <row r="148">
      <c r="A148" s="59" t="inlineStr">
        <is>
          <t>SellerBoard, Ecotero account, Amazon parent B0HDTF4MN2 plus any of this product's child ASINs SellerBoard lists on their own, UTC days. Lift above uses these actual sales (3.08x; the ad-spend estimate was 3.08x).</t>
        </is>
      </c>
    </row>
    <row r="149" ht="30" customHeight="1">
      <c r="A149" s="77" t="inlineStr">
        <is>
          <t>Deals we ran or scheduled, Nov 1 - Dec 5, 2025 (DataHub promotions; scheduled deal price not in the feed. Keepa price = lowest Buy Box seen during the deal, an observation for the hero child only, not the scheduled deal price): Lightning Deal 11-09 to 11-10 (cancelled, 111 variations); Lightning Deal 11-10 to 11-11 (cancelled, 111 variations); Best Deal 11-20 to 12-02 (ran, 89 variations, 1,008 units; Keepa lowest Buy Box during it $32.25 on B0C7FXXS6R).</t>
        </is>
      </c>
    </row>
    <row r="150" ht="26" customHeight="1">
      <c r="A150" s="77" t="inlineStr">
        <is>
          <t>Stock in BFCM week 2025 (FBA inventory snapshots, child-ASIN level, revision 2): 1 of 115 variations hit zero FBA stock on at least one observed day; weighted by today's sales mix that is ~0.9% of variation-days lost. Most important: B0C7FKZ4VG 4/9 days. Snapshots missing: US Nov 26-27 and Dec 1 (Cyber Monday); CA Nov 24, 29-30.</t>
        </is>
      </c>
    </row>
    <row r="151">
      <c r="A151" s="59" t="inlineStr">
        <is>
          <t>Command Center visibility for our best child B0C7FXXS6R: organic score None before BFCM 2025 → None in BFCM week; Prime Day 2026 63.5 → 77.2; Aug-Sep 2026 1.5.</t>
        </is>
      </c>
    </row>
    <row r="153" ht="20" customHeight="1">
      <c r="A153" s="54" t="inlineStr">
        <is>
          <t>4 · COMPETITOR LANDSCAPE (26 mapped)</t>
        </is>
      </c>
    </row>
    <row r="154">
      <c r="A154" s="59" t="inlineStr">
        <is>
          <t>Sorted by tier, then estimated weekly units. Green = Command Center price/sales; blue = Data Dive listing; purple = Command Center search strategy (ASINsight); yellow = fill from Keepa / page check.</t>
        </is>
      </c>
    </row>
    <row r="155">
      <c r="A155" s="78" t="inlineStr">
        <is>
          <t>COMPETITOR</t>
        </is>
      </c>
      <c r="I155" s="79" t="inlineStr">
        <is>
          <t>LISTING - Data Dive</t>
        </is>
      </c>
      <c r="J155" s="80" t="inlineStr">
        <is>
          <t>SEARCH STRATEGY - Command Center ASINsight</t>
        </is>
      </c>
      <c r="K155" s="81" t="inlineStr">
        <is>
          <t>PRICE &amp; SALES - Command Center snapshot (date per row)</t>
        </is>
      </c>
      <c r="X155" s="79" t="inlineStr">
        <is>
          <t>LISTING - Data Dive</t>
        </is>
      </c>
      <c r="AA155" s="80" t="inlineStr">
        <is>
          <t>SEARCH STRATEGY - Command Center ASINsight</t>
        </is>
      </c>
      <c r="AR155" s="82" t="inlineStr">
        <is>
          <t>STR NOW - Amazon page check (Oct 13, P1 + P2)</t>
        </is>
      </c>
      <c r="AY155" s="83"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 (title)</t>
        </is>
      </c>
      <c r="H156" s="22" t="inlineStr">
        <is>
          <t>Colour (title)</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_xlfn.IMAGE("https://images-na.ssl-images-amazon.com/images/I/71ujt2CgaQL.jpg")</f>
        <v/>
      </c>
      <c r="B157" s="84" t="inlineStr">
        <is>
          <t>BEDELITE</t>
        </is>
      </c>
      <c r="C157" s="32" t="inlineStr">
        <is>
          <t>BEDELITE Satin Sheets Queen Size Bed Set, Black, 4 Pieces</t>
        </is>
      </c>
      <c r="D157" s="84" t="inlineStr">
        <is>
          <t>Aspirational</t>
        </is>
      </c>
      <c r="E157" s="84" t="inlineStr">
        <is>
          <t>B0FNMNMZ9T</t>
        </is>
      </c>
      <c r="F157" s="84" t="inlineStr">
        <is>
          <t>B0CSFTRP2X</t>
        </is>
      </c>
      <c r="G157" s="84" t="inlineStr">
        <is>
          <t>Queen</t>
        </is>
      </c>
      <c r="H157" s="84" t="inlineStr">
        <is>
          <t>Black</t>
        </is>
      </c>
      <c r="I157" s="85" t="n">
        <v>141</v>
      </c>
      <c r="J157" s="32" t="inlineStr">
        <is>
          <t>B0CSFTRP2X (57%), B0CSFW9QKP (14%), B0CSFTZ5B9 (14%)</t>
        </is>
      </c>
      <c r="K157" s="86" t="n">
        <v>17.99</v>
      </c>
      <c r="L157" s="86" t="n"/>
      <c r="M157" s="87">
        <f>IF(AND(ISNUMBER(L157),ISNUMBER(K157),N(K157)&gt;0),L157/K157-1,"")</f>
        <v/>
      </c>
      <c r="N157" s="88">
        <f>IF(M157="","No List Price",IF(M157&lt;=0,"At/below price",IF(M157&lt;=0.12,"&lt;=12% STR zone",IF(M157&lt;=0.25,"12-25%","&gt;25% over"))))</f>
        <v/>
      </c>
      <c r="O157" s="86" t="n">
        <v>31.95</v>
      </c>
      <c r="P157" s="89">
        <f>IF(AND(ISNUMBER(K157),ISNUMBER(O157),N(O157)&gt;0),K157/O157-1,"")</f>
        <v/>
      </c>
      <c r="Q157" s="32" t="inlineStr">
        <is>
          <t>Same size (Queen). Ours live: Helium 10 Xray, 2026-10-13; 29 children</t>
        </is>
      </c>
      <c r="R157" s="85" t="n">
        <v>497</v>
      </c>
      <c r="S157" s="85" t="n">
        <v>1963</v>
      </c>
      <c r="T157" s="90">
        <f>IF(AND(ISNUMBER(K157),ISNUMBER(S157)),K157*S157*52/12,"")</f>
        <v/>
      </c>
      <c r="U157" s="91" t="n">
        <v>4.3</v>
      </c>
      <c r="V157" s="85" t="n">
        <v>6297</v>
      </c>
      <c r="W157" s="92" t="n">
        <v>46307</v>
      </c>
      <c r="X157" s="92" t="n">
        <v>45307</v>
      </c>
      <c r="Y157" s="84" t="inlineStr">
        <is>
          <t>FBA</t>
        </is>
      </c>
      <c r="Z157" s="84" t="inlineStr">
        <is>
          <t>CN</t>
        </is>
      </c>
      <c r="AA157" s="85" t="n">
        <v>997443</v>
      </c>
      <c r="AB157" s="85" t="n">
        <v>3432</v>
      </c>
      <c r="AC157" s="93" t="n">
        <v>0.8161266415223724</v>
      </c>
      <c r="AD157" s="93" t="n">
        <v>0.1838733681022371</v>
      </c>
      <c r="AE157" s="32" t="inlineStr">
        <is>
          <t>silk sheets</t>
        </is>
      </c>
      <c r="AF157" s="93" t="n">
        <v>0.7623814092634867</v>
      </c>
      <c r="AG157" s="93" t="n">
        <v>0.2406603685624141</v>
      </c>
      <c r="AH157" s="93" t="n">
        <v>0.1818179083917577</v>
      </c>
      <c r="AI157" s="93" t="n">
        <v>0.3718648584430388</v>
      </c>
      <c r="AJ157" s="85" t="n">
        <v>435</v>
      </c>
      <c r="AK157" s="85" t="n">
        <v>38</v>
      </c>
      <c r="AL157" s="85" t="n">
        <v>373</v>
      </c>
      <c r="AM157" s="85" t="n">
        <v>2997</v>
      </c>
      <c r="AN157" s="85" t="n">
        <v>393</v>
      </c>
      <c r="AO157" s="85" t="n">
        <v>23</v>
      </c>
      <c r="AP157" s="94" t="n">
        <v>1.114785561378903</v>
      </c>
      <c r="AQ157" s="89" t="n">
        <v>0.3117365084274004</v>
      </c>
      <c r="AR157" s="95" t="inlineStr">
        <is>
          <t>Y</t>
        </is>
      </c>
      <c r="AS157" s="95" t="inlineStr">
        <is>
          <t>List Price</t>
        </is>
      </c>
      <c r="AT157" s="96" t="n">
        <v>19.99</v>
      </c>
      <c r="AU157" s="96" t="n">
        <v>17.99</v>
      </c>
      <c r="AV157" s="95" t="inlineStr">
        <is>
          <t>none</t>
        </is>
      </c>
      <c r="AW157" s="95" t="inlineStr">
        <is>
          <t>Y</t>
        </is>
      </c>
      <c r="AX157" s="95" t="inlineStr">
        <is>
          <t>2026-10-13 12:12:27</t>
        </is>
      </c>
      <c r="AY157" s="97" t="inlineStr">
        <is>
          <t>Price cut only</t>
        </is>
      </c>
      <c r="AZ157" s="97" t="inlineStr">
        <is>
          <t>11-20 to 12-01</t>
        </is>
      </c>
      <c r="BA157" s="98" t="n">
        <v>17.99</v>
      </c>
      <c r="BB157" s="98" t="n">
        <v>17.09</v>
      </c>
      <c r="BC157" s="87">
        <f>IF(AND(ISNUMBER(BA157),ISNUMBER(BB157),N(BA157)&gt;0),1-BB157/BA157,"")</f>
        <v/>
      </c>
      <c r="BD157" s="99" t="n">
        <v>714</v>
      </c>
      <c r="BE157" s="99" t="n">
        <v>473</v>
      </c>
      <c r="BF157" s="100">
        <f>IF(AND(ISNUMBER(BD157),ISNUMBER(BE157),N(BE157)&gt;0),BD157/BE157,"")</f>
        <v/>
      </c>
      <c r="BG157" s="97" t="inlineStr">
        <is>
          <t>N</t>
        </is>
      </c>
      <c r="BH157" s="97" t="inlineStr">
        <is>
          <t>Prime Exclusive 11-01 to 12-05; Prime Exclusive already running before BFCM week; List Price $23.99</t>
        </is>
      </c>
    </row>
    <row r="158" ht="62" customHeight="1">
      <c r="A158" s="10">
        <f>_xlfn.IMAGE("https://images-na.ssl-images-amazon.com/images/I/81C-fXI71XL.jpg")</f>
        <v/>
      </c>
      <c r="B158" s="84" t="inlineStr">
        <is>
          <t>Love's cabin</t>
        </is>
      </c>
      <c r="C158" s="32" t="inlineStr">
        <is>
          <t>Love's cabin Satin Queen Sheets Set, 4 Pieces, Pink, 15" Deep Pocket</t>
        </is>
      </c>
      <c r="D158" s="84" t="inlineStr">
        <is>
          <t>Aspirational</t>
        </is>
      </c>
      <c r="E158" s="84" t="inlineStr">
        <is>
          <t>B08DHTB63X</t>
        </is>
      </c>
      <c r="F158" s="84" t="inlineStr">
        <is>
          <t>B0BNMC5G8R</t>
        </is>
      </c>
      <c r="G158" s="84" t="inlineStr">
        <is>
          <t>Queen</t>
        </is>
      </c>
      <c r="H158" s="84" t="inlineStr">
        <is>
          <t>Pink</t>
        </is>
      </c>
      <c r="I158" s="85" t="n">
        <v>128</v>
      </c>
      <c r="J158" s="32" t="inlineStr">
        <is>
          <t>B0BNMC5G8R (45%), B0BNMCRSC6 (13%), B0CM5NFXX1 (9%), B0BNMVM5VM (5%), B0BNMD8S97 (4%)</t>
        </is>
      </c>
      <c r="K158" s="86" t="n">
        <v>16.13</v>
      </c>
      <c r="L158" s="86" t="n">
        <v>19.99</v>
      </c>
      <c r="M158" s="87">
        <f>IF(AND(ISNUMBER(L158),ISNUMBER(K158),N(K158)&gt;0),L158/K158-1,"")</f>
        <v/>
      </c>
      <c r="N158" s="88">
        <f>IF(M158="","No List Price",IF(M158&lt;=0,"At/below price",IF(M158&lt;=0.12,"&lt;=12% STR zone",IF(M158&lt;=0.25,"12-25%","&gt;25% over"))))</f>
        <v/>
      </c>
      <c r="O158" s="86" t="n">
        <v>31.95</v>
      </c>
      <c r="P158" s="89">
        <f>IF(AND(ISNUMBER(K158),ISNUMBER(O158),N(O158)&gt;0),K158/O158-1,"")</f>
        <v/>
      </c>
      <c r="Q158" s="32" t="inlineStr">
        <is>
          <t>Same size (Queen). Ours live: Helium 10 Xray, 2026-10-13; 29 children</t>
        </is>
      </c>
      <c r="R158" s="85" t="n">
        <v>949</v>
      </c>
      <c r="S158" s="85" t="n">
        <v>809</v>
      </c>
      <c r="T158" s="90">
        <f>IF(AND(ISNUMBER(K158),ISNUMBER(S158)),K158*S158*52/12,"")</f>
        <v/>
      </c>
      <c r="U158" s="91" t="n">
        <v>4.5</v>
      </c>
      <c r="V158" s="85" t="n">
        <v>5747</v>
      </c>
      <c r="W158" s="92" t="n">
        <v>46307</v>
      </c>
      <c r="X158" s="92" t="n">
        <v>44895</v>
      </c>
      <c r="Y158" s="84" t="inlineStr">
        <is>
          <t>FBA</t>
        </is>
      </c>
      <c r="Z158" s="84" t="inlineStr">
        <is>
          <t>CN</t>
        </is>
      </c>
      <c r="AA158" s="85" t="n">
        <v>385363</v>
      </c>
      <c r="AB158" s="85" t="n">
        <v>3599</v>
      </c>
      <c r="AC158" s="93" t="n">
        <v>0.8181775938530695</v>
      </c>
      <c r="AD158" s="93" t="n">
        <v>0.1818224144507905</v>
      </c>
      <c r="AE158" s="32" t="inlineStr">
        <is>
          <t>silk sheets</t>
        </is>
      </c>
      <c r="AF158" s="93" t="n">
        <v>0.8853963665427143</v>
      </c>
      <c r="AG158" s="93" t="n">
        <v>0.6095447668821345</v>
      </c>
      <c r="AH158" s="93" t="n">
        <v>0.07642664189348744</v>
      </c>
      <c r="AI158" s="93" t="n">
        <v>0.06371395281851137</v>
      </c>
      <c r="AJ158" s="85" t="n">
        <v>418</v>
      </c>
      <c r="AK158" s="85" t="n">
        <v>63</v>
      </c>
      <c r="AL158" s="85" t="n">
        <v>328</v>
      </c>
      <c r="AM158" s="85" t="n">
        <v>3181</v>
      </c>
      <c r="AN158" s="85" t="n">
        <v>478</v>
      </c>
      <c r="AO158" s="85" t="n">
        <v>30</v>
      </c>
      <c r="AP158" s="94" t="n">
        <v>1.036399938565504</v>
      </c>
      <c r="AQ158" s="89" t="n">
        <v>-0.1336111472848027</v>
      </c>
      <c r="AR158" s="95" t="inlineStr">
        <is>
          <t>Y</t>
        </is>
      </c>
      <c r="AS158" s="95" t="inlineStr">
        <is>
          <t>List Price</t>
        </is>
      </c>
      <c r="AT158" s="96" t="n">
        <v>19.99</v>
      </c>
      <c r="AU158" s="96" t="n">
        <v>16.13</v>
      </c>
      <c r="AV158" s="95" t="inlineStr">
        <is>
          <t>Limited time deal</t>
        </is>
      </c>
      <c r="AW158" s="95" t="inlineStr">
        <is>
          <t>Y</t>
        </is>
      </c>
      <c r="AX158" s="95" t="inlineStr">
        <is>
          <t>2026-10-13 12:13:15</t>
        </is>
      </c>
      <c r="AY158" s="97" t="inlineStr">
        <is>
          <t>Prime Exclusive Discount</t>
        </is>
      </c>
      <c r="AZ158" s="97" t="inlineStr">
        <is>
          <t>11-10 to 12-05</t>
        </is>
      </c>
      <c r="BA158" s="98" t="n">
        <v>17.99</v>
      </c>
      <c r="BB158" s="98" t="n">
        <v>17.99</v>
      </c>
      <c r="BC158" s="87">
        <f>IF(AND(ISNUMBER(BA158),ISNUMBER(BB158),N(BA158)&gt;0),1-BB158/BA158,"")</f>
        <v/>
      </c>
      <c r="BD158" s="99" t="n">
        <v>1276</v>
      </c>
      <c r="BE158" s="99" t="n">
        <v>1515</v>
      </c>
      <c r="BF158" s="100">
        <f>IF(AND(ISNUMBER(BD158),ISNUMBER(BE158),N(BE158)&gt;0),BD158/BE158,"")</f>
        <v/>
      </c>
      <c r="BG158" s="97" t="inlineStr">
        <is>
          <t>N</t>
        </is>
      </c>
      <c r="BH158" s="97" t="inlineStr">
        <is>
          <t>Prime Exclusive already running before BFCM week; List Price $25.99</t>
        </is>
      </c>
    </row>
    <row r="159" ht="62" customHeight="1">
      <c r="A159" s="10">
        <f>_xlfn.IMAGE("https://images-na.ssl-images-amazon.com/images/I/71zGuoeuSrL.jpg")</f>
        <v/>
      </c>
      <c r="B159" s="84" t="inlineStr">
        <is>
          <t>MR&amp;HM</t>
        </is>
      </c>
      <c r="C159" s="32" t="inlineStr">
        <is>
          <t>MR&amp;HM Satin Sheets Queen Size with Elastic Corner Straps, Black</t>
        </is>
      </c>
      <c r="D159" s="84" t="inlineStr">
        <is>
          <t>Aspirational</t>
        </is>
      </c>
      <c r="E159" s="84" t="inlineStr">
        <is>
          <t>B08NQ3W7PG</t>
        </is>
      </c>
      <c r="F159" s="84" t="inlineStr">
        <is>
          <t>B08HM6WT6X</t>
        </is>
      </c>
      <c r="G159" s="84" t="inlineStr">
        <is>
          <t>Queen</t>
        </is>
      </c>
      <c r="H159" s="84" t="inlineStr">
        <is>
          <t>Black</t>
        </is>
      </c>
      <c r="I159" s="85" t="n">
        <v>183</v>
      </c>
      <c r="J159" s="32" t="inlineStr">
        <is>
          <t>B08HM6WT6X (40%), B0D2CQ6VNT (13%), B08PS3HDFL (10%), B08HM65Z68 (8%), B08HLT8R9M (6%)</t>
        </is>
      </c>
      <c r="K159" s="86" t="n">
        <v>19.99</v>
      </c>
      <c r="L159" s="86" t="n"/>
      <c r="M159" s="87">
        <f>IF(AND(ISNUMBER(L159),ISNUMBER(K159),N(K159)&gt;0),L159/K159-1,"")</f>
        <v/>
      </c>
      <c r="N159" s="88">
        <f>IF(M159="","No List Price",IF(M159&lt;=0,"At/below price",IF(M159&lt;=0.12,"&lt;=12% STR zone",IF(M159&lt;=0.25,"12-25%","&gt;25% over"))))</f>
        <v/>
      </c>
      <c r="O159" s="86" t="n">
        <v>31.95</v>
      </c>
      <c r="P159" s="89">
        <f>IF(AND(ISNUMBER(K159),ISNUMBER(O159),N(O159)&gt;0),K159/O159-1,"")</f>
        <v/>
      </c>
      <c r="Q159" s="32" t="inlineStr">
        <is>
          <t>Same size (Queen). Ours live: Helium 10 Xray, 2026-10-13; 29 children</t>
        </is>
      </c>
      <c r="R159" s="85" t="n">
        <v>2025</v>
      </c>
      <c r="S159" s="85" t="n">
        <v>809</v>
      </c>
      <c r="T159" s="90">
        <f>IF(AND(ISNUMBER(K159),ISNUMBER(S159)),K159*S159*52/12,"")</f>
        <v/>
      </c>
      <c r="U159" s="91" t="n">
        <v>4.4</v>
      </c>
      <c r="V159" s="85" t="n">
        <v>17886</v>
      </c>
      <c r="W159" s="92" t="n">
        <v>46307</v>
      </c>
      <c r="X159" s="92" t="n">
        <v>44081</v>
      </c>
      <c r="Y159" s="84" t="inlineStr">
        <is>
          <t>FBA</t>
        </is>
      </c>
      <c r="Z159" s="84" t="inlineStr">
        <is>
          <t>HK</t>
        </is>
      </c>
      <c r="AA159" s="85" t="n">
        <v>356457</v>
      </c>
      <c r="AB159" s="85" t="n">
        <v>3352</v>
      </c>
      <c r="AC159" s="93" t="n">
        <v>0.7964633734223203</v>
      </c>
      <c r="AD159" s="93" t="n">
        <v>0.2035367432817982</v>
      </c>
      <c r="AE159" s="32" t="inlineStr">
        <is>
          <t>silk sheets</t>
        </is>
      </c>
      <c r="AF159" s="93" t="n">
        <v>0.839254103580516</v>
      </c>
      <c r="AG159" s="93" t="n"/>
      <c r="AH159" s="93" t="n"/>
      <c r="AI159" s="93" t="n">
        <v>0.1362268099658584</v>
      </c>
      <c r="AJ159" s="85" t="n">
        <v>426</v>
      </c>
      <c r="AK159" s="85" t="n">
        <v>65</v>
      </c>
      <c r="AL159" s="85" t="n">
        <v>314</v>
      </c>
      <c r="AM159" s="85" t="n">
        <v>2926</v>
      </c>
      <c r="AN159" s="85" t="n">
        <v>443</v>
      </c>
      <c r="AO159" s="85" t="n">
        <v>34</v>
      </c>
      <c r="AP159" s="94" t="n">
        <v>0.9844138242602214</v>
      </c>
      <c r="AQ159" s="89" t="n">
        <v>0.1594370096908169</v>
      </c>
      <c r="AR159" s="95" t="inlineStr">
        <is>
          <t>Y</t>
        </is>
      </c>
      <c r="AS159" s="95" t="inlineStr">
        <is>
          <t>List Price</t>
        </is>
      </c>
      <c r="AT159" s="96" t="n">
        <v>28.99</v>
      </c>
      <c r="AU159" s="96" t="n">
        <v>19.99</v>
      </c>
      <c r="AV159" s="95" t="inlineStr">
        <is>
          <t>none</t>
        </is>
      </c>
      <c r="AW159" s="95" t="inlineStr">
        <is>
          <t>Y</t>
        </is>
      </c>
      <c r="AX159" s="95" t="inlineStr">
        <is>
          <t>2026-10-13 12:13:22</t>
        </is>
      </c>
      <c r="AY159" s="97" t="inlineStr">
        <is>
          <t>None</t>
        </is>
      </c>
      <c r="AZ159" s="102" t="n"/>
      <c r="BA159" s="98" t="n">
        <v>17.99</v>
      </c>
      <c r="BB159" s="98" t="n">
        <v>17.99</v>
      </c>
      <c r="BC159" s="87">
        <f>IF(AND(ISNUMBER(BA159),ISNUMBER(BB159),N(BA159)&gt;0),1-BB159/BA159,"")</f>
        <v/>
      </c>
      <c r="BD159" s="99" t="n">
        <v>1500</v>
      </c>
      <c r="BE159" s="99" t="n">
        <v>1119</v>
      </c>
      <c r="BF159" s="100">
        <f>IF(AND(ISNUMBER(BD159),ISNUMBER(BE159),N(BE159)&gt;0),BD159/BE159,"")</f>
        <v/>
      </c>
      <c r="BG159" s="97" t="inlineStr">
        <is>
          <t>N</t>
        </is>
      </c>
      <c r="BH159" s="97" t="inlineStr">
        <is>
          <t>Prime Exclusive 11-01 to 12-05; Lightning Deal 11-08 to 11-14; Prime Exclusive already running before BFCM week; List Price $28.99</t>
        </is>
      </c>
    </row>
    <row r="160" ht="62" customHeight="1">
      <c r="A160" s="10">
        <f>_xlfn.IMAGE("https://images-na.ssl-images-amazon.com/images/I/71QlFwpmpcL.jpg")</f>
        <v/>
      </c>
      <c r="B160" s="84" t="inlineStr">
        <is>
          <t>CozyLux</t>
        </is>
      </c>
      <c r="C160" s="32" t="inlineStr">
        <is>
          <t>CozyLux Satin Sheets Queen, 4-Piece 14-Inch Deep Pocket Sheet Set</t>
        </is>
      </c>
      <c r="D160" s="84" t="inlineStr">
        <is>
          <t>Aspirational</t>
        </is>
      </c>
      <c r="E160" s="84" t="inlineStr">
        <is>
          <t>B08CQKS3KP</t>
        </is>
      </c>
      <c r="F160" s="84" t="inlineStr">
        <is>
          <t>B08P16XLP2</t>
        </is>
      </c>
      <c r="G160" s="84" t="inlineStr">
        <is>
          <t>Queen</t>
        </is>
      </c>
      <c r="H160" s="84" t="n"/>
      <c r="I160" s="85" t="n">
        <v>115</v>
      </c>
      <c r="J160" s="32" t="inlineStr">
        <is>
          <t>B08P16XLP2 (43%), B08P164867 (8%), B08P17PQ8J (6%), B0CQ8CN4PK (5%), B0BYDSWCJY (4%)</t>
        </is>
      </c>
      <c r="K160" s="86" t="n">
        <v>13.99</v>
      </c>
      <c r="L160" s="86" t="n">
        <v>18.99</v>
      </c>
      <c r="M160" s="87">
        <f>IF(AND(ISNUMBER(L160),ISNUMBER(K160),N(K160)&gt;0),L160/K160-1,"")</f>
        <v/>
      </c>
      <c r="N160" s="88">
        <f>IF(M160="","No List Price",IF(M160&lt;=0,"At/below price",IF(M160&lt;=0.12,"&lt;=12% STR zone",IF(M160&lt;=0.25,"12-25%","&gt;25% over"))))</f>
        <v/>
      </c>
      <c r="O160" s="86" t="n">
        <v>31.95</v>
      </c>
      <c r="P160" s="89">
        <f>IF(AND(ISNUMBER(K160),ISNUMBER(O160),N(O160)&gt;0),K160/O160-1,"")</f>
        <v/>
      </c>
      <c r="Q160" s="32" t="inlineStr">
        <is>
          <t>Same size (Queen). Ours live: Helium 10 Xray, 2026-10-13; 29 children</t>
        </is>
      </c>
      <c r="R160" s="85" t="n">
        <v>3102</v>
      </c>
      <c r="S160" s="85" t="n">
        <v>347</v>
      </c>
      <c r="T160" s="90">
        <f>IF(AND(ISNUMBER(K160),ISNUMBER(S160)),K160*S160*52/12,"")</f>
        <v/>
      </c>
      <c r="U160" s="91" t="n">
        <v>4.3</v>
      </c>
      <c r="V160" s="85" t="n">
        <v>7075</v>
      </c>
      <c r="W160" s="92" t="n">
        <v>46307</v>
      </c>
      <c r="X160" s="92" t="n">
        <v>44158</v>
      </c>
      <c r="Y160" s="84" t="inlineStr">
        <is>
          <t>FBA</t>
        </is>
      </c>
      <c r="Z160" s="84" t="inlineStr">
        <is>
          <t>CN</t>
        </is>
      </c>
      <c r="AA160" s="85" t="n">
        <v>164434</v>
      </c>
      <c r="AB160" s="85" t="n">
        <v>2031</v>
      </c>
      <c r="AC160" s="93" t="n">
        <v>0.724298132381382</v>
      </c>
      <c r="AD160" s="93" t="n">
        <v>0.2757019065400104</v>
      </c>
      <c r="AE160" s="32" t="inlineStr">
        <is>
          <t>silk sheets</t>
        </is>
      </c>
      <c r="AF160" s="93" t="n">
        <v>0.601335490227082</v>
      </c>
      <c r="AG160" s="93" t="n">
        <v>0.5155016602405829</v>
      </c>
      <c r="AH160" s="93" t="n"/>
      <c r="AI160" s="93" t="n">
        <v>0.04596981159614192</v>
      </c>
      <c r="AJ160" s="85" t="n">
        <v>396</v>
      </c>
      <c r="AK160" s="85" t="n">
        <v>61</v>
      </c>
      <c r="AL160" s="85" t="n">
        <v>300</v>
      </c>
      <c r="AM160" s="85" t="n">
        <v>1635</v>
      </c>
      <c r="AN160" s="85" t="n">
        <v>361</v>
      </c>
      <c r="AO160" s="85" t="n">
        <v>29</v>
      </c>
      <c r="AP160" s="94" t="n">
        <v>0.8168981481481481</v>
      </c>
      <c r="AQ160" s="89" t="n">
        <v>-0.1447276536312849</v>
      </c>
      <c r="AR160" s="95" t="inlineStr">
        <is>
          <t>Y</t>
        </is>
      </c>
      <c r="AS160" s="95" t="inlineStr">
        <is>
          <t>List Price</t>
        </is>
      </c>
      <c r="AT160" s="96" t="n">
        <v>18.99</v>
      </c>
      <c r="AU160" s="96" t="n">
        <v>13.99</v>
      </c>
      <c r="AV160" s="95" t="inlineStr">
        <is>
          <t>Limited time deal</t>
        </is>
      </c>
      <c r="AW160" s="95" t="inlineStr">
        <is>
          <t>Y</t>
        </is>
      </c>
      <c r="AX160" s="95" t="inlineStr">
        <is>
          <t>2026-10-13 12:12:43</t>
        </is>
      </c>
      <c r="AY160" s="97" t="inlineStr">
        <is>
          <t>Prime Exclusive Discount</t>
        </is>
      </c>
      <c r="AZ160" s="97" t="inlineStr">
        <is>
          <t>11-01 to 12-05</t>
        </is>
      </c>
      <c r="BA160" s="98" t="n">
        <v>17.99</v>
      </c>
      <c r="BB160" s="98" t="n">
        <v>16.99</v>
      </c>
      <c r="BC160" s="87">
        <f>IF(AND(ISNUMBER(BA160),ISNUMBER(BB160),N(BA160)&gt;0),1-BB160/BA160,"")</f>
        <v/>
      </c>
      <c r="BD160" s="99" t="n">
        <v>1165</v>
      </c>
      <c r="BE160" s="99" t="n">
        <v>1226</v>
      </c>
      <c r="BF160" s="100">
        <f>IF(AND(ISNUMBER(BD160),ISNUMBER(BE160),N(BE160)&gt;0),BD160/BE160,"")</f>
        <v/>
      </c>
      <c r="BG160" s="97" t="inlineStr">
        <is>
          <t>N</t>
        </is>
      </c>
      <c r="BH160" s="97" t="inlineStr">
        <is>
          <t>Lightning Deal 11-09 to 11-16; Prime Exclusive already running before BFCM week; List Price $22.99</t>
        </is>
      </c>
    </row>
    <row r="161" ht="62" customHeight="1">
      <c r="A161" s="10">
        <f>_xlfn.IMAGE("https://images-na.ssl-images-amazon.com/images/I/71PMIXXTc0L.jpg")</f>
        <v/>
      </c>
      <c r="B161" s="84" t="inlineStr">
        <is>
          <t>Lanest Housing</t>
        </is>
      </c>
      <c r="C161" s="32" t="inlineStr">
        <is>
          <t>Lanest Housing Silk Satin Sheets, Queen Size Satin Bed Sheet Set with Deep Pockets, Cooling Soft and Hypoallergenic Satin Sheets Queen - Light Gray</t>
        </is>
      </c>
      <c r="D161" s="84" t="inlineStr">
        <is>
          <t>Aspirational</t>
        </is>
      </c>
      <c r="E161" s="84" t="inlineStr">
        <is>
          <t>B0DC3MX1DP</t>
        </is>
      </c>
      <c r="F161" s="84" t="inlineStr">
        <is>
          <t>B082B5CY3D</t>
        </is>
      </c>
      <c r="G161" s="84" t="inlineStr">
        <is>
          <t>Queen</t>
        </is>
      </c>
      <c r="H161" s="84" t="inlineStr">
        <is>
          <t>Gray</t>
        </is>
      </c>
      <c r="I161" s="85" t="n">
        <v>154</v>
      </c>
      <c r="J161" s="32" t="inlineStr">
        <is>
          <t>B082B5CY3D (41%), B07VWFV7MB (21%), B07VTSWJPH (21%)</t>
        </is>
      </c>
      <c r="K161" s="86" t="n">
        <v>22.99</v>
      </c>
      <c r="L161" s="86" t="n"/>
      <c r="M161" s="87">
        <f>IF(AND(ISNUMBER(L161),ISNUMBER(K161),N(K161)&gt;0),L161/K161-1,"")</f>
        <v/>
      </c>
      <c r="N161" s="88">
        <f>IF(M161="","No List Price",IF(M161&lt;=0,"At/below price",IF(M161&lt;=0.12,"&lt;=12% STR zone",IF(M161&lt;=0.25,"12-25%","&gt;25% over"))))</f>
        <v/>
      </c>
      <c r="O161" s="86" t="n">
        <v>31.95</v>
      </c>
      <c r="P161" s="89">
        <f>IF(AND(ISNUMBER(K161),ISNUMBER(O161),N(O161)&gt;0),K161/O161-1,"")</f>
        <v/>
      </c>
      <c r="Q161" s="32" t="inlineStr">
        <is>
          <t>Same size (Queen). Ours live: Helium 10 Xray, 2026-10-13; 29 children</t>
        </is>
      </c>
      <c r="R161" s="85" t="n">
        <v>4671</v>
      </c>
      <c r="S161" s="85" t="n">
        <v>208</v>
      </c>
      <c r="T161" s="90">
        <f>IF(AND(ISNUMBER(K161),ISNUMBER(S161)),K161*S161*52/12,"")</f>
        <v/>
      </c>
      <c r="U161" s="91" t="n">
        <v>4.3</v>
      </c>
      <c r="V161" s="85" t="n">
        <v>5837</v>
      </c>
      <c r="W161" s="92" t="n">
        <v>46307</v>
      </c>
      <c r="X161" s="92" t="n">
        <v>43803</v>
      </c>
      <c r="Y161" s="84" t="inlineStr">
        <is>
          <t>FBA</t>
        </is>
      </c>
      <c r="Z161" s="84" t="inlineStr">
        <is>
          <t>CN</t>
        </is>
      </c>
      <c r="AA161" s="85" t="n">
        <v>163454</v>
      </c>
      <c r="AB161" s="85" t="n">
        <v>1240</v>
      </c>
      <c r="AC161" s="93" t="n">
        <v>0.511816095659941</v>
      </c>
      <c r="AD161" s="93" t="n">
        <v>0.488184002226926</v>
      </c>
      <c r="AE161" s="32" t="inlineStr">
        <is>
          <t>silk sheets</t>
        </is>
      </c>
      <c r="AF161" s="93" t="n">
        <v>0.9357923330111224</v>
      </c>
      <c r="AG161" s="93" t="n">
        <v>0.9225470162859275</v>
      </c>
      <c r="AH161" s="93" t="n"/>
      <c r="AI161" s="93" t="n">
        <v>0.002850955008748639</v>
      </c>
      <c r="AJ161" s="85" t="n">
        <v>356</v>
      </c>
      <c r="AK161" s="85" t="n">
        <v>95</v>
      </c>
      <c r="AL161" s="85" t="n">
        <v>220</v>
      </c>
      <c r="AM161" s="85" t="n">
        <v>884</v>
      </c>
      <c r="AN161" s="85" t="n">
        <v>98</v>
      </c>
      <c r="AO161" s="85" t="n">
        <v>34</v>
      </c>
      <c r="AP161" s="94" t="n">
        <v>0.4183908045977011</v>
      </c>
      <c r="AQ161" s="89" t="n">
        <v>1.815972222222222</v>
      </c>
      <c r="AR161" s="95" t="inlineStr">
        <is>
          <t>N</t>
        </is>
      </c>
      <c r="AS161" s="95" t="inlineStr">
        <is>
          <t>none</t>
        </is>
      </c>
      <c r="AT161" s="101" t="n"/>
      <c r="AU161" s="96" t="n">
        <v>22.99</v>
      </c>
      <c r="AV161" s="95" t="inlineStr">
        <is>
          <t>none</t>
        </is>
      </c>
      <c r="AW161" s="95" t="inlineStr">
        <is>
          <t>Y</t>
        </is>
      </c>
      <c r="AX161" s="95" t="inlineStr">
        <is>
          <t>2026-10-13 12:13:12</t>
        </is>
      </c>
      <c r="AY161" s="97" t="inlineStr">
        <is>
          <t>Prime Exclusive Discount</t>
        </is>
      </c>
      <c r="AZ161" s="97" t="inlineStr">
        <is>
          <t>11-20 to 11-27</t>
        </is>
      </c>
      <c r="BA161" s="98" t="n">
        <v>19.99</v>
      </c>
      <c r="BB161" s="98" t="n">
        <v>17.99</v>
      </c>
      <c r="BC161" s="87">
        <f>IF(AND(ISNUMBER(BA161),ISNUMBER(BB161),N(BA161)&gt;0),1-BB161/BA161,"")</f>
        <v/>
      </c>
      <c r="BD161" s="99" t="n">
        <v>3675</v>
      </c>
      <c r="BE161" s="99" t="n">
        <v>3550</v>
      </c>
      <c r="BF161" s="100">
        <f>IF(AND(ISNUMBER(BD161),ISNUMBER(BE161),N(BE161)&gt;0),BD161/BE161,"")</f>
        <v/>
      </c>
      <c r="BG161" s="97" t="inlineStr">
        <is>
          <t>Y</t>
        </is>
      </c>
      <c r="BH161" s="97" t="inlineStr">
        <is>
          <t>Buy Box RAISED in BFCM week (median $27.79 vs $19.99 before); List Price $37.99</t>
        </is>
      </c>
    </row>
    <row r="162" ht="62" customHeight="1">
      <c r="A162" s="10">
        <f>_xlfn.IMAGE("https://images-na.ssl-images-amazon.com/images/I/81zLU1W0e8L.jpg")</f>
        <v/>
      </c>
      <c r="B162" s="84" t="inlineStr">
        <is>
          <t>Pure Bedding</t>
        </is>
      </c>
      <c r="C162" s="32" t="inlineStr">
        <is>
          <t>Pure Bedding Satin Sheets Queen [4-Piece, Black] Hotel Luxury Silky Bed Sheets - Extra Soft 1800 Microfiber Sheet Set, Wrinkle, Fade, Deep Pocket Fitted Sheet, Flat Sheet, Pillow Cases</t>
        </is>
      </c>
      <c r="D162" s="84" t="inlineStr">
        <is>
          <t>Aspirational</t>
        </is>
      </c>
      <c r="E162" s="84" t="inlineStr">
        <is>
          <t>B0FMPQYB2J</t>
        </is>
      </c>
      <c r="F162" s="84" t="inlineStr">
        <is>
          <t>B083G81VSH</t>
        </is>
      </c>
      <c r="G162" s="84" t="inlineStr">
        <is>
          <t>Queen</t>
        </is>
      </c>
      <c r="H162" s="84" t="inlineStr">
        <is>
          <t>Black</t>
        </is>
      </c>
      <c r="I162" s="85" t="n">
        <v>146</v>
      </c>
      <c r="J162" s="32" t="inlineStr">
        <is>
          <t>B083G81VSH (53%), B07QVMQHD8 (25%), B0FMZWLSSM (4%)</t>
        </is>
      </c>
      <c r="K162" s="86" t="n">
        <v>20.99</v>
      </c>
      <c r="L162" s="86" t="n"/>
      <c r="M162" s="87">
        <f>IF(AND(ISNUMBER(L162),ISNUMBER(K162),N(K162)&gt;0),L162/K162-1,"")</f>
        <v/>
      </c>
      <c r="N162" s="88">
        <f>IF(M162="","No List Price",IF(M162&lt;=0,"At/below price",IF(M162&lt;=0.12,"&lt;=12% STR zone",IF(M162&lt;=0.25,"12-25%","&gt;25% over"))))</f>
        <v/>
      </c>
      <c r="O162" s="86" t="n">
        <v>31.95</v>
      </c>
      <c r="P162" s="89">
        <f>IF(AND(ISNUMBER(K162),ISNUMBER(O162),N(O162)&gt;0),K162/O162-1,"")</f>
        <v/>
      </c>
      <c r="Q162" s="32" t="inlineStr">
        <is>
          <t>Same size (Queen). Ours live: Helium 10 Xray, 2026-10-13; 29 children</t>
        </is>
      </c>
      <c r="R162" s="85" t="n">
        <v>30991</v>
      </c>
      <c r="S162" s="85" t="n">
        <v>92</v>
      </c>
      <c r="T162" s="90">
        <f>IF(AND(ISNUMBER(K162),ISNUMBER(S162)),K162*S162*52/12,"")</f>
        <v/>
      </c>
      <c r="U162" s="91" t="n">
        <v>4.4</v>
      </c>
      <c r="V162" s="85" t="n">
        <v>9828</v>
      </c>
      <c r="W162" s="92" t="n">
        <v>46307</v>
      </c>
      <c r="X162" s="92" t="n">
        <v>43833</v>
      </c>
      <c r="Y162" s="84" t="inlineStr">
        <is>
          <t>AMZ</t>
        </is>
      </c>
      <c r="Z162" s="84" t="inlineStr">
        <is>
          <t>(Amazon)</t>
        </is>
      </c>
      <c r="AA162" s="85" t="n">
        <v>119531</v>
      </c>
      <c r="AB162" s="85" t="n">
        <v>1524</v>
      </c>
      <c r="AC162" s="93" t="n">
        <v>0.6204180681162206</v>
      </c>
      <c r="AD162" s="93" t="n">
        <v>0.3795819318837791</v>
      </c>
      <c r="AE162" s="32" t="inlineStr">
        <is>
          <t>satin sheets</t>
        </is>
      </c>
      <c r="AF162" s="93" t="n">
        <v>0.7968142155591437</v>
      </c>
      <c r="AG162" s="93" t="n"/>
      <c r="AH162" s="93" t="n"/>
      <c r="AI162" s="93" t="n">
        <v>0.001480787410797199</v>
      </c>
      <c r="AJ162" s="85" t="n">
        <v>355</v>
      </c>
      <c r="AK162" s="85" t="n">
        <v>95</v>
      </c>
      <c r="AL162" s="85" t="n">
        <v>225</v>
      </c>
      <c r="AM162" s="85" t="n">
        <v>1169</v>
      </c>
      <c r="AN162" s="85" t="n">
        <v>241</v>
      </c>
      <c r="AO162" s="85" t="n">
        <v>31</v>
      </c>
      <c r="AP162" s="94" t="n">
        <v>0.7574960547080484</v>
      </c>
      <c r="AQ162" s="89" t="n">
        <v>-0.08414376321353068</v>
      </c>
      <c r="AR162" s="95" t="inlineStr">
        <is>
          <t>N</t>
        </is>
      </c>
      <c r="AS162" s="95" t="inlineStr">
        <is>
          <t>none</t>
        </is>
      </c>
      <c r="AT162" s="101" t="n"/>
      <c r="AU162" s="96" t="n">
        <v>20.99</v>
      </c>
      <c r="AV162" s="95" t="inlineStr">
        <is>
          <t>none</t>
        </is>
      </c>
      <c r="AW162" s="95" t="inlineStr">
        <is>
          <t>Y</t>
        </is>
      </c>
      <c r="AX162" s="95" t="inlineStr">
        <is>
          <t>2026-10-13 12:13:39</t>
        </is>
      </c>
      <c r="AY162" s="97" t="inlineStr">
        <is>
          <t>Price cut only</t>
        </is>
      </c>
      <c r="AZ162" s="97" t="inlineStr">
        <is>
          <t>11-26 to 12-01</t>
        </is>
      </c>
      <c r="BA162" s="98" t="n">
        <v>18.99</v>
      </c>
      <c r="BB162" s="98" t="n">
        <v>17.54</v>
      </c>
      <c r="BC162" s="87">
        <f>IF(AND(ISNUMBER(BA162),ISNUMBER(BB162),N(BA162)&gt;0),1-BB162/BA162,"")</f>
        <v/>
      </c>
      <c r="BD162" s="99" t="n">
        <v>18619</v>
      </c>
      <c r="BE162" s="99" t="n">
        <v>22404</v>
      </c>
      <c r="BF162" s="100">
        <f>IF(AND(ISNUMBER(BD162),ISNUMBER(BE162),N(BE162)&gt;0),BD162/BE162,"")</f>
        <v/>
      </c>
      <c r="BG162" s="97" t="inlineStr">
        <is>
          <t>N</t>
        </is>
      </c>
      <c r="BH162" s="97" t="inlineStr">
        <is>
          <t>Buy Box RAISED in BFCM week (median $20.02 vs $18.99 before); List Price $32.99</t>
        </is>
      </c>
    </row>
    <row r="163" ht="62" customHeight="1">
      <c r="A163" s="10">
        <f>_xlfn.IMAGE("https://images-na.ssl-images-amazon.com/images/I/810d6GzTlfL.jpg")</f>
        <v/>
      </c>
      <c r="B163" s="84" t="inlineStr">
        <is>
          <t>FreshCulture</t>
        </is>
      </c>
      <c r="C163" s="32" t="inlineStr">
        <is>
          <t>Satin Sheets</t>
        </is>
      </c>
      <c r="D163" s="84" t="inlineStr">
        <is>
          <t>Beatable</t>
        </is>
      </c>
      <c r="E163" s="84" t="inlineStr">
        <is>
          <t>B0D9B18P6N</t>
        </is>
      </c>
      <c r="F163" s="84" t="inlineStr">
        <is>
          <t>B0D9BD63QH</t>
        </is>
      </c>
      <c r="G163" s="84" t="n"/>
      <c r="H163" s="84" t="n"/>
      <c r="I163" s="85" t="n">
        <v>54</v>
      </c>
      <c r="J163" s="32" t="inlineStr">
        <is>
          <t>B0D9BD63QH (41%), B0D9BCKF76 (23%), B0D9BBSLJ5 (8%), B0D9BFR53D (6%), B0D9B9HFLQ (5%)</t>
        </is>
      </c>
      <c r="K163" s="86" t="n">
        <v>23.99</v>
      </c>
      <c r="L163" s="86" t="n"/>
      <c r="M163" s="87">
        <f>IF(AND(ISNUMBER(L163),ISNUMBER(K163),N(K163)&gt;0),L163/K163-1,"")</f>
        <v/>
      </c>
      <c r="N163" s="88">
        <f>IF(M163="","No List Price",IF(M163&lt;=0,"At/below price",IF(M163&lt;=0.12,"&lt;=12% STR zone",IF(M163&lt;=0.25,"12-25%","&gt;25% over"))))</f>
        <v/>
      </c>
      <c r="O163" s="86" t="n">
        <v>31.95</v>
      </c>
      <c r="P163" s="89">
        <f>IF(AND(ISNUMBER(K163),ISNUMBER(O163),N(O163)&gt;0),K163/O163-1,"")</f>
        <v/>
      </c>
      <c r="Q163" s="32" t="inlineStr">
        <is>
          <t>Size not stated - vs our Queen. Ours live: Helium 10 Xray, 2026-10-13; 29 children</t>
        </is>
      </c>
      <c r="R163" s="85" t="n">
        <v>17918</v>
      </c>
      <c r="S163" s="85" t="n">
        <v>104</v>
      </c>
      <c r="T163" s="90">
        <f>IF(AND(ISNUMBER(K163),ISNUMBER(S163)),K163*S163*52/12,"")</f>
        <v/>
      </c>
      <c r="U163" s="91" t="n">
        <v>4.4</v>
      </c>
      <c r="V163" s="85" t="n">
        <v>780</v>
      </c>
      <c r="W163" s="92" t="n">
        <v>46307</v>
      </c>
      <c r="X163" s="92" t="n"/>
      <c r="Y163" s="84" t="n"/>
      <c r="Z163" s="84" t="n"/>
      <c r="AA163" s="85" t="n">
        <v>99046</v>
      </c>
      <c r="AB163" s="85" t="n">
        <v>1117</v>
      </c>
      <c r="AC163" s="93" t="n">
        <v>0.9634387880378817</v>
      </c>
      <c r="AD163" s="93" t="n">
        <v>0.0365612119621186</v>
      </c>
      <c r="AE163" s="32" t="inlineStr">
        <is>
          <t>silk sheets</t>
        </is>
      </c>
      <c r="AF163" s="93" t="n">
        <v>0.6526159562223613</v>
      </c>
      <c r="AG163" s="93" t="n"/>
      <c r="AH163" s="93" t="n"/>
      <c r="AI163" s="93" t="n">
        <v>0.05489368576217112</v>
      </c>
      <c r="AJ163" s="85" t="n">
        <v>295</v>
      </c>
      <c r="AK163" s="85" t="n">
        <v>56</v>
      </c>
      <c r="AL163" s="85" t="n">
        <v>208</v>
      </c>
      <c r="AM163" s="85" t="n">
        <v>822</v>
      </c>
      <c r="AN163" s="85" t="n">
        <v>32</v>
      </c>
      <c r="AO163" s="85" t="n">
        <v>3</v>
      </c>
      <c r="AP163" s="94" t="n"/>
      <c r="AQ163" s="89" t="n"/>
      <c r="AR163" s="95" t="inlineStr">
        <is>
          <t>N</t>
        </is>
      </c>
      <c r="AS163" s="95" t="inlineStr">
        <is>
          <t>none</t>
        </is>
      </c>
      <c r="AT163" s="101" t="n"/>
      <c r="AU163" s="96" t="n">
        <v>23.99</v>
      </c>
      <c r="AV163" s="95" t="inlineStr">
        <is>
          <t>none</t>
        </is>
      </c>
      <c r="AW163" s="95" t="inlineStr">
        <is>
          <t>Y</t>
        </is>
      </c>
      <c r="AX163" s="95" t="inlineStr">
        <is>
          <t>2026-10-13 12:12:46</t>
        </is>
      </c>
      <c r="AY163" s="97" t="inlineStr">
        <is>
          <t>Prime Exclusive Discount</t>
        </is>
      </c>
      <c r="AZ163" s="97" t="inlineStr">
        <is>
          <t>11-24 to 11-24</t>
        </is>
      </c>
      <c r="BA163" s="98" t="n">
        <v>23.99</v>
      </c>
      <c r="BB163" s="98" t="n">
        <v>18.69</v>
      </c>
      <c r="BC163" s="87">
        <f>IF(AND(ISNUMBER(BA163),ISNUMBER(BB163),N(BA163)&gt;0),1-BB163/BA163,"")</f>
        <v/>
      </c>
      <c r="BD163" s="99" t="n">
        <v>37399</v>
      </c>
      <c r="BE163" s="99" t="n">
        <v>26864</v>
      </c>
      <c r="BF163" s="100">
        <f>IF(AND(ISNUMBER(BD163),ISNUMBER(BE163),N(BE163)&gt;0),BD163/BE163,"")</f>
        <v/>
      </c>
      <c r="BG163" s="97" t="inlineStr">
        <is>
          <t>Y</t>
        </is>
      </c>
      <c r="BH163" s="97" t="inlineStr">
        <is>
          <t>List Price $34.99</t>
        </is>
      </c>
    </row>
    <row r="164" ht="62" customHeight="1">
      <c r="A164" s="10">
        <f>_xlfn.IMAGE("https://images-na.ssl-images-amazon.com/images/I/71TbH0l5XfL.jpg")</f>
        <v/>
      </c>
      <c r="B164" s="84" t="inlineStr">
        <is>
          <t>P Pothuiny</t>
        </is>
      </c>
      <c r="C164" s="32" t="inlineStr">
        <is>
          <t>P Pothuiny 6-Piece Queen Satin Sheet Set Burgundy Silky Sheets</t>
        </is>
      </c>
      <c r="D164" s="84" t="inlineStr">
        <is>
          <t>Beatable</t>
        </is>
      </c>
      <c r="E164" s="84" t="inlineStr">
        <is>
          <t>B096P2MYZQ</t>
        </is>
      </c>
      <c r="F164" s="84" t="inlineStr">
        <is>
          <t>B08QMF6D5W</t>
        </is>
      </c>
      <c r="G164" s="84" t="inlineStr">
        <is>
          <t>Queen</t>
        </is>
      </c>
      <c r="H164" s="84" t="inlineStr">
        <is>
          <t>Burgundy</t>
        </is>
      </c>
      <c r="I164" s="85" t="n">
        <v>47</v>
      </c>
      <c r="J164" s="32" t="inlineStr">
        <is>
          <t>B08QMF6D5W (52%), B08QMSJFYZ (19%), B08QMYV2YR (10%)</t>
        </is>
      </c>
      <c r="K164" s="86" t="n">
        <v>26.99</v>
      </c>
      <c r="L164" s="86" t="n"/>
      <c r="M164" s="87">
        <f>IF(AND(ISNUMBER(L164),ISNUMBER(K164),N(K164)&gt;0),L164/K164-1,"")</f>
        <v/>
      </c>
      <c r="N164" s="88">
        <f>IF(M164="","No List Price",IF(M164&lt;=0,"At/below price",IF(M164&lt;=0.12,"&lt;=12% STR zone",IF(M164&lt;=0.25,"12-25%","&gt;25% over"))))</f>
        <v/>
      </c>
      <c r="O164" s="86" t="n">
        <v>31.95</v>
      </c>
      <c r="P164" s="89">
        <f>IF(AND(ISNUMBER(K164),ISNUMBER(O164),N(O164)&gt;0),K164/O164-1,"")</f>
        <v/>
      </c>
      <c r="Q164" s="32" t="inlineStr">
        <is>
          <t>Same size (Queen). Ours live: Helium 10 Xray, 2026-10-13; 29 children</t>
        </is>
      </c>
      <c r="R164" s="85" t="n">
        <v>20031</v>
      </c>
      <c r="S164" s="85" t="n">
        <v>104</v>
      </c>
      <c r="T164" s="90">
        <f>IF(AND(ISNUMBER(K164),ISNUMBER(S164)),K164*S164*52/12,"")</f>
        <v/>
      </c>
      <c r="U164" s="91" t="n">
        <v>4.4</v>
      </c>
      <c r="V164" s="85" t="n">
        <v>4031</v>
      </c>
      <c r="W164" s="92" t="n">
        <v>46307</v>
      </c>
      <c r="X164" s="92" t="n">
        <v>44180</v>
      </c>
      <c r="Y164" s="84" t="inlineStr">
        <is>
          <t>FBA</t>
        </is>
      </c>
      <c r="Z164" s="84" t="inlineStr">
        <is>
          <t>CN</t>
        </is>
      </c>
      <c r="AA164" s="85" t="n">
        <v>66544</v>
      </c>
      <c r="AB164" s="85" t="n">
        <v>832</v>
      </c>
      <c r="AC164" s="93" t="n">
        <v>0.9166959214955518</v>
      </c>
      <c r="AD164" s="93" t="n">
        <v>0.08330407850444821</v>
      </c>
      <c r="AE164" s="32" t="inlineStr">
        <is>
          <t>silk sheets</t>
        </is>
      </c>
      <c r="AF164" s="93" t="n">
        <v>0.1859972349122385</v>
      </c>
      <c r="AG164" s="93" t="n">
        <v>0.5380349843712431</v>
      </c>
      <c r="AH164" s="93" t="n"/>
      <c r="AI164" s="93" t="n">
        <v>0.01920533782159173</v>
      </c>
      <c r="AJ164" s="85" t="n">
        <v>363</v>
      </c>
      <c r="AK164" s="85" t="n">
        <v>84</v>
      </c>
      <c r="AL164" s="85" t="n">
        <v>228</v>
      </c>
      <c r="AM164" s="85" t="n">
        <v>469</v>
      </c>
      <c r="AN164" s="85" t="n">
        <v>42</v>
      </c>
      <c r="AO164" s="85" t="n">
        <v>11</v>
      </c>
      <c r="AP164" s="94" t="n">
        <v>1.171497584541063</v>
      </c>
      <c r="AQ164" s="89" t="n">
        <v>0.608009708737864</v>
      </c>
      <c r="AR164" s="95" t="inlineStr">
        <is>
          <t>N</t>
        </is>
      </c>
      <c r="AS164" s="95" t="inlineStr">
        <is>
          <t>none</t>
        </is>
      </c>
      <c r="AT164" s="101" t="n"/>
      <c r="AU164" s="96" t="n">
        <v>26.99</v>
      </c>
      <c r="AV164" s="95" t="inlineStr">
        <is>
          <t>none</t>
        </is>
      </c>
      <c r="AW164" s="95" t="inlineStr">
        <is>
          <t>Y</t>
        </is>
      </c>
      <c r="AX164" s="95" t="inlineStr">
        <is>
          <t>2026-10-13 12:13:35</t>
        </is>
      </c>
      <c r="AY164" s="97" t="inlineStr">
        <is>
          <t>Prime Exclusive Discount</t>
        </is>
      </c>
      <c r="AZ164" s="97" t="inlineStr">
        <is>
          <t>11-01 to 12-01</t>
        </is>
      </c>
      <c r="BA164" s="98" t="n">
        <v>29.99</v>
      </c>
      <c r="BB164" s="98" t="n">
        <v>24.95</v>
      </c>
      <c r="BC164" s="87">
        <f>IF(AND(ISNUMBER(BA164),ISNUMBER(BB164),N(BA164)&gt;0),1-BB164/BA164,"")</f>
        <v/>
      </c>
      <c r="BD164" s="99" t="n">
        <v>19773</v>
      </c>
      <c r="BE164" s="99" t="n">
        <v>19113</v>
      </c>
      <c r="BF164" s="100">
        <f>IF(AND(ISNUMBER(BD164),ISNUMBER(BE164),N(BE164)&gt;0),BD164/BE164,"")</f>
        <v/>
      </c>
      <c r="BG164" s="97" t="inlineStr">
        <is>
          <t>N</t>
        </is>
      </c>
      <c r="BH164" s="97" t="inlineStr">
        <is>
          <t>Prime Exclusive already running before BFCM week; Buy Box RAISED in BFCM week (median $31.99 vs $29.99 before); List Price $48.99</t>
        </is>
      </c>
    </row>
    <row r="165" ht="62" customHeight="1">
      <c r="A165" s="10">
        <f>_xlfn.IMAGE("https://images-na.ssl-images-amazon.com/images/I/81zMSoUAMJL.jpg")</f>
        <v/>
      </c>
      <c r="B165" s="84" t="inlineStr">
        <is>
          <t>Bedsure</t>
        </is>
      </c>
      <c r="C165" s="32" t="inlineStr">
        <is>
          <t>Satin Sheets</t>
        </is>
      </c>
      <c r="D165" s="84" t="inlineStr">
        <is>
          <t>Beatable</t>
        </is>
      </c>
      <c r="E165" s="84" t="inlineStr">
        <is>
          <t>B0DCZYNBYS</t>
        </is>
      </c>
      <c r="F165" s="84" t="inlineStr">
        <is>
          <t>B0CJ8RYNTS</t>
        </is>
      </c>
      <c r="G165" s="84" t="n"/>
      <c r="H165" s="84" t="n"/>
      <c r="I165" s="85" t="n">
        <v>32</v>
      </c>
      <c r="J165" s="32" t="inlineStr">
        <is>
          <t>B0CJ8SSQ6B (37%), B0CJ8RDYQ7 (17%), B0CJ8RYNTS (17%), B0CL4FSC1R (9%), B0CJ8SB44M (7%)</t>
        </is>
      </c>
      <c r="K165" s="86" t="n">
        <v>19.99</v>
      </c>
      <c r="L165" s="86" t="n"/>
      <c r="M165" s="87">
        <f>IF(AND(ISNUMBER(L165),ISNUMBER(K165),N(K165)&gt;0),L165/K165-1,"")</f>
        <v/>
      </c>
      <c r="N165" s="88">
        <f>IF(M165="","No List Price",IF(M165&lt;=0,"At/below price",IF(M165&lt;=0.12,"&lt;=12% STR zone",IF(M165&lt;=0.25,"12-25%","&gt;25% over"))))</f>
        <v/>
      </c>
      <c r="O165" s="86" t="n">
        <v>31.95</v>
      </c>
      <c r="P165" s="89">
        <f>IF(AND(ISNUMBER(K165),ISNUMBER(O165),N(O165)&gt;0),K165/O165-1,"")</f>
        <v/>
      </c>
      <c r="Q165" s="32" t="inlineStr">
        <is>
          <t>Size not stated - vs our Queen. Ours live: Helium 10 Xray, 2026-10-13; 29 children</t>
        </is>
      </c>
      <c r="R165" s="85" t="n">
        <v>22342</v>
      </c>
      <c r="S165" s="85" t="n">
        <v>92</v>
      </c>
      <c r="T165" s="90">
        <f>IF(AND(ISNUMBER(K165),ISNUMBER(S165)),K165*S165*52/12,"")</f>
        <v/>
      </c>
      <c r="U165" s="91" t="n">
        <v>4.3</v>
      </c>
      <c r="V165" s="85" t="n">
        <v>2745</v>
      </c>
      <c r="W165" s="92" t="n">
        <v>46307</v>
      </c>
      <c r="X165" s="92" t="n"/>
      <c r="Y165" s="84" t="n"/>
      <c r="Z165" s="84" t="n"/>
      <c r="AA165" s="85" t="n">
        <v>89691</v>
      </c>
      <c r="AB165" s="85" t="n">
        <v>1094</v>
      </c>
      <c r="AC165" s="93" t="n">
        <v>0.6850140036347012</v>
      </c>
      <c r="AD165" s="93" t="n">
        <v>0.3149859963652986</v>
      </c>
      <c r="AE165" s="32" t="inlineStr">
        <is>
          <t>satin sheets</t>
        </is>
      </c>
      <c r="AF165" s="93" t="n">
        <v>0.7987311993399561</v>
      </c>
      <c r="AG165" s="93" t="n">
        <v>0.4455742493672721</v>
      </c>
      <c r="AH165" s="93" t="n"/>
      <c r="AI165" s="93" t="n">
        <v>0.011428125452944</v>
      </c>
      <c r="AJ165" s="85" t="n">
        <v>328</v>
      </c>
      <c r="AK165" s="85" t="n">
        <v>79</v>
      </c>
      <c r="AL165" s="85" t="n">
        <v>220</v>
      </c>
      <c r="AM165" s="85" t="n">
        <v>766</v>
      </c>
      <c r="AN165" s="85" t="n">
        <v>181</v>
      </c>
      <c r="AO165" s="85" t="n">
        <v>29</v>
      </c>
      <c r="AP165" s="94" t="n">
        <v>1.528846153846154</v>
      </c>
      <c r="AQ165" s="89" t="n">
        <v>0.1557377049180328</v>
      </c>
      <c r="AR165" s="95" t="inlineStr">
        <is>
          <t>N</t>
        </is>
      </c>
      <c r="AS165" s="95" t="inlineStr">
        <is>
          <t>none</t>
        </is>
      </c>
      <c r="AT165" s="101" t="n"/>
      <c r="AU165" s="96" t="n">
        <v>19.99</v>
      </c>
      <c r="AV165" s="95" t="inlineStr">
        <is>
          <t>none</t>
        </is>
      </c>
      <c r="AW165" s="95" t="inlineStr">
        <is>
          <t>Y</t>
        </is>
      </c>
      <c r="AX165" s="95" t="inlineStr">
        <is>
          <t>2026-10-13 12:12:37</t>
        </is>
      </c>
      <c r="AY165" s="97" t="inlineStr">
        <is>
          <t>Prime Exclusive Discount</t>
        </is>
      </c>
      <c r="AZ165" s="97" t="inlineStr">
        <is>
          <t>11-08 to 12-04</t>
        </is>
      </c>
      <c r="BA165" s="98" t="n">
        <v>22.39</v>
      </c>
      <c r="BB165" s="98" t="n">
        <v>20.99</v>
      </c>
      <c r="BC165" s="87">
        <f>IF(AND(ISNUMBER(BA165),ISNUMBER(BB165),N(BA165)&gt;0),1-BB165/BA165,"")</f>
        <v/>
      </c>
      <c r="BD165" s="99" t="n">
        <v>4549</v>
      </c>
      <c r="BE165" s="99" t="n">
        <v>5323</v>
      </c>
      <c r="BF165" s="100">
        <f>IF(AND(ISNUMBER(BD165),ISNUMBER(BE165),N(BE165)&gt;0),BD165/BE165,"")</f>
        <v/>
      </c>
      <c r="BG165" s="97" t="inlineStr">
        <is>
          <t>N</t>
        </is>
      </c>
      <c r="BH165" s="97" t="inlineStr">
        <is>
          <t>Prime Exclusive already running before BFCM week; Buy Box RAISED in BFCM week (median $28.99 vs $24.99 before); List Price $44.99</t>
        </is>
      </c>
    </row>
    <row r="166" ht="62" customHeight="1">
      <c r="A166" s="10">
        <f>_xlfn.IMAGE("https://images-na.ssl-images-amazon.com/images/I/71ZrkfMtWLL.jpg")</f>
        <v/>
      </c>
      <c r="B166" s="84" t="inlineStr">
        <is>
          <t>SiinvdaBZX</t>
        </is>
      </c>
      <c r="C166" s="32" t="inlineStr">
        <is>
          <t>SiinvdaBZX 4Pcs Satin Sheet Set Queen Size 15-Inch Deep Pocket, Beige</t>
        </is>
      </c>
      <c r="D166" s="84" t="inlineStr">
        <is>
          <t>Beatable</t>
        </is>
      </c>
      <c r="E166" s="84" t="inlineStr">
        <is>
          <t>B0DD37S32L</t>
        </is>
      </c>
      <c r="F166" s="84" t="inlineStr">
        <is>
          <t>B08JP9DG5Z</t>
        </is>
      </c>
      <c r="G166" s="84" t="inlineStr">
        <is>
          <t>Queen</t>
        </is>
      </c>
      <c r="H166" s="84" t="inlineStr">
        <is>
          <t>Beige</t>
        </is>
      </c>
      <c r="I166" s="85" t="n">
        <v>96</v>
      </c>
      <c r="J166" s="32" t="inlineStr">
        <is>
          <t>B08JP9DG5Z (57%), B09QPFBSD4 (12%), B09QP9LCFM (7%), B08JPQ3JJK (4%)</t>
        </is>
      </c>
      <c r="K166" s="86" t="n">
        <v>22.99</v>
      </c>
      <c r="L166" s="86" t="n"/>
      <c r="M166" s="87">
        <f>IF(AND(ISNUMBER(L166),ISNUMBER(K166),N(K166)&gt;0),L166/K166-1,"")</f>
        <v/>
      </c>
      <c r="N166" s="88">
        <f>IF(M166="","No List Price",IF(M166&lt;=0,"At/below price",IF(M166&lt;=0.12,"&lt;=12% STR zone",IF(M166&lt;=0.25,"12-25%","&gt;25% over"))))</f>
        <v/>
      </c>
      <c r="O166" s="86" t="n">
        <v>31.95</v>
      </c>
      <c r="P166" s="89">
        <f>IF(AND(ISNUMBER(K166),ISNUMBER(O166),N(O166)&gt;0),K166/O166-1,"")</f>
        <v/>
      </c>
      <c r="Q166" s="32" t="inlineStr">
        <is>
          <t>Same size (Queen). Ours live: Helium 10 Xray, 2026-10-13; 29 children</t>
        </is>
      </c>
      <c r="R166" s="85" t="n">
        <v>23154</v>
      </c>
      <c r="S166" s="85" t="n">
        <v>92</v>
      </c>
      <c r="T166" s="90">
        <f>IF(AND(ISNUMBER(K166),ISNUMBER(S166)),K166*S166*52/12,"")</f>
        <v/>
      </c>
      <c r="U166" s="91" t="n">
        <v>4.4</v>
      </c>
      <c r="V166" s="85" t="n">
        <v>6981</v>
      </c>
      <c r="W166" s="92" t="n">
        <v>46307</v>
      </c>
      <c r="X166" s="92" t="n">
        <v>44096</v>
      </c>
      <c r="Y166" s="84" t="inlineStr">
        <is>
          <t>FBA</t>
        </is>
      </c>
      <c r="Z166" s="84" t="inlineStr">
        <is>
          <t>CN</t>
        </is>
      </c>
      <c r="AA166" s="85" t="n">
        <v>47722</v>
      </c>
      <c r="AB166" s="85" t="n">
        <v>1085</v>
      </c>
      <c r="AC166" s="93" t="n">
        <v>0.8752176061355349</v>
      </c>
      <c r="AD166" s="93" t="n">
        <v>0.1247823938644651</v>
      </c>
      <c r="AE166" s="32" t="inlineStr">
        <is>
          <t>silk sheets</t>
        </is>
      </c>
      <c r="AF166" s="93" t="n">
        <v>0.6122543061900172</v>
      </c>
      <c r="AG166" s="93" t="n">
        <v>0.0001885922635262562</v>
      </c>
      <c r="AH166" s="93" t="n">
        <v>0.01083357780478605</v>
      </c>
      <c r="AI166" s="93" t="n">
        <v>0.004777670675998491</v>
      </c>
      <c r="AJ166" s="85" t="n">
        <v>325</v>
      </c>
      <c r="AK166" s="85" t="n">
        <v>100</v>
      </c>
      <c r="AL166" s="85" t="n">
        <v>189</v>
      </c>
      <c r="AM166" s="85" t="n">
        <v>760</v>
      </c>
      <c r="AN166" s="85" t="n">
        <v>128</v>
      </c>
      <c r="AO166" s="85" t="n">
        <v>13</v>
      </c>
      <c r="AP166" s="94" t="n">
        <v>1.035928143712575</v>
      </c>
      <c r="AQ166" s="89" t="n">
        <v>-0.05882352941176483</v>
      </c>
      <c r="AR166" s="95" t="inlineStr">
        <is>
          <t>N</t>
        </is>
      </c>
      <c r="AS166" s="95" t="inlineStr">
        <is>
          <t>none</t>
        </is>
      </c>
      <c r="AT166" s="101" t="n"/>
      <c r="AU166" s="96" t="n">
        <v>22.99</v>
      </c>
      <c r="AV166" s="95" t="inlineStr">
        <is>
          <t>none</t>
        </is>
      </c>
      <c r="AW166" s="95" t="inlineStr">
        <is>
          <t>Y</t>
        </is>
      </c>
      <c r="AX166" s="95" t="inlineStr">
        <is>
          <t>2026-10-13 12:13:45</t>
        </is>
      </c>
      <c r="AY166" s="97" t="inlineStr">
        <is>
          <t>Prime Exclusive Discount</t>
        </is>
      </c>
      <c r="AZ166" s="97" t="inlineStr">
        <is>
          <t>11-01 to 12-01</t>
        </is>
      </c>
      <c r="BA166" s="98" t="n">
        <v>24.49</v>
      </c>
      <c r="BB166" s="98" t="n">
        <v>21.59</v>
      </c>
      <c r="BC166" s="87">
        <f>IF(AND(ISNUMBER(BA166),ISNUMBER(BB166),N(BA166)&gt;0),1-BB166/BA166,"")</f>
        <v/>
      </c>
      <c r="BD166" s="99" t="n">
        <v>20848</v>
      </c>
      <c r="BE166" s="99" t="n">
        <v>20750</v>
      </c>
      <c r="BF166" s="100">
        <f>IF(AND(ISNUMBER(BD166),ISNUMBER(BE166),N(BE166)&gt;0),BD166/BE166,"")</f>
        <v/>
      </c>
      <c r="BG166" s="97" t="inlineStr">
        <is>
          <t>N</t>
        </is>
      </c>
      <c r="BH166" s="97" t="inlineStr">
        <is>
          <t>Prime Exclusive already running before BFCM week; Buy Box RAISED in BFCM week (median $26.99 vs $24.49 before); List Price $52.59</t>
        </is>
      </c>
    </row>
    <row r="167" ht="62" customHeight="1">
      <c r="A167" s="10">
        <f>_xlfn.IMAGE("https://images-na.ssl-images-amazon.com/images/I/71r48b+Sh9L.jpg")</f>
        <v/>
      </c>
      <c r="B167" s="84" t="inlineStr">
        <is>
          <t>GOLAL</t>
        </is>
      </c>
      <c r="C167" s="32" t="inlineStr">
        <is>
          <t>GOLAL Satin Sheets Full Size - 4 Pieces Luxury Silky Soft Bed Sheets, Wrinkle-Free Black Satin Silk Sheet Set with 1 Deep Pocket Fitted Sheet, 1 Flat Sheet, 2 Pillow Cases</t>
        </is>
      </c>
      <c r="D167" s="84" t="inlineStr">
        <is>
          <t>Beatable</t>
        </is>
      </c>
      <c r="E167" s="84" t="inlineStr">
        <is>
          <t>B0B1Q2JG5X</t>
        </is>
      </c>
      <c r="F167" s="84" t="inlineStr">
        <is>
          <t>B09G17SQXF</t>
        </is>
      </c>
      <c r="G167" s="84" t="inlineStr">
        <is>
          <t>Full</t>
        </is>
      </c>
      <c r="H167" s="84" t="inlineStr">
        <is>
          <t>Black</t>
        </is>
      </c>
      <c r="I167" s="85" t="n">
        <v>94</v>
      </c>
      <c r="J167" s="32" t="inlineStr">
        <is>
          <t>B09G17XZC5 (35%), B09G17SQXF (27%), B09G18ZJ9S (10%), B09G18GFJL (10%)</t>
        </is>
      </c>
      <c r="K167" s="86" t="n">
        <v>21.99</v>
      </c>
      <c r="L167" s="86" t="n"/>
      <c r="M167" s="87">
        <f>IF(AND(ISNUMBER(L167),ISNUMBER(K167),N(K167)&gt;0),L167/K167-1,"")</f>
        <v/>
      </c>
      <c r="N167" s="88">
        <f>IF(M167="","No List Price",IF(M167&lt;=0,"At/below price",IF(M167&lt;=0.12,"&lt;=12% STR zone",IF(M167&lt;=0.25,"12-25%","&gt;25% over"))))</f>
        <v/>
      </c>
      <c r="O167" s="86" t="n">
        <v>29.95</v>
      </c>
      <c r="P167" s="89">
        <f>IF(AND(ISNUMBER(K167),ISNUMBER(O167),N(O167)&gt;0),K167/O167-1,"")</f>
        <v/>
      </c>
      <c r="Q167" s="32" t="inlineStr">
        <is>
          <t>Same size (Full). Ours live: Helium 10 Xray, 2026-10-13; 29 children</t>
        </is>
      </c>
      <c r="R167" s="85" t="n">
        <v>132024</v>
      </c>
      <c r="S167" s="85" t="n">
        <v>81</v>
      </c>
      <c r="T167" s="90">
        <f>IF(AND(ISNUMBER(K167),ISNUMBER(S167)),K167*S167*52/12,"")</f>
        <v/>
      </c>
      <c r="U167" s="91" t="n">
        <v>4.4</v>
      </c>
      <c r="V167" s="85" t="n">
        <v>3943</v>
      </c>
      <c r="W167" s="92" t="n">
        <v>46307</v>
      </c>
      <c r="X167" s="92" t="n">
        <v>44451</v>
      </c>
      <c r="Y167" s="84" t="inlineStr">
        <is>
          <t>FBA</t>
        </is>
      </c>
      <c r="Z167" s="84" t="inlineStr">
        <is>
          <t>CN</t>
        </is>
      </c>
      <c r="AA167" s="85" t="n">
        <v>48561</v>
      </c>
      <c r="AB167" s="85" t="n">
        <v>615</v>
      </c>
      <c r="AC167" s="93" t="n">
        <v>0.6641788183933609</v>
      </c>
      <c r="AD167" s="93" t="n">
        <v>0.3358211816066392</v>
      </c>
      <c r="AE167" s="32" t="inlineStr">
        <is>
          <t>satin sheets queen size</t>
        </is>
      </c>
      <c r="AF167" s="93" t="n">
        <v>0.6905747410473425</v>
      </c>
      <c r="AG167" s="93" t="n">
        <v>0.432960606247812</v>
      </c>
      <c r="AH167" s="93" t="n"/>
      <c r="AI167" s="93" t="n">
        <v>0.005930685117687033</v>
      </c>
      <c r="AJ167" s="85" t="n">
        <v>301</v>
      </c>
      <c r="AK167" s="85" t="n">
        <v>103</v>
      </c>
      <c r="AL167" s="85" t="n">
        <v>172</v>
      </c>
      <c r="AM167" s="85" t="n">
        <v>314</v>
      </c>
      <c r="AN167" s="85" t="n">
        <v>51</v>
      </c>
      <c r="AO167" s="85" t="n">
        <v>23</v>
      </c>
      <c r="AP167" s="94" t="n">
        <v>0.8779220779220779</v>
      </c>
      <c r="AQ167" s="89" t="n">
        <v>0.803921568627451</v>
      </c>
      <c r="AR167" s="95" t="inlineStr">
        <is>
          <t>N</t>
        </is>
      </c>
      <c r="AS167" s="95" t="inlineStr">
        <is>
          <t>none</t>
        </is>
      </c>
      <c r="AT167" s="101" t="n"/>
      <c r="AU167" s="96" t="n">
        <v>21.99</v>
      </c>
      <c r="AV167" s="95" t="inlineStr">
        <is>
          <t>none</t>
        </is>
      </c>
      <c r="AW167" s="95" t="inlineStr">
        <is>
          <t>Y</t>
        </is>
      </c>
      <c r="AX167" s="95" t="inlineStr">
        <is>
          <t>2026-10-13 12:12:50</t>
        </is>
      </c>
      <c r="AY167" s="97" t="inlineStr">
        <is>
          <t>Prime Exclusive Discount</t>
        </is>
      </c>
      <c r="AZ167" s="97" t="inlineStr">
        <is>
          <t>11-27 to 11-27</t>
        </is>
      </c>
      <c r="BA167" s="98" t="n">
        <v>16.05</v>
      </c>
      <c r="BB167" s="98" t="n">
        <v>17.59</v>
      </c>
      <c r="BC167" s="87">
        <f>IF(AND(ISNUMBER(BA167),ISNUMBER(BB167),N(BA167)&gt;0),1-BB167/BA167,"")</f>
        <v/>
      </c>
      <c r="BD167" s="99" t="n">
        <v>5577</v>
      </c>
      <c r="BE167" s="99" t="n">
        <v>12758</v>
      </c>
      <c r="BF167" s="100">
        <f>IF(AND(ISNUMBER(BD167),ISNUMBER(BE167),N(BE167)&gt;0),BD167/BE167,"")</f>
        <v/>
      </c>
      <c r="BG167" s="97" t="inlineStr">
        <is>
          <t>N</t>
        </is>
      </c>
      <c r="BH167" s="97" t="inlineStr">
        <is>
          <t>Coupon 10%, 5% (11-01 to 12-05); Buy Box RAISED in BFCM week (median $21.99 vs $16.05 before); List Price $24.99</t>
        </is>
      </c>
    </row>
    <row r="168" ht="62" customHeight="1">
      <c r="A168" s="10">
        <f>_xlfn.IMAGE("https://images-na.ssl-images-amazon.com/images/I/61QL2B3WPsL.jpg")</f>
        <v/>
      </c>
      <c r="B168" s="84" t="inlineStr">
        <is>
          <t>Cobedzy</t>
        </is>
      </c>
      <c r="C168" s="32" t="inlineStr">
        <is>
          <t>Satin Sheets</t>
        </is>
      </c>
      <c r="D168" s="84" t="inlineStr">
        <is>
          <t>Beatable</t>
        </is>
      </c>
      <c r="E168" s="84" t="inlineStr">
        <is>
          <t>B099PPQ7T3</t>
        </is>
      </c>
      <c r="F168" s="84" t="inlineStr">
        <is>
          <t>B087CSRQQ4</t>
        </is>
      </c>
      <c r="G168" s="84" t="n"/>
      <c r="H168" s="84" t="n"/>
      <c r="I168" s="85" t="n">
        <v>18</v>
      </c>
      <c r="J168" s="32" t="inlineStr">
        <is>
          <t>B087CSJ1FV (44%), B087CSRQQ4 (26%), B087CSNV9S (8%), B088CX6RW8 (4%)</t>
        </is>
      </c>
      <c r="K168" s="86" t="n">
        <v>27.99</v>
      </c>
      <c r="L168" s="86" t="n"/>
      <c r="M168" s="87">
        <f>IF(AND(ISNUMBER(L168),ISNUMBER(K168),N(K168)&gt;0),L168/K168-1,"")</f>
        <v/>
      </c>
      <c r="N168" s="88">
        <f>IF(M168="","No List Price",IF(M168&lt;=0,"At/below price",IF(M168&lt;=0.12,"&lt;=12% STR zone",IF(M168&lt;=0.25,"12-25%","&gt;25% over"))))</f>
        <v/>
      </c>
      <c r="O168" s="86" t="n">
        <v>31.95</v>
      </c>
      <c r="P168" s="89">
        <f>IF(AND(ISNUMBER(K168),ISNUMBER(O168),N(O168)&gt;0),K168/O168-1,"")</f>
        <v/>
      </c>
      <c r="Q168" s="32" t="inlineStr">
        <is>
          <t>Size not stated - vs our Queen. Ours live: Helium 10 Xray, 2026-10-13; 29 children</t>
        </is>
      </c>
      <c r="R168" s="85" t="n">
        <v>68667</v>
      </c>
      <c r="S168" s="85" t="n">
        <v>35</v>
      </c>
      <c r="T168" s="90">
        <f>IF(AND(ISNUMBER(K168),ISNUMBER(S168)),K168*S168*52/12,"")</f>
        <v/>
      </c>
      <c r="U168" s="91" t="n">
        <v>4.4</v>
      </c>
      <c r="V168" s="85" t="n">
        <v>2838</v>
      </c>
      <c r="W168" s="92" t="n">
        <v>46307</v>
      </c>
      <c r="X168" s="92" t="n"/>
      <c r="Y168" s="84" t="n"/>
      <c r="Z168" s="84" t="n"/>
      <c r="AA168" s="85" t="n">
        <v>21925</v>
      </c>
      <c r="AB168" s="85" t="n">
        <v>461</v>
      </c>
      <c r="AC168" s="93" t="n">
        <v>0.9295306681870016</v>
      </c>
      <c r="AD168" s="93" t="n">
        <v>0.07046991562143676</v>
      </c>
      <c r="AE168" s="32" t="inlineStr">
        <is>
          <t>satin sheets</t>
        </is>
      </c>
      <c r="AF168" s="93" t="n">
        <v>0.3978563283922463</v>
      </c>
      <c r="AG168" s="93" t="n"/>
      <c r="AH168" s="93" t="n"/>
      <c r="AI168" s="93" t="n">
        <v>0.01299885974914481</v>
      </c>
      <c r="AJ168" s="85" t="n">
        <v>225</v>
      </c>
      <c r="AK168" s="85" t="n">
        <v>114</v>
      </c>
      <c r="AL168" s="85" t="n">
        <v>96</v>
      </c>
      <c r="AM168" s="85" t="n">
        <v>236</v>
      </c>
      <c r="AN168" s="85" t="n">
        <v>68</v>
      </c>
      <c r="AO168" s="85" t="n">
        <v>9</v>
      </c>
      <c r="AP168" s="94" t="n">
        <v>0.8934169278996865</v>
      </c>
      <c r="AQ168" s="89" t="n">
        <v>-0.4259740259740259</v>
      </c>
      <c r="AR168" s="95" t="inlineStr">
        <is>
          <t>Y</t>
        </is>
      </c>
      <c r="AS168" s="95" t="inlineStr">
        <is>
          <t>Typical price</t>
        </is>
      </c>
      <c r="AT168" s="96" t="n">
        <v>26.99</v>
      </c>
      <c r="AU168" s="96" t="n">
        <v>24.99</v>
      </c>
      <c r="AV168" s="95" t="inlineStr">
        <is>
          <t>none</t>
        </is>
      </c>
      <c r="AW168" s="95" t="inlineStr">
        <is>
          <t>Y</t>
        </is>
      </c>
      <c r="AX168" s="95" t="inlineStr">
        <is>
          <t>2026-10-13 12:12:40</t>
        </is>
      </c>
      <c r="AY168" s="97" t="inlineStr">
        <is>
          <t>Price cut only</t>
        </is>
      </c>
      <c r="AZ168" s="97" t="inlineStr">
        <is>
          <t>11-20 to 12-01</t>
        </is>
      </c>
      <c r="BA168" s="98" t="n">
        <v>27.99</v>
      </c>
      <c r="BB168" s="98" t="n">
        <v>22.39</v>
      </c>
      <c r="BC168" s="87">
        <f>IF(AND(ISNUMBER(BA168),ISNUMBER(BB168),N(BA168)&gt;0),1-BB168/BA168,"")</f>
        <v/>
      </c>
      <c r="BD168" s="99" t="n">
        <v>39293</v>
      </c>
      <c r="BE168" s="99" t="n">
        <v>27923</v>
      </c>
      <c r="BF168" s="100">
        <f>IF(AND(ISNUMBER(BD168),ISNUMBER(BE168),N(BE168)&gt;0),BD168/BE168,"")</f>
        <v/>
      </c>
      <c r="BG168" s="97" t="inlineStr">
        <is>
          <t>N</t>
        </is>
      </c>
      <c r="BH168" s="97" t="inlineStr">
        <is>
          <t>List Price $38.99</t>
        </is>
      </c>
    </row>
    <row r="169" ht="62" customHeight="1">
      <c r="A169" s="10">
        <f>_xlfn.IMAGE("https://images-na.ssl-images-amazon.com/images/I/813TGJ9FKjL.jpg")</f>
        <v/>
      </c>
      <c r="B169" s="84" t="inlineStr">
        <is>
          <t>Horbaunal</t>
        </is>
      </c>
      <c r="C169" s="32" t="inlineStr">
        <is>
          <t>Horbaunal 6 Piece Satin Sheet Set Queen, Emerald Green Queen Bed Sheets</t>
        </is>
      </c>
      <c r="D169" s="84" t="inlineStr">
        <is>
          <t>Beatable</t>
        </is>
      </c>
      <c r="E169" s="84" t="inlineStr">
        <is>
          <t>B0B4MQCT87</t>
        </is>
      </c>
      <c r="F169" s="84" t="inlineStr">
        <is>
          <t>B0B4MQ1PP1</t>
        </is>
      </c>
      <c r="G169" s="84" t="inlineStr">
        <is>
          <t>Queen</t>
        </is>
      </c>
      <c r="H169" s="84" t="inlineStr">
        <is>
          <t>Green</t>
        </is>
      </c>
      <c r="I169" s="85" t="n">
        <v>23</v>
      </c>
      <c r="J169" s="32" t="inlineStr"/>
      <c r="K169" s="86" t="n">
        <v>28.99</v>
      </c>
      <c r="L169" s="86" t="n"/>
      <c r="M169" s="87">
        <f>IF(AND(ISNUMBER(L169),ISNUMBER(K169),N(K169)&gt;0),L169/K169-1,"")</f>
        <v/>
      </c>
      <c r="N169" s="88">
        <f>IF(M169="","No List Price",IF(M169&lt;=0,"At/below price",IF(M169&lt;=0.12,"&lt;=12% STR zone",IF(M169&lt;=0.25,"12-25%","&gt;25% over"))))</f>
        <v/>
      </c>
      <c r="O169" s="86" t="n">
        <v>31.95</v>
      </c>
      <c r="P169" s="89">
        <f>IF(AND(ISNUMBER(K169),ISNUMBER(O169),N(O169)&gt;0),K169/O169-1,"")</f>
        <v/>
      </c>
      <c r="Q169" s="32" t="inlineStr">
        <is>
          <t>Same size (Queen). Ours live: Helium 10 Xray, 2026-10-13; 29 children</t>
        </is>
      </c>
      <c r="R169" s="85" t="n">
        <v>110638</v>
      </c>
      <c r="S169" s="85" t="n">
        <v>35</v>
      </c>
      <c r="T169" s="90">
        <f>IF(AND(ISNUMBER(K169),ISNUMBER(S169)),K169*S169*52/12,"")</f>
        <v/>
      </c>
      <c r="U169" s="91" t="n">
        <v>4.4</v>
      </c>
      <c r="V169" s="85" t="n">
        <v>772</v>
      </c>
      <c r="W169" s="92" t="n">
        <v>46307</v>
      </c>
      <c r="X169" s="92" t="n">
        <v>44733</v>
      </c>
      <c r="Y169" s="84" t="inlineStr">
        <is>
          <t>FBA</t>
        </is>
      </c>
      <c r="Z169" s="84" t="inlineStr">
        <is>
          <t>CN</t>
        </is>
      </c>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N</t>
        </is>
      </c>
      <c r="AS169" s="95" t="inlineStr">
        <is>
          <t>none</t>
        </is>
      </c>
      <c r="AT169" s="101" t="n"/>
      <c r="AU169" s="96" t="n">
        <v>28.99</v>
      </c>
      <c r="AV169" s="95" t="inlineStr">
        <is>
          <t>none</t>
        </is>
      </c>
      <c r="AW169" s="95" t="inlineStr">
        <is>
          <t>Y</t>
        </is>
      </c>
      <c r="AX169" s="95" t="inlineStr">
        <is>
          <t>2026-10-13 12:13:05</t>
        </is>
      </c>
      <c r="AY169" s="97" t="inlineStr">
        <is>
          <t>Prime Exclusive Discount</t>
        </is>
      </c>
      <c r="AZ169" s="97" t="inlineStr">
        <is>
          <t>11-01 to 12-01</t>
        </is>
      </c>
      <c r="BA169" s="98" t="n">
        <v>33.43</v>
      </c>
      <c r="BB169" s="98" t="n">
        <v>28.87</v>
      </c>
      <c r="BC169" s="87">
        <f>IF(AND(ISNUMBER(BA169),ISNUMBER(BB169),N(BA169)&gt;0),1-BB169/BA169,"")</f>
        <v/>
      </c>
      <c r="BD169" s="99" t="n">
        <v>93675</v>
      </c>
      <c r="BE169" s="99" t="n">
        <v>83926</v>
      </c>
      <c r="BF169" s="100">
        <f>IF(AND(ISNUMBER(BD169),ISNUMBER(BE169),N(BE169)&gt;0),BD169/BE169,"")</f>
        <v/>
      </c>
      <c r="BG169" s="97" t="inlineStr">
        <is>
          <t>N</t>
        </is>
      </c>
      <c r="BH169" s="97" t="inlineStr">
        <is>
          <t>Prime Exclusive already running before BFCM week; Buy Box RAISED in BFCM week (median $37.99 vs $33.43 before); List Price $45.49</t>
        </is>
      </c>
    </row>
    <row r="170" ht="62" customHeight="1">
      <c r="A170" s="39" t="inlineStr">
        <is>
          <t>IMAGE MISSING</t>
        </is>
      </c>
      <c r="B170" s="84" t="inlineStr">
        <is>
          <t>VACVELT</t>
        </is>
      </c>
      <c r="C170" s="32" t="inlineStr">
        <is>
          <t>Satin Sheets</t>
        </is>
      </c>
      <c r="D170" s="84" t="inlineStr">
        <is>
          <t>Beatable</t>
        </is>
      </c>
      <c r="E170" s="84" t="inlineStr">
        <is>
          <t>B0C9T1VY8J</t>
        </is>
      </c>
      <c r="F170" s="84" t="inlineStr">
        <is>
          <t>B0C1GJZB6F</t>
        </is>
      </c>
      <c r="G170" s="84" t="n"/>
      <c r="H170" s="84" t="n"/>
      <c r="I170" s="85" t="n">
        <v>35</v>
      </c>
      <c r="J170" s="32" t="inlineStr">
        <is>
          <t>B0C1GN34VQ (59%), B0C1GJZB6F (15%), B0C1GN34VL (8%)</t>
        </is>
      </c>
      <c r="K170" s="86" t="n">
        <v>21.99</v>
      </c>
      <c r="L170" s="86" t="n"/>
      <c r="M170" s="87">
        <f>IF(AND(ISNUMBER(L170),ISNUMBER(K170),N(K170)&gt;0),L170/K170-1,"")</f>
        <v/>
      </c>
      <c r="N170" s="88">
        <f>IF(M170="","No List Price",IF(M170&lt;=0,"At/below price",IF(M170&lt;=0.12,"&lt;=12% STR zone",IF(M170&lt;=0.25,"12-25%","&gt;25% over"))))</f>
        <v/>
      </c>
      <c r="O170" s="86" t="n">
        <v>31.95</v>
      </c>
      <c r="P170" s="89">
        <f>IF(AND(ISNUMBER(K170),ISNUMBER(O170),N(O170)&gt;0),K170/O170-1,"")</f>
        <v/>
      </c>
      <c r="Q170" s="32" t="inlineStr">
        <is>
          <t>Size not stated - vs our Queen. Ours live: Helium 10 Xray, 2026-10-13; 29 children</t>
        </is>
      </c>
      <c r="R170" s="85" t="n">
        <v>57010</v>
      </c>
      <c r="S170" s="85" t="n">
        <v>35</v>
      </c>
      <c r="T170" s="90">
        <f>IF(AND(ISNUMBER(K170),ISNUMBER(S170)),K170*S170*52/12,"")</f>
        <v/>
      </c>
      <c r="U170" s="91" t="n">
        <v>4.5</v>
      </c>
      <c r="V170" s="85" t="n">
        <v>1017</v>
      </c>
      <c r="W170" s="92" t="n">
        <v>46307</v>
      </c>
      <c r="X170" s="92" t="n"/>
      <c r="Y170" s="84" t="n"/>
      <c r="Z170" s="84" t="n"/>
      <c r="AA170" s="85" t="n">
        <v>23621</v>
      </c>
      <c r="AB170" s="85" t="n">
        <v>569</v>
      </c>
      <c r="AC170" s="93" t="n">
        <v>0.9628617755387157</v>
      </c>
      <c r="AD170" s="93" t="n">
        <v>0.03713822446128445</v>
      </c>
      <c r="AE170" s="32" t="inlineStr">
        <is>
          <t>satin sheets</t>
        </is>
      </c>
      <c r="AF170" s="93" t="n">
        <v>0.08949663435078956</v>
      </c>
      <c r="AG170" s="93" t="n"/>
      <c r="AH170" s="93" t="n"/>
      <c r="AI170" s="93" t="n">
        <v>0.02341137123745819</v>
      </c>
      <c r="AJ170" s="85" t="n">
        <v>276</v>
      </c>
      <c r="AK170" s="85" t="n">
        <v>146</v>
      </c>
      <c r="AL170" s="85" t="n">
        <v>106</v>
      </c>
      <c r="AM170" s="85" t="n">
        <v>293</v>
      </c>
      <c r="AN170" s="85" t="n">
        <v>23</v>
      </c>
      <c r="AO170" s="85" t="n">
        <v>2</v>
      </c>
      <c r="AP170" s="94" t="n">
        <v>1</v>
      </c>
      <c r="AQ170" s="89" t="n">
        <v>0.2448979591836733</v>
      </c>
      <c r="AR170" s="95" t="inlineStr">
        <is>
          <t>N</t>
        </is>
      </c>
      <c r="AS170" s="95" t="inlineStr">
        <is>
          <t>none</t>
        </is>
      </c>
      <c r="AT170" s="101" t="n"/>
      <c r="AU170" s="96" t="n">
        <v>21.99</v>
      </c>
      <c r="AV170" s="95" t="inlineStr">
        <is>
          <t>none</t>
        </is>
      </c>
      <c r="AW170" s="95" t="inlineStr">
        <is>
          <t>Y</t>
        </is>
      </c>
      <c r="AX170" s="95" t="inlineStr">
        <is>
          <t>2026-10-13 12:13:48</t>
        </is>
      </c>
      <c r="AY170" s="97" t="inlineStr">
        <is>
          <t>Prime Exclusive Discount</t>
        </is>
      </c>
      <c r="AZ170" s="97" t="inlineStr">
        <is>
          <t>11-18 to 12-05</t>
        </is>
      </c>
      <c r="BA170" s="98" t="n">
        <v>20.99</v>
      </c>
      <c r="BB170" s="98" t="n">
        <v>17.67</v>
      </c>
      <c r="BC170" s="87">
        <f>IF(AND(ISNUMBER(BA170),ISNUMBER(BB170),N(BA170)&gt;0),1-BB170/BA170,"")</f>
        <v/>
      </c>
      <c r="BD170" s="99" t="n">
        <v>56350</v>
      </c>
      <c r="BE170" s="99" t="n">
        <v>47030</v>
      </c>
      <c r="BF170" s="100">
        <f>IF(AND(ISNUMBER(BD170),ISNUMBER(BE170),N(BE170)&gt;0),BD170/BE170,"")</f>
        <v/>
      </c>
      <c r="BG170" s="97" t="inlineStr">
        <is>
          <t>N</t>
        </is>
      </c>
      <c r="BH170" s="97" t="inlineStr">
        <is>
          <t>Prime Exclusive already running before BFCM week; Buy Box RAISED in BFCM week (median $25.99 vs $20.99 before); List Price $46.38</t>
        </is>
      </c>
    </row>
    <row r="171" ht="62" customHeight="1">
      <c r="A171" s="39" t="inlineStr">
        <is>
          <t>IMAGE MISSING</t>
        </is>
      </c>
      <c r="B171" s="84" t="inlineStr">
        <is>
          <t>Homiest</t>
        </is>
      </c>
      <c r="C171" s="32" t="inlineStr">
        <is>
          <t>Satin Sheets</t>
        </is>
      </c>
      <c r="D171" s="84" t="inlineStr">
        <is>
          <t>Beatable</t>
        </is>
      </c>
      <c r="E171" s="84" t="inlineStr">
        <is>
          <t>B0DYJKM99H</t>
        </is>
      </c>
      <c r="F171" s="84" t="inlineStr">
        <is>
          <t>B0DYJHHJQL</t>
        </is>
      </c>
      <c r="G171" s="84" t="n"/>
      <c r="H171" s="84" t="n"/>
      <c r="I171" s="85" t="n"/>
      <c r="J171" s="32" t="inlineStr"/>
      <c r="K171" s="86" t="n">
        <v>27.99</v>
      </c>
      <c r="L171" s="86" t="n"/>
      <c r="M171" s="87">
        <f>IF(AND(ISNUMBER(L171),ISNUMBER(K171),N(K171)&gt;0),L171/K171-1,"")</f>
        <v/>
      </c>
      <c r="N171" s="88">
        <f>IF(M171="","No List Price",IF(M171&lt;=0,"At/below price",IF(M171&lt;=0.12,"&lt;=12% STR zone",IF(M171&lt;=0.25,"12-25%","&gt;25% over"))))</f>
        <v/>
      </c>
      <c r="O171" s="86" t="n">
        <v>31.95</v>
      </c>
      <c r="P171" s="89">
        <f>IF(AND(ISNUMBER(K171),ISNUMBER(O171),N(O171)&gt;0),K171/O171-1,"")</f>
        <v/>
      </c>
      <c r="Q171" s="32" t="inlineStr">
        <is>
          <t>Size not stated - vs our Queen. Ours live: Helium 10 Xray, 2026-10-13; 29 children</t>
        </is>
      </c>
      <c r="R171" s="85" t="n">
        <v>89437</v>
      </c>
      <c r="S171" s="85" t="n">
        <v>18</v>
      </c>
      <c r="T171" s="90">
        <f>IF(AND(ISNUMBER(K171),ISNUMBER(S171)),K171*S171*52/12,"")</f>
        <v/>
      </c>
      <c r="U171" s="91" t="n">
        <v>4.5</v>
      </c>
      <c r="V171" s="85" t="n">
        <v>205</v>
      </c>
      <c r="W171" s="92" t="n">
        <v>46307</v>
      </c>
      <c r="X171" s="92" t="n"/>
      <c r="Y171" s="84" t="n"/>
      <c r="Z171" s="84" t="n"/>
      <c r="AA171" s="85" t="n"/>
      <c r="AB171" s="85" t="n"/>
      <c r="AC171" s="93" t="n"/>
      <c r="AD171" s="93" t="n"/>
      <c r="AE171" s="32" t="n"/>
      <c r="AF171" s="93" t="n"/>
      <c r="AG171" s="93" t="n"/>
      <c r="AH171" s="93" t="n"/>
      <c r="AI171" s="93" t="n"/>
      <c r="AJ171" s="85" t="n"/>
      <c r="AK171" s="85" t="n"/>
      <c r="AL171" s="85" t="n"/>
      <c r="AM171" s="85" t="n"/>
      <c r="AN171" s="85" t="n"/>
      <c r="AO171" s="85" t="n"/>
      <c r="AP171" s="94" t="n"/>
      <c r="AQ171" s="89" t="n"/>
      <c r="AR171" s="95" t="inlineStr">
        <is>
          <t>N</t>
        </is>
      </c>
      <c r="AS171" s="95" t="inlineStr">
        <is>
          <t>none</t>
        </is>
      </c>
      <c r="AT171" s="101" t="n"/>
      <c r="AU171" s="96" t="n">
        <v>27.99</v>
      </c>
      <c r="AV171" s="95" t="inlineStr">
        <is>
          <t>none</t>
        </is>
      </c>
      <c r="AW171" s="95" t="inlineStr">
        <is>
          <t>Y</t>
        </is>
      </c>
      <c r="AX171" s="95" t="inlineStr">
        <is>
          <t>2026-10-13 12:12:53</t>
        </is>
      </c>
      <c r="AY171" s="97" t="inlineStr">
        <is>
          <t>None</t>
        </is>
      </c>
      <c r="AZ171" s="102" t="n"/>
      <c r="BA171" s="98" t="n">
        <v>28.99</v>
      </c>
      <c r="BB171" s="98" t="n">
        <v>28.99</v>
      </c>
      <c r="BC171" s="87">
        <f>IF(AND(ISNUMBER(BA171),ISNUMBER(BB171),N(BA171)&gt;0),1-BB171/BA171,"")</f>
        <v/>
      </c>
      <c r="BD171" s="99" t="n">
        <v>63419</v>
      </c>
      <c r="BE171" s="99" t="n">
        <v>61469</v>
      </c>
      <c r="BF171" s="100">
        <f>IF(AND(ISNUMBER(BD171),ISNUMBER(BE171),N(BE171)&gt;0),BD171/BE171,"")</f>
        <v/>
      </c>
      <c r="BG171" s="97" t="inlineStr">
        <is>
          <t>N</t>
        </is>
      </c>
      <c r="BH171" s="97" t="inlineStr">
        <is>
          <t>List Price $34.99</t>
        </is>
      </c>
    </row>
    <row r="172" ht="62" customHeight="1">
      <c r="A172" s="39" t="inlineStr">
        <is>
          <t>IMAGE MISSING</t>
        </is>
      </c>
      <c r="B172" s="84" t="inlineStr">
        <is>
          <t>HommxJF</t>
        </is>
      </c>
      <c r="C172" s="32" t="inlineStr">
        <is>
          <t>Satin Sheets</t>
        </is>
      </c>
      <c r="D172" s="84" t="inlineStr">
        <is>
          <t>Beatable</t>
        </is>
      </c>
      <c r="E172" s="84" t="inlineStr">
        <is>
          <t>B0BJZT93SL</t>
        </is>
      </c>
      <c r="F172" s="84" t="inlineStr">
        <is>
          <t>B09V52BVJB</t>
        </is>
      </c>
      <c r="G172" s="84" t="n"/>
      <c r="H172" s="84" t="n"/>
      <c r="I172" s="85" t="n">
        <v>32</v>
      </c>
      <c r="J172" s="32" t="inlineStr">
        <is>
          <t>B09V52BVJB (55%), B0BCKD5X64 (25%), B09V52C9M9 (10%)</t>
        </is>
      </c>
      <c r="K172" s="86" t="n">
        <v>24.99</v>
      </c>
      <c r="L172" s="86" t="n"/>
      <c r="M172" s="87">
        <f>IF(AND(ISNUMBER(L172),ISNUMBER(K172),N(K172)&gt;0),L172/K172-1,"")</f>
        <v/>
      </c>
      <c r="N172" s="88">
        <f>IF(M172="","No List Price",IF(M172&lt;=0,"At/below price",IF(M172&lt;=0.12,"&lt;=12% STR zone",IF(M172&lt;=0.25,"12-25%","&gt;25% over"))))</f>
        <v/>
      </c>
      <c r="O172" s="86" t="n">
        <v>31.95</v>
      </c>
      <c r="P172" s="89">
        <f>IF(AND(ISNUMBER(K172),ISNUMBER(O172),N(O172)&gt;0),K172/O172-1,"")</f>
        <v/>
      </c>
      <c r="Q172" s="32" t="inlineStr">
        <is>
          <t>Size not stated - vs our Queen. Ours live: Helium 10 Xray, 2026-10-13; 29 children</t>
        </is>
      </c>
      <c r="R172" s="85" t="n">
        <v>180867</v>
      </c>
      <c r="S172" s="85" t="n">
        <v>18</v>
      </c>
      <c r="T172" s="90">
        <f>IF(AND(ISNUMBER(K172),ISNUMBER(S172)),K172*S172*52/12,"")</f>
        <v/>
      </c>
      <c r="U172" s="91" t="n">
        <v>4.3</v>
      </c>
      <c r="V172" s="85" t="n">
        <v>1032</v>
      </c>
      <c r="W172" s="92" t="n">
        <v>46307</v>
      </c>
      <c r="X172" s="92" t="n"/>
      <c r="Y172" s="84" t="n"/>
      <c r="Z172" s="84" t="n"/>
      <c r="AA172" s="85" t="n">
        <v>16567</v>
      </c>
      <c r="AB172" s="85" t="n">
        <v>357</v>
      </c>
      <c r="AC172" s="93" t="n">
        <v>0.8554338745699279</v>
      </c>
      <c r="AD172" s="93" t="n">
        <v>0.1445661254300719</v>
      </c>
      <c r="AE172" s="32" t="inlineStr">
        <is>
          <t>satin sheets</t>
        </is>
      </c>
      <c r="AF172" s="93" t="n">
        <v>0.2936560632582845</v>
      </c>
      <c r="AG172" s="93" t="n">
        <v>0.02323896903482827</v>
      </c>
      <c r="AH172" s="93" t="n"/>
      <c r="AI172" s="93" t="n"/>
      <c r="AJ172" s="85" t="n">
        <v>238</v>
      </c>
      <c r="AK172" s="85" t="n">
        <v>142</v>
      </c>
      <c r="AL172" s="85" t="n">
        <v>79</v>
      </c>
      <c r="AM172" s="85" t="n">
        <v>119</v>
      </c>
      <c r="AN172" s="85" t="n">
        <v>63</v>
      </c>
      <c r="AO172" s="85" t="n">
        <v>25</v>
      </c>
      <c r="AP172" s="94" t="n">
        <v>1.017857142857143</v>
      </c>
      <c r="AQ172" s="89" t="n">
        <v>0.4723247232472323</v>
      </c>
      <c r="AR172" s="95" t="inlineStr">
        <is>
          <t>N</t>
        </is>
      </c>
      <c r="AS172" s="95" t="inlineStr">
        <is>
          <t>none</t>
        </is>
      </c>
      <c r="AT172" s="101" t="n"/>
      <c r="AU172" s="96" t="n">
        <v>24.99</v>
      </c>
      <c r="AV172" s="95" t="inlineStr">
        <is>
          <t>none</t>
        </is>
      </c>
      <c r="AW172" s="95" t="inlineStr">
        <is>
          <t>Y</t>
        </is>
      </c>
      <c r="AX172" s="95" t="inlineStr">
        <is>
          <t>2026-10-13 12:13:02</t>
        </is>
      </c>
      <c r="AY172" s="97" t="inlineStr">
        <is>
          <t>None</t>
        </is>
      </c>
      <c r="AZ172" s="102" t="n"/>
      <c r="BA172" s="98" t="n">
        <v>24.99</v>
      </c>
      <c r="BB172" s="98" t="n">
        <v>24.99</v>
      </c>
      <c r="BC172" s="87">
        <f>IF(AND(ISNUMBER(BA172),ISNUMBER(BB172),N(BA172)&gt;0),1-BB172/BA172,"")</f>
        <v/>
      </c>
      <c r="BD172" s="99" t="n">
        <v>107701</v>
      </c>
      <c r="BE172" s="99" t="n">
        <v>90023</v>
      </c>
      <c r="BF172" s="100">
        <f>IF(AND(ISNUMBER(BD172),ISNUMBER(BE172),N(BE172)&gt;0),BD172/BE172,"")</f>
        <v/>
      </c>
      <c r="BG172" s="97" t="inlineStr">
        <is>
          <t>N</t>
        </is>
      </c>
      <c r="BH172" s="97" t="inlineStr">
        <is>
          <t>List Price $26.99</t>
        </is>
      </c>
    </row>
    <row r="173" ht="62" customHeight="1">
      <c r="A173" s="10">
        <f>_xlfn.IMAGE("https://images-na.ssl-images-amazon.com/images/I/71eq-pAu2pL.jpg")</f>
        <v/>
      </c>
      <c r="B173" s="84" t="inlineStr">
        <is>
          <t>LIFCOM</t>
        </is>
      </c>
      <c r="C173" s="32" t="inlineStr">
        <is>
          <t>LIFCOM Satin Sheets Queen,4Pcs Bed Set with 15" Deep Pocket,Brown</t>
        </is>
      </c>
      <c r="D173" s="84" t="inlineStr">
        <is>
          <t>Beatable</t>
        </is>
      </c>
      <c r="E173" s="84" t="inlineStr">
        <is>
          <t>B0DBVYL693</t>
        </is>
      </c>
      <c r="F173" s="84" t="inlineStr">
        <is>
          <t>B0DCC78S4N</t>
        </is>
      </c>
      <c r="G173" s="84" t="inlineStr">
        <is>
          <t>Queen</t>
        </is>
      </c>
      <c r="H173" s="84" t="inlineStr">
        <is>
          <t>Brown</t>
        </is>
      </c>
      <c r="I173" s="85" t="n">
        <v>73</v>
      </c>
      <c r="J173" s="32" t="inlineStr">
        <is>
          <t>B0DCC5ZQNW (21%), B0DCC78S4N (17%), B0DC5L2BHY (9%), B0DCC8MLV5 (8%), B0DCC8WZCH (7%)</t>
        </is>
      </c>
      <c r="K173" s="86" t="n">
        <v>23.99</v>
      </c>
      <c r="L173" s="86" t="n"/>
      <c r="M173" s="87">
        <f>IF(AND(ISNUMBER(L173),ISNUMBER(K173),N(K173)&gt;0),L173/K173-1,"")</f>
        <v/>
      </c>
      <c r="N173" s="88">
        <f>IF(M173="","No List Price",IF(M173&lt;=0,"At/below price",IF(M173&lt;=0.12,"&lt;=12% STR zone",IF(M173&lt;=0.25,"12-25%","&gt;25% over"))))</f>
        <v/>
      </c>
      <c r="O173" s="86" t="n">
        <v>31.95</v>
      </c>
      <c r="P173" s="89">
        <f>IF(AND(ISNUMBER(K173),ISNUMBER(O173),N(O173)&gt;0),K173/O173-1,"")</f>
        <v/>
      </c>
      <c r="Q173" s="32" t="inlineStr">
        <is>
          <t>Same size (Queen). Ours live: Helium 10 Xray, 2026-10-13; 29 children</t>
        </is>
      </c>
      <c r="R173" s="85" t="n">
        <v>96002</v>
      </c>
      <c r="S173" s="85" t="n">
        <v>18</v>
      </c>
      <c r="T173" s="90">
        <f>IF(AND(ISNUMBER(K173),ISNUMBER(S173)),K173*S173*52/12,"")</f>
        <v/>
      </c>
      <c r="U173" s="91" t="n">
        <v>4.2</v>
      </c>
      <c r="V173" s="85" t="n">
        <v>361</v>
      </c>
      <c r="W173" s="92" t="n">
        <v>46307</v>
      </c>
      <c r="X173" s="92" t="n">
        <v>45510</v>
      </c>
      <c r="Y173" s="84" t="inlineStr">
        <is>
          <t>FBA</t>
        </is>
      </c>
      <c r="Z173" s="84" t="inlineStr">
        <is>
          <t>CN</t>
        </is>
      </c>
      <c r="AA173" s="85" t="n">
        <v>23278</v>
      </c>
      <c r="AB173" s="85" t="n">
        <v>634</v>
      </c>
      <c r="AC173" s="93" t="n">
        <v>0.4926462797491192</v>
      </c>
      <c r="AD173" s="93" t="n">
        <v>0.507353720250881</v>
      </c>
      <c r="AE173" s="32" t="inlineStr">
        <is>
          <t>brown sheets</t>
        </is>
      </c>
      <c r="AF173" s="93" t="n">
        <v>0.8651086863132571</v>
      </c>
      <c r="AG173" s="93" t="n"/>
      <c r="AH173" s="93" t="n"/>
      <c r="AI173" s="93" t="n">
        <v>0.1246241086003952</v>
      </c>
      <c r="AJ173" s="85" t="n">
        <v>270</v>
      </c>
      <c r="AK173" s="85" t="n">
        <v>169</v>
      </c>
      <c r="AL173" s="85" t="n">
        <v>72</v>
      </c>
      <c r="AM173" s="85" t="n">
        <v>364</v>
      </c>
      <c r="AN173" s="85" t="n">
        <v>70</v>
      </c>
      <c r="AO173" s="85" t="n">
        <v>29</v>
      </c>
      <c r="AP173" s="94" t="n">
        <v>0.5539772727272727</v>
      </c>
      <c r="AQ173" s="89" t="n">
        <v>-0.4424040066777963</v>
      </c>
      <c r="AR173" s="95" t="inlineStr">
        <is>
          <t>N</t>
        </is>
      </c>
      <c r="AS173" s="95" t="inlineStr">
        <is>
          <t>none</t>
        </is>
      </c>
      <c r="AT173" s="101" t="n"/>
      <c r="AU173" s="96" t="n">
        <v>23.99</v>
      </c>
      <c r="AV173" s="95" t="inlineStr">
        <is>
          <t>none</t>
        </is>
      </c>
      <c r="AW173" s="95" t="inlineStr">
        <is>
          <t>Y</t>
        </is>
      </c>
      <c r="AX173" s="95" t="inlineStr">
        <is>
          <t>2026-10-13 12:13:09</t>
        </is>
      </c>
      <c r="AY173" s="97" t="inlineStr">
        <is>
          <t>Prime Exclusive Discount</t>
        </is>
      </c>
      <c r="AZ173" s="97" t="inlineStr">
        <is>
          <t>11-24 to 12-01</t>
        </is>
      </c>
      <c r="BA173" s="98" t="n">
        <v>22.99</v>
      </c>
      <c r="BB173" s="98" t="n">
        <v>19.27</v>
      </c>
      <c r="BC173" s="87">
        <f>IF(AND(ISNUMBER(BA173),ISNUMBER(BB173),N(BA173)&gt;0),1-BB173/BA173,"")</f>
        <v/>
      </c>
      <c r="BD173" s="99" t="n">
        <v>66815</v>
      </c>
      <c r="BE173" s="99" t="n">
        <v>49602</v>
      </c>
      <c r="BF173" s="100">
        <f>IF(AND(ISNUMBER(BD173),ISNUMBER(BE173),N(BE173)&gt;0),BD173/BE173,"")</f>
        <v/>
      </c>
      <c r="BG173" s="97" t="inlineStr">
        <is>
          <t>N</t>
        </is>
      </c>
      <c r="BH173" s="97" t="inlineStr">
        <is>
          <t>Buy Box RAISED in BFCM week (median $24.39 vs $22.99 before); List Price $31.99</t>
        </is>
      </c>
    </row>
    <row r="174" ht="62" customHeight="1">
      <c r="A174" s="10">
        <f>_xlfn.IMAGE("https://images-na.ssl-images-amazon.com/images/I/81HS7e6wrTL.jpg")</f>
        <v/>
      </c>
      <c r="B174" s="84" t="inlineStr">
        <is>
          <t>Madison Park</t>
        </is>
      </c>
      <c r="C174" s="32" t="inlineStr">
        <is>
          <t>Satin Sheets</t>
        </is>
      </c>
      <c r="D174" s="84" t="inlineStr">
        <is>
          <t>Beatable</t>
        </is>
      </c>
      <c r="E174" s="84" t="inlineStr">
        <is>
          <t>B0DJ2HJ9M4</t>
        </is>
      </c>
      <c r="F174" s="84" t="inlineStr">
        <is>
          <t>B09HVCPNLX</t>
        </is>
      </c>
      <c r="G174" s="84" t="n"/>
      <c r="H174" s="84" t="n"/>
      <c r="I174" s="85" t="n">
        <v>44</v>
      </c>
      <c r="J174" s="32" t="inlineStr">
        <is>
          <t>B0C5CG12M2 (27%), B09HVCPNLX (24%), B0C25NTWCM (18%), B09HVDQ982 (9%), B0DDQ6PNMP (7%)</t>
        </is>
      </c>
      <c r="K174" s="86" t="n">
        <v>26.99</v>
      </c>
      <c r="L174" s="86" t="n"/>
      <c r="M174" s="87">
        <f>IF(AND(ISNUMBER(L174),ISNUMBER(K174),N(K174)&gt;0),L174/K174-1,"")</f>
        <v/>
      </c>
      <c r="N174" s="88">
        <f>IF(M174="","No List Price",IF(M174&lt;=0,"At/below price",IF(M174&lt;=0.12,"&lt;=12% STR zone",IF(M174&lt;=0.25,"12-25%","&gt;25% over"))))</f>
        <v/>
      </c>
      <c r="O174" s="86" t="n">
        <v>31.95</v>
      </c>
      <c r="P174" s="89">
        <f>IF(AND(ISNUMBER(K174),ISNUMBER(O174),N(O174)&gt;0),K174/O174-1,"")</f>
        <v/>
      </c>
      <c r="Q174" s="32" t="inlineStr">
        <is>
          <t>Size not stated - vs our Queen. Ours live: Helium 10 Xray, 2026-10-13; 29 children</t>
        </is>
      </c>
      <c r="R174" s="85" t="n">
        <v>76753</v>
      </c>
      <c r="S174" s="85" t="n">
        <v>18</v>
      </c>
      <c r="T174" s="90">
        <f>IF(AND(ISNUMBER(K174),ISNUMBER(S174)),K174*S174*52/12,"")</f>
        <v/>
      </c>
      <c r="U174" s="91" t="n">
        <v>4.5</v>
      </c>
      <c r="V174" s="85" t="n">
        <v>127</v>
      </c>
      <c r="W174" s="92" t="n">
        <v>46307</v>
      </c>
      <c r="X174" s="92" t="n"/>
      <c r="Y174" s="84" t="n"/>
      <c r="Z174" s="84" t="n"/>
      <c r="AA174" s="85" t="n">
        <v>35631</v>
      </c>
      <c r="AB174" s="85" t="n">
        <v>592</v>
      </c>
      <c r="AC174" s="93" t="n">
        <v>0.9497345738261626</v>
      </c>
      <c r="AD174" s="93" t="n">
        <v>0.05026542617383739</v>
      </c>
      <c r="AE174" s="32" t="inlineStr">
        <is>
          <t>satin sheets</t>
        </is>
      </c>
      <c r="AF174" s="93" t="n">
        <v>0.305408211950268</v>
      </c>
      <c r="AG174" s="93" t="n"/>
      <c r="AH174" s="93" t="n"/>
      <c r="AI174" s="93" t="n">
        <v>0</v>
      </c>
      <c r="AJ174" s="85" t="n">
        <v>249</v>
      </c>
      <c r="AK174" s="85" t="n">
        <v>123</v>
      </c>
      <c r="AL174" s="85" t="n">
        <v>105</v>
      </c>
      <c r="AM174" s="85" t="n">
        <v>343</v>
      </c>
      <c r="AN174" s="85" t="n">
        <v>20</v>
      </c>
      <c r="AO174" s="85" t="n">
        <v>7</v>
      </c>
      <c r="AP174" s="94" t="n">
        <v>0.6901408450704226</v>
      </c>
      <c r="AQ174" s="89" t="n">
        <v>0.1848341232227488</v>
      </c>
      <c r="AR174" s="95" t="inlineStr">
        <is>
          <t>N</t>
        </is>
      </c>
      <c r="AS174" s="95" t="inlineStr">
        <is>
          <t>none</t>
        </is>
      </c>
      <c r="AT174" s="101" t="n"/>
      <c r="AU174" s="96" t="n">
        <v>26.99</v>
      </c>
      <c r="AV174" s="95" t="inlineStr">
        <is>
          <t>none</t>
        </is>
      </c>
      <c r="AW174" s="95" t="inlineStr">
        <is>
          <t>Y</t>
        </is>
      </c>
      <c r="AX174" s="95" t="inlineStr">
        <is>
          <t>2026-10-13 12:13:26</t>
        </is>
      </c>
      <c r="AY174" s="97" t="inlineStr">
        <is>
          <t>None</t>
        </is>
      </c>
      <c r="AZ174" s="102" t="n"/>
      <c r="BA174" s="98" t="n">
        <v>30.99</v>
      </c>
      <c r="BB174" s="98" t="n">
        <v>30.99</v>
      </c>
      <c r="BC174" s="87">
        <f>IF(AND(ISNUMBER(BA174),ISNUMBER(BB174),N(BA174)&gt;0),1-BB174/BA174,"")</f>
        <v/>
      </c>
      <c r="BD174" s="99" t="n">
        <v>38276</v>
      </c>
      <c r="BE174" s="99" t="n">
        <v>39554</v>
      </c>
      <c r="BF174" s="100">
        <f>IF(AND(ISNUMBER(BD174),ISNUMBER(BE174),N(BE174)&gt;0),BD174/BE174,"")</f>
        <v/>
      </c>
      <c r="BG174" s="97" t="inlineStr">
        <is>
          <t>N</t>
        </is>
      </c>
      <c r="BH174" s="97" t="inlineStr">
        <is>
          <t>List Price $35.99</t>
        </is>
      </c>
    </row>
    <row r="175" ht="62" customHeight="1">
      <c r="A175" s="39" t="inlineStr">
        <is>
          <t>IMAGE MISSING</t>
        </is>
      </c>
      <c r="B175" s="84" t="inlineStr">
        <is>
          <t>MK Home</t>
        </is>
      </c>
      <c r="C175" s="32" t="inlineStr">
        <is>
          <t>Satin Sheets</t>
        </is>
      </c>
      <c r="D175" s="84" t="inlineStr">
        <is>
          <t>Beatable</t>
        </is>
      </c>
      <c r="E175" s="84" t="inlineStr">
        <is>
          <t>B07H522QXD</t>
        </is>
      </c>
      <c r="F175" s="84" t="inlineStr">
        <is>
          <t>B07FGFRZ94</t>
        </is>
      </c>
      <c r="G175" s="84" t="n"/>
      <c r="H175" s="84" t="n"/>
      <c r="I175" s="85" t="n"/>
      <c r="J175" s="32" t="inlineStr"/>
      <c r="K175" s="86" t="n">
        <v>18.99</v>
      </c>
      <c r="L175" s="86" t="n"/>
      <c r="M175" s="87">
        <f>IF(AND(ISNUMBER(L175),ISNUMBER(K175),N(K175)&gt;0),L175/K175-1,"")</f>
        <v/>
      </c>
      <c r="N175" s="88">
        <f>IF(M175="","No List Price",IF(M175&lt;=0,"At/below price",IF(M175&lt;=0.12,"&lt;=12% STR zone",IF(M175&lt;=0.25,"12-25%","&gt;25% over"))))</f>
        <v/>
      </c>
      <c r="O175" s="86" t="n">
        <v>31.95</v>
      </c>
      <c r="P175" s="89">
        <f>IF(AND(ISNUMBER(K175),ISNUMBER(O175),N(O175)&gt;0),K175/O175-1,"")</f>
        <v/>
      </c>
      <c r="Q175" s="32" t="inlineStr">
        <is>
          <t>Size not stated - vs our Queen. Ours live: Helium 10 Xray, 2026-10-13; 29 children</t>
        </is>
      </c>
      <c r="R175" s="85" t="n">
        <v>59039</v>
      </c>
      <c r="S175" s="85" t="n">
        <v>18</v>
      </c>
      <c r="T175" s="90">
        <f>IF(AND(ISNUMBER(K175),ISNUMBER(S175)),K175*S175*52/12,"")</f>
        <v/>
      </c>
      <c r="U175" s="91" t="n">
        <v>4.3</v>
      </c>
      <c r="V175" s="85" t="n">
        <v>10761</v>
      </c>
      <c r="W175" s="92" t="n">
        <v>46307</v>
      </c>
      <c r="X175" s="92" t="n"/>
      <c r="Y175" s="84" t="n"/>
      <c r="Z175" s="84" t="n"/>
      <c r="AA175" s="85" t="n"/>
      <c r="AB175" s="85" t="n"/>
      <c r="AC175" s="93" t="n"/>
      <c r="AD175" s="93" t="n"/>
      <c r="AE175" s="32" t="n"/>
      <c r="AF175" s="93" t="n"/>
      <c r="AG175" s="93" t="n"/>
      <c r="AH175" s="93" t="n"/>
      <c r="AI175" s="93" t="n"/>
      <c r="AJ175" s="85" t="n"/>
      <c r="AK175" s="85" t="n"/>
      <c r="AL175" s="85" t="n"/>
      <c r="AM175" s="85" t="n"/>
      <c r="AN175" s="85" t="n"/>
      <c r="AO175" s="85" t="n"/>
      <c r="AP175" s="94" t="n"/>
      <c r="AQ175" s="89" t="n"/>
      <c r="AR175" s="95" t="inlineStr">
        <is>
          <t>N</t>
        </is>
      </c>
      <c r="AS175" s="95" t="inlineStr">
        <is>
          <t>none</t>
        </is>
      </c>
      <c r="AT175" s="101" t="n"/>
      <c r="AU175" s="96" t="n">
        <v>18.99</v>
      </c>
      <c r="AV175" s="95" t="inlineStr">
        <is>
          <t>none</t>
        </is>
      </c>
      <c r="AW175" s="95" t="inlineStr">
        <is>
          <t>Y</t>
        </is>
      </c>
      <c r="AX175" s="95" t="inlineStr">
        <is>
          <t>2026-10-13 12:13:19</t>
        </is>
      </c>
      <c r="AY175" s="97" t="inlineStr">
        <is>
          <t>None</t>
        </is>
      </c>
      <c r="AZ175" s="102" t="n"/>
      <c r="BA175" s="98" t="n">
        <v>28.99</v>
      </c>
      <c r="BB175" s="98" t="n">
        <v>28.99</v>
      </c>
      <c r="BC175" s="87">
        <f>IF(AND(ISNUMBER(BA175),ISNUMBER(BB175),N(BA175)&gt;0),1-BB175/BA175,"")</f>
        <v/>
      </c>
      <c r="BD175" s="99" t="n">
        <v>72573</v>
      </c>
      <c r="BE175" s="99" t="n">
        <v>103377</v>
      </c>
      <c r="BF175" s="100">
        <f>IF(AND(ISNUMBER(BD175),ISNUMBER(BE175),N(BE175)&gt;0),BD175/BE175,"")</f>
        <v/>
      </c>
      <c r="BG175" s="97" t="inlineStr">
        <is>
          <t>N</t>
        </is>
      </c>
      <c r="BH175" s="97" t="inlineStr">
        <is>
          <t>List Price $59.99</t>
        </is>
      </c>
    </row>
    <row r="176" ht="62" customHeight="1">
      <c r="A176" s="10">
        <f>_xlfn.IMAGE("https://images-na.ssl-images-amazon.com/images/I/71Upo7a638S.jpg")</f>
        <v/>
      </c>
      <c r="B176" s="84" t="inlineStr">
        <is>
          <t>Homiest</t>
        </is>
      </c>
      <c r="C176" s="32" t="inlineStr">
        <is>
          <t>Satin Sheets</t>
        </is>
      </c>
      <c r="D176" s="84" t="inlineStr">
        <is>
          <t>Beatable</t>
        </is>
      </c>
      <c r="E176" s="84" t="inlineStr">
        <is>
          <t>B07XBR22W1</t>
        </is>
      </c>
      <c r="F176" s="84" t="inlineStr">
        <is>
          <t>B0B5Z2B9NN</t>
        </is>
      </c>
      <c r="G176" s="84" t="n"/>
      <c r="H176" s="84" t="n"/>
      <c r="I176" s="85" t="n">
        <v>70</v>
      </c>
      <c r="J176" s="32" t="inlineStr">
        <is>
          <t>B07VTMDK79 (19%), B0C2824DHT (16%), B07XPVHHP9 (9%), B07HN29LH1 (6%), B0B2QZ8NKY (5%)</t>
        </is>
      </c>
      <c r="K176" s="86" t="n">
        <v>21.99</v>
      </c>
      <c r="L176" s="86" t="n">
        <v>25.99</v>
      </c>
      <c r="M176" s="87">
        <f>IF(AND(ISNUMBER(L176),ISNUMBER(K176),N(K176)&gt;0),L176/K176-1,"")</f>
        <v/>
      </c>
      <c r="N176" s="88">
        <f>IF(M176="","No List Price",IF(M176&lt;=0,"At/below price",IF(M176&lt;=0.12,"&lt;=12% STR zone",IF(M176&lt;=0.25,"12-25%","&gt;25% over"))))</f>
        <v/>
      </c>
      <c r="O176" s="86" t="n">
        <v>31.95</v>
      </c>
      <c r="P176" s="89">
        <f>IF(AND(ISNUMBER(K176),ISNUMBER(O176),N(O176)&gt;0),K176/O176-1,"")</f>
        <v/>
      </c>
      <c r="Q176" s="32" t="inlineStr">
        <is>
          <t>Size not stated - vs our Queen. Ours live: Helium 10 Xray, 2026-10-13; 29 children</t>
        </is>
      </c>
      <c r="R176" s="85" t="n">
        <v>28165</v>
      </c>
      <c r="S176" s="85" t="n">
        <v>5</v>
      </c>
      <c r="T176" s="90">
        <f>IF(AND(ISNUMBER(K176),ISNUMBER(S176)),K176*S176*52/12,"")</f>
        <v/>
      </c>
      <c r="U176" s="91" t="n">
        <v>4.4</v>
      </c>
      <c r="V176" s="85" t="n">
        <v>12125</v>
      </c>
      <c r="W176" s="92" t="n">
        <v>46307</v>
      </c>
      <c r="X176" s="92" t="n"/>
      <c r="Y176" s="84" t="n"/>
      <c r="Z176" s="84" t="n"/>
      <c r="AA176" s="85" t="n">
        <v>20002</v>
      </c>
      <c r="AB176" s="85" t="n">
        <v>618</v>
      </c>
      <c r="AC176" s="93" t="n">
        <v>1</v>
      </c>
      <c r="AD176" s="93" t="n">
        <v>0</v>
      </c>
      <c r="AE176" s="32" t="inlineStr">
        <is>
          <t>satin sheets</t>
        </is>
      </c>
      <c r="AF176" s="93" t="n">
        <v>0.08344165583441655</v>
      </c>
      <c r="AG176" s="93" t="n"/>
      <c r="AH176" s="93" t="n"/>
      <c r="AI176" s="93" t="n">
        <v>0.02124787521247875</v>
      </c>
      <c r="AJ176" s="85" t="n">
        <v>294</v>
      </c>
      <c r="AK176" s="85" t="n">
        <v>167</v>
      </c>
      <c r="AL176" s="85" t="n">
        <v>102</v>
      </c>
      <c r="AM176" s="85" t="n">
        <v>324</v>
      </c>
      <c r="AN176" s="85" t="n">
        <v>0</v>
      </c>
      <c r="AO176" s="85" t="n">
        <v>0</v>
      </c>
      <c r="AP176" s="94" t="n"/>
      <c r="AQ176" s="89" t="n"/>
      <c r="AR176" s="95" t="inlineStr">
        <is>
          <t>Y</t>
        </is>
      </c>
      <c r="AS176" s="95" t="inlineStr">
        <is>
          <t>Typical price</t>
        </is>
      </c>
      <c r="AT176" s="96" t="n">
        <v>25.99</v>
      </c>
      <c r="AU176" s="96" t="n">
        <v>23.99</v>
      </c>
      <c r="AV176" s="95" t="inlineStr">
        <is>
          <t>none</t>
        </is>
      </c>
      <c r="AW176" s="95" t="inlineStr">
        <is>
          <t>Y</t>
        </is>
      </c>
      <c r="AX176" s="95" t="inlineStr">
        <is>
          <t>2026-10-13 12:12:56</t>
        </is>
      </c>
      <c r="AY176" s="97" t="inlineStr">
        <is>
          <t>Prime Exclusive Discount</t>
        </is>
      </c>
      <c r="AZ176" s="97" t="inlineStr">
        <is>
          <t>11-04 to 12-05</t>
        </is>
      </c>
      <c r="BA176" s="98" t="n">
        <v>23.39</v>
      </c>
      <c r="BB176" s="98" t="n">
        <v>21.32</v>
      </c>
      <c r="BC176" s="87">
        <f>IF(AND(ISNUMBER(BA176),ISNUMBER(BB176),N(BA176)&gt;0),1-BB176/BA176,"")</f>
        <v/>
      </c>
      <c r="BD176" s="99" t="n">
        <v>20924</v>
      </c>
      <c r="BE176" s="99" t="n">
        <v>20898</v>
      </c>
      <c r="BF176" s="100">
        <f>IF(AND(ISNUMBER(BD176),ISNUMBER(BE176),N(BE176)&gt;0),BD176/BE176,"")</f>
        <v/>
      </c>
      <c r="BG176" s="97" t="inlineStr">
        <is>
          <t>N</t>
        </is>
      </c>
      <c r="BH176" s="97" t="inlineStr">
        <is>
          <t>Prime Exclusive already running before BFCM week; List Price $52.78</t>
        </is>
      </c>
    </row>
    <row r="177" ht="62" customHeight="1">
      <c r="A177" s="39" t="inlineStr">
        <is>
          <t>IMAGE MISSING</t>
        </is>
      </c>
      <c r="B177" s="84" t="inlineStr">
        <is>
          <t>Manyshofu</t>
        </is>
      </c>
      <c r="C177" s="32" t="inlineStr">
        <is>
          <t>Satin Sheets</t>
        </is>
      </c>
      <c r="D177" s="84" t="inlineStr">
        <is>
          <t>Beatable</t>
        </is>
      </c>
      <c r="E177" s="84" t="inlineStr">
        <is>
          <t>B09YQW7HBK</t>
        </is>
      </c>
      <c r="F177" s="84" t="inlineStr">
        <is>
          <t>B09S5RNLN9</t>
        </is>
      </c>
      <c r="G177" s="84" t="n"/>
      <c r="H177" s="84" t="n"/>
      <c r="I177" s="85" t="n"/>
      <c r="J177" s="32" t="inlineStr"/>
      <c r="K177" s="86" t="n">
        <v>28.99</v>
      </c>
      <c r="L177" s="86" t="n"/>
      <c r="M177" s="87">
        <f>IF(AND(ISNUMBER(L177),ISNUMBER(K177),N(K177)&gt;0),L177/K177-1,"")</f>
        <v/>
      </c>
      <c r="N177" s="88">
        <f>IF(M177="","No List Price",IF(M177&lt;=0,"At/below price",IF(M177&lt;=0.12,"&lt;=12% STR zone",IF(M177&lt;=0.25,"12-25%","&gt;25% over"))))</f>
        <v/>
      </c>
      <c r="O177" s="86" t="n">
        <v>31.95</v>
      </c>
      <c r="P177" s="89">
        <f>IF(AND(ISNUMBER(K177),ISNUMBER(O177),N(O177)&gt;0),K177/O177-1,"")</f>
        <v/>
      </c>
      <c r="Q177" s="32" t="inlineStr">
        <is>
          <t>Size not stated - vs our Queen. Ours live: Helium 10 Xray, 2026-10-13; 29 children</t>
        </is>
      </c>
      <c r="R177" s="85" t="n">
        <v>300374</v>
      </c>
      <c r="S177" s="85" t="n">
        <v>5</v>
      </c>
      <c r="T177" s="90">
        <f>IF(AND(ISNUMBER(K177),ISNUMBER(S177)),K177*S177*52/12,"")</f>
        <v/>
      </c>
      <c r="U177" s="91" t="n">
        <v>4.3</v>
      </c>
      <c r="V177" s="85" t="n">
        <v>907</v>
      </c>
      <c r="W177" s="92" t="n">
        <v>46307</v>
      </c>
      <c r="X177" s="92" t="n"/>
      <c r="Y177" s="84" t="n"/>
      <c r="Z177" s="84" t="n"/>
      <c r="AA177" s="85" t="n"/>
      <c r="AB177" s="85" t="n"/>
      <c r="AC177" s="93" t="n"/>
      <c r="AD177" s="93" t="n"/>
      <c r="AE177" s="32" t="n"/>
      <c r="AF177" s="93" t="n"/>
      <c r="AG177" s="93" t="n"/>
      <c r="AH177" s="93" t="n"/>
      <c r="AI177" s="93" t="n"/>
      <c r="AJ177" s="85" t="n"/>
      <c r="AK177" s="85" t="n"/>
      <c r="AL177" s="85" t="n"/>
      <c r="AM177" s="85" t="n"/>
      <c r="AN177" s="85" t="n"/>
      <c r="AO177" s="85" t="n"/>
      <c r="AP177" s="94" t="n"/>
      <c r="AQ177" s="89" t="n"/>
      <c r="AR177" s="95" t="inlineStr">
        <is>
          <t>N</t>
        </is>
      </c>
      <c r="AS177" s="95" t="inlineStr">
        <is>
          <t>none</t>
        </is>
      </c>
      <c r="AT177" s="101" t="n"/>
      <c r="AU177" s="96" t="n">
        <v>28.99</v>
      </c>
      <c r="AV177" s="95" t="inlineStr">
        <is>
          <t>none</t>
        </is>
      </c>
      <c r="AW177" s="95" t="inlineStr">
        <is>
          <t>Y</t>
        </is>
      </c>
      <c r="AX177" s="95" t="inlineStr">
        <is>
          <t>2026-10-13 12:13:29</t>
        </is>
      </c>
      <c r="AY177" s="97" t="inlineStr">
        <is>
          <t>None</t>
        </is>
      </c>
      <c r="AZ177" s="102" t="n"/>
      <c r="BA177" s="98" t="n">
        <v>35.99</v>
      </c>
      <c r="BB177" s="98" t="n">
        <v>43.99</v>
      </c>
      <c r="BC177" s="87">
        <f>IF(AND(ISNUMBER(BA177),ISNUMBER(BB177),N(BA177)&gt;0),1-BB177/BA177,"")</f>
        <v/>
      </c>
      <c r="BD177" s="99" t="n">
        <v>162880</v>
      </c>
      <c r="BE177" s="99" t="n">
        <v>197382</v>
      </c>
      <c r="BF177" s="100">
        <f>IF(AND(ISNUMBER(BD177),ISNUMBER(BE177),N(BE177)&gt;0),BD177/BE177,"")</f>
        <v/>
      </c>
      <c r="BG177" s="97" t="inlineStr">
        <is>
          <t>Y</t>
        </is>
      </c>
      <c r="BH177" s="97" t="inlineStr">
        <is>
          <t>Buy Box RAISED in BFCM week (median $43.99 vs $35.99 before); List Price $46.99</t>
        </is>
      </c>
    </row>
    <row r="178" ht="62" customHeight="1">
      <c r="A178" s="39" t="inlineStr">
        <is>
          <t>IMAGE MISSING</t>
        </is>
      </c>
      <c r="B178" s="84" t="inlineStr">
        <is>
          <t>Martex</t>
        </is>
      </c>
      <c r="C178" s="32" t="inlineStr">
        <is>
          <t>Satin Sheets</t>
        </is>
      </c>
      <c r="D178" s="84" t="inlineStr">
        <is>
          <t>Beatable</t>
        </is>
      </c>
      <c r="E178" s="84" t="inlineStr">
        <is>
          <t>B0DLGX8P9D</t>
        </is>
      </c>
      <c r="F178" s="84" t="inlineStr">
        <is>
          <t>B07X49LFDC</t>
        </is>
      </c>
      <c r="G178" s="84" t="n"/>
      <c r="H178" s="84" t="n"/>
      <c r="I178" s="85" t="n"/>
      <c r="J178" s="32" t="inlineStr"/>
      <c r="K178" s="86" t="n">
        <v>25.99</v>
      </c>
      <c r="L178" s="86" t="n"/>
      <c r="M178" s="87">
        <f>IF(AND(ISNUMBER(L178),ISNUMBER(K178),N(K178)&gt;0),L178/K178-1,"")</f>
        <v/>
      </c>
      <c r="N178" s="88">
        <f>IF(M178="","No List Price",IF(M178&lt;=0,"At/below price",IF(M178&lt;=0.12,"&lt;=12% STR zone",IF(M178&lt;=0.25,"12-25%","&gt;25% over"))))</f>
        <v/>
      </c>
      <c r="O178" s="86" t="n">
        <v>31.95</v>
      </c>
      <c r="P178" s="89">
        <f>IF(AND(ISNUMBER(K178),ISNUMBER(O178),N(O178)&gt;0),K178/O178-1,"")</f>
        <v/>
      </c>
      <c r="Q178" s="32" t="inlineStr">
        <is>
          <t>Size not stated - vs our Queen. Ours live: Helium 10 Xray, 2026-10-13; 29 children</t>
        </is>
      </c>
      <c r="R178" s="85" t="n">
        <v>52458</v>
      </c>
      <c r="S178" s="85" t="n">
        <v>5</v>
      </c>
      <c r="T178" s="90">
        <f>IF(AND(ISNUMBER(K178),ISNUMBER(S178)),K178*S178*52/12,"")</f>
        <v/>
      </c>
      <c r="U178" s="91" t="n">
        <v>4.3</v>
      </c>
      <c r="V178" s="85" t="n">
        <v>2260</v>
      </c>
      <c r="W178" s="92" t="n">
        <v>46307</v>
      </c>
      <c r="X178" s="92" t="n"/>
      <c r="Y178" s="84" t="n"/>
      <c r="Z178" s="84" t="n"/>
      <c r="AA178" s="85" t="n"/>
      <c r="AB178" s="85" t="n"/>
      <c r="AC178" s="93" t="n"/>
      <c r="AD178" s="93" t="n"/>
      <c r="AE178" s="32" t="n"/>
      <c r="AF178" s="93" t="n"/>
      <c r="AG178" s="93" t="n"/>
      <c r="AH178" s="93" t="n"/>
      <c r="AI178" s="93" t="n"/>
      <c r="AJ178" s="85" t="n"/>
      <c r="AK178" s="85" t="n"/>
      <c r="AL178" s="85" t="n"/>
      <c r="AM178" s="85" t="n"/>
      <c r="AN178" s="85" t="n"/>
      <c r="AO178" s="85" t="n"/>
      <c r="AP178" s="94" t="n"/>
      <c r="AQ178" s="89" t="n"/>
      <c r="AR178" s="95" t="inlineStr">
        <is>
          <t>Y</t>
        </is>
      </c>
      <c r="AS178" s="95" t="inlineStr">
        <is>
          <t>Typical price</t>
        </is>
      </c>
      <c r="AT178" s="96" t="n">
        <v>26.99</v>
      </c>
      <c r="AU178" s="96" t="n">
        <v>22.99</v>
      </c>
      <c r="AV178" s="95" t="inlineStr">
        <is>
          <t>none</t>
        </is>
      </c>
      <c r="AW178" s="95" t="inlineStr">
        <is>
          <t>Y</t>
        </is>
      </c>
      <c r="AX178" s="95" t="inlineStr">
        <is>
          <t>2026-10-13 12:13:32</t>
        </is>
      </c>
      <c r="AY178" s="97" t="inlineStr">
        <is>
          <t>None</t>
        </is>
      </c>
      <c r="AZ178" s="102" t="n"/>
      <c r="BA178" s="98" t="n">
        <v>23.21</v>
      </c>
      <c r="BB178" s="98" t="n">
        <v>26.99</v>
      </c>
      <c r="BC178" s="87">
        <f>IF(AND(ISNUMBER(BA178),ISNUMBER(BB178),N(BA178)&gt;0),1-BB178/BA178,"")</f>
        <v/>
      </c>
      <c r="BD178" s="99" t="n">
        <v>29868</v>
      </c>
      <c r="BE178" s="99" t="n">
        <v>28928</v>
      </c>
      <c r="BF178" s="100">
        <f>IF(AND(ISNUMBER(BD178),ISNUMBER(BE178),N(BE178)&gt;0),BD178/BE178,"")</f>
        <v/>
      </c>
      <c r="BG178" s="97" t="inlineStr">
        <is>
          <t>N</t>
        </is>
      </c>
      <c r="BH178" s="97" t="inlineStr">
        <is>
          <t>Buy Box RAISED in BFCM week (median $26.99 vs $23.21 before); List Price $34.99</t>
        </is>
      </c>
    </row>
    <row r="179" ht="62" customHeight="1">
      <c r="A179" s="39" t="inlineStr">
        <is>
          <t>IMAGE MISSING</t>
        </is>
      </c>
      <c r="B179" s="84" t="inlineStr">
        <is>
          <t>Vonty</t>
        </is>
      </c>
      <c r="C179" s="32" t="inlineStr">
        <is>
          <t>Satin Sheets</t>
        </is>
      </c>
      <c r="D179" s="84" t="inlineStr">
        <is>
          <t>Poor</t>
        </is>
      </c>
      <c r="E179" s="84" t="inlineStr">
        <is>
          <t>B0BDDJM9RW</t>
        </is>
      </c>
      <c r="F179" s="84" t="inlineStr">
        <is>
          <t>B0BDDGJ38X</t>
        </is>
      </c>
      <c r="G179" s="84" t="n"/>
      <c r="H179" s="84" t="n"/>
      <c r="I179" s="85" t="n">
        <v>22</v>
      </c>
      <c r="J179" s="32" t="inlineStr">
        <is>
          <t>B0BDDGJ38X (81%)</t>
        </is>
      </c>
      <c r="K179" s="86" t="n">
        <v>30.99</v>
      </c>
      <c r="L179" s="86" t="n"/>
      <c r="M179" s="87">
        <f>IF(AND(ISNUMBER(L179),ISNUMBER(K179),N(K179)&gt;0),L179/K179-1,"")</f>
        <v/>
      </c>
      <c r="N179" s="88">
        <f>IF(M179="","No List Price",IF(M179&lt;=0,"At/below price",IF(M179&lt;=0.12,"&lt;=12% STR zone",IF(M179&lt;=0.25,"12-25%","&gt;25% over"))))</f>
        <v/>
      </c>
      <c r="O179" s="86" t="n">
        <v>31.95</v>
      </c>
      <c r="P179" s="89">
        <f>IF(AND(ISNUMBER(K179),ISNUMBER(O179),N(O179)&gt;0),K179/O179-1,"")</f>
        <v/>
      </c>
      <c r="Q179" s="32" t="inlineStr">
        <is>
          <t>Size not stated - vs our Queen. Ours live: Helium 10 Xray, 2026-10-13; 29 children</t>
        </is>
      </c>
      <c r="R179" s="85" t="n">
        <v>83620</v>
      </c>
      <c r="S179" s="85" t="n">
        <v>35</v>
      </c>
      <c r="T179" s="90">
        <f>IF(AND(ISNUMBER(K179),ISNUMBER(S179)),K179*S179*52/12,"")</f>
        <v/>
      </c>
      <c r="U179" s="91" t="n">
        <v>4.2</v>
      </c>
      <c r="V179" s="85" t="n">
        <v>909</v>
      </c>
      <c r="W179" s="92" t="n">
        <v>46307</v>
      </c>
      <c r="X179" s="92" t="n"/>
      <c r="Y179" s="84" t="n"/>
      <c r="Z179" s="84" t="n"/>
      <c r="AA179" s="85" t="n">
        <v>11441</v>
      </c>
      <c r="AB179" s="85" t="n">
        <v>382</v>
      </c>
      <c r="AC179" s="93" t="n">
        <v>0.9484301110042829</v>
      </c>
      <c r="AD179" s="93" t="n">
        <v>0.05156988899571716</v>
      </c>
      <c r="AE179" s="32" t="inlineStr">
        <is>
          <t>silk sheets</t>
        </is>
      </c>
      <c r="AF179" s="93" t="n">
        <v>0.06502928065728521</v>
      </c>
      <c r="AG179" s="93" t="n"/>
      <c r="AH179" s="93" t="n"/>
      <c r="AI179" s="93" t="n"/>
      <c r="AJ179" s="85" t="n">
        <v>203</v>
      </c>
      <c r="AK179" s="85" t="n">
        <v>141</v>
      </c>
      <c r="AL179" s="85" t="n">
        <v>42</v>
      </c>
      <c r="AM179" s="85" t="n">
        <v>179</v>
      </c>
      <c r="AN179" s="85" t="n">
        <v>15</v>
      </c>
      <c r="AO179" s="85" t="n">
        <v>1</v>
      </c>
      <c r="AP179" s="94" t="n">
        <v>0.9861111111111112</v>
      </c>
      <c r="AQ179" s="89" t="n">
        <v>0.4680851063829787</v>
      </c>
      <c r="AR179" s="95" t="inlineStr">
        <is>
          <t>N</t>
        </is>
      </c>
      <c r="AS179" s="95" t="inlineStr">
        <is>
          <t>none</t>
        </is>
      </c>
      <c r="AT179" s="101" t="n"/>
      <c r="AU179" s="96" t="n">
        <v>30.99</v>
      </c>
      <c r="AV179" s="95" t="inlineStr">
        <is>
          <t>none</t>
        </is>
      </c>
      <c r="AW179" s="95" t="inlineStr">
        <is>
          <t>Y</t>
        </is>
      </c>
      <c r="AX179" s="95" t="inlineStr">
        <is>
          <t>2026-10-13 23:44:43</t>
        </is>
      </c>
      <c r="AY179" s="102" t="n"/>
      <c r="AZ179" s="102" t="n"/>
      <c r="BA179" s="101" t="n"/>
      <c r="BB179" s="101" t="n"/>
      <c r="BC179" s="87">
        <f>IF(AND(ISNUMBER(BA179),ISNUMBER(BB179),N(BA179)&gt;0),1-BB179/BA179,"")</f>
        <v/>
      </c>
      <c r="BD179" s="103" t="n"/>
      <c r="BE179" s="103" t="n"/>
      <c r="BF179" s="100">
        <f>IF(AND(ISNUMBER(BD179),ISNUMBER(BE179),N(BE179)&gt;0),BD179/BE179,"")</f>
        <v/>
      </c>
      <c r="BG179" s="102" t="n"/>
      <c r="BH179" s="102" t="n"/>
    </row>
    <row r="180" ht="62" customHeight="1">
      <c r="A180" s="10">
        <f>_xlfn.IMAGE("https://images-na.ssl-images-amazon.com/images/I/81M3kmoCTLL.jpg")</f>
        <v/>
      </c>
      <c r="B180" s="84" t="inlineStr"/>
      <c r="C180" s="32" t="inlineStr">
        <is>
          <t>Juicy Couture Queen Size Satin Bed Sheet Set, Deep Pocket Silky Satin Queen Shee</t>
        </is>
      </c>
      <c r="D180" s="84" t="inlineStr">
        <is>
          <t>Poor</t>
        </is>
      </c>
      <c r="E180" s="84" t="inlineStr">
        <is>
          <t>B0FB47M9WR</t>
        </is>
      </c>
      <c r="F180" s="84" t="inlineStr">
        <is>
          <t>B0BK1WH383</t>
        </is>
      </c>
      <c r="G180" s="84" t="inlineStr">
        <is>
          <t>Queen</t>
        </is>
      </c>
      <c r="H180" s="84" t="n"/>
      <c r="I180" s="85" t="n">
        <v>58</v>
      </c>
      <c r="J180" s="32" t="inlineStr">
        <is>
          <t>B09NP86NP2 (22%), B0DKYVPBLR (21%), B0BK1WRYR5 (11%), B09NP9WVDR (11%), B0F3KT7FWM (8%)</t>
        </is>
      </c>
      <c r="K180" s="86" t="n">
        <v>5.93</v>
      </c>
      <c r="L180" s="86" t="n"/>
      <c r="M180" s="87">
        <f>IF(AND(ISNUMBER(L180),ISNUMBER(K180),N(K180)&gt;0),L180/K180-1,"")</f>
        <v/>
      </c>
      <c r="N180" s="88">
        <f>IF(M180="","No List Price",IF(M180&lt;=0,"At/below price",IF(M180&lt;=0.12,"&lt;=12% STR zone",IF(M180&lt;=0.25,"12-25%","&gt;25% over"))))</f>
        <v/>
      </c>
      <c r="O180" s="86" t="n">
        <v>31.95</v>
      </c>
      <c r="P180" s="89">
        <f>IF(AND(ISNUMBER(K180),ISNUMBER(O180),N(O180)&gt;0),K180/O180-1,"")</f>
        <v/>
      </c>
      <c r="Q180" s="32" t="inlineStr">
        <is>
          <t>Same size (Queen). Ours live: Helium 10 Xray, 2026-10-13; 29 children</t>
        </is>
      </c>
      <c r="R180" s="85" t="n">
        <v>80060</v>
      </c>
      <c r="S180" s="85" t="n">
        <v>5</v>
      </c>
      <c r="T180" s="90">
        <f>IF(AND(ISNUMBER(K180),ISNUMBER(S180)),K180*S180*52/12,"")</f>
        <v/>
      </c>
      <c r="U180" s="91" t="n">
        <v>4.6</v>
      </c>
      <c r="V180" s="85" t="n">
        <v>46</v>
      </c>
      <c r="W180" s="92" t="n">
        <v>46307</v>
      </c>
      <c r="X180" s="92" t="n"/>
      <c r="Y180" s="84" t="n"/>
      <c r="Z180" s="84" t="n"/>
      <c r="AA180" s="85" t="n">
        <v>41904</v>
      </c>
      <c r="AB180" s="85" t="n">
        <v>827</v>
      </c>
      <c r="AC180" s="93" t="n">
        <v>0.8273237471363115</v>
      </c>
      <c r="AD180" s="93" t="n">
        <v>0.1726766346888126</v>
      </c>
      <c r="AE180" s="32" t="inlineStr">
        <is>
          <t>juicy couture</t>
        </is>
      </c>
      <c r="AF180" s="93" t="n">
        <v>0.1212533409698358</v>
      </c>
      <c r="AG180" s="93" t="n">
        <v>0.1026870943108057</v>
      </c>
      <c r="AH180" s="93" t="n">
        <v>0.5394234440626193</v>
      </c>
      <c r="AI180" s="93" t="n">
        <v>0.09507445589919816</v>
      </c>
      <c r="AJ180" s="85" t="n">
        <v>260</v>
      </c>
      <c r="AK180" s="85" t="n">
        <v>149</v>
      </c>
      <c r="AL180" s="85" t="n">
        <v>91</v>
      </c>
      <c r="AM180" s="85" t="n">
        <v>567</v>
      </c>
      <c r="AN180" s="85" t="n">
        <v>134</v>
      </c>
      <c r="AO180" s="85" t="n">
        <v>12</v>
      </c>
      <c r="AP180" s="94" t="n"/>
      <c r="AQ180" s="89" t="n"/>
      <c r="AR180" s="95" t="inlineStr">
        <is>
          <t>N</t>
        </is>
      </c>
      <c r="AS180" s="95" t="inlineStr">
        <is>
          <t>none</t>
        </is>
      </c>
      <c r="AT180" s="101" t="n"/>
      <c r="AU180" s="101" t="n"/>
      <c r="AV180" s="95" t="inlineStr">
        <is>
          <t>none</t>
        </is>
      </c>
      <c r="AW180" s="95" t="inlineStr">
        <is>
          <t>N</t>
        </is>
      </c>
      <c r="AX180" s="95" t="inlineStr">
        <is>
          <t>2026-10-13 12:12:23</t>
        </is>
      </c>
      <c r="AY180" s="102" t="n"/>
      <c r="AZ180" s="102" t="n"/>
      <c r="BA180" s="101" t="n"/>
      <c r="BB180" s="101" t="n"/>
      <c r="BC180" s="87">
        <f>IF(AND(ISNUMBER(BA180),ISNUMBER(BB180),N(BA180)&gt;0),1-BB180/BA180,"")</f>
        <v/>
      </c>
      <c r="BD180" s="99" t="n">
        <v>54981</v>
      </c>
      <c r="BE180" s="99" t="n">
        <v>50922</v>
      </c>
      <c r="BF180" s="100">
        <f>IF(AND(ISNUMBER(BD180),ISNUMBER(BE180),N(BE180)&gt;0),BD180/BE180,"")</f>
        <v/>
      </c>
      <c r="BG180" s="97" t="inlineStr">
        <is>
          <t>Y</t>
        </is>
      </c>
      <c r="BH180" s="97" t="inlineStr">
        <is>
          <t>No Buy Box history in Keepa for BFCM 2025; List Price $19.99</t>
        </is>
      </c>
    </row>
    <row r="181" ht="62" customHeight="1">
      <c r="A181" s="10">
        <f>_xlfn.IMAGE("https://images-na.ssl-images-amazon.com/images/I/71MADUOjsFL.jpg")</f>
        <v/>
      </c>
      <c r="B181" s="84" t="inlineStr">
        <is>
          <t>Sasttie</t>
        </is>
      </c>
      <c r="C181" s="32" t="inlineStr">
        <is>
          <t>Sasttie Satin Sheets Queen Size - 4 Pieces Luxury Soft Black Silky Bed Sheets Set with Pillowcases - Smooth Silk-Like Satin Fabric, Reinforced 14 Inches Pocket, Oeko-Tex Certified</t>
        </is>
      </c>
      <c r="D181" s="84" t="inlineStr">
        <is>
          <t>Untiered</t>
        </is>
      </c>
      <c r="E181" s="84" t="inlineStr">
        <is>
          <t>B0F2H9HX69</t>
        </is>
      </c>
      <c r="F181" s="84" t="inlineStr">
        <is>
          <t>B0F2H8LPB3</t>
        </is>
      </c>
      <c r="G181" s="84" t="inlineStr">
        <is>
          <t>Queen</t>
        </is>
      </c>
      <c r="H181" s="84" t="inlineStr">
        <is>
          <t>Black</t>
        </is>
      </c>
      <c r="I181" s="85" t="n">
        <v>47</v>
      </c>
      <c r="J181" s="32" t="inlineStr">
        <is>
          <t>B0F2H8LPB3 (57%), B0F2H92RZ5 (13%), B0F2H9HRJJ (11%)</t>
        </is>
      </c>
      <c r="K181" s="86" t="n">
        <v>15.99</v>
      </c>
      <c r="L181" s="86" t="n"/>
      <c r="M181" s="87">
        <f>IF(AND(ISNUMBER(L181),ISNUMBER(K181),N(K181)&gt;0),L181/K181-1,"")</f>
        <v/>
      </c>
      <c r="N181" s="88">
        <f>IF(M181="","No List Price",IF(M181&lt;=0,"At/below price",IF(M181&lt;=0.12,"&lt;=12% STR zone",IF(M181&lt;=0.25,"12-25%","&gt;25% over"))))</f>
        <v/>
      </c>
      <c r="O181" s="86" t="n">
        <v>31.95</v>
      </c>
      <c r="P181" s="89">
        <f>IF(AND(ISNUMBER(K181),ISNUMBER(O181),N(O181)&gt;0),K181/O181-1,"")</f>
        <v/>
      </c>
      <c r="Q181" s="32" t="inlineStr">
        <is>
          <t>Same size (Queen). Ours live: Helium 10 Xray, 2026-10-13; 29 children</t>
        </is>
      </c>
      <c r="R181" s="85" t="n">
        <v>58723</v>
      </c>
      <c r="S181" s="85" t="n">
        <v>35</v>
      </c>
      <c r="T181" s="90">
        <f>IF(AND(ISNUMBER(K181),ISNUMBER(S181)),K181*S181*52/12,"")</f>
        <v/>
      </c>
      <c r="U181" s="91" t="n">
        <v>4.5</v>
      </c>
      <c r="V181" s="85" t="n">
        <v>968</v>
      </c>
      <c r="W181" s="92" t="n">
        <v>46307</v>
      </c>
      <c r="X181" s="92" t="n">
        <v>45742</v>
      </c>
      <c r="Y181" s="84" t="inlineStr">
        <is>
          <t>FBA</t>
        </is>
      </c>
      <c r="Z181" s="84" t="inlineStr">
        <is>
          <t>CN</t>
        </is>
      </c>
      <c r="AA181" s="85" t="n">
        <v>26952</v>
      </c>
      <c r="AB181" s="85" t="n">
        <v>504</v>
      </c>
      <c r="AC181" s="93" t="n">
        <v>0.9879767104482041</v>
      </c>
      <c r="AD181" s="93" t="n">
        <v>0.01202328955179578</v>
      </c>
      <c r="AE181" s="32" t="inlineStr">
        <is>
          <t>satin sheets</t>
        </is>
      </c>
      <c r="AF181" s="93" t="n"/>
      <c r="AG181" s="93" t="n">
        <v>0.004081329771445533</v>
      </c>
      <c r="AH181" s="93" t="n">
        <v>0.1173567824280202</v>
      </c>
      <c r="AI181" s="93" t="n"/>
      <c r="AJ181" s="85" t="n">
        <v>279</v>
      </c>
      <c r="AK181" s="85" t="n">
        <v>108</v>
      </c>
      <c r="AL181" s="85" t="n">
        <v>153</v>
      </c>
      <c r="AM181" s="85" t="n">
        <v>225</v>
      </c>
      <c r="AN181" s="85" t="n">
        <v>13</v>
      </c>
      <c r="AO181" s="85" t="n">
        <v>0</v>
      </c>
      <c r="AP181" s="94" t="n">
        <v>1.063356164383562</v>
      </c>
      <c r="AQ181" s="89" t="n">
        <v>-0.1631084543125534</v>
      </c>
      <c r="AR181" s="95" t="inlineStr">
        <is>
          <t>N</t>
        </is>
      </c>
      <c r="AS181" s="95" t="inlineStr">
        <is>
          <t>none</t>
        </is>
      </c>
      <c r="AT181" s="101" t="n"/>
      <c r="AU181" s="96" t="n">
        <v>15.99</v>
      </c>
      <c r="AV181" s="95" t="inlineStr">
        <is>
          <t>none</t>
        </is>
      </c>
      <c r="AW181" s="95" t="inlineStr">
        <is>
          <t>Y</t>
        </is>
      </c>
      <c r="AX181" s="95" t="inlineStr">
        <is>
          <t>2026-10-13 12:13:42</t>
        </is>
      </c>
      <c r="AY181" s="97" t="inlineStr">
        <is>
          <t>Prime Exclusive Discount</t>
        </is>
      </c>
      <c r="AZ181" s="97" t="inlineStr">
        <is>
          <t>11-08 to 12-05</t>
        </is>
      </c>
      <c r="BA181" s="98" t="n">
        <v>15.99</v>
      </c>
      <c r="BB181" s="98" t="n">
        <v>15.98</v>
      </c>
      <c r="BC181" s="87">
        <f>IF(AND(ISNUMBER(BA181),ISNUMBER(BB181),N(BA181)&gt;0),1-BB181/BA181,"")</f>
        <v/>
      </c>
      <c r="BD181" s="99" t="n">
        <v>71449</v>
      </c>
      <c r="BE181" s="99" t="n">
        <v>98796</v>
      </c>
      <c r="BF181" s="100">
        <f>IF(AND(ISNUMBER(BD181),ISNUMBER(BE181),N(BE181)&gt;0),BD181/BE181,"")</f>
        <v/>
      </c>
      <c r="BG181" s="97" t="inlineStr">
        <is>
          <t>N</t>
        </is>
      </c>
      <c r="BH181" s="97" t="inlineStr">
        <is>
          <t>Prime Exclusive already running before BFCM week; Buy Box RAISED in BFCM week (median $19.99 vs $16.99 before); List Price $19.98</t>
        </is>
      </c>
    </row>
    <row r="182" ht="62" customHeight="1">
      <c r="A182" s="39" t="inlineStr">
        <is>
          <t>IMAGE MISSING</t>
        </is>
      </c>
      <c r="B182" s="84" t="inlineStr">
        <is>
          <t>Candoury</t>
        </is>
      </c>
      <c r="C182" s="32" t="inlineStr">
        <is>
          <t>Satin Sheets</t>
        </is>
      </c>
      <c r="D182" s="84" t="inlineStr">
        <is>
          <t>Untiered</t>
        </is>
      </c>
      <c r="E182" s="84" t="inlineStr">
        <is>
          <t>B08RHZ9TMQ</t>
        </is>
      </c>
      <c r="F182" s="84" t="inlineStr">
        <is>
          <t>B08JKWGXZ9</t>
        </is>
      </c>
      <c r="G182" s="84" t="n"/>
      <c r="H182" s="84" t="n"/>
      <c r="I182" s="85" t="n"/>
      <c r="J182" s="32" t="inlineStr"/>
      <c r="K182" s="86" t="n">
        <v>15.99</v>
      </c>
      <c r="L182" s="86" t="n"/>
      <c r="M182" s="87">
        <f>IF(AND(ISNUMBER(L182),ISNUMBER(K182),N(K182)&gt;0),L182/K182-1,"")</f>
        <v/>
      </c>
      <c r="N182" s="88">
        <f>IF(M182="","No List Price",IF(M182&lt;=0,"At/below price",IF(M182&lt;=0.12,"&lt;=12% STR zone",IF(M182&lt;=0.25,"12-25%","&gt;25% over"))))</f>
        <v/>
      </c>
      <c r="O182" s="86" t="n">
        <v>31.95</v>
      </c>
      <c r="P182" s="89">
        <f>IF(AND(ISNUMBER(K182),ISNUMBER(O182),N(O182)&gt;0),K182/O182-1,"")</f>
        <v/>
      </c>
      <c r="Q182" s="32" t="inlineStr">
        <is>
          <t>Size not stated - vs our Queen. Ours live: Helium 10 Xray, 2026-10-13; 29 children</t>
        </is>
      </c>
      <c r="R182" s="85" t="n">
        <v>420044</v>
      </c>
      <c r="S182" s="85" t="n">
        <v>5</v>
      </c>
      <c r="T182" s="90">
        <f>IF(AND(ISNUMBER(K182),ISNUMBER(S182)),K182*S182*52/12,"")</f>
        <v/>
      </c>
      <c r="U182" s="91" t="n">
        <v>4.3</v>
      </c>
      <c r="V182" s="85" t="n">
        <v>5277</v>
      </c>
      <c r="W182" s="92" t="n">
        <v>46279</v>
      </c>
      <c r="X182" s="92" t="n"/>
      <c r="Y182" s="84" t="n"/>
      <c r="Z182" s="84" t="n"/>
      <c r="AA182" s="85" t="n"/>
      <c r="AB182" s="85" t="n"/>
      <c r="AC182" s="93" t="n"/>
      <c r="AD182" s="93" t="n"/>
      <c r="AE182" s="32" t="n"/>
      <c r="AF182" s="93" t="n"/>
      <c r="AG182" s="93" t="n"/>
      <c r="AH182" s="93" t="n"/>
      <c r="AI182" s="93" t="n"/>
      <c r="AJ182" s="85" t="n"/>
      <c r="AK182" s="85" t="n"/>
      <c r="AL182" s="85" t="n"/>
      <c r="AM182" s="85" t="n"/>
      <c r="AN182" s="85" t="n"/>
      <c r="AO182" s="85" t="n"/>
      <c r="AP182" s="94" t="n"/>
      <c r="AQ182" s="89" t="n"/>
      <c r="AR182" s="95" t="inlineStr">
        <is>
          <t>N</t>
        </is>
      </c>
      <c r="AS182" s="95" t="inlineStr">
        <is>
          <t>none</t>
        </is>
      </c>
      <c r="AT182" s="101" t="n"/>
      <c r="AU182" s="101" t="n"/>
      <c r="AV182" s="95" t="inlineStr">
        <is>
          <t>none</t>
        </is>
      </c>
      <c r="AW182" s="95" t="inlineStr">
        <is>
          <t>N</t>
        </is>
      </c>
      <c r="AX182" s="95" t="inlineStr">
        <is>
          <t>2026-10-13 23:44:25</t>
        </is>
      </c>
      <c r="AY182" s="102" t="n"/>
      <c r="AZ182" s="102" t="n"/>
      <c r="BA182" s="101" t="n"/>
      <c r="BB182" s="101" t="n"/>
      <c r="BC182" s="87">
        <f>IF(AND(ISNUMBER(BA182),ISNUMBER(BB182),N(BA182)&gt;0),1-BB182/BA182,"")</f>
        <v/>
      </c>
      <c r="BD182" s="103" t="n"/>
      <c r="BE182" s="103" t="n"/>
      <c r="BF182" s="100">
        <f>IF(AND(ISNUMBER(BD182),ISNUMBER(BE182),N(BE182)&gt;0),BD182/BE182,"")</f>
        <v/>
      </c>
      <c r="BG182" s="102" t="n"/>
      <c r="BH182" s="102" t="n"/>
    </row>
    <row r="184" ht="20" customHeight="1">
      <c r="A184" s="54" t="inlineStr">
        <is>
          <t>5 · WHAT THIS MEANS FOR BFCM</t>
        </is>
      </c>
    </row>
    <row r="185" ht="30" customHeight="1">
      <c r="A185" s="104" t="inlineStr">
        <is>
          <t>•  Who sells most: BEDELITE ~1,963/wk at $17.99; Love's cabin ~809/wk at $16.13 (List $19.99, +24%); MR&amp;HM ~809/wk at $19.99; CozyLux ~347/wk at $13.99 (List $18.99, +36%); Lanest Housing ~208/wk at $22.99. Tracked rivals ~4,991 units/wk; we sell ~122/wk (2.4% of the tracked set).</t>
        </is>
      </c>
    </row>
    <row r="186" ht="18" customHeight="1">
      <c r="A186" s="104" t="inlineStr">
        <is>
          <t>•  Strikethrough: 3 of 26 rivals set a List Price above price; 0 within 12%.</t>
        </is>
      </c>
    </row>
    <row r="187" ht="30" customHeight="1">
      <c r="A187" s="104" t="inlineStr">
        <is>
          <t>•  Price: 26 of 26 rivals sit below our price today (same size where the title states one). Cheapest strong rivals: CozyLux $13.99, Love's cabin $16.13, BEDELITE $17.99, MK Home $18.99.</t>
        </is>
      </c>
    </row>
    <row r="188" ht="30" customHeight="1">
      <c r="A188" s="104" t="inlineStr">
        <is>
          <t>•  Strikethrough on the page today (Oct 13 check): 7 of 26 checked rivals show one: BEDELITE List Price $19.99 vs $17.99 (+11%), Love's cabin List Price $19.99 vs $16.13 (+24%) with deal, MR&amp;HM List Price $28.99 vs $19.99 (+45%), CozyLux List Price $18.99 vs $13.99 (+36%) with deal, Cobedzy Typical price $26.99 vs $24.99 (+8%), Homiest Typical price $25.99 vs $23.99 (+8%).</t>
        </is>
      </c>
    </row>
    <row r="189" ht="30" customHeight="1">
      <c r="A189" s="104" t="inlineStr">
        <is>
          <t>•  Search: we lose most shared keywords to BEDELITE (we win 38, lose 373), Love's cabin (we win 63, lose 328), MR&amp;HM (we win 65, lose 314). Biggest ad gaps (they advertise where we don't or harder): BEDELITE 393 + 23 KWs, Lanest Housing 98 + 34 KWs, MR&amp;HM 443 + 34 KWs.</t>
        </is>
      </c>
    </row>
    <row r="190" ht="30" customHeight="1">
      <c r="A190" s="104" t="inlineStr">
        <is>
          <t>•  Brand ads: Love's cabin (SB 61%, SBV 8%), CozyLux (SB 52%, SBV 0%), Lanest Housing (SB 92%, SBV 0%), P Pothuiny (SB 54%, SBV 0%),  (SB 10%, SBV 54%) hold Sponsored Brands / video on most of their traffic - the plan has our SB, SBV and display live by Nov 1.</t>
        </is>
      </c>
    </row>
    <row r="191" ht="18" customHeight="1">
      <c r="A191" s="104" t="inlineStr">
        <is>
          <t>•  Our BFCM 2025: 3.08x daily sales in BFCM week vs the 30 days before; TACoS 14.8% vs 19.9% before; December 2.54x.</t>
        </is>
      </c>
    </row>
    <row r="192" ht="18" customHeight="1">
      <c r="A192" s="104" t="inlineStr">
        <is>
          <t>•  Prime Day 2026: our organic visibility 1.22x vs rivals' median 0.99x (n=17) - we held or out-gained rivals.</t>
        </is>
      </c>
    </row>
    <row r="193" ht="30" customHeight="1">
      <c r="A193" s="104" t="inlineStr">
        <is>
          <t>•  BFCM 2025, 23 rivals with Keepa history: Prime Exclusive Discount 13, None 7, Price cut only 3. Median depth vs their Nov 1-19 price 6%; median BSR lift 1.03x. 12 raised their Buy Box in BFCM week, so their deal looked deeper than it was.</t>
        </is>
      </c>
    </row>
    <row r="194" ht="18" customHeight="1">
      <c r="A194" s="104" t="inlineStr">
        <is>
          <t>•  3 rivals not in the Keepa pulls yet (yellow BFCM 2025 columns) - remaining P2 batches, AGENT_PROMPTS Prompt 2.</t>
        </is>
      </c>
    </row>
  </sheetData>
  <autoFilter ref="B156:BH182"/>
  <mergeCells count="72">
    <mergeCell ref="A15:BH15"/>
    <mergeCell ref="A148:BH148"/>
    <mergeCell ref="A155:H155"/>
    <mergeCell ref="K155:W155"/>
    <mergeCell ref="A186:BH186"/>
    <mergeCell ref="X155:Z155"/>
    <mergeCell ref="L5:Q5"/>
    <mergeCell ref="A191:BH191"/>
    <mergeCell ref="A138:BH138"/>
    <mergeCell ref="A1:BH1"/>
    <mergeCell ref="A145:C145"/>
    <mergeCell ref="Q11:T11"/>
    <mergeCell ref="A139:C139"/>
    <mergeCell ref="L8:Q8"/>
    <mergeCell ref="L4:Q4"/>
    <mergeCell ref="D7:I7"/>
    <mergeCell ref="A13:D13"/>
    <mergeCell ref="A153:BH153"/>
    <mergeCell ref="AA155:AQ155"/>
    <mergeCell ref="I13:L13"/>
    <mergeCell ref="A16:BH16"/>
    <mergeCell ref="A187:BH187"/>
    <mergeCell ref="D4:I4"/>
    <mergeCell ref="L10:Q10"/>
    <mergeCell ref="E12:H12"/>
    <mergeCell ref="Q13:T13"/>
    <mergeCell ref="A141:C141"/>
    <mergeCell ref="A193:BH193"/>
    <mergeCell ref="D9:I9"/>
    <mergeCell ref="U12:X12"/>
    <mergeCell ref="L9:Q9"/>
    <mergeCell ref="Q12:T12"/>
    <mergeCell ref="A140:C140"/>
    <mergeCell ref="A11:D11"/>
    <mergeCell ref="A144:C144"/>
    <mergeCell ref="A149:BH149"/>
    <mergeCell ref="A189:BH189"/>
    <mergeCell ref="I11:L11"/>
    <mergeCell ref="A3:BH3"/>
    <mergeCell ref="L6:Q6"/>
    <mergeCell ref="D8:I8"/>
    <mergeCell ref="A4:B9"/>
    <mergeCell ref="A147:C147"/>
    <mergeCell ref="T6:Y6"/>
    <mergeCell ref="A154:BH154"/>
    <mergeCell ref="A192:BH192"/>
    <mergeCell ref="AR155:AX155"/>
    <mergeCell ref="D5:I5"/>
    <mergeCell ref="A151:BH151"/>
    <mergeCell ref="A185:BH185"/>
    <mergeCell ref="M11:P11"/>
    <mergeCell ref="A150:BH150"/>
    <mergeCell ref="A188:BH188"/>
    <mergeCell ref="A194:BH194"/>
    <mergeCell ref="U11:X11"/>
    <mergeCell ref="E13:H13"/>
    <mergeCell ref="A184:BH184"/>
    <mergeCell ref="D10:I10"/>
    <mergeCell ref="L7:Q7"/>
    <mergeCell ref="T5:Y5"/>
    <mergeCell ref="A142:C142"/>
    <mergeCell ref="AY155:BH155"/>
    <mergeCell ref="A190:BH190"/>
    <mergeCell ref="A12:D12"/>
    <mergeCell ref="M13:P13"/>
    <mergeCell ref="I12:L12"/>
    <mergeCell ref="U13:X13"/>
    <mergeCell ref="A146:C146"/>
    <mergeCell ref="M12:P12"/>
    <mergeCell ref="T4:Y4"/>
    <mergeCell ref="D6:I6"/>
    <mergeCell ref="E11:H11"/>
  </mergeCells>
  <conditionalFormatting sqref="N157:N182">
    <cfRule type="expression" priority="1" dxfId="1">
      <formula>N157="&lt;=12% STR zone"</formula>
    </cfRule>
  </conditionalFormatting>
  <conditionalFormatting sqref="W157:W182">
    <cfRule type="expression" priority="2" dxfId="0">
      <formula>AND(ISNUMBER(W157),W157&lt;DATE(2026,10,6))</formula>
    </cfRule>
  </conditionalFormatting>
  <conditionalFormatting sqref="Q157:Q182">
    <cfRule type="expression" priority="3" dxfId="0">
      <formula>ISNUMBER(SEARCH("STALE",Q157))</formula>
    </cfRule>
  </conditionalFormatting>
  <conditionalFormatting sqref="P157:P182">
    <cfRule type="expression" priority="4" dxfId="0">
      <formula>AND(ISNUMBER(P157),P157&lt;0)</formula>
    </cfRule>
  </conditionalFormatting>
  <dataValidations count="3">
    <dataValidation sqref="AR157:AR182 BG157:BG182" showDropDown="0" showInputMessage="0" showErrorMessage="0" allowBlank="1" type="list">
      <formula1>"Y,N"</formula1>
    </dataValidation>
    <dataValidation sqref="AS157:AS182" showDropDown="0" showInputMessage="0" showErrorMessage="0" allowBlank="1" type="list">
      <formula1>"List Price,Typical price,Was price,None"</formula1>
    </dataValidation>
    <dataValidation sqref="AY157:AY18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H1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Sheets 6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_xlfn.IMAGE("https://m.media-amazon.com/images/I/81C4Dr0ylML._AC_SL1500_.jpg")</f>
        <v/>
      </c>
      <c r="C4" s="11" t="inlineStr">
        <is>
          <t>Title</t>
        </is>
      </c>
      <c r="D4" s="12" t="inlineStr">
        <is>
          <t>DECOLURE Satin Bed Sheets - 6 Piece Luxury Silky Queen Size Bedding Set - Softer Than Silk, Wrinkle-Free with 15” Deep Pocket Fitted Sheet, Perfect for Hair &amp; Skin, Gifts for Women (Black)</t>
        </is>
      </c>
      <c r="K4" s="11" t="inlineStr">
        <is>
          <t>Sizes</t>
        </is>
      </c>
      <c r="L4" s="55" t="inlineStr">
        <is>
          <t>Full, King, Queen, Twin</t>
        </is>
      </c>
      <c r="S4" s="11" t="inlineStr">
        <is>
          <t>Break-even ACoS</t>
        </is>
      </c>
      <c r="T4" s="55" t="inlineStr">
        <is>
          <t>39%</t>
        </is>
      </c>
    </row>
    <row r="5" ht="22" customHeight="1">
      <c r="C5" s="11" t="inlineStr">
        <is>
          <t>Brand</t>
        </is>
      </c>
      <c r="D5" s="55" t="inlineStr">
        <is>
          <t>Decolure</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 White-01, Black Satin Sheets, Satin Bed Sheets Twin, Satin Bedding Set</t>
        </is>
      </c>
      <c r="S5" s="11" t="inlineStr">
        <is>
          <t>Units last 28 days</t>
        </is>
      </c>
      <c r="T5" s="55" t="inlineStr">
        <is>
          <t>326</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B0D9QQWYP4 (one of our child ASINs, not the Amazon parent)</t>
        </is>
      </c>
    </row>
    <row r="7" ht="22" customHeight="1">
      <c r="C7" s="11" t="inlineStr">
        <is>
          <t>Parent ASIN (Amazon)</t>
        </is>
      </c>
      <c r="D7" s="55" t="inlineStr">
        <is>
          <t>B0CJSDXDJW</t>
        </is>
      </c>
      <c r="K7" s="11" t="inlineStr">
        <is>
          <t>Rating / reviews now</t>
        </is>
      </c>
      <c r="L7" s="55" t="inlineStr">
        <is>
          <t>Not checked yet</t>
        </is>
      </c>
    </row>
    <row r="8" ht="22" customHeight="1">
      <c r="C8" s="11" t="inlineStr">
        <is>
          <t>Best-selling child ASIN</t>
        </is>
      </c>
      <c r="D8" s="55" t="inlineStr">
        <is>
          <t>B0C7FX1GFS</t>
        </is>
      </c>
      <c r="K8" s="11" t="inlineStr">
        <is>
          <t>Live prices held</t>
        </is>
      </c>
      <c r="L8" s="55" t="inlineStr">
        <is>
          <t>0 of 118 variations</t>
        </is>
      </c>
    </row>
    <row r="9" ht="22" customHeight="1">
      <c r="C9" s="11" t="inlineStr">
        <is>
          <t>Stage</t>
        </is>
      </c>
      <c r="D9" s="55" t="inlineStr">
        <is>
          <t>Maintenance</t>
        </is>
      </c>
      <c r="K9" s="11" t="inlineStr">
        <is>
          <t>Blended price (Command Center)</t>
        </is>
      </c>
      <c r="L9" s="55" t="inlineStr">
        <is>
          <t>$49.17 - fee feed as of 2026-03-30, STALE</t>
        </is>
      </c>
    </row>
    <row r="10">
      <c r="C10" s="11" t="inlineStr">
        <is>
          <t>Total variations (SKUs)</t>
        </is>
      </c>
      <c r="D10" s="55" t="n">
        <v>111</v>
      </c>
      <c r="K10" s="11" t="inlineStr">
        <is>
          <t>Contribution / unit</t>
        </is>
      </c>
      <c r="L10" s="55" t="inlineStr">
        <is>
          <t>$19.06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2.98x</t>
        </is>
      </c>
      <c r="E12" s="57" t="inlineStr">
        <is>
          <t>13.5%</t>
        </is>
      </c>
      <c r="I12" s="57" t="inlineStr">
        <is>
          <t>2.01x</t>
        </is>
      </c>
      <c r="M12" s="57" t="inlineStr">
        <is>
          <t>15</t>
        </is>
      </c>
      <c r="Q12" s="57" t="inlineStr">
        <is>
          <t>3</t>
        </is>
      </c>
      <c r="U12" s="57" t="inlineStr">
        <is>
          <t>3 of 15</t>
        </is>
      </c>
    </row>
    <row r="13">
      <c r="A13" s="58" t="inlineStr">
        <is>
          <t>daily sales, BFCM wk vs 30 days before (SellerBoard actual)</t>
        </is>
      </c>
      <c r="E13" s="58" t="inlineStr">
        <is>
          <t>vs 16.8%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_xlfn.IMAGE("https://m.media-amazon.com/images/I/81C4Dr0ylML.jpg")</f>
        <v/>
      </c>
      <c r="B18" s="32" t="inlineStr">
        <is>
          <t>B0C7FX1GFS</t>
        </is>
      </c>
      <c r="C18" s="32" t="inlineStr">
        <is>
          <t>SATIN-QUEEN-BLACK-6-PCS</t>
        </is>
      </c>
      <c r="D18" s="32" t="inlineStr">
        <is>
          <t>DECOLURE Satin Bed Sheets - 6 Piece Luxury Silky Queen Size Bedding Set - Softer Than Silk, Wrinkle-Free with 15” Deep Pocket Fitted Sheet, Perfect for Hair &amp; Skin, Gifts for Women (Black)</t>
        </is>
      </c>
      <c r="E18" s="32" t="inlineStr">
        <is>
          <t>Queen</t>
        </is>
      </c>
      <c r="F18" s="32" t="inlineStr">
        <is>
          <t>Black</t>
        </is>
      </c>
      <c r="G18" s="33" t="n"/>
      <c r="H18" s="32" t="n"/>
      <c r="I18" s="61" t="n">
        <v>58.37</v>
      </c>
      <c r="J18" s="62" t="inlineStr">
        <is>
          <t>2026-03-30</t>
        </is>
      </c>
      <c r="K18" s="33" t="n">
        <v>22.49</v>
      </c>
      <c r="L18" s="63" t="n">
        <v>0.3853006681514477</v>
      </c>
      <c r="M18" s="64" t="n">
        <v>27</v>
      </c>
      <c r="N18" s="32" t="inlineStr">
        <is>
          <t>Active</t>
        </is>
      </c>
      <c r="O18" s="32" t="n"/>
      <c r="P18" s="65" t="n"/>
      <c r="Q18" s="64" t="n"/>
      <c r="R18" s="64" t="n"/>
      <c r="S18" s="64" t="n"/>
      <c r="T18" s="32" t="n"/>
    </row>
    <row r="19" ht="62" customHeight="1">
      <c r="A19" s="10">
        <f>_xlfn.IMAGE("https://m.media-amazon.com/images/I/81PBLKf1SBL.jpg")</f>
        <v/>
      </c>
      <c r="B19" s="32" t="inlineStr">
        <is>
          <t>B0C7K74SLC</t>
        </is>
      </c>
      <c r="C19" s="32" t="inlineStr">
        <is>
          <t>SATIN-STRIPE-KING-GRAY--6-PCS</t>
        </is>
      </c>
      <c r="D19" s="32" t="inlineStr">
        <is>
          <t>DECOLURE Satin Bed Sheets - 6 Piece Luxury Silky King Size Bedding Set - Softer Than Silk, Wrinkle-Free with 15” Deep Pocket Fitted Sheet, Perfect for Hair &amp; Skin, Gifts for Women (Striped Grey)</t>
        </is>
      </c>
      <c r="E19" s="32" t="inlineStr">
        <is>
          <t>King</t>
        </is>
      </c>
      <c r="F19" s="32" t="inlineStr">
        <is>
          <t>Striped Grey</t>
        </is>
      </c>
      <c r="G19" s="33" t="n"/>
      <c r="H19" s="32" t="n"/>
      <c r="I19" s="61" t="n">
        <v>49.99</v>
      </c>
      <c r="J19" s="62" t="inlineStr">
        <is>
          <t>2026-03-30</t>
        </is>
      </c>
      <c r="K19" s="33" t="n">
        <v>18.72000000000001</v>
      </c>
      <c r="L19" s="63" t="n">
        <v>0.3744748949789959</v>
      </c>
      <c r="M19" s="64" t="n">
        <v>17</v>
      </c>
      <c r="N19" s="32" t="inlineStr">
        <is>
          <t>Active</t>
        </is>
      </c>
      <c r="O19" s="32" t="n"/>
      <c r="P19" s="65" t="n"/>
      <c r="Q19" s="64" t="n"/>
      <c r="R19" s="64" t="n"/>
      <c r="S19" s="64" t="n"/>
      <c r="T19" s="32" t="n"/>
    </row>
    <row r="20" ht="62" customHeight="1">
      <c r="A20" s="10">
        <f>_xlfn.IMAGE("https://m.media-amazon.com/images/I/81C4Dr0ylML.jpg")</f>
        <v/>
      </c>
      <c r="B20" s="32" t="inlineStr">
        <is>
          <t>B0C7FXXS6R</t>
        </is>
      </c>
      <c r="C20" s="32" t="inlineStr">
        <is>
          <t>SATIN-KING-BLACK-6-PCS</t>
        </is>
      </c>
      <c r="D20" s="32" t="inlineStr">
        <is>
          <t>DECOLURE Satin Bed Sheets - 6 Piece Luxury Silky King Size Bedding Set - Softer Than Silk, Wrinkle-Free with 15” Deep Pocket Fitted Sheet, Perfect for Hair &amp; Skin, Gifts for Women (Black)</t>
        </is>
      </c>
      <c r="E20" s="32" t="inlineStr">
        <is>
          <t>King</t>
        </is>
      </c>
      <c r="F20" s="32" t="inlineStr">
        <is>
          <t>Black</t>
        </is>
      </c>
      <c r="G20" s="33" t="n"/>
      <c r="H20" s="32" t="n"/>
      <c r="I20" s="61" t="n">
        <v>49.99</v>
      </c>
      <c r="J20" s="62" t="inlineStr">
        <is>
          <t>2026-03-30</t>
        </is>
      </c>
      <c r="K20" s="33" t="n">
        <v>19.32</v>
      </c>
      <c r="L20" s="63" t="n">
        <v>0.3864772954590918</v>
      </c>
      <c r="M20" s="64" t="n">
        <v>13</v>
      </c>
      <c r="N20" s="32" t="inlineStr">
        <is>
          <t>Active</t>
        </is>
      </c>
      <c r="O20" s="32" t="n"/>
      <c r="P20" s="65" t="n"/>
      <c r="Q20" s="64" t="n"/>
      <c r="R20" s="64" t="n"/>
      <c r="S20" s="64" t="n"/>
      <c r="T20" s="32" t="n"/>
    </row>
    <row r="21" ht="62" customHeight="1">
      <c r="A21" s="10">
        <f>_xlfn.IMAGE("https://m.media-amazon.com/images/I/81osNI447+L.jpg")</f>
        <v/>
      </c>
      <c r="B21" s="32" t="inlineStr">
        <is>
          <t>B0C7FMCXBV</t>
        </is>
      </c>
      <c r="C21" s="32" t="inlineStr">
        <is>
          <t>SATIN-ROSEWOOD-QUEEN-6PCS</t>
        </is>
      </c>
      <c r="D21" s="32" t="inlineStr">
        <is>
          <t>DECOLURE Satin Bed Sheets - 6 Piece Luxury Silky Queen Size Bedding Set - Softer Than Silk, Wrinkle-Free with 15” Deep Pocket Fitted Sheet, Perfect for Hair &amp; Skin, Gifts for Women (Rosewood)</t>
        </is>
      </c>
      <c r="E21" s="32" t="inlineStr">
        <is>
          <t>Queen</t>
        </is>
      </c>
      <c r="F21" s="32" t="inlineStr">
        <is>
          <t>Rosewood</t>
        </is>
      </c>
      <c r="G21" s="33" t="n"/>
      <c r="H21" s="32" t="n"/>
      <c r="I21" s="61" t="n">
        <v>47.99</v>
      </c>
      <c r="J21" s="62" t="inlineStr">
        <is>
          <t>2026-03-30</t>
        </is>
      </c>
      <c r="K21" s="33" t="n">
        <v>19.36</v>
      </c>
      <c r="L21" s="63" t="n">
        <v>0.4034173786205459</v>
      </c>
      <c r="M21" s="64" t="n">
        <v>13</v>
      </c>
      <c r="N21" s="32" t="inlineStr">
        <is>
          <t>Active</t>
        </is>
      </c>
      <c r="O21" s="32" t="n"/>
      <c r="P21" s="65" t="n"/>
      <c r="Q21" s="64" t="n"/>
      <c r="R21" s="64" t="n"/>
      <c r="S21" s="64" t="n"/>
      <c r="T21" s="32" t="n"/>
    </row>
    <row r="22" ht="62" customHeight="1">
      <c r="A22" s="10">
        <f>_xlfn.IMAGE("https://m.media-amazon.com/images/I/81UqLjdUA4L.jpg")</f>
        <v/>
      </c>
      <c r="B22" s="32" t="inlineStr">
        <is>
          <t>B0C7F622QD</t>
        </is>
      </c>
      <c r="C22" s="32" t="inlineStr">
        <is>
          <t>SATIN-TWIN-BLACK-6PCS</t>
        </is>
      </c>
      <c r="D22" s="32" t="inlineStr">
        <is>
          <t>DECOLURE Satin Bed Sheets - 4 Piece Luxury Silky Twin Size Bedding Set - Softer Than Silk, Wrinkle-Free with 15” Deep Pocket Fitted Sheet, Perfect for Hair &amp; Skin, Gifts for Women (Black)</t>
        </is>
      </c>
      <c r="E22" s="32" t="inlineStr">
        <is>
          <t>Twin</t>
        </is>
      </c>
      <c r="F22" s="32" t="inlineStr">
        <is>
          <t>Black</t>
        </is>
      </c>
      <c r="G22" s="33" t="n"/>
      <c r="H22" s="32" t="n"/>
      <c r="I22" s="61" t="n">
        <v>39.99</v>
      </c>
      <c r="J22" s="62" t="inlineStr">
        <is>
          <t>2026-03-30</t>
        </is>
      </c>
      <c r="K22" s="33" t="n">
        <v>15.93</v>
      </c>
      <c r="L22" s="63" t="n">
        <v>0.3983495873968493</v>
      </c>
      <c r="M22" s="64" t="n">
        <v>13</v>
      </c>
      <c r="N22" s="32" t="inlineStr">
        <is>
          <t>Active</t>
        </is>
      </c>
      <c r="O22" s="32" t="n"/>
      <c r="P22" s="65" t="n"/>
      <c r="Q22" s="64" t="n"/>
      <c r="R22" s="64" t="n"/>
      <c r="S22" s="64" t="n"/>
      <c r="T22" s="32" t="n"/>
    </row>
    <row r="23" ht="62" customHeight="1">
      <c r="A23" s="10">
        <f>_xlfn.IMAGE("https://m.media-amazon.com/images/I/81C4Dr0ylML.jpg")</f>
        <v/>
      </c>
      <c r="B23" s="32" t="inlineStr">
        <is>
          <t>B0C7FMM2QN</t>
        </is>
      </c>
      <c r="C23" s="32" t="inlineStr">
        <is>
          <t>SATIN-FULL-BLACK-6PCS</t>
        </is>
      </c>
      <c r="D23" s="32" t="inlineStr">
        <is>
          <t>DECOLURE Satin Bed Sheets - 6 Piece Luxury Silky Full Size Bedding Set - Softer Than Silk, Wrinkle-Free with 15” Deep Pocket Fitted Sheet, Perfect for Hair &amp; Skin, Gifts for Women (Black)</t>
        </is>
      </c>
      <c r="E23" s="32" t="inlineStr">
        <is>
          <t>Full</t>
        </is>
      </c>
      <c r="F23" s="32" t="inlineStr">
        <is>
          <t>Black</t>
        </is>
      </c>
      <c r="G23" s="33" t="n"/>
      <c r="H23" s="32" t="n"/>
      <c r="I23" s="61" t="n">
        <v>56.02</v>
      </c>
      <c r="J23" s="62" t="inlineStr">
        <is>
          <t>2026-03-30</t>
        </is>
      </c>
      <c r="K23" s="33" t="n">
        <v>20.65000000000001</v>
      </c>
      <c r="L23" s="63" t="n">
        <v>0.3686183505890754</v>
      </c>
      <c r="M23" s="64" t="n">
        <v>12</v>
      </c>
      <c r="N23" s="32" t="inlineStr">
        <is>
          <t>Active</t>
        </is>
      </c>
      <c r="O23" s="32" t="n"/>
      <c r="P23" s="65" t="n"/>
      <c r="Q23" s="64" t="n"/>
      <c r="R23" s="64" t="n"/>
      <c r="S23" s="64" t="n"/>
      <c r="T23" s="32" t="n"/>
    </row>
    <row r="24" ht="62" customHeight="1">
      <c r="A24" s="10">
        <f>_xlfn.IMAGE("https://m.media-amazon.com/images/I/815cp0gvpML.jpg")</f>
        <v/>
      </c>
      <c r="B24" s="32" t="inlineStr">
        <is>
          <t>B0C7FTB8MQ</t>
        </is>
      </c>
      <c r="C24" s="32" t="inlineStr">
        <is>
          <t>SATIN-STONEGREY-QUEEN-6PCS</t>
        </is>
      </c>
      <c r="D24" s="32" t="inlineStr">
        <is>
          <t>DECOLURE Satin Bed Sheets - 6 Piece Luxury Silky Queen Size Bedding Set - Softer Than Silk, Wrinkle-Free with 15” Deep Pocket Fitted Sheet, Perfect for Hair &amp; Skin, Gifts for Women (Stone Grey)</t>
        </is>
      </c>
      <c r="E24" s="32" t="inlineStr">
        <is>
          <t>Queen</t>
        </is>
      </c>
      <c r="F24" s="32" t="inlineStr">
        <is>
          <t>Stone Grey</t>
        </is>
      </c>
      <c r="G24" s="33" t="n"/>
      <c r="H24" s="32" t="n"/>
      <c r="I24" s="61" t="n">
        <v>47.99</v>
      </c>
      <c r="J24" s="62" t="inlineStr">
        <is>
          <t>2026-03-30</t>
        </is>
      </c>
      <c r="K24" s="33" t="n">
        <v>18.15</v>
      </c>
      <c r="L24" s="63" t="n">
        <v>0.3782037924567618</v>
      </c>
      <c r="M24" s="64" t="n">
        <v>11</v>
      </c>
      <c r="N24" s="32" t="inlineStr">
        <is>
          <t>Active</t>
        </is>
      </c>
      <c r="O24" s="32" t="n"/>
      <c r="P24" s="65" t="n"/>
      <c r="Q24" s="64" t="n"/>
      <c r="R24" s="64" t="n"/>
      <c r="S24" s="64" t="n"/>
      <c r="T24" s="32" t="n"/>
    </row>
    <row r="25" ht="62" customHeight="1">
      <c r="A25" s="10">
        <f>_xlfn.IMAGE("https://m.media-amazon.com/images/I/81cInbBJAML.jpg")</f>
        <v/>
      </c>
      <c r="B25" s="32" t="inlineStr">
        <is>
          <t>B0C7FQQH6V</t>
        </is>
      </c>
      <c r="C25" s="32" t="inlineStr">
        <is>
          <t>SATIN-KING-PURPLE-6PCS</t>
        </is>
      </c>
      <c r="D25" s="32" t="inlineStr">
        <is>
          <t>DECOLURE Satin Bed Sheets - 6 Piece Luxury Silky King Size Bedding Set - Softer Than Silk, Wrinkle-Free with 15” Deep Pocket Fitted Sheet, Perfect for Hair &amp; Skin, Gifts for Women (Purple)</t>
        </is>
      </c>
      <c r="E25" s="32" t="inlineStr">
        <is>
          <t>King</t>
        </is>
      </c>
      <c r="F25" s="32" t="inlineStr">
        <is>
          <t>Purple</t>
        </is>
      </c>
      <c r="G25" s="33" t="n"/>
      <c r="H25" s="32" t="n"/>
      <c r="I25" s="61" t="n">
        <v>49.99</v>
      </c>
      <c r="J25" s="62" t="inlineStr">
        <is>
          <t>2026-03-30</t>
        </is>
      </c>
      <c r="K25" s="33" t="n">
        <v>18.05</v>
      </c>
      <c r="L25" s="63" t="n">
        <v>0.3610722144428887</v>
      </c>
      <c r="M25" s="64" t="n">
        <v>9</v>
      </c>
      <c r="N25" s="32" t="inlineStr">
        <is>
          <t>Active</t>
        </is>
      </c>
      <c r="O25" s="32" t="n"/>
      <c r="P25" s="65" t="n"/>
      <c r="Q25" s="64" t="n"/>
      <c r="R25" s="64" t="n"/>
      <c r="S25" s="64" t="n"/>
      <c r="T25" s="32" t="n"/>
    </row>
    <row r="26" ht="62" customHeight="1">
      <c r="A26" s="10">
        <f>_xlfn.IMAGE("https://m.media-amazon.com/images/I/81JDVBgWOSL.jpg")</f>
        <v/>
      </c>
      <c r="B26" s="32" t="inlineStr">
        <is>
          <t>B0C7F5VMC8</t>
        </is>
      </c>
      <c r="C26" s="32" t="inlineStr">
        <is>
          <t>SATIN-WHITE-KING-6PCS</t>
        </is>
      </c>
      <c r="D26" s="32" t="inlineStr">
        <is>
          <t>DECOLURE Satin Bed Sheets - 6 Piece Luxury Silky King Size Bedding Set - Softer Than Silk, Wrinkle-Free with 15” Deep Pocket Fitted Sheet, Perfect for Hair &amp; Skin, Gifts for Women (White)</t>
        </is>
      </c>
      <c r="E26" s="32" t="inlineStr">
        <is>
          <t>King</t>
        </is>
      </c>
      <c r="F26" s="32" t="inlineStr">
        <is>
          <t>White</t>
        </is>
      </c>
      <c r="G26" s="33" t="n"/>
      <c r="H26" s="32" t="n"/>
      <c r="I26" s="61" t="n">
        <v>49.99</v>
      </c>
      <c r="J26" s="62" t="inlineStr">
        <is>
          <t>2026-03-30</t>
        </is>
      </c>
      <c r="K26" s="33" t="n">
        <v>19.16</v>
      </c>
      <c r="L26" s="63" t="n">
        <v>0.3832766553310663</v>
      </c>
      <c r="M26" s="64" t="n">
        <v>9</v>
      </c>
      <c r="N26" s="32" t="inlineStr">
        <is>
          <t>Active</t>
        </is>
      </c>
      <c r="O26" s="32" t="n"/>
      <c r="P26" s="65" t="n"/>
      <c r="Q26" s="64" t="n"/>
      <c r="R26" s="64" t="n"/>
      <c r="S26" s="64" t="n"/>
      <c r="T26" s="32" t="n"/>
    </row>
    <row r="27" ht="62" customHeight="1">
      <c r="A27" s="10">
        <f>_xlfn.IMAGE("https://m.media-amazon.com/images/I/81cInbBJAML.jpg")</f>
        <v/>
      </c>
      <c r="B27" s="32" t="inlineStr">
        <is>
          <t>B0C9LSVFPR</t>
        </is>
      </c>
      <c r="C27" s="32" t="inlineStr">
        <is>
          <t>PURPLE-SATIN-SET-6PCS</t>
        </is>
      </c>
      <c r="D27" s="32" t="inlineStr">
        <is>
          <t>DECOLURE Satin Bed Sheets - 6 Piece Luxury Silky Queen Size Bedding Set - Softer Than Silk, Wrinkle-Free with 15” Deep Pocket Fitted Sheet, Perfect for Hair &amp; Skin, Gifts for Women (Purple)</t>
        </is>
      </c>
      <c r="E27" s="32" t="inlineStr">
        <is>
          <t>Queen</t>
        </is>
      </c>
      <c r="F27" s="32" t="inlineStr">
        <is>
          <t>Purple</t>
        </is>
      </c>
      <c r="G27" s="33" t="n"/>
      <c r="H27" s="32" t="n"/>
      <c r="I27" s="61" t="n">
        <v>47.99</v>
      </c>
      <c r="J27" s="62" t="inlineStr">
        <is>
          <t>2026-03-30</t>
        </is>
      </c>
      <c r="K27" s="33" t="n">
        <v>19.45</v>
      </c>
      <c r="L27" s="63" t="n">
        <v>0.4052927693269431</v>
      </c>
      <c r="M27" s="64" t="n">
        <v>8</v>
      </c>
      <c r="N27" s="32" t="inlineStr">
        <is>
          <t>Active</t>
        </is>
      </c>
      <c r="O27" s="32" t="n"/>
      <c r="P27" s="65" t="n"/>
      <c r="Q27" s="64" t="n"/>
      <c r="R27" s="64" t="n"/>
      <c r="S27" s="64" t="n"/>
      <c r="T27" s="32" t="n"/>
    </row>
    <row r="28" ht="62" customHeight="1">
      <c r="A28" s="10">
        <f>_xlfn.IMAGE("https://m.media-amazon.com/images/I/81gUBcWN2iL.jpg")</f>
        <v/>
      </c>
      <c r="B28" s="32" t="inlineStr">
        <is>
          <t>B0D9QQWYP4</t>
        </is>
      </c>
      <c r="C28" s="32" t="inlineStr">
        <is>
          <t>SATIN-6PC-FULL-BABY BLUE</t>
        </is>
      </c>
      <c r="D28" s="32" t="inlineStr">
        <is>
          <t>DECOLURE Satin Bed Sheets - 6 Piece Luxury Silky Full Size Bedding Set - Softer Than Silk, Wrinkle-Free with 15” Deep Pocket Fitted Sheet, Perfect for Hair &amp; Skin, Gifts for Women (Baby Blue)</t>
        </is>
      </c>
      <c r="E28" s="32" t="inlineStr">
        <is>
          <t>Full</t>
        </is>
      </c>
      <c r="F28" s="32" t="inlineStr">
        <is>
          <t>Baby Blue</t>
        </is>
      </c>
      <c r="G28" s="33" t="n"/>
      <c r="H28" s="32" t="n"/>
      <c r="I28" s="61" t="n">
        <v>44.99</v>
      </c>
      <c r="J28" s="62" t="inlineStr">
        <is>
          <t>2026-03-30</t>
        </is>
      </c>
      <c r="K28" s="33" t="n">
        <v>16.88</v>
      </c>
      <c r="L28" s="63" t="n">
        <v>0.3751944876639254</v>
      </c>
      <c r="M28" s="64" t="n">
        <v>7</v>
      </c>
      <c r="N28" s="32" t="inlineStr">
        <is>
          <t>Active</t>
        </is>
      </c>
      <c r="O28" s="32" t="n"/>
      <c r="P28" s="65" t="n"/>
      <c r="Q28" s="64" t="n"/>
      <c r="R28" s="64" t="n"/>
      <c r="S28" s="64" t="n"/>
      <c r="T28" s="32" t="n"/>
    </row>
    <row r="29" ht="62" customHeight="1">
      <c r="A29" s="10">
        <f>_xlfn.IMAGE("https://m.media-amazon.com/images/I/81PU9JNVXwL.jpg")</f>
        <v/>
      </c>
      <c r="B29" s="32" t="inlineStr">
        <is>
          <t>B0D9QQHLK8</t>
        </is>
      </c>
      <c r="C29" s="32" t="inlineStr">
        <is>
          <t>SATIN-6PC-QUEEN-NAVY BLUE</t>
        </is>
      </c>
      <c r="D29" s="32" t="inlineStr">
        <is>
          <t>DECOLURE Satin Bed Sheets - 6 Piece Luxury Silky Queen Size Bedding Set - Softer Than Silk, Wrinkle-Free with 15” Deep Pocket Fitted Sheet, Perfect for Hair &amp; Skin, Gifts for Women (Navy Blue)</t>
        </is>
      </c>
      <c r="E29" s="32" t="inlineStr">
        <is>
          <t>Queen</t>
        </is>
      </c>
      <c r="F29" s="32" t="inlineStr">
        <is>
          <t>Navy Blue</t>
        </is>
      </c>
      <c r="G29" s="33" t="n"/>
      <c r="H29" s="32" t="n"/>
      <c r="I29" s="61" t="n">
        <v>47.99</v>
      </c>
      <c r="J29" s="62" t="inlineStr">
        <is>
          <t>2026-03-30</t>
        </is>
      </c>
      <c r="K29" s="33" t="n">
        <v>19.12</v>
      </c>
      <c r="L29" s="63" t="n">
        <v>0.3984163367368202</v>
      </c>
      <c r="M29" s="64" t="n">
        <v>7</v>
      </c>
      <c r="N29" s="32" t="inlineStr">
        <is>
          <t>Active</t>
        </is>
      </c>
      <c r="O29" s="32" t="n"/>
      <c r="P29" s="65" t="n"/>
      <c r="Q29" s="64" t="n"/>
      <c r="R29" s="64" t="n"/>
      <c r="S29" s="64" t="n"/>
      <c r="T29" s="32" t="n"/>
    </row>
    <row r="30" ht="62" customHeight="1">
      <c r="A30" s="10">
        <f>_xlfn.IMAGE("https://m.media-amazon.com/images/I/81uzoBSAZyL.jpg")</f>
        <v/>
      </c>
      <c r="B30" s="32" t="inlineStr">
        <is>
          <t>B0C7FJLP2F</t>
        </is>
      </c>
      <c r="C30" s="32" t="inlineStr">
        <is>
          <t>SATIN-RED-QUEEN-6PCS</t>
        </is>
      </c>
      <c r="D30" s="32" t="inlineStr">
        <is>
          <t>DECOLURE Satin Bed Sheets - 6 Piece Luxury Silky Queen Size Bedding Set - Softer Than Silk, Wrinkle-Free with 15” Deep Pocket Fitted Sheet, Perfect for Hair &amp; Skin, Gifts for Women (Red)</t>
        </is>
      </c>
      <c r="E30" s="32" t="inlineStr">
        <is>
          <t>Queen</t>
        </is>
      </c>
      <c r="F30" s="32" t="inlineStr">
        <is>
          <t>Red</t>
        </is>
      </c>
      <c r="G30" s="33" t="n"/>
      <c r="H30" s="32" t="n"/>
      <c r="I30" s="61" t="n">
        <v>47.99</v>
      </c>
      <c r="J30" s="62" t="inlineStr">
        <is>
          <t>2026-03-30</t>
        </is>
      </c>
      <c r="K30" s="33" t="n">
        <v>19.29</v>
      </c>
      <c r="L30" s="63" t="n">
        <v>0.4019587414044593</v>
      </c>
      <c r="M30" s="64" t="n">
        <v>7</v>
      </c>
      <c r="N30" s="32" t="inlineStr">
        <is>
          <t>Active</t>
        </is>
      </c>
      <c r="O30" s="32" t="n"/>
      <c r="P30" s="65" t="n"/>
      <c r="Q30" s="64" t="n"/>
      <c r="R30" s="64" t="n"/>
      <c r="S30" s="64" t="n"/>
      <c r="T30" s="32" t="n"/>
    </row>
    <row r="31" ht="62" customHeight="1">
      <c r="A31" s="10">
        <f>_xlfn.IMAGE("https://m.media-amazon.com/images/I/818xrpI8WdL.jpg")</f>
        <v/>
      </c>
      <c r="B31" s="32" t="inlineStr">
        <is>
          <t>B0C7FW4Q1C</t>
        </is>
      </c>
      <c r="C31" s="32" t="inlineStr">
        <is>
          <t>SATIN-SEA-TEAL-FULL-6PCS</t>
        </is>
      </c>
      <c r="D31" s="32" t="inlineStr">
        <is>
          <t>DECOLURE Satin Bed Sheets - 6 Piece Luxury Silky Full Size Bedding Set - Softer Than Silk, Wrinkle-Free with 15” Deep Pocket Fitted Sheet, Perfect for Hair &amp; Skin, Gifts for Women (Sea Teal)</t>
        </is>
      </c>
      <c r="E31" s="32" t="inlineStr">
        <is>
          <t>Full</t>
        </is>
      </c>
      <c r="F31" s="32" t="inlineStr">
        <is>
          <t>Sea Teal</t>
        </is>
      </c>
      <c r="G31" s="33" t="n"/>
      <c r="H31" s="32" t="n"/>
      <c r="I31" s="61" t="n">
        <v>44.99</v>
      </c>
      <c r="J31" s="62" t="inlineStr">
        <is>
          <t>2026-03-30</t>
        </is>
      </c>
      <c r="K31" s="33" t="n">
        <v>17.9</v>
      </c>
      <c r="L31" s="63" t="n">
        <v>0.3978661924872194</v>
      </c>
      <c r="M31" s="64" t="n">
        <v>6</v>
      </c>
      <c r="N31" s="32" t="inlineStr">
        <is>
          <t>Active</t>
        </is>
      </c>
      <c r="O31" s="32" t="n"/>
      <c r="P31" s="65" t="n"/>
      <c r="Q31" s="64" t="n"/>
      <c r="R31" s="64" t="n"/>
      <c r="S31" s="64" t="n"/>
      <c r="T31" s="32" t="n"/>
    </row>
    <row r="32" ht="62" customHeight="1">
      <c r="A32" s="10">
        <f>_xlfn.IMAGE("https://m.media-amazon.com/images/I/81TFWOCMZHL.jpg")</f>
        <v/>
      </c>
      <c r="B32" s="32" t="inlineStr">
        <is>
          <t>B0C7FMQP5L</t>
        </is>
      </c>
      <c r="C32" s="32" t="inlineStr">
        <is>
          <t>SATIN-IVORY-QUEEN-6PCS</t>
        </is>
      </c>
      <c r="D32" s="32" t="inlineStr">
        <is>
          <t>DECOLURE Satin Bed Sheets - 6 Piece Luxury Silky Queen Size Bedding Set - Softer Than Silk, Wrinkle-Free with 15” Deep Pocket Fitted Sheet, Perfect for Hair &amp; Skin, Gifts for Women (Ivory)</t>
        </is>
      </c>
      <c r="E32" s="32" t="inlineStr">
        <is>
          <t>Queen</t>
        </is>
      </c>
      <c r="F32" s="32" t="inlineStr">
        <is>
          <t>Ivory</t>
        </is>
      </c>
      <c r="G32" s="33" t="n"/>
      <c r="H32" s="32" t="n"/>
      <c r="I32" s="61" t="n">
        <v>47.99</v>
      </c>
      <c r="J32" s="62" t="inlineStr">
        <is>
          <t>2026-03-30</t>
        </is>
      </c>
      <c r="K32" s="33" t="n">
        <v>18.8</v>
      </c>
      <c r="L32" s="63" t="n">
        <v>0.3917482808918525</v>
      </c>
      <c r="M32" s="64" t="n">
        <v>6</v>
      </c>
      <c r="N32" s="32" t="inlineStr">
        <is>
          <t>Active</t>
        </is>
      </c>
      <c r="O32" s="32" t="n"/>
      <c r="P32" s="65" t="n"/>
      <c r="Q32" s="64" t="n"/>
      <c r="R32" s="64" t="n"/>
      <c r="S32" s="64" t="n"/>
      <c r="T32" s="32" t="n"/>
    </row>
    <row r="33" ht="62" customHeight="1">
      <c r="A33" s="10">
        <f>_xlfn.IMAGE("https://m.media-amazon.com/images/I/81-NapzaU0L.jpg")</f>
        <v/>
      </c>
      <c r="B33" s="32" t="inlineStr">
        <is>
          <t>B0C7KD9LMR</t>
        </is>
      </c>
      <c r="C33" s="32" t="inlineStr">
        <is>
          <t>SATIN-STRIPE-QUEEN-PINK--6-PCS</t>
        </is>
      </c>
      <c r="D33" s="32" t="inlineStr">
        <is>
          <t>DECOLURE Satin Bed Sheets - 6 Piece Luxury Silky Queen Size Bedding Set - Softer Than Silk, Wrinkle-Free with 15” Deep Pocket Fitted Sheet, Perfect for Hair &amp; Skin, Gifts for Women (Striped Pink)</t>
        </is>
      </c>
      <c r="E33" s="32" t="inlineStr">
        <is>
          <t>Queen</t>
        </is>
      </c>
      <c r="F33" s="32" t="inlineStr">
        <is>
          <t>Striped Pink</t>
        </is>
      </c>
      <c r="G33" s="33" t="n"/>
      <c r="H33" s="32" t="n"/>
      <c r="I33" s="61" t="n">
        <v>47.99</v>
      </c>
      <c r="J33" s="62" t="inlineStr">
        <is>
          <t>2026-03-30</t>
        </is>
      </c>
      <c r="K33" s="33" t="n">
        <v>18.09</v>
      </c>
      <c r="L33" s="63" t="n">
        <v>0.3769535319858303</v>
      </c>
      <c r="M33" s="64" t="n">
        <v>6</v>
      </c>
      <c r="N33" s="32" t="inlineStr">
        <is>
          <t>Active</t>
        </is>
      </c>
      <c r="O33" s="32" t="n"/>
      <c r="P33" s="65" t="n"/>
      <c r="Q33" s="64" t="n"/>
      <c r="R33" s="64" t="n"/>
      <c r="S33" s="64" t="n"/>
      <c r="T33" s="32" t="n"/>
    </row>
    <row r="34" ht="62" customHeight="1">
      <c r="A34" s="10">
        <f>_xlfn.IMAGE("https://m.media-amazon.com/images/I/81JDVBgWOSL.jpg")</f>
        <v/>
      </c>
      <c r="B34" s="32" t="inlineStr">
        <is>
          <t>B0C7FR94LJ</t>
        </is>
      </c>
      <c r="C34" s="32" t="inlineStr">
        <is>
          <t>SATIN-WHITE-QUEEN-6PCS</t>
        </is>
      </c>
      <c r="D34" s="32" t="inlineStr">
        <is>
          <t>DECOLURE Satin Bed Sheets - 6 Piece Luxury Silky Queen Size Bedding Set - Softer Than Silk, Wrinkle-Free with 15” Deep Pocket Fitted Sheet, Perfect for Hair &amp; Skin, Gifts for Women (White)</t>
        </is>
      </c>
      <c r="E34" s="32" t="inlineStr">
        <is>
          <t>Queen</t>
        </is>
      </c>
      <c r="F34" s="32" t="inlineStr">
        <is>
          <t>White</t>
        </is>
      </c>
      <c r="G34" s="33" t="n"/>
      <c r="H34" s="32" t="n"/>
      <c r="I34" s="61" t="n">
        <v>47.99</v>
      </c>
      <c r="J34" s="62" t="inlineStr">
        <is>
          <t>2026-03-30</t>
        </is>
      </c>
      <c r="K34" s="33" t="n">
        <v>18.47</v>
      </c>
      <c r="L34" s="63" t="n">
        <v>0.3848718483017295</v>
      </c>
      <c r="M34" s="64" t="n">
        <v>6</v>
      </c>
      <c r="N34" s="32" t="inlineStr">
        <is>
          <t>Active</t>
        </is>
      </c>
      <c r="O34" s="32" t="n"/>
      <c r="P34" s="65" t="n"/>
      <c r="Q34" s="64" t="n"/>
      <c r="R34" s="64" t="n"/>
      <c r="S34" s="64" t="n"/>
      <c r="T34" s="32" t="n"/>
    </row>
    <row r="35" ht="62" customHeight="1">
      <c r="A35" s="10">
        <f>_xlfn.IMAGE("https://m.media-amazon.com/images/I/81VLLob-TFL.jpg")</f>
        <v/>
      </c>
      <c r="B35" s="32" t="inlineStr">
        <is>
          <t>B0D9QR6YSH</t>
        </is>
      </c>
      <c r="C35" s="32" t="inlineStr">
        <is>
          <t>SATIN-6PC-FULL-LAVENDER</t>
        </is>
      </c>
      <c r="D35" s="32" t="inlineStr">
        <is>
          <t>DECOLURE Satin Bed Sheets - 6 Piece Luxury Silky Full Size Bedding Set - Softer Than Silk, Wrinkle-Free with 15” Deep Pocket Fitted Sheet, Perfect for Hair &amp; Skin, Gifts for Women (Lavender)</t>
        </is>
      </c>
      <c r="E35" s="32" t="inlineStr">
        <is>
          <t>Full</t>
        </is>
      </c>
      <c r="F35" s="32" t="inlineStr">
        <is>
          <t>Lavender</t>
        </is>
      </c>
      <c r="G35" s="33" t="n"/>
      <c r="H35" s="32" t="n"/>
      <c r="I35" s="61" t="n">
        <v>44.99</v>
      </c>
      <c r="J35" s="62" t="inlineStr">
        <is>
          <t>2026-03-30</t>
        </is>
      </c>
      <c r="K35" s="33" t="n">
        <v>17.24</v>
      </c>
      <c r="L35" s="63" t="n">
        <v>0.3831962658368527</v>
      </c>
      <c r="M35" s="64" t="n">
        <v>5</v>
      </c>
      <c r="N35" s="32" t="inlineStr">
        <is>
          <t>Active</t>
        </is>
      </c>
      <c r="O35" s="32" t="n"/>
      <c r="P35" s="65" t="n"/>
      <c r="Q35" s="64" t="n"/>
      <c r="R35" s="64" t="n"/>
      <c r="S35" s="64" t="n"/>
      <c r="T35" s="32" t="n"/>
    </row>
    <row r="36" ht="62" customHeight="1">
      <c r="A36" s="10">
        <f>_xlfn.IMAGE("https://m.media-amazon.com/images/I/81PU9JNVXwL.jpg")</f>
        <v/>
      </c>
      <c r="B36" s="32" t="inlineStr">
        <is>
          <t>B0D9QRCV3S</t>
        </is>
      </c>
      <c r="C36" s="32" t="inlineStr">
        <is>
          <t>SATIN-6PC-FULL-NAVY BLUE</t>
        </is>
      </c>
      <c r="D36" s="32" t="inlineStr">
        <is>
          <t>DECOLURE Satin Bed Sheets - 6 Piece Luxury Silky Full Size Bedding Set - Softer Than Silk, Wrinkle-Free with 15” Deep Pocket Fitted Sheet, Perfect for Hair &amp; Skin, Gifts for Women (Navy Blue)</t>
        </is>
      </c>
      <c r="E36" s="32" t="inlineStr">
        <is>
          <t>Full</t>
        </is>
      </c>
      <c r="F36" s="32" t="inlineStr">
        <is>
          <t>Navy Blue</t>
        </is>
      </c>
      <c r="G36" s="33" t="n"/>
      <c r="H36" s="32" t="n"/>
      <c r="I36" s="61" t="n">
        <v>44.99</v>
      </c>
      <c r="J36" s="62" t="inlineStr">
        <is>
          <t>2026-03-30</t>
        </is>
      </c>
      <c r="K36" s="33" t="n">
        <v>17.37</v>
      </c>
      <c r="L36" s="63" t="n">
        <v>0.3860857968437431</v>
      </c>
      <c r="M36" s="64" t="n">
        <v>5</v>
      </c>
      <c r="N36" s="32" t="inlineStr">
        <is>
          <t>Active</t>
        </is>
      </c>
      <c r="O36" s="32" t="n"/>
      <c r="P36" s="65" t="n"/>
      <c r="Q36" s="64" t="n"/>
      <c r="R36" s="64" t="n"/>
      <c r="S36" s="64" t="n"/>
      <c r="T36" s="32" t="n"/>
    </row>
    <row r="37" ht="62" customHeight="1">
      <c r="A37" s="10">
        <f>_xlfn.IMAGE("https://m.media-amazon.com/images/I/81u38yfz4ML.jpg")</f>
        <v/>
      </c>
      <c r="B37" s="32" t="inlineStr">
        <is>
          <t>B0C7FMYDFC</t>
        </is>
      </c>
      <c r="C37" s="32" t="inlineStr">
        <is>
          <t>SATIN-GOLD-KING-6PCS</t>
        </is>
      </c>
      <c r="D37" s="32" t="inlineStr">
        <is>
          <t>DECOLURE Satin Bed Sheets - 6 Piece Luxury Silky King Size Bedding Set - Softer Than Silk, Wrinkle-Free with 15” Deep Pocket Fitted Sheet, Perfect for Hair &amp; Skin, Gifts for Women (Gold)</t>
        </is>
      </c>
      <c r="E37" s="32" t="inlineStr">
        <is>
          <t>King</t>
        </is>
      </c>
      <c r="F37" s="32" t="inlineStr">
        <is>
          <t>Gold</t>
        </is>
      </c>
      <c r="G37" s="33" t="n"/>
      <c r="H37" s="32" t="n"/>
      <c r="I37" s="61" t="n">
        <v>49.99</v>
      </c>
      <c r="J37" s="62" t="inlineStr">
        <is>
          <t>2026-03-30</t>
        </is>
      </c>
      <c r="K37" s="33" t="n">
        <v>19.64</v>
      </c>
      <c r="L37" s="63" t="n">
        <v>0.392878575715143</v>
      </c>
      <c r="M37" s="64" t="n">
        <v>5</v>
      </c>
      <c r="N37" s="32" t="inlineStr">
        <is>
          <t>Active</t>
        </is>
      </c>
      <c r="O37" s="32" t="n"/>
      <c r="P37" s="65" t="n"/>
      <c r="Q37" s="64" t="n"/>
      <c r="R37" s="64" t="n"/>
      <c r="S37" s="64" t="n"/>
      <c r="T37" s="32" t="n"/>
    </row>
    <row r="38" ht="62" customHeight="1">
      <c r="A38" s="10">
        <f>_xlfn.IMAGE("https://m.media-amazon.com/images/I/81uzoBSAZyL.jpg")</f>
        <v/>
      </c>
      <c r="B38" s="32" t="inlineStr">
        <is>
          <t>B0C7FKF7J1</t>
        </is>
      </c>
      <c r="C38" s="32" t="inlineStr">
        <is>
          <t>SATIN-RED-KING-6PCS</t>
        </is>
      </c>
      <c r="D38" s="32" t="inlineStr">
        <is>
          <t>DECOLURE Satin Bed Sheets - 6 Piece Luxury Silky King Size Bedding Set - Softer Than Silk, Wrinkle-Free with 15” Deep Pocket Fitted Sheet, Perfect for Hair &amp; Skin, Gifts for Women (Red)</t>
        </is>
      </c>
      <c r="E38" s="32" t="inlineStr">
        <is>
          <t>King</t>
        </is>
      </c>
      <c r="F38" s="32" t="inlineStr">
        <is>
          <t>Red</t>
        </is>
      </c>
      <c r="G38" s="33" t="n"/>
      <c r="H38" s="32" t="n"/>
      <c r="I38" s="61" t="n">
        <v>61.11</v>
      </c>
      <c r="J38" s="62" t="inlineStr">
        <is>
          <t>2026-03-10</t>
        </is>
      </c>
      <c r="K38" s="33" t="n">
        <v>28.25</v>
      </c>
      <c r="L38" s="63" t="n">
        <v>0.4622811323842251</v>
      </c>
      <c r="M38" s="64" t="n">
        <v>5</v>
      </c>
      <c r="N38" s="32" t="inlineStr">
        <is>
          <t>Active</t>
        </is>
      </c>
      <c r="O38" s="32" t="n"/>
      <c r="P38" s="65" t="n"/>
      <c r="Q38" s="64" t="n"/>
      <c r="R38" s="64" t="n"/>
      <c r="S38" s="64" t="n"/>
      <c r="T38" s="32" t="n"/>
    </row>
    <row r="39" ht="62" customHeight="1">
      <c r="A39" s="10">
        <f>_xlfn.IMAGE("https://m.media-amazon.com/images/I/91LEDRktAdL.jpg")</f>
        <v/>
      </c>
      <c r="B39" s="32" t="inlineStr">
        <is>
          <t>B0C7JYWFP8</t>
        </is>
      </c>
      <c r="C39" s="32" t="inlineStr">
        <is>
          <t>SATIN-STRIPE-KING-RED--6-PCS</t>
        </is>
      </c>
      <c r="D39" s="32" t="inlineStr">
        <is>
          <t>DECOLURE Satin Bed Sheets - 6 Piece Luxury Silky King Size Bedding Set - Softer Than Silk, Wrinkle-Free with 15” Deep Pocket Fitted Sheet, Perfect for Hair &amp; Skin, Gifts for Women (Striped Red)</t>
        </is>
      </c>
      <c r="E39" s="32" t="inlineStr">
        <is>
          <t>King</t>
        </is>
      </c>
      <c r="F39" s="32" t="inlineStr">
        <is>
          <t>Striped Red</t>
        </is>
      </c>
      <c r="G39" s="33" t="n"/>
      <c r="H39" s="32" t="n"/>
      <c r="I39" s="61" t="n">
        <v>49.99</v>
      </c>
      <c r="J39" s="62" t="inlineStr">
        <is>
          <t>2026-03-30</t>
        </is>
      </c>
      <c r="K39" s="33" t="n">
        <v>18.71</v>
      </c>
      <c r="L39" s="63" t="n">
        <v>0.3742748549709943</v>
      </c>
      <c r="M39" s="64" t="n">
        <v>5</v>
      </c>
      <c r="N39" s="32" t="inlineStr">
        <is>
          <t>Active</t>
        </is>
      </c>
      <c r="O39" s="32" t="n"/>
      <c r="P39" s="65" t="n"/>
      <c r="Q39" s="64" t="n"/>
      <c r="R39" s="64" t="n"/>
      <c r="S39" s="64" t="n"/>
      <c r="T39" s="32" t="n"/>
    </row>
    <row r="40" ht="62" customHeight="1">
      <c r="A40" s="10">
        <f>_xlfn.IMAGE("https://m.media-amazon.com/images/I/81VLLob-TFL.jpg")</f>
        <v/>
      </c>
      <c r="B40" s="32" t="inlineStr">
        <is>
          <t>B0D9QSYPF2</t>
        </is>
      </c>
      <c r="C40" s="32" t="inlineStr">
        <is>
          <t>SATIN-6PC-QUEEN-LAVENDER</t>
        </is>
      </c>
      <c r="D40" s="32" t="inlineStr">
        <is>
          <t>DECOLURE Satin Bed Sheets - 6 Piece Luxury Silky Queen Size Bedding Set - Softer Than Silk, Wrinkle-Free with 15” Deep Pocket Fitted Sheet, Perfect for Hair &amp; Skin, Gifts for Women (Lavender)</t>
        </is>
      </c>
      <c r="E40" s="32" t="inlineStr">
        <is>
          <t>Queen</t>
        </is>
      </c>
      <c r="F40" s="32" t="inlineStr">
        <is>
          <t>Lavender</t>
        </is>
      </c>
      <c r="G40" s="33" t="n"/>
      <c r="H40" s="32" t="n"/>
      <c r="I40" s="61" t="n">
        <v>47.99</v>
      </c>
      <c r="J40" s="62" t="inlineStr">
        <is>
          <t>2026-03-30</t>
        </is>
      </c>
      <c r="K40" s="33" t="n">
        <v>18.33</v>
      </c>
      <c r="L40" s="63" t="n">
        <v>0.3819545738695561</v>
      </c>
      <c r="M40" s="64" t="n">
        <v>5</v>
      </c>
      <c r="N40" s="32" t="inlineStr">
        <is>
          <t>Active</t>
        </is>
      </c>
      <c r="O40" s="32" t="n"/>
      <c r="P40" s="65" t="n"/>
      <c r="Q40" s="64" t="n"/>
      <c r="R40" s="64" t="n"/>
      <c r="S40" s="64" t="n"/>
      <c r="T40" s="32" t="n"/>
    </row>
    <row r="41" ht="62" customHeight="1">
      <c r="A41" s="10">
        <f>_xlfn.IMAGE("https://m.media-amazon.com/images/I/81EP82PeCzL.jpg")</f>
        <v/>
      </c>
      <c r="B41" s="32" t="inlineStr">
        <is>
          <t>B0C7FDN7ZM</t>
        </is>
      </c>
      <c r="C41" s="32" t="inlineStr">
        <is>
          <t>SATIN-ROSEWOOD-TWIN-6PCS</t>
        </is>
      </c>
      <c r="D41" s="32" t="inlineStr">
        <is>
          <t>DECOLURE Satin Bed Sheets - 4 Piece Luxury Silky Twin Size Bedding Set - Softer Than Silk, Wrinkle-Free with 15” Deep Pocket Fitted Sheet, Perfect for Hair &amp; Skin, Gifts for Women (Rosewood)</t>
        </is>
      </c>
      <c r="E41" s="32" t="inlineStr">
        <is>
          <t>Twin</t>
        </is>
      </c>
      <c r="F41" s="32" t="inlineStr">
        <is>
          <t>Rosewood</t>
        </is>
      </c>
      <c r="G41" s="33" t="n"/>
      <c r="H41" s="32" t="n"/>
      <c r="I41" s="61" t="n">
        <v>39.99</v>
      </c>
      <c r="J41" s="62" t="inlineStr">
        <is>
          <t>2026-03-30</t>
        </is>
      </c>
      <c r="K41" s="33" t="n">
        <v>16.71</v>
      </c>
      <c r="L41" s="63" t="n">
        <v>0.417854463615904</v>
      </c>
      <c r="M41" s="64" t="n">
        <v>5</v>
      </c>
      <c r="N41" s="32" t="inlineStr">
        <is>
          <t>Active</t>
        </is>
      </c>
      <c r="O41" s="32" t="n"/>
      <c r="P41" s="65" t="n"/>
      <c r="Q41" s="64" t="n"/>
      <c r="R41" s="64" t="n"/>
      <c r="S41" s="64" t="n"/>
      <c r="T41" s="32" t="n"/>
    </row>
    <row r="42" ht="62" customHeight="1">
      <c r="A42" s="10">
        <f>_xlfn.IMAGE("https://m.media-amazon.com/images/I/81JDVBgWOSL.jpg")</f>
        <v/>
      </c>
      <c r="B42" s="32" t="inlineStr">
        <is>
          <t>B0D9R9B1VT</t>
        </is>
      </c>
      <c r="C42" s="32" t="inlineStr">
        <is>
          <t>SATIN-6PC-FULL-WHITE</t>
        </is>
      </c>
      <c r="D42" s="32" t="inlineStr">
        <is>
          <t>DECOLURE Satin Bed Sheets - 6 Piece Luxury Silky Full Size Bedding Set - Softer Than Silk, Wrinkle-Free with 15” Deep Pocket Fitted Sheet, Perfect for Hair &amp; Skin, Gifts for Women (White)</t>
        </is>
      </c>
      <c r="E42" s="32" t="inlineStr">
        <is>
          <t>Full</t>
        </is>
      </c>
      <c r="F42" s="32" t="inlineStr">
        <is>
          <t>White</t>
        </is>
      </c>
      <c r="G42" s="33" t="n"/>
      <c r="H42" s="32" t="n"/>
      <c r="I42" s="61" t="n">
        <v>55.92</v>
      </c>
      <c r="J42" s="62" t="inlineStr">
        <is>
          <t>2026-03-30</t>
        </is>
      </c>
      <c r="K42" s="33" t="n">
        <v>20.84</v>
      </c>
      <c r="L42" s="63" t="n">
        <v>0.3726752503576538</v>
      </c>
      <c r="M42" s="64" t="n">
        <v>4</v>
      </c>
      <c r="N42" s="32" t="inlineStr">
        <is>
          <t>Active</t>
        </is>
      </c>
      <c r="O42" s="32" t="n"/>
      <c r="P42" s="65" t="n"/>
      <c r="Q42" s="64" t="n"/>
      <c r="R42" s="64" t="n"/>
      <c r="S42" s="64" t="n"/>
      <c r="T42" s="32" t="n"/>
    </row>
    <row r="43" ht="62" customHeight="1">
      <c r="A43" s="10">
        <f>_xlfn.IMAGE("https://m.media-amazon.com/images/I/818xrpI8WdL.jpg")</f>
        <v/>
      </c>
      <c r="B43" s="32" t="inlineStr">
        <is>
          <t>B0C7FSZHXL</t>
        </is>
      </c>
      <c r="C43" s="32" t="inlineStr">
        <is>
          <t>SATIN-SEA-TEAL-KING-6PCS</t>
        </is>
      </c>
      <c r="D43" s="32" t="inlineStr">
        <is>
          <t>DECOLURE Satin Bed Sheets - 6 Piece Luxury Silky King Size Bedding Set - Softer Than Silk, Wrinkle-Free with 15” Deep Pocket Fitted Sheet, Perfect for Hair &amp; Skin, Gifts for Women (Sea Teal)</t>
        </is>
      </c>
      <c r="E43" s="32" t="inlineStr">
        <is>
          <t>King</t>
        </is>
      </c>
      <c r="F43" s="32" t="inlineStr">
        <is>
          <t>Sea Teal</t>
        </is>
      </c>
      <c r="G43" s="33" t="n"/>
      <c r="H43" s="32" t="n"/>
      <c r="I43" s="61" t="n">
        <v>49.99</v>
      </c>
      <c r="J43" s="62" t="inlineStr">
        <is>
          <t>2026-03-30</t>
        </is>
      </c>
      <c r="K43" s="33" t="n">
        <v>19.37</v>
      </c>
      <c r="L43" s="63" t="n">
        <v>0.3874774954990999</v>
      </c>
      <c r="M43" s="64" t="n">
        <v>4</v>
      </c>
      <c r="N43" s="32" t="inlineStr">
        <is>
          <t>Active</t>
        </is>
      </c>
      <c r="O43" s="32" t="n"/>
      <c r="P43" s="65" t="n"/>
      <c r="Q43" s="64" t="n"/>
      <c r="R43" s="64" t="n"/>
      <c r="S43" s="64" t="n"/>
      <c r="T43" s="32" t="n"/>
    </row>
    <row r="44" ht="62" customHeight="1">
      <c r="A44" s="10">
        <f>_xlfn.IMAGE("https://m.media-amazon.com/images/I/81k4pZo8ZKL.jpg")</f>
        <v/>
      </c>
      <c r="B44" s="32" t="inlineStr">
        <is>
          <t>B0C7KB5TWS</t>
        </is>
      </c>
      <c r="C44" s="32" t="inlineStr">
        <is>
          <t>SATIN-STRIPE-KING-BLACK--6-PCS</t>
        </is>
      </c>
      <c r="D44" s="32" t="inlineStr">
        <is>
          <t>DECOLURE Satin Bed Sheets - 6 Piece Luxury Silky King Size Bedding Set - Softer Than Silk, Wrinkle-Free with 15” Deep Pocket Fitted Sheet, Perfect for Hair &amp; Skin, Gifts for Women (Striped Black)</t>
        </is>
      </c>
      <c r="E44" s="32" t="inlineStr">
        <is>
          <t>King</t>
        </is>
      </c>
      <c r="F44" s="32" t="inlineStr">
        <is>
          <t>Striped Black</t>
        </is>
      </c>
      <c r="G44" s="33" t="n"/>
      <c r="H44" s="32" t="n"/>
      <c r="I44" s="61" t="n">
        <v>49.99</v>
      </c>
      <c r="J44" s="62" t="inlineStr">
        <is>
          <t>2026-03-30</t>
        </is>
      </c>
      <c r="K44" s="33" t="n">
        <v>18.68</v>
      </c>
      <c r="L44" s="63" t="n">
        <v>0.3736747349469894</v>
      </c>
      <c r="M44" s="64" t="n">
        <v>4</v>
      </c>
      <c r="N44" s="32" t="inlineStr">
        <is>
          <t>Active</t>
        </is>
      </c>
      <c r="O44" s="32" t="n"/>
      <c r="P44" s="65" t="n"/>
      <c r="Q44" s="64" t="n"/>
      <c r="R44" s="64" t="n"/>
      <c r="S44" s="64" t="n"/>
      <c r="T44" s="32" t="n"/>
    </row>
    <row r="45" ht="62" customHeight="1">
      <c r="A45" s="10">
        <f>_xlfn.IMAGE("https://m.media-amazon.com/images/I/81gUBcWN2iL.jpg")</f>
        <v/>
      </c>
      <c r="B45" s="32" t="inlineStr">
        <is>
          <t>B0D9QSZH1N</t>
        </is>
      </c>
      <c r="C45" s="32" t="inlineStr">
        <is>
          <t>SATIN-6PC-QUEEN-BABY BLUE</t>
        </is>
      </c>
      <c r="D45" s="32" t="inlineStr">
        <is>
          <t>DECOLURE Satin Bed Sheets - 6 Piece Luxury Silky Queen Size Bedding Set - Softer Than Silk, Wrinkle-Free with 15” Deep Pocket Fitted Sheet, Perfect for Hair &amp; Skin, Gifts for Women (Baby Blue)</t>
        </is>
      </c>
      <c r="E45" s="32" t="inlineStr">
        <is>
          <t>Queen</t>
        </is>
      </c>
      <c r="F45" s="32" t="inlineStr">
        <is>
          <t>Baby Blue</t>
        </is>
      </c>
      <c r="G45" s="33" t="n"/>
      <c r="H45" s="32" t="n"/>
      <c r="I45" s="61" t="n">
        <v>47.99</v>
      </c>
      <c r="J45" s="62" t="inlineStr">
        <is>
          <t>2026-03-30</t>
        </is>
      </c>
      <c r="K45" s="33" t="n">
        <v>19.12</v>
      </c>
      <c r="L45" s="63" t="n">
        <v>0.3984163367368202</v>
      </c>
      <c r="M45" s="64" t="n">
        <v>4</v>
      </c>
      <c r="N45" s="32" t="inlineStr">
        <is>
          <t>Active</t>
        </is>
      </c>
      <c r="O45" s="32" t="n"/>
      <c r="P45" s="65" t="n"/>
      <c r="Q45" s="64" t="n"/>
      <c r="R45" s="64" t="n"/>
      <c r="S45" s="64" t="n"/>
      <c r="T45" s="32" t="n"/>
    </row>
    <row r="46" ht="62" customHeight="1">
      <c r="A46" s="10">
        <f>_xlfn.IMAGE("https://m.media-amazon.com/images/I/81QbKTHtUqL.jpg")</f>
        <v/>
      </c>
      <c r="B46" s="32" t="inlineStr">
        <is>
          <t>B0C7FJ461D</t>
        </is>
      </c>
      <c r="C46" s="32" t="inlineStr">
        <is>
          <t>SATIN-QUEEN-BLUE-6PCS</t>
        </is>
      </c>
      <c r="D46" s="32" t="inlineStr">
        <is>
          <t>DECOLURE Satin Bed Sheets - 6 Piece Luxury Silky Queen Size Bedding Set - Softer Than Silk, Wrinkle-Free with 15” Deep Pocket Fitted Sheet, Perfect for Hair &amp; Skin, Gifts for Women (Blue)</t>
        </is>
      </c>
      <c r="E46" s="32" t="inlineStr">
        <is>
          <t>Queen</t>
        </is>
      </c>
      <c r="F46" s="32" t="inlineStr">
        <is>
          <t>Blue</t>
        </is>
      </c>
      <c r="G46" s="33" t="n"/>
      <c r="H46" s="32" t="n"/>
      <c r="I46" s="61" t="n">
        <v>47.99</v>
      </c>
      <c r="J46" s="62" t="inlineStr">
        <is>
          <t>2026-03-30</t>
        </is>
      </c>
      <c r="K46" s="33" t="n">
        <v>19.12</v>
      </c>
      <c r="L46" s="63" t="n">
        <v>0.3984163367368202</v>
      </c>
      <c r="M46" s="64" t="n">
        <v>4</v>
      </c>
      <c r="N46" s="32" t="inlineStr">
        <is>
          <t>Active</t>
        </is>
      </c>
      <c r="O46" s="32" t="n"/>
      <c r="P46" s="65" t="n"/>
      <c r="Q46" s="64" t="n"/>
      <c r="R46" s="64" t="n"/>
      <c r="S46" s="64" t="n"/>
      <c r="T46" s="32" t="n"/>
    </row>
    <row r="47" ht="62" customHeight="1">
      <c r="A47" s="10">
        <f>_xlfn.IMAGE("https://m.media-amazon.com/images/I/81C9qE083yL.jpg")</f>
        <v/>
      </c>
      <c r="B47" s="32" t="inlineStr">
        <is>
          <t>B0C7F5ZR17</t>
        </is>
      </c>
      <c r="C47" s="32" t="inlineStr">
        <is>
          <t>SATIN-QUEEN-GREY-6PCS</t>
        </is>
      </c>
      <c r="D47" s="32" t="inlineStr">
        <is>
          <t>DECOLURE Satin Bed Sheets - 6 Piece Luxury Silky Queen Size Bedding Set - Softer Than Silk, Wrinkle-Free with 15” Deep Pocket Fitted Sheet, Perfect for Hair &amp; Skin, Gifts for Women (Grey)</t>
        </is>
      </c>
      <c r="E47" s="32" t="inlineStr">
        <is>
          <t>Queen</t>
        </is>
      </c>
      <c r="F47" s="32" t="inlineStr">
        <is>
          <t>Grey</t>
        </is>
      </c>
      <c r="G47" s="33" t="n"/>
      <c r="H47" s="32" t="n"/>
      <c r="I47" s="61" t="n">
        <v>47.99</v>
      </c>
      <c r="J47" s="62" t="inlineStr">
        <is>
          <t>2026-03-30</t>
        </is>
      </c>
      <c r="K47" s="33" t="n">
        <v>19.2</v>
      </c>
      <c r="L47" s="63" t="n">
        <v>0.4000833506980621</v>
      </c>
      <c r="M47" s="64" t="n">
        <v>4</v>
      </c>
      <c r="N47" s="32" t="inlineStr">
        <is>
          <t>Active</t>
        </is>
      </c>
      <c r="O47" s="32" t="n"/>
      <c r="P47" s="65" t="n"/>
      <c r="Q47" s="64" t="n"/>
      <c r="R47" s="64" t="n"/>
      <c r="S47" s="64" t="n"/>
      <c r="T47" s="32" t="n"/>
    </row>
    <row r="48" ht="62" customHeight="1">
      <c r="A48" s="10">
        <f>_xlfn.IMAGE("https://m.media-amazon.com/images/I/91LEDRktAdL.jpg")</f>
        <v/>
      </c>
      <c r="B48" s="32" t="inlineStr">
        <is>
          <t>B0C7KBHV72</t>
        </is>
      </c>
      <c r="C48" s="32" t="inlineStr">
        <is>
          <t>SATIN-STRIPE-QUEEN-RED--6-PCS</t>
        </is>
      </c>
      <c r="D48" s="32" t="inlineStr">
        <is>
          <t>DECOLURE Satin Bed Sheets - 6 Piece Luxury Silky Queen Size Bedding Set - Softer Than Silk, Wrinkle-Free with 15” Deep Pocket Fitted Sheet, Perfect for Hair &amp; Skin, Gifts for Women (Striped Red)</t>
        </is>
      </c>
      <c r="E48" s="32" t="inlineStr">
        <is>
          <t>Queen</t>
        </is>
      </c>
      <c r="F48" s="32" t="inlineStr">
        <is>
          <t>Red</t>
        </is>
      </c>
      <c r="G48" s="33" t="n"/>
      <c r="H48" s="32" t="n"/>
      <c r="I48" s="61" t="n">
        <v>47.99</v>
      </c>
      <c r="J48" s="62" t="inlineStr">
        <is>
          <t>2026-03-30</t>
        </is>
      </c>
      <c r="K48" s="33" t="n">
        <v>18.55</v>
      </c>
      <c r="L48" s="63" t="n">
        <v>0.3865388622629715</v>
      </c>
      <c r="M48" s="64" t="n">
        <v>4</v>
      </c>
      <c r="N48" s="32" t="inlineStr">
        <is>
          <t>Active</t>
        </is>
      </c>
      <c r="O48" s="32" t="n"/>
      <c r="P48" s="65" t="n"/>
      <c r="Q48" s="64" t="n"/>
      <c r="R48" s="64" t="n"/>
      <c r="S48" s="64" t="n"/>
      <c r="T48" s="32" t="n"/>
    </row>
    <row r="49" ht="62" customHeight="1">
      <c r="A49" s="10">
        <f>_xlfn.IMAGE("https://m.media-amazon.com/images/I/81uzoBSAZyL.jpg")</f>
        <v/>
      </c>
      <c r="B49" s="32" t="inlineStr">
        <is>
          <t>B0C7FWSYPL</t>
        </is>
      </c>
      <c r="C49" s="32" t="inlineStr">
        <is>
          <t>SATIN-RED-FULL-6-PCS</t>
        </is>
      </c>
      <c r="D49" s="32" t="inlineStr">
        <is>
          <t>DECOLURE Satin Bed Sheets - 6 Piece Luxury Silky Full Size Bedding Set - Softer Than Silk, Wrinkle-Free with 15” Deep Pocket Fitted Sheet, Perfect for Hair &amp; Skin, Gifts for Women (Red)</t>
        </is>
      </c>
      <c r="E49" s="32" t="inlineStr">
        <is>
          <t>Full</t>
        </is>
      </c>
      <c r="F49" s="32" t="inlineStr">
        <is>
          <t>Red</t>
        </is>
      </c>
      <c r="G49" s="33" t="n"/>
      <c r="H49" s="32" t="n"/>
      <c r="I49" s="61" t="n">
        <v>44.99</v>
      </c>
      <c r="J49" s="62" t="inlineStr">
        <is>
          <t>2026-03-30</t>
        </is>
      </c>
      <c r="K49" s="33" t="n">
        <v>17.24</v>
      </c>
      <c r="L49" s="63" t="n">
        <v>0.3831962658368527</v>
      </c>
      <c r="M49" s="64" t="n">
        <v>3</v>
      </c>
      <c r="N49" s="32" t="inlineStr">
        <is>
          <t>Active</t>
        </is>
      </c>
      <c r="O49" s="32" t="n"/>
      <c r="P49" s="65" t="n"/>
      <c r="Q49" s="64" t="n"/>
      <c r="R49" s="64" t="n"/>
      <c r="S49" s="64" t="n"/>
      <c r="T49" s="32" t="n"/>
    </row>
    <row r="50" ht="62" customHeight="1">
      <c r="A50" s="10">
        <f>_xlfn.IMAGE("https://m.media-amazon.com/images/I/81QbKTHtUqL.jpg")</f>
        <v/>
      </c>
      <c r="B50" s="32" t="inlineStr">
        <is>
          <t>B0C7FBBPL1</t>
        </is>
      </c>
      <c r="C50" s="32" t="inlineStr">
        <is>
          <t>SATIN-KING-BLUE-6PCS</t>
        </is>
      </c>
      <c r="D50" s="32" t="inlineStr">
        <is>
          <t>DECOLURE Satin Bed Sheets - 6 Piece Luxury Silky King Size Bedding Set - Softer Than Silk, Wrinkle-Free with 15” Deep Pocket Fitted Sheet, Perfect for Hair &amp; Skin, Gifts for Women (Blue)</t>
        </is>
      </c>
      <c r="E50" s="32" t="inlineStr">
        <is>
          <t>King</t>
        </is>
      </c>
      <c r="F50" s="32" t="inlineStr">
        <is>
          <t>Blue</t>
        </is>
      </c>
      <c r="G50" s="33" t="n"/>
      <c r="H50" s="32" t="n"/>
      <c r="I50" s="61" t="n">
        <v>49.99</v>
      </c>
      <c r="J50" s="62" t="inlineStr">
        <is>
          <t>2026-03-30</t>
        </is>
      </c>
      <c r="K50" s="33" t="n">
        <v>19.16</v>
      </c>
      <c r="L50" s="63" t="n">
        <v>0.3832766553310663</v>
      </c>
      <c r="M50" s="64" t="n">
        <v>3</v>
      </c>
      <c r="N50" s="32" t="inlineStr">
        <is>
          <t>Active</t>
        </is>
      </c>
      <c r="O50" s="32" t="n"/>
      <c r="P50" s="65" t="n"/>
      <c r="Q50" s="64" t="n"/>
      <c r="R50" s="64" t="n"/>
      <c r="S50" s="64" t="n"/>
      <c r="T50" s="32" t="n"/>
    </row>
    <row r="51" ht="62" customHeight="1">
      <c r="A51" s="10">
        <f>_xlfn.IMAGE("https://m.media-amazon.com/images/I/81kHTwIB46L.jpg")</f>
        <v/>
      </c>
      <c r="B51" s="32" t="inlineStr">
        <is>
          <t>B0D9QSG9LD</t>
        </is>
      </c>
      <c r="C51" s="32" t="inlineStr">
        <is>
          <t>SATIN-6PC-KING-BLUSH PINK</t>
        </is>
      </c>
      <c r="D51" s="32" t="inlineStr">
        <is>
          <t>DECOLURE Satin Bed Sheets - 6 Piece Luxury Silky King Size Bedding Set - Softer Than Silk, Wrinkle-Free with 15” Deep Pocket Fitted Sheet, Perfect for Hair &amp; Skin, Gifts for Women (Blush Pink)</t>
        </is>
      </c>
      <c r="E51" s="32" t="inlineStr">
        <is>
          <t>King</t>
        </is>
      </c>
      <c r="F51" s="32" t="inlineStr">
        <is>
          <t>Blush Pink</t>
        </is>
      </c>
      <c r="G51" s="33" t="n"/>
      <c r="H51" s="32" t="n"/>
      <c r="I51" s="61" t="n">
        <v>49.99</v>
      </c>
      <c r="J51" s="62" t="inlineStr">
        <is>
          <t>2026-03-30</t>
        </is>
      </c>
      <c r="K51" s="33" t="n">
        <v>18.6</v>
      </c>
      <c r="L51" s="63" t="n">
        <v>0.3720744148829766</v>
      </c>
      <c r="M51" s="64" t="n">
        <v>3</v>
      </c>
      <c r="N51" s="32" t="inlineStr">
        <is>
          <t>Active</t>
        </is>
      </c>
      <c r="O51" s="32" t="n"/>
      <c r="P51" s="65" t="n"/>
      <c r="Q51" s="64" t="n"/>
      <c r="R51" s="64" t="n"/>
      <c r="S51" s="64" t="n"/>
      <c r="T51" s="32" t="n"/>
    </row>
    <row r="52" ht="62" customHeight="1">
      <c r="A52" s="10">
        <f>_xlfn.IMAGE("https://m.media-amazon.com/images/I/81C9qE083yL.jpg")</f>
        <v/>
      </c>
      <c r="B52" s="32" t="inlineStr">
        <is>
          <t>B0C7FNQH3B</t>
        </is>
      </c>
      <c r="C52" s="32" t="inlineStr">
        <is>
          <t>SATIN-KING-GREY-6PCS</t>
        </is>
      </c>
      <c r="D52" s="32" t="inlineStr">
        <is>
          <t>DECOLURE Satin Bed Sheets - 6 Piece Luxury Silky King Size Bedding Set - Softer Than Silk, Wrinkle-Free with 15” Deep Pocket Fitted Sheet, Perfect for Hair &amp; Skin, Gifts for Women (Grey)</t>
        </is>
      </c>
      <c r="E52" s="32" t="inlineStr">
        <is>
          <t>King</t>
        </is>
      </c>
      <c r="F52" s="32" t="inlineStr">
        <is>
          <t>Grey</t>
        </is>
      </c>
      <c r="G52" s="33" t="n"/>
      <c r="H52" s="32" t="n"/>
      <c r="I52" s="61" t="n">
        <v>49.99</v>
      </c>
      <c r="J52" s="62" t="inlineStr">
        <is>
          <t>2026-03-30</t>
        </is>
      </c>
      <c r="K52" s="33" t="n">
        <v>19.56</v>
      </c>
      <c r="L52" s="63" t="n">
        <v>0.3912782556511303</v>
      </c>
      <c r="M52" s="64" t="n">
        <v>3</v>
      </c>
      <c r="N52" s="32" t="inlineStr">
        <is>
          <t>Active</t>
        </is>
      </c>
      <c r="O52" s="32" t="n"/>
      <c r="P52" s="65" t="n"/>
      <c r="Q52" s="64" t="n"/>
      <c r="R52" s="64" t="n"/>
      <c r="S52" s="64" t="n"/>
      <c r="T52" s="32" t="n"/>
    </row>
    <row r="53" ht="62" customHeight="1">
      <c r="A53" s="10">
        <f>_xlfn.IMAGE("https://m.media-amazon.com/images/I/81lpi8F4ATL.jpg")</f>
        <v/>
      </c>
      <c r="B53" s="32" t="inlineStr">
        <is>
          <t>B0D9QTCGWW</t>
        </is>
      </c>
      <c r="C53" s="32" t="inlineStr">
        <is>
          <t>SATIN-6PC-KING-SAGE GREEN</t>
        </is>
      </c>
      <c r="D53" s="32" t="inlineStr">
        <is>
          <t>DECOLURE Satin Bed Sheets - 6 Piece Luxury Silky King Size Bedding Set - Softer Than Silk, Wrinkle-Free with 15” Deep Pocket Fitted Sheet, Perfect for Hair &amp; Skin, Gifts for Women (Sage Green)</t>
        </is>
      </c>
      <c r="E53" s="32" t="inlineStr">
        <is>
          <t>King</t>
        </is>
      </c>
      <c r="F53" s="32" t="inlineStr">
        <is>
          <t>Sage Green</t>
        </is>
      </c>
      <c r="G53" s="33" t="n"/>
      <c r="H53" s="32" t="n"/>
      <c r="I53" s="61" t="n">
        <v>49.99</v>
      </c>
      <c r="J53" s="62" t="inlineStr">
        <is>
          <t>2026-03-30</t>
        </is>
      </c>
      <c r="K53" s="33" t="n">
        <v>19.34</v>
      </c>
      <c r="L53" s="63" t="n">
        <v>0.386877375475095</v>
      </c>
      <c r="M53" s="64" t="n">
        <v>3</v>
      </c>
      <c r="N53" s="32" t="inlineStr">
        <is>
          <t>Active</t>
        </is>
      </c>
      <c r="O53" s="32" t="n"/>
      <c r="P53" s="65" t="n"/>
      <c r="Q53" s="64" t="n"/>
      <c r="R53" s="64" t="n"/>
      <c r="S53" s="64" t="n"/>
      <c r="T53" s="32" t="n"/>
    </row>
    <row r="54" ht="62" customHeight="1">
      <c r="A54" s="10">
        <f>_xlfn.IMAGE("https://m.media-amazon.com/images/I/815cp0gvpML.jpg")</f>
        <v/>
      </c>
      <c r="B54" s="32" t="inlineStr">
        <is>
          <t>B0C7FLGJS8</t>
        </is>
      </c>
      <c r="C54" s="32" t="inlineStr">
        <is>
          <t>SATIN-STONEGREY-KING-6PCS</t>
        </is>
      </c>
      <c r="D54" s="32" t="inlineStr">
        <is>
          <t>DECOLURE Satin Bed Sheets - 6 Piece Luxury Silky King Size Bedding Set - Softer Than Silk, Wrinkle-Free with 15” Deep Pocket Fitted Sheet, Perfect for Hair &amp; Skin, Gifts for Women (Stone Grey)</t>
        </is>
      </c>
      <c r="E54" s="32" t="inlineStr">
        <is>
          <t>King</t>
        </is>
      </c>
      <c r="F54" s="32" t="inlineStr">
        <is>
          <t>Stone Grey</t>
        </is>
      </c>
      <c r="G54" s="33" t="n"/>
      <c r="H54" s="32" t="n"/>
      <c r="I54" s="61" t="n">
        <v>49.99</v>
      </c>
      <c r="J54" s="62" t="inlineStr">
        <is>
          <t>2026-03-30</t>
        </is>
      </c>
      <c r="K54" s="33" t="n">
        <v>19.5</v>
      </c>
      <c r="L54" s="63" t="n">
        <v>0.3900780156031207</v>
      </c>
      <c r="M54" s="64" t="n">
        <v>3</v>
      </c>
      <c r="N54" s="32" t="inlineStr">
        <is>
          <t>Active</t>
        </is>
      </c>
      <c r="O54" s="32" t="n"/>
      <c r="P54" s="65" t="n"/>
      <c r="Q54" s="64" t="n"/>
      <c r="R54" s="64" t="n"/>
      <c r="S54" s="64" t="n"/>
      <c r="T54" s="32" t="n"/>
    </row>
    <row r="55" ht="62" customHeight="1">
      <c r="A55" s="10">
        <f>_xlfn.IMAGE("https://m.media-amazon.com/images/I/81kHTwIB46L.jpg")</f>
        <v/>
      </c>
      <c r="B55" s="32" t="inlineStr">
        <is>
          <t>B0D9QR66X1</t>
        </is>
      </c>
      <c r="C55" s="32" t="inlineStr">
        <is>
          <t>SATIN-6PC-QUEEN-BLUSH PINK</t>
        </is>
      </c>
      <c r="D55" s="32" t="inlineStr">
        <is>
          <t>DECOLURE Satin Bed Sheets - 6 Piece Luxury Silky Queen Size Bedding Set - Softer Than Silk, Wrinkle-Free with 15” Deep Pocket Fitted Sheet, Perfect for Hair &amp; Skin, Gifts for Women (Blush Pink)</t>
        </is>
      </c>
      <c r="E55" s="32" t="inlineStr">
        <is>
          <t>Queen</t>
        </is>
      </c>
      <c r="F55" s="32" t="inlineStr">
        <is>
          <t>Blush Pink</t>
        </is>
      </c>
      <c r="G55" s="33" t="n"/>
      <c r="H55" s="32" t="n"/>
      <c r="I55" s="61" t="n">
        <v>47.99</v>
      </c>
      <c r="J55" s="62" t="inlineStr">
        <is>
          <t>2026-03-30</t>
        </is>
      </c>
      <c r="K55" s="33" t="n">
        <v>18.93</v>
      </c>
      <c r="L55" s="63" t="n">
        <v>0.3944571785788706</v>
      </c>
      <c r="M55" s="64" t="n">
        <v>3</v>
      </c>
      <c r="N55" s="32" t="inlineStr">
        <is>
          <t>Active</t>
        </is>
      </c>
      <c r="O55" s="32" t="n"/>
      <c r="P55" s="65" t="n"/>
      <c r="Q55" s="64" t="n"/>
      <c r="R55" s="64" t="n"/>
      <c r="S55" s="64" t="n"/>
      <c r="T55" s="32" t="n"/>
    </row>
    <row r="56" ht="62" customHeight="1">
      <c r="A56" s="10">
        <f>_xlfn.IMAGE("https://m.media-amazon.com/images/I/81lpi8F4ATL.jpg")</f>
        <v/>
      </c>
      <c r="B56" s="32" t="inlineStr">
        <is>
          <t>B0D9QWZJ4P</t>
        </is>
      </c>
      <c r="C56" s="32" t="inlineStr">
        <is>
          <t>SATIN-6PC-QUEEN-SAGE GREEN</t>
        </is>
      </c>
      <c r="D56" s="32" t="inlineStr">
        <is>
          <t>DECOLURE Satin Bed Sheets - 6 Piece Luxury Silky Queen Size Bedding Set - Softer Than Silk, Wrinkle-Free with 15” Deep Pocket Fitted Sheet, Perfect for Hair &amp; Skin, Gifts for Women (Sage Green)</t>
        </is>
      </c>
      <c r="E56" s="32" t="inlineStr">
        <is>
          <t>Queen</t>
        </is>
      </c>
      <c r="F56" s="32" t="inlineStr">
        <is>
          <t>Sage Green</t>
        </is>
      </c>
      <c r="G56" s="33" t="n"/>
      <c r="H56" s="32" t="n"/>
      <c r="I56" s="61" t="n">
        <v>47.99</v>
      </c>
      <c r="J56" s="62" t="inlineStr">
        <is>
          <t>2026-03-30</t>
        </is>
      </c>
      <c r="K56" s="33" t="n">
        <v>18.24</v>
      </c>
      <c r="L56" s="63" t="n">
        <v>0.380079183163159</v>
      </c>
      <c r="M56" s="64" t="n">
        <v>3</v>
      </c>
      <c r="N56" s="32" t="inlineStr">
        <is>
          <t>Active</t>
        </is>
      </c>
      <c r="O56" s="32" t="n"/>
      <c r="P56" s="65" t="n"/>
      <c r="Q56" s="64" t="n"/>
      <c r="R56" s="64" t="n"/>
      <c r="S56" s="64" t="n"/>
      <c r="T56" s="32" t="n"/>
    </row>
    <row r="57" ht="62" customHeight="1">
      <c r="A57" s="10">
        <f>_xlfn.IMAGE("https://m.media-amazon.com/images/I/81PBLKf1SBL.jpg")</f>
        <v/>
      </c>
      <c r="B57" s="32" t="inlineStr">
        <is>
          <t>B0C7K438ML</t>
        </is>
      </c>
      <c r="C57" s="32" t="inlineStr">
        <is>
          <t>SATIN-STRIPE-QUEEN-GRAY--6-PCS</t>
        </is>
      </c>
      <c r="D57" s="32" t="inlineStr">
        <is>
          <t>DECOLURE Satin Bed Sheets - 6 Piece Luxury Silky Queen Size Bedding Set - Softer Than Silk, Wrinkle-Free with 15” Deep Pocket Fitted Sheet, Perfect for Hair &amp; Skin, Gifts for Women (Striped Grey)</t>
        </is>
      </c>
      <c r="E57" s="32" t="inlineStr">
        <is>
          <t>Queen</t>
        </is>
      </c>
      <c r="F57" s="32" t="inlineStr">
        <is>
          <t>Striped Grey</t>
        </is>
      </c>
      <c r="G57" s="33" t="n"/>
      <c r="H57" s="32" t="n"/>
      <c r="I57" s="61" t="n">
        <v>47.99</v>
      </c>
      <c r="J57" s="62" t="inlineStr">
        <is>
          <t>2026-03-30</t>
        </is>
      </c>
      <c r="K57" s="33" t="n">
        <v>19.26</v>
      </c>
      <c r="L57" s="63" t="n">
        <v>0.4013336111689935</v>
      </c>
      <c r="M57" s="64" t="n">
        <v>3</v>
      </c>
      <c r="N57" s="32" t="inlineStr">
        <is>
          <t>Active</t>
        </is>
      </c>
      <c r="O57" s="32" t="n"/>
      <c r="P57" s="65" t="n"/>
      <c r="Q57" s="64" t="n"/>
      <c r="R57" s="64" t="n"/>
      <c r="S57" s="64" t="n"/>
      <c r="T57" s="32" t="n"/>
    </row>
    <row r="58" ht="62" customHeight="1">
      <c r="A58" s="10">
        <f>_xlfn.IMAGE("https://m.media-amazon.com/images/I/81fsuYvK0nL.jpg")</f>
        <v/>
      </c>
      <c r="B58" s="32" t="inlineStr">
        <is>
          <t>B0C7FXRDSZ</t>
        </is>
      </c>
      <c r="C58" s="32" t="inlineStr">
        <is>
          <t>SATIN-TWIN-PURPLE-6PCS</t>
        </is>
      </c>
      <c r="D58" s="32" t="inlineStr">
        <is>
          <t>DECOLURE Satin Bed Sheets - 4 Piece Luxury Silky Twin Size Bedding Set - Softer Than Silk, Wrinkle-Free with 15” Deep Pocket Fitted Sheet, Perfect for Hair &amp; Skin, Gifts for Women (Purple)</t>
        </is>
      </c>
      <c r="E58" s="32" t="inlineStr">
        <is>
          <t>Twin</t>
        </is>
      </c>
      <c r="F58" s="32" t="inlineStr">
        <is>
          <t>Purple</t>
        </is>
      </c>
      <c r="G58" s="33" t="n"/>
      <c r="H58" s="32" t="n"/>
      <c r="I58" s="61" t="n">
        <v>48.42</v>
      </c>
      <c r="J58" s="62" t="inlineStr">
        <is>
          <t>2026-03-30</t>
        </is>
      </c>
      <c r="K58" s="33" t="n">
        <v>17.39</v>
      </c>
      <c r="L58" s="63" t="n">
        <v>0.3591491119372161</v>
      </c>
      <c r="M58" s="64" t="n">
        <v>3</v>
      </c>
      <c r="N58" s="32" t="inlineStr">
        <is>
          <t>Active</t>
        </is>
      </c>
      <c r="O58" s="32" t="n"/>
      <c r="P58" s="65" t="n"/>
      <c r="Q58" s="64" t="n"/>
      <c r="R58" s="64" t="n"/>
      <c r="S58" s="64" t="n"/>
      <c r="T58" s="32" t="n"/>
    </row>
    <row r="59" ht="62" customHeight="1">
      <c r="A59" s="10">
        <f>_xlfn.IMAGE("https://m.media-amazon.com/images/I/81hLIvldLEL.jpg")</f>
        <v/>
      </c>
      <c r="B59" s="32" t="inlineStr">
        <is>
          <t>B0C7FK2H2W</t>
        </is>
      </c>
      <c r="C59" s="32" t="inlineStr">
        <is>
          <t>SATIN-RED-TWIN-6PCS</t>
        </is>
      </c>
      <c r="D59" s="32" t="inlineStr">
        <is>
          <t>DECOLURE Satin Bed Sheets - 4 Piece Luxury Silky Twin Size Bedding Set - Softer Than Silk, Wrinkle-Free with 15” Deep Pocket Fitted Sheet, Perfect for Hair &amp; Skin, Gifts for Women (Red)</t>
        </is>
      </c>
      <c r="E59" s="32" t="inlineStr">
        <is>
          <t>Twin</t>
        </is>
      </c>
      <c r="F59" s="32" t="inlineStr">
        <is>
          <t>Red</t>
        </is>
      </c>
      <c r="G59" s="33" t="n"/>
      <c r="H59" s="32" t="n"/>
      <c r="I59" s="61" t="n">
        <v>39.99</v>
      </c>
      <c r="J59" s="62" t="inlineStr">
        <is>
          <t>2026-03-30</t>
        </is>
      </c>
      <c r="K59" s="33" t="n">
        <v>15.93</v>
      </c>
      <c r="L59" s="63" t="n">
        <v>0.3983495873968493</v>
      </c>
      <c r="M59" s="64" t="n">
        <v>3</v>
      </c>
      <c r="N59" s="32" t="inlineStr">
        <is>
          <t>Active</t>
        </is>
      </c>
      <c r="O59" s="32" t="n"/>
      <c r="P59" s="65" t="n"/>
      <c r="Q59" s="64" t="n"/>
      <c r="R59" s="64" t="n"/>
      <c r="S59" s="64" t="n"/>
      <c r="T59" s="32" t="n"/>
    </row>
    <row r="60" ht="62" customHeight="1">
      <c r="A60" s="10">
        <f>_xlfn.IMAGE("https://m.media-amazon.com/images/I/81FdNp1E3ZL.jpg")</f>
        <v/>
      </c>
      <c r="B60" s="32" t="inlineStr">
        <is>
          <t>B0C7K6WTJ1</t>
        </is>
      </c>
      <c r="C60" s="32" t="inlineStr">
        <is>
          <t>SATIN-STRIPE-TWIN-BLACK--6-PCS</t>
        </is>
      </c>
      <c r="D60" s="32" t="inlineStr">
        <is>
          <t>DECOLURE Satin Bed Sheets - 4 Piece Luxury Silky Twin Size Bedding Set - Softer Than Silk, Wrinkle-Free with 15” Deep Pocket Fitted Sheet, Perfect for Hair &amp; Skin, Gifts for Women (Striped Black)</t>
        </is>
      </c>
      <c r="E60" s="32" t="inlineStr">
        <is>
          <t>Twin</t>
        </is>
      </c>
      <c r="F60" s="32" t="inlineStr">
        <is>
          <t>Striped Black</t>
        </is>
      </c>
      <c r="G60" s="33" t="n"/>
      <c r="H60" s="32" t="n"/>
      <c r="I60" s="61" t="n">
        <v>39.99</v>
      </c>
      <c r="J60" s="62" t="inlineStr">
        <is>
          <t>2026-03-30</t>
        </is>
      </c>
      <c r="K60" s="33" t="n">
        <v>15.61</v>
      </c>
      <c r="L60" s="63" t="n">
        <v>0.3903475868967242</v>
      </c>
      <c r="M60" s="64" t="n">
        <v>3</v>
      </c>
      <c r="N60" s="32" t="inlineStr">
        <is>
          <t>Active</t>
        </is>
      </c>
      <c r="O60" s="32" t="n"/>
      <c r="P60" s="65" t="n"/>
      <c r="Q60" s="64" t="n"/>
      <c r="R60" s="64" t="n"/>
      <c r="S60" s="64" t="n"/>
      <c r="T60" s="32" t="n"/>
    </row>
    <row r="61" ht="62" customHeight="1">
      <c r="A61" s="10">
        <f>_xlfn.IMAGE("https://m.media-amazon.com/images/I/81kHTwIB46L.jpg")</f>
        <v/>
      </c>
      <c r="B61" s="32" t="inlineStr">
        <is>
          <t>B0D9QT3LWG</t>
        </is>
      </c>
      <c r="C61" s="32" t="inlineStr">
        <is>
          <t>SATIN-6PC-FULL-BLUSH PINK</t>
        </is>
      </c>
      <c r="D61" s="32" t="inlineStr">
        <is>
          <t>DECOLURE Satin Bed Sheets - 6 Piece Luxury Silky Full Size Bedding Set - Softer Than Silk, Wrinkle-Free with 15” Deep Pocket Fitted Sheet, Perfect for Hair &amp; Skin, Gifts for Women (Blush Pink)</t>
        </is>
      </c>
      <c r="E61" s="32" t="inlineStr">
        <is>
          <t>Full</t>
        </is>
      </c>
      <c r="F61" s="32" t="inlineStr">
        <is>
          <t>Blush Pink</t>
        </is>
      </c>
      <c r="G61" s="33" t="n"/>
      <c r="H61" s="32" t="n"/>
      <c r="I61" s="61" t="n">
        <v>44.99</v>
      </c>
      <c r="J61" s="62" t="inlineStr">
        <is>
          <t>2026-03-30</t>
        </is>
      </c>
      <c r="K61" s="33" t="n">
        <v>17.38</v>
      </c>
      <c r="L61" s="63" t="n">
        <v>0.3863080684596578</v>
      </c>
      <c r="M61" s="64" t="n">
        <v>2</v>
      </c>
      <c r="N61" s="32" t="inlineStr">
        <is>
          <t>Active</t>
        </is>
      </c>
      <c r="O61" s="32" t="n"/>
      <c r="P61" s="65" t="n"/>
      <c r="Q61" s="64" t="n"/>
      <c r="R61" s="64" t="n"/>
      <c r="S61" s="64" t="n"/>
      <c r="T61" s="32" t="n"/>
    </row>
    <row r="62" ht="62" customHeight="1">
      <c r="A62" s="10">
        <f>_xlfn.IMAGE("https://m.media-amazon.com/images/I/81NXdWsawHL.jpg")</f>
        <v/>
      </c>
      <c r="B62" s="32" t="inlineStr">
        <is>
          <t>B0C7FSXPC5</t>
        </is>
      </c>
      <c r="C62" s="32" t="inlineStr">
        <is>
          <t>SATIN-CHAMPAGNE-FULL-6PCS</t>
        </is>
      </c>
      <c r="D62" s="32" t="inlineStr">
        <is>
          <t>DECOLURE Satin Bed Sheets - 6 Piece Luxury Silky Full Size Bedding Set - Softer Than Silk, Wrinkle-Free with 15” Deep Pocket Fitted Sheet, Perfect for Hair &amp; Skin, Gifts for Women (Champagne)</t>
        </is>
      </c>
      <c r="E62" s="32" t="inlineStr">
        <is>
          <t>Full</t>
        </is>
      </c>
      <c r="F62" s="32" t="inlineStr">
        <is>
          <t>Champagne</t>
        </is>
      </c>
      <c r="G62" s="33" t="n"/>
      <c r="H62" s="32" t="n"/>
      <c r="I62" s="61" t="n">
        <v>44.99</v>
      </c>
      <c r="J62" s="62" t="inlineStr">
        <is>
          <t>2026-03-30</t>
        </is>
      </c>
      <c r="K62" s="33" t="n">
        <v>18.03</v>
      </c>
      <c r="L62" s="63" t="n">
        <v>0.4007557234941098</v>
      </c>
      <c r="M62" s="64" t="n">
        <v>2</v>
      </c>
      <c r="N62" s="32" t="inlineStr">
        <is>
          <t>Active</t>
        </is>
      </c>
      <c r="O62" s="32" t="n"/>
      <c r="P62" s="65" t="n"/>
      <c r="Q62" s="64" t="n"/>
      <c r="R62" s="64" t="n"/>
      <c r="S62" s="64" t="n"/>
      <c r="T62" s="32" t="n"/>
    </row>
    <row r="63" ht="62" customHeight="1">
      <c r="A63" s="10">
        <f>_xlfn.IMAGE("https://m.media-amazon.com/images/I/81C9qE083yL.jpg")</f>
        <v/>
      </c>
      <c r="B63" s="32" t="inlineStr">
        <is>
          <t>B0C7FJFVZY</t>
        </is>
      </c>
      <c r="C63" s="32" t="inlineStr">
        <is>
          <t>SATIN-FULL-GREY-6PCS</t>
        </is>
      </c>
      <c r="D63" s="32" t="inlineStr">
        <is>
          <t>DECOLURE Satin Bed Sheets - 6 Piece Luxury Silky Full Size Bedding Set - Softer Than Silk, Wrinkle-Free with 15” Deep Pocket Fitted Sheet, Perfect for Hair &amp; Skin, Gifts for Women (Grey)</t>
        </is>
      </c>
      <c r="E63" s="32" t="inlineStr">
        <is>
          <t>Full</t>
        </is>
      </c>
      <c r="F63" s="32" t="inlineStr">
        <is>
          <t>Grey</t>
        </is>
      </c>
      <c r="G63" s="33" t="n"/>
      <c r="H63" s="32" t="n"/>
      <c r="I63" s="61" t="n">
        <v>54.77</v>
      </c>
      <c r="J63" s="62" t="inlineStr">
        <is>
          <t>2026-03-30</t>
        </is>
      </c>
      <c r="K63" s="33" t="n">
        <v>19.58000000000001</v>
      </c>
      <c r="L63" s="63" t="n">
        <v>0.357494979003104</v>
      </c>
      <c r="M63" s="64" t="n">
        <v>2</v>
      </c>
      <c r="N63" s="32" t="inlineStr">
        <is>
          <t>Active</t>
        </is>
      </c>
      <c r="O63" s="32" t="n"/>
      <c r="P63" s="65" t="n"/>
      <c r="Q63" s="64" t="n"/>
      <c r="R63" s="64" t="n"/>
      <c r="S63" s="64" t="n"/>
      <c r="T63" s="32" t="n"/>
    </row>
    <row r="64" ht="62" customHeight="1">
      <c r="A64" s="10">
        <f>_xlfn.IMAGE("https://m.media-amazon.com/images/I/81osNI447+L.jpg")</f>
        <v/>
      </c>
      <c r="B64" s="32" t="inlineStr">
        <is>
          <t>B0C7FM7GXS</t>
        </is>
      </c>
      <c r="C64" s="32" t="inlineStr">
        <is>
          <t>SATIN-ROSEWOOD-FULL-6PCS</t>
        </is>
      </c>
      <c r="D64" s="32" t="inlineStr">
        <is>
          <t>DECOLURE Satin Bed Sheets - 6 Piece Luxury Silky Full Size Bedding Set - Softer Than Silk, Wrinkle-Free with 15” Deep Pocket Fitted Sheet, Perfect for Hair &amp; Skin, Gifts for Women (Rosewood)</t>
        </is>
      </c>
      <c r="E64" s="32" t="inlineStr">
        <is>
          <t>Full</t>
        </is>
      </c>
      <c r="F64" s="32" t="inlineStr">
        <is>
          <t>Rosewood</t>
        </is>
      </c>
      <c r="G64" s="33" t="n"/>
      <c r="H64" s="32" t="n"/>
      <c r="I64" s="61" t="n">
        <v>54.61</v>
      </c>
      <c r="J64" s="62" t="inlineStr">
        <is>
          <t>2026-03-30</t>
        </is>
      </c>
      <c r="K64" s="33" t="n">
        <v>20.18</v>
      </c>
      <c r="L64" s="63" t="n">
        <v>0.3695293902215713</v>
      </c>
      <c r="M64" s="64" t="n">
        <v>2</v>
      </c>
      <c r="N64" s="32" t="inlineStr">
        <is>
          <t>Active</t>
        </is>
      </c>
      <c r="O64" s="32" t="n"/>
      <c r="P64" s="65" t="n"/>
      <c r="Q64" s="64" t="n"/>
      <c r="R64" s="64" t="n"/>
      <c r="S64" s="64" t="n"/>
      <c r="T64" s="32" t="n"/>
    </row>
    <row r="65" ht="62" customHeight="1">
      <c r="A65" s="10">
        <f>_xlfn.IMAGE("https://m.media-amazon.com/images/I/81lpi8F4ATL.jpg")</f>
        <v/>
      </c>
      <c r="B65" s="32" t="inlineStr">
        <is>
          <t>B0D9QVPJ4C</t>
        </is>
      </c>
      <c r="C65" s="32" t="inlineStr">
        <is>
          <t>SATIN-6PC-FULL-SAGE GREEN</t>
        </is>
      </c>
      <c r="D65" s="32" t="inlineStr">
        <is>
          <t>DECOLURE Satin Bed Sheets - 6 Piece Luxury Silky Full Size Bedding Set - Softer Than Silk, Wrinkle-Free with 15” Deep Pocket Fitted Sheet, Perfect for Hair &amp; Skin, Gifts for Women (Sage Green)</t>
        </is>
      </c>
      <c r="E65" s="32" t="inlineStr">
        <is>
          <t>Full</t>
        </is>
      </c>
      <c r="F65" s="32" t="inlineStr">
        <is>
          <t>Sage Green</t>
        </is>
      </c>
      <c r="G65" s="33" t="n"/>
      <c r="H65" s="32" t="n"/>
      <c r="I65" s="61" t="n">
        <v>44.99</v>
      </c>
      <c r="J65" s="62" t="inlineStr">
        <is>
          <t>2026-03-30</t>
        </is>
      </c>
      <c r="K65" s="33" t="n">
        <v>17.18</v>
      </c>
      <c r="L65" s="63" t="n">
        <v>0.3818626361413647</v>
      </c>
      <c r="M65" s="64" t="n">
        <v>2</v>
      </c>
      <c r="N65" s="32" t="inlineStr">
        <is>
          <t>Active</t>
        </is>
      </c>
      <c r="O65" s="32" t="n"/>
      <c r="P65" s="65" t="n"/>
      <c r="Q65" s="64" t="n"/>
      <c r="R65" s="64" t="n"/>
      <c r="S65" s="64" t="n"/>
      <c r="T65" s="32" t="n"/>
    </row>
    <row r="66" ht="62" customHeight="1">
      <c r="A66" s="10">
        <f>_xlfn.IMAGE("https://m.media-amazon.com/images/I/815cp0gvpML.jpg")</f>
        <v/>
      </c>
      <c r="B66" s="32" t="inlineStr">
        <is>
          <t>B0C7G4HJL5</t>
        </is>
      </c>
      <c r="C66" s="32" t="inlineStr">
        <is>
          <t>SATIN-STONEGREY-FULL-6PCS</t>
        </is>
      </c>
      <c r="D66" s="32" t="inlineStr">
        <is>
          <t>DECOLURE Satin Bed Sheets - 6 Piece Luxury Silky Full Size Bedding Set - Softer Than Silk, Wrinkle-Free with 15” Deep Pocket Fitted Sheet, Perfect for Hair &amp; Skin, Gifts for Women (Stone Grey)</t>
        </is>
      </c>
      <c r="E66" s="32" t="inlineStr">
        <is>
          <t>Full</t>
        </is>
      </c>
      <c r="F66" s="32" t="inlineStr">
        <is>
          <t>Stone Grey</t>
        </is>
      </c>
      <c r="G66" s="33" t="n"/>
      <c r="H66" s="32" t="n"/>
      <c r="I66" s="61" t="n">
        <v>44.99</v>
      </c>
      <c r="J66" s="62" t="inlineStr">
        <is>
          <t>2026-03-30</t>
        </is>
      </c>
      <c r="K66" s="33" t="n">
        <v>17.39</v>
      </c>
      <c r="L66" s="63" t="n">
        <v>0.3865303400755724</v>
      </c>
      <c r="M66" s="64" t="n">
        <v>2</v>
      </c>
      <c r="N66" s="32" t="inlineStr">
        <is>
          <t>Active</t>
        </is>
      </c>
      <c r="O66" s="32" t="n"/>
      <c r="P66" s="65" t="n"/>
      <c r="Q66" s="64" t="n"/>
      <c r="R66" s="64" t="n"/>
      <c r="S66" s="64" t="n"/>
      <c r="T66" s="32" t="n"/>
    </row>
    <row r="67" ht="62" customHeight="1">
      <c r="A67" s="10">
        <f>_xlfn.IMAGE("https://m.media-amazon.com/images/I/81gUBcWN2iL.jpg")</f>
        <v/>
      </c>
      <c r="B67" s="32" t="inlineStr">
        <is>
          <t>B0D9QSZR2C</t>
        </is>
      </c>
      <c r="C67" s="32" t="inlineStr">
        <is>
          <t>SATIN-6PC-KING-BABY BLUE</t>
        </is>
      </c>
      <c r="D67" s="32" t="inlineStr">
        <is>
          <t>DECOLURE Satin Bed Sheets - 6 Piece Luxury Silky King Size Bedding Set - Softer Than Silk, Wrinkle-Free with 15” Deep Pocket Fitted Sheet, Perfect for Hair &amp; Skin, Gifts for Women (Baby Blue)</t>
        </is>
      </c>
      <c r="E67" s="32" t="inlineStr">
        <is>
          <t>King</t>
        </is>
      </c>
      <c r="F67" s="32" t="inlineStr">
        <is>
          <t>Baby Blue</t>
        </is>
      </c>
      <c r="G67" s="33" t="n"/>
      <c r="H67" s="32" t="n"/>
      <c r="I67" s="61" t="n">
        <v>61.05</v>
      </c>
      <c r="J67" s="62" t="inlineStr">
        <is>
          <t>2026-03-04</t>
        </is>
      </c>
      <c r="K67" s="33" t="n">
        <v>28.54</v>
      </c>
      <c r="L67" s="63" t="n">
        <v>0.4674856674856675</v>
      </c>
      <c r="M67" s="64" t="n">
        <v>2</v>
      </c>
      <c r="N67" s="32" t="inlineStr">
        <is>
          <t>Active</t>
        </is>
      </c>
      <c r="O67" s="32" t="n"/>
      <c r="P67" s="65" t="n"/>
      <c r="Q67" s="64" t="n"/>
      <c r="R67" s="64" t="n"/>
      <c r="S67" s="64" t="n"/>
      <c r="T67" s="32" t="n"/>
    </row>
    <row r="68" ht="62" customHeight="1">
      <c r="A68" s="10">
        <f>_xlfn.IMAGE("https://m.media-amazon.com/images/I/81Lq8U6Oz8L.jpg")</f>
        <v/>
      </c>
      <c r="B68" s="32" t="inlineStr">
        <is>
          <t>B0D9QTXKQD</t>
        </is>
      </c>
      <c r="C68" s="32" t="inlineStr">
        <is>
          <t>SATIN-6PC-KING-BURNT ORANGE</t>
        </is>
      </c>
      <c r="D68" s="32" t="inlineStr">
        <is>
          <t>DECOLURE Satin Bed Sheets - 6 Piece Luxury Silky King Size Bedding Set - Softer Than Silk, Wrinkle-Free with 15” Deep Pocket Fitted Sheet, Perfect for Hair &amp; Skin, Gifts for Women (Burnt Orange)</t>
        </is>
      </c>
      <c r="E68" s="32" t="inlineStr">
        <is>
          <t>King</t>
        </is>
      </c>
      <c r="F68" s="32" t="inlineStr">
        <is>
          <t>Burnt Orange</t>
        </is>
      </c>
      <c r="G68" s="33" t="n"/>
      <c r="H68" s="32" t="n"/>
      <c r="I68" s="61" t="n">
        <v>49.99</v>
      </c>
      <c r="J68" s="62" t="inlineStr">
        <is>
          <t>2026-03-30</t>
        </is>
      </c>
      <c r="K68" s="33" t="n">
        <v>19.06</v>
      </c>
      <c r="L68" s="63" t="n">
        <v>0.3812762552510502</v>
      </c>
      <c r="M68" s="64" t="n">
        <v>2</v>
      </c>
      <c r="N68" s="32" t="inlineStr">
        <is>
          <t>Active</t>
        </is>
      </c>
      <c r="O68" s="32" t="n"/>
      <c r="P68" s="65" t="n"/>
      <c r="Q68" s="64" t="n"/>
      <c r="R68" s="64" t="n"/>
      <c r="S68" s="64" t="n"/>
      <c r="T68" s="32" t="n"/>
    </row>
    <row r="69" ht="62" customHeight="1">
      <c r="A69" s="10">
        <f>_xlfn.IMAGE("https://m.media-amazon.com/images/I/81h83JgkpAL.jpg")</f>
        <v/>
      </c>
      <c r="B69" s="32" t="inlineStr">
        <is>
          <t>B0D9QSG8V3</t>
        </is>
      </c>
      <c r="C69" s="32" t="inlineStr">
        <is>
          <t>SATIN-6PC-KING-DARK GREEN</t>
        </is>
      </c>
      <c r="D69" s="32" t="inlineStr">
        <is>
          <t>DECOLURE Satin Bed Sheets - 6 Piece Luxury Silky King Size Bedding Set - Softer Than Silk, Wrinkle-Free with 15” Deep Pocket Fitted Sheet, Perfect for Hair &amp; Skin, Gifts for Women (Dark Green)</t>
        </is>
      </c>
      <c r="E69" s="32" t="inlineStr">
        <is>
          <t>King</t>
        </is>
      </c>
      <c r="F69" s="32" t="inlineStr">
        <is>
          <t>Dark Green</t>
        </is>
      </c>
      <c r="G69" s="33" t="n"/>
      <c r="H69" s="32" t="n"/>
      <c r="I69" s="61" t="n">
        <v>49.99</v>
      </c>
      <c r="J69" s="62" t="inlineStr">
        <is>
          <t>2026-03-30</t>
        </is>
      </c>
      <c r="K69" s="33" t="n">
        <v>18.81</v>
      </c>
      <c r="L69" s="63" t="n">
        <v>0.3762752550510102</v>
      </c>
      <c r="M69" s="64" t="n">
        <v>2</v>
      </c>
      <c r="N69" s="32" t="inlineStr">
        <is>
          <t>Inactive</t>
        </is>
      </c>
      <c r="O69" s="32" t="n"/>
      <c r="P69" s="65" t="n"/>
      <c r="Q69" s="64" t="n"/>
      <c r="R69" s="64" t="n"/>
      <c r="S69" s="64" t="n"/>
      <c r="T69" s="32" t="n"/>
    </row>
    <row r="70" ht="62" customHeight="1">
      <c r="A70" s="10">
        <f>_xlfn.IMAGE("https://m.media-amazon.com/images/I/81VLLob-TFL.jpg")</f>
        <v/>
      </c>
      <c r="B70" s="32" t="inlineStr">
        <is>
          <t>B0D9QRRTN7</t>
        </is>
      </c>
      <c r="C70" s="32" t="inlineStr">
        <is>
          <t>SATIN-6PC-KING-LAVENDER</t>
        </is>
      </c>
      <c r="D70" s="32" t="inlineStr">
        <is>
          <t>DECOLURE Satin Bed Sheets - 6 Piece Luxury Silky King Size Bedding Set - Softer Than Silk, Wrinkle-Free with 15” Deep Pocket Fitted Sheet, Perfect for Hair &amp; Skin, Gifts for Women (Lavender)</t>
        </is>
      </c>
      <c r="E70" s="32" t="inlineStr">
        <is>
          <t>King</t>
        </is>
      </c>
      <c r="F70" s="32" t="inlineStr">
        <is>
          <t>Lavender</t>
        </is>
      </c>
      <c r="G70" s="33" t="n"/>
      <c r="H70" s="32" t="n"/>
      <c r="I70" s="61" t="n">
        <v>55.08</v>
      </c>
      <c r="J70" s="62" t="inlineStr">
        <is>
          <t>2026-03-30</t>
        </is>
      </c>
      <c r="K70" s="33" t="n">
        <v>17.22</v>
      </c>
      <c r="L70" s="63" t="n">
        <v>0.312636165577342</v>
      </c>
      <c r="M70" s="64" t="n">
        <v>2</v>
      </c>
      <c r="N70" s="32" t="inlineStr">
        <is>
          <t>Active</t>
        </is>
      </c>
      <c r="O70" s="32" t="n"/>
      <c r="P70" s="65" t="n"/>
      <c r="Q70" s="64" t="n"/>
      <c r="R70" s="64" t="n"/>
      <c r="S70" s="64" t="n"/>
      <c r="T70" s="32" t="n"/>
    </row>
    <row r="71" ht="62" customHeight="1">
      <c r="A71" s="10">
        <f>_xlfn.IMAGE("https://m.media-amazon.com/images/I/81OBu-lV5UL.jpg")</f>
        <v/>
      </c>
      <c r="B71" s="32" t="inlineStr">
        <is>
          <t>B0C7FMDPBF</t>
        </is>
      </c>
      <c r="C71" s="32" t="inlineStr">
        <is>
          <t>SATIN-KING-PINK-6PCS</t>
        </is>
      </c>
      <c r="D71" s="32" t="inlineStr">
        <is>
          <t>DECOLURE Satin Bed Sheets - 6 Piece Luxury Silky King Size Bedding Set - Softer Than Silk, Wrinkle-Free with 15” Deep Pocket Fitted Sheet, Perfect for Hair &amp; Skin, Gifts for Women (Pink)</t>
        </is>
      </c>
      <c r="E71" s="32" t="inlineStr">
        <is>
          <t>King</t>
        </is>
      </c>
      <c r="F71" s="32" t="inlineStr">
        <is>
          <t>Pink</t>
        </is>
      </c>
      <c r="G71" s="33" t="n"/>
      <c r="H71" s="32" t="n"/>
      <c r="I71" s="61" t="n">
        <v>49.99</v>
      </c>
      <c r="J71" s="62" t="inlineStr">
        <is>
          <t>2026-03-30</t>
        </is>
      </c>
      <c r="K71" s="33" t="n">
        <v>19.67</v>
      </c>
      <c r="L71" s="63" t="n">
        <v>0.3934786957391478</v>
      </c>
      <c r="M71" s="64" t="n">
        <v>2</v>
      </c>
      <c r="N71" s="32" t="inlineStr">
        <is>
          <t>Active</t>
        </is>
      </c>
      <c r="O71" s="32" t="n"/>
      <c r="P71" s="65" t="n"/>
      <c r="Q71" s="64" t="n"/>
      <c r="R71" s="64" t="n"/>
      <c r="S71" s="64" t="n"/>
      <c r="T71" s="32" t="n"/>
    </row>
    <row r="72" ht="62" customHeight="1">
      <c r="A72" s="10">
        <f>_xlfn.IMAGE("https://m.media-amazon.com/images/I/81osNI447+L.jpg")</f>
        <v/>
      </c>
      <c r="B72" s="32" t="inlineStr">
        <is>
          <t>B0C7FP1L1V</t>
        </is>
      </c>
      <c r="C72" s="32" t="inlineStr">
        <is>
          <t>SATIN-ROSEWOOD-KING-6PCS</t>
        </is>
      </c>
      <c r="D72" s="32" t="inlineStr">
        <is>
          <t>DECOLURE Satin Bed Sheets - 6 Piece Luxury Silky King Size Bedding Set - Softer Than Silk, Wrinkle-Free with 15” Deep Pocket Fitted Sheet, Perfect for Hair &amp; Skin, Gifts for Women (Rosewood)</t>
        </is>
      </c>
      <c r="E72" s="32" t="inlineStr">
        <is>
          <t>King</t>
        </is>
      </c>
      <c r="F72" s="32" t="inlineStr">
        <is>
          <t>Rosewood</t>
        </is>
      </c>
      <c r="G72" s="33" t="n"/>
      <c r="H72" s="32" t="n"/>
      <c r="I72" s="61" t="n">
        <v>49.99</v>
      </c>
      <c r="J72" s="62" t="inlineStr">
        <is>
          <t>2026-03-30</t>
        </is>
      </c>
      <c r="K72" s="33" t="n">
        <v>19.13</v>
      </c>
      <c r="L72" s="63" t="n">
        <v>0.3826765353070615</v>
      </c>
      <c r="M72" s="64" t="n">
        <v>2</v>
      </c>
      <c r="N72" s="32" t="inlineStr">
        <is>
          <t>Active</t>
        </is>
      </c>
      <c r="O72" s="32" t="n"/>
      <c r="P72" s="65" t="n"/>
      <c r="Q72" s="64" t="n"/>
      <c r="R72" s="64" t="n"/>
      <c r="S72" s="64" t="n"/>
      <c r="T72" s="32" t="n"/>
    </row>
    <row r="73" ht="62" customHeight="1">
      <c r="A73" s="10">
        <f>_xlfn.IMAGE("https://m.media-amazon.com/images/I/81Z3bEG6bxL.jpg")</f>
        <v/>
      </c>
      <c r="B73" s="32" t="inlineStr">
        <is>
          <t>B0C7FNXRJF</t>
        </is>
      </c>
      <c r="C73" s="32" t="inlineStr">
        <is>
          <t>SATIN-TAUPE-KING-6PCS</t>
        </is>
      </c>
      <c r="D73" s="32" t="inlineStr">
        <is>
          <t>DECOLURE Satin Bed Sheets - 6 Piece Luxury Silky King Size Bedding Set - Softer Than Silk, Wrinkle-Free with 15” Deep Pocket Fitted Sheet, Perfect for Hair &amp; Skin, Gifts for Women (Taupe)</t>
        </is>
      </c>
      <c r="E73" s="32" t="inlineStr">
        <is>
          <t>King</t>
        </is>
      </c>
      <c r="F73" s="32" t="inlineStr">
        <is>
          <t>Taupe</t>
        </is>
      </c>
      <c r="G73" s="33" t="n"/>
      <c r="H73" s="32" t="n"/>
      <c r="I73" s="61" t="n">
        <v>49.99</v>
      </c>
      <c r="J73" s="62" t="inlineStr">
        <is>
          <t>2026-03-30</t>
        </is>
      </c>
      <c r="K73" s="33" t="n">
        <v>18.77</v>
      </c>
      <c r="L73" s="63" t="n">
        <v>0.3754750950190038</v>
      </c>
      <c r="M73" s="64" t="n">
        <v>2</v>
      </c>
      <c r="N73" s="32" t="inlineStr">
        <is>
          <t>Inactive</t>
        </is>
      </c>
      <c r="O73" s="32" t="n"/>
      <c r="P73" s="65" t="n"/>
      <c r="Q73" s="64" t="n"/>
      <c r="R73" s="64" t="n"/>
      <c r="S73" s="64" t="n"/>
      <c r="T73" s="32" t="n"/>
    </row>
    <row r="74" ht="62" customHeight="1">
      <c r="A74" s="10">
        <f>_xlfn.IMAGE("https://m.media-amazon.com/images/I/81OBu-lV5UL.jpg")</f>
        <v/>
      </c>
      <c r="B74" s="32" t="inlineStr">
        <is>
          <t>B0C7FSZ6RY</t>
        </is>
      </c>
      <c r="C74" s="32" t="inlineStr">
        <is>
          <t>SATIN-QUEEN-PINK-6PCS</t>
        </is>
      </c>
      <c r="D74" s="32" t="inlineStr">
        <is>
          <t>DECOLURE Satin Bed Sheets - 6 Piece Luxury Silky Queen Size Bedding Set - Softer Than Silk, Wrinkle-Free with 15” Deep Pocket Fitted Sheet, Perfect for Hair &amp; Skin, Gifts for Women (Pink)</t>
        </is>
      </c>
      <c r="E74" s="32" t="inlineStr">
        <is>
          <t>Queen</t>
        </is>
      </c>
      <c r="F74" s="32" t="inlineStr">
        <is>
          <t>Pink</t>
        </is>
      </c>
      <c r="G74" s="33" t="n"/>
      <c r="H74" s="32" t="n"/>
      <c r="I74" s="61" t="n">
        <v>47.99</v>
      </c>
      <c r="J74" s="62" t="inlineStr">
        <is>
          <t>2026-03-30</t>
        </is>
      </c>
      <c r="K74" s="33" t="n">
        <v>18.79</v>
      </c>
      <c r="L74" s="63" t="n">
        <v>0.3915399041466972</v>
      </c>
      <c r="M74" s="64" t="n">
        <v>2</v>
      </c>
      <c r="N74" s="32" t="inlineStr">
        <is>
          <t>Active</t>
        </is>
      </c>
      <c r="O74" s="32" t="n"/>
      <c r="P74" s="65" t="n"/>
      <c r="Q74" s="64" t="n"/>
      <c r="R74" s="64" t="n"/>
      <c r="S74" s="64" t="n"/>
      <c r="T74" s="32" t="n"/>
    </row>
    <row r="75" ht="62" customHeight="1">
      <c r="A75" s="10">
        <f>_xlfn.IMAGE("https://m.media-amazon.com/images/I/81kFS+X+OiL.jpg")</f>
        <v/>
      </c>
      <c r="B75" s="32" t="inlineStr">
        <is>
          <t>B0C7KFWRM8</t>
        </is>
      </c>
      <c r="C75" s="32" t="inlineStr">
        <is>
          <t>SATIN-STRIPE-QUEEN-PURPLE--6-PCS</t>
        </is>
      </c>
      <c r="D75" s="32" t="inlineStr">
        <is>
          <t>DECOLURE Satin Bed Sheets - 6 Piece Luxury Silky Queen Size Bedding Set - Softer Than Silk, Wrinkle-Free with 15” Deep Pocket Fitted Sheet, Perfect for Hair &amp; Skin, Gifts for Women (Striped Purple)</t>
        </is>
      </c>
      <c r="E75" s="32" t="inlineStr">
        <is>
          <t>Queen</t>
        </is>
      </c>
      <c r="F75" s="32" t="inlineStr">
        <is>
          <t>Striped Purple</t>
        </is>
      </c>
      <c r="G75" s="33" t="n"/>
      <c r="H75" s="32" t="n"/>
      <c r="I75" s="61" t="n">
        <v>47.99</v>
      </c>
      <c r="J75" s="62" t="inlineStr">
        <is>
          <t>2026-03-30</t>
        </is>
      </c>
      <c r="K75" s="33" t="n">
        <v>18.6</v>
      </c>
      <c r="L75" s="63" t="n">
        <v>0.3875807459887476</v>
      </c>
      <c r="M75" s="64" t="n">
        <v>2</v>
      </c>
      <c r="N75" s="32" t="inlineStr">
        <is>
          <t>Inactive</t>
        </is>
      </c>
      <c r="O75" s="32" t="n"/>
      <c r="P75" s="65" t="n"/>
      <c r="Q75" s="64" t="n"/>
      <c r="R75" s="64" t="n"/>
      <c r="S75" s="64" t="n"/>
      <c r="T75" s="32" t="n"/>
    </row>
    <row r="76" ht="62" customHeight="1">
      <c r="A76" s="10">
        <f>_xlfn.IMAGE("https://m.media-amazon.com/images/I/81eI9Bizi9L.jpg")</f>
        <v/>
      </c>
      <c r="B76" s="32" t="inlineStr">
        <is>
          <t>B0C7FNVCWM</t>
        </is>
      </c>
      <c r="C76" s="32" t="inlineStr">
        <is>
          <t>SATIN-TWIN-GREY-6PCS</t>
        </is>
      </c>
      <c r="D76" s="32" t="inlineStr">
        <is>
          <t>DECOLURE Satin Bed Sheets - 4 Piece Luxury Silky Twin Size Bedding Set - Softer Than Silk, Wrinkle-Free with 15” Deep Pocket Fitted Sheet, Perfect for Hair &amp; Skin, Gifts for Women (Grey)</t>
        </is>
      </c>
      <c r="E76" s="32" t="inlineStr">
        <is>
          <t>Twin</t>
        </is>
      </c>
      <c r="F76" s="32" t="inlineStr">
        <is>
          <t>Grey</t>
        </is>
      </c>
      <c r="G76" s="33" t="n"/>
      <c r="H76" s="32" t="n"/>
      <c r="I76" s="61" t="n">
        <v>39.99</v>
      </c>
      <c r="J76" s="62" t="inlineStr">
        <is>
          <t>2026-03-30</t>
        </is>
      </c>
      <c r="K76" s="33" t="n">
        <v>16.99</v>
      </c>
      <c r="L76" s="63" t="n">
        <v>0.4248562140535135</v>
      </c>
      <c r="M76" s="64" t="n">
        <v>2</v>
      </c>
      <c r="N76" s="32" t="inlineStr">
        <is>
          <t>Active</t>
        </is>
      </c>
      <c r="O76" s="32" t="n"/>
      <c r="P76" s="65" t="n"/>
      <c r="Q76" s="64" t="n"/>
      <c r="R76" s="64" t="n"/>
      <c r="S76" s="64" t="n"/>
      <c r="T76" s="32" t="n"/>
    </row>
    <row r="77" ht="62" customHeight="1">
      <c r="A77" s="10">
        <f>_xlfn.IMAGE("https://m.media-amazon.com/images/I/81h83JgkpAL.jpg")</f>
        <v/>
      </c>
      <c r="B77" s="32" t="inlineStr">
        <is>
          <t>B0D9QR4PS8</t>
        </is>
      </c>
      <c r="C77" s="32" t="inlineStr">
        <is>
          <t>SATIN-6PC-FULL-DARK GREEN</t>
        </is>
      </c>
      <c r="D77" s="32" t="inlineStr">
        <is>
          <t>DECOLURE Satin Bed Sheets - 6 Piece Luxury Silky Full Size Bedding Set - Softer Than Silk, Wrinkle-Free with 15” Deep Pocket Fitted Sheet, Perfect for Hair &amp; Skin, Gifts for Women (Dark Green)</t>
        </is>
      </c>
      <c r="E77" s="32" t="inlineStr">
        <is>
          <t>Full</t>
        </is>
      </c>
      <c r="F77" s="32" t="inlineStr">
        <is>
          <t>Dark Green</t>
        </is>
      </c>
      <c r="G77" s="33" t="n"/>
      <c r="H77" s="32" t="n"/>
      <c r="I77" s="61" t="n">
        <v>44.99</v>
      </c>
      <c r="J77" s="62" t="inlineStr">
        <is>
          <t>2026-03-30</t>
        </is>
      </c>
      <c r="K77" s="33" t="n">
        <v>17.05</v>
      </c>
      <c r="L77" s="63" t="n">
        <v>0.3789731051344745</v>
      </c>
      <c r="M77" s="64" t="n">
        <v>1</v>
      </c>
      <c r="N77" s="32" t="inlineStr">
        <is>
          <t>Active</t>
        </is>
      </c>
      <c r="O77" s="32" t="n"/>
      <c r="P77" s="65" t="n"/>
      <c r="Q77" s="64" t="n"/>
      <c r="R77" s="64" t="n"/>
      <c r="S77" s="64" t="n"/>
      <c r="T77" s="32" t="n"/>
    </row>
    <row r="78" ht="62" customHeight="1">
      <c r="A78" s="10">
        <f>_xlfn.IMAGE("https://m.media-amazon.com/images/I/81TFWOCMZHL.jpg")</f>
        <v/>
      </c>
      <c r="B78" s="32" t="inlineStr">
        <is>
          <t>B0C7FKJWJV</t>
        </is>
      </c>
      <c r="C78" s="32" t="inlineStr">
        <is>
          <t>SATIN-IVORY-FULL-6PCS</t>
        </is>
      </c>
      <c r="D78" s="32" t="inlineStr">
        <is>
          <t>DECOLURE Satin Bed Sheets - 6 Piece Luxury Silky Full Size Bedding Set - Softer Than Silk, Wrinkle-Free with 15” Deep Pocket Fitted Sheet, Perfect for Hair &amp; Skin, Gifts for Women (Ivory)</t>
        </is>
      </c>
      <c r="E78" s="32" t="inlineStr">
        <is>
          <t>Full</t>
        </is>
      </c>
      <c r="F78" s="32" t="inlineStr">
        <is>
          <t>Ivory</t>
        </is>
      </c>
      <c r="G78" s="33" t="n"/>
      <c r="H78" s="32" t="n"/>
      <c r="I78" s="61" t="n">
        <v>44.99</v>
      </c>
      <c r="J78" s="62" t="inlineStr">
        <is>
          <t>2026-03-30</t>
        </is>
      </c>
      <c r="K78" s="33" t="n">
        <v>18.21</v>
      </c>
      <c r="L78" s="63" t="n">
        <v>0.4047566125805734</v>
      </c>
      <c r="M78" s="64" t="n">
        <v>1</v>
      </c>
      <c r="N78" s="32" t="inlineStr">
        <is>
          <t>Active</t>
        </is>
      </c>
      <c r="O78" s="32" t="n"/>
      <c r="P78" s="65" t="n"/>
      <c r="Q78" s="64" t="n"/>
      <c r="R78" s="64" t="n"/>
      <c r="S78" s="64" t="n"/>
      <c r="T78" s="32" t="n"/>
    </row>
    <row r="79" ht="62" customHeight="1">
      <c r="A79" s="10">
        <f>_xlfn.IMAGE("https://m.media-amazon.com/images/I/81cInbBJAML.jpg")</f>
        <v/>
      </c>
      <c r="B79" s="32" t="inlineStr">
        <is>
          <t>B0C7F65432</t>
        </is>
      </c>
      <c r="C79" s="32" t="inlineStr">
        <is>
          <t>SATIN-FULL-PURPLE-6PCS</t>
        </is>
      </c>
      <c r="D79" s="32" t="inlineStr">
        <is>
          <t>DECOLURE Satin Bed Sheets - 6 Piece Luxury Silky Full Size Bedding Set - Softer Than Silk, Wrinkle-Free with 15” Deep Pocket Fitted Sheet, Perfect for Hair &amp; Skin, Gifts for Women (Purple)</t>
        </is>
      </c>
      <c r="E79" s="32" t="inlineStr">
        <is>
          <t>Full</t>
        </is>
      </c>
      <c r="F79" s="32" t="inlineStr">
        <is>
          <t>Purple</t>
        </is>
      </c>
      <c r="G79" s="33" t="n"/>
      <c r="H79" s="32" t="n"/>
      <c r="I79" s="61" t="n">
        <v>44.99</v>
      </c>
      <c r="J79" s="62" t="inlineStr">
        <is>
          <t>2026-03-30</t>
        </is>
      </c>
      <c r="K79" s="33" t="n">
        <v>17.59</v>
      </c>
      <c r="L79" s="63" t="n">
        <v>0.3909757723938654</v>
      </c>
      <c r="M79" s="64" t="n">
        <v>1</v>
      </c>
      <c r="N79" s="32" t="inlineStr">
        <is>
          <t>Active</t>
        </is>
      </c>
      <c r="O79" s="32" t="n"/>
      <c r="P79" s="65" t="n"/>
      <c r="Q79" s="64" t="n"/>
      <c r="R79" s="64" t="n"/>
      <c r="S79" s="64" t="n"/>
      <c r="T79" s="32" t="n"/>
    </row>
    <row r="80" ht="62" customHeight="1">
      <c r="A80" s="10">
        <f>_xlfn.IMAGE("https://m.media-amazon.com/images/I/81k4pZo8ZKL.jpg")</f>
        <v/>
      </c>
      <c r="B80" s="32" t="inlineStr">
        <is>
          <t>B0C7KB53RJ</t>
        </is>
      </c>
      <c r="C80" s="32" t="inlineStr">
        <is>
          <t>SATIN-STRIPE-FULL-BLACK--6-PCS</t>
        </is>
      </c>
      <c r="D80" s="32" t="inlineStr">
        <is>
          <t>DECOLURE Satin Bed Sheets - 6 Piece Luxury Silky Full Size Bedding Set - Softer Than Silk, Wrinkle-Free with 15” Deep Pocket Fitted Sheet, Perfect for Hair &amp; Skin, Gifts for Women (Striped Black)</t>
        </is>
      </c>
      <c r="E80" s="32" t="inlineStr">
        <is>
          <t>Full</t>
        </is>
      </c>
      <c r="F80" s="32" t="inlineStr">
        <is>
          <t>Striped Black</t>
        </is>
      </c>
      <c r="G80" s="33" t="n"/>
      <c r="H80" s="32" t="n"/>
      <c r="I80" s="61" t="n">
        <v>44.99</v>
      </c>
      <c r="J80" s="62" t="inlineStr">
        <is>
          <t>2026-03-30</t>
        </is>
      </c>
      <c r="K80" s="33" t="n">
        <v>16.44</v>
      </c>
      <c r="L80" s="63" t="n">
        <v>0.3654145365636808</v>
      </c>
      <c r="M80" s="64" t="n">
        <v>1</v>
      </c>
      <c r="N80" s="32" t="inlineStr">
        <is>
          <t>Active</t>
        </is>
      </c>
      <c r="O80" s="32" t="n"/>
      <c r="P80" s="65" t="n"/>
      <c r="Q80" s="64" t="n"/>
      <c r="R80" s="64" t="n"/>
      <c r="S80" s="64" t="n"/>
      <c r="T80" s="32" t="n"/>
    </row>
    <row r="81" ht="62" customHeight="1">
      <c r="A81" s="10">
        <f>_xlfn.IMAGE("https://m.media-amazon.com/images/I/81kFS+X+OiL.jpg")</f>
        <v/>
      </c>
      <c r="B81" s="32" t="inlineStr">
        <is>
          <t>B0C7K3WWDT</t>
        </is>
      </c>
      <c r="C81" s="32" t="inlineStr">
        <is>
          <t>SATIN-STRIPE-FULL-PURPLE--6-PCS</t>
        </is>
      </c>
      <c r="D81" s="32" t="inlineStr">
        <is>
          <t>DECOLURE Satin Bed Sheets - 6 Piece Luxury Silky Full Size Bedding Set - Softer Than Silk, Wrinkle-Free with 15” Deep Pocket Fitted Sheet, Perfect for Hair &amp; Skin, Gifts for Women (Striped Purple)</t>
        </is>
      </c>
      <c r="E81" s="32" t="inlineStr">
        <is>
          <t>Full</t>
        </is>
      </c>
      <c r="F81" s="32" t="inlineStr">
        <is>
          <t>Striped Purple</t>
        </is>
      </c>
      <c r="G81" s="33" t="n"/>
      <c r="H81" s="32" t="n"/>
      <c r="I81" s="61" t="n">
        <v>44.99</v>
      </c>
      <c r="J81" s="62" t="inlineStr">
        <is>
          <t>2026-03-30</t>
        </is>
      </c>
      <c r="K81" s="33" t="n">
        <v>17.59</v>
      </c>
      <c r="L81" s="63" t="n">
        <v>0.3909757723938654</v>
      </c>
      <c r="M81" s="64" t="n">
        <v>1</v>
      </c>
      <c r="N81" s="32" t="inlineStr">
        <is>
          <t>Active</t>
        </is>
      </c>
      <c r="O81" s="32" t="n"/>
      <c r="P81" s="65" t="n"/>
      <c r="Q81" s="64" t="n"/>
      <c r="R81" s="64" t="n"/>
      <c r="S81" s="64" t="n"/>
      <c r="T81" s="32" t="n"/>
    </row>
    <row r="82" ht="62" customHeight="1">
      <c r="A82" s="10">
        <f>_xlfn.IMAGE("https://m.media-amazon.com/images/I/81TFWOCMZHL.jpg")</f>
        <v/>
      </c>
      <c r="B82" s="32" t="inlineStr">
        <is>
          <t>B0C7FFMKP8</t>
        </is>
      </c>
      <c r="C82" s="32" t="inlineStr">
        <is>
          <t>SATIN-IVORY-KING-6PCS</t>
        </is>
      </c>
      <c r="D82" s="32" t="inlineStr">
        <is>
          <t>DECOLURE Satin Bed Sheets - 6 Piece Luxury Silky King Size Bedding Set - Softer Than Silk, Wrinkle-Free with 15” Deep Pocket Fitted Sheet, Perfect for Hair &amp; Skin, Gifts for Women (Ivory)</t>
        </is>
      </c>
      <c r="E82" s="32" t="inlineStr">
        <is>
          <t>King</t>
        </is>
      </c>
      <c r="F82" s="32" t="inlineStr">
        <is>
          <t>Ivory</t>
        </is>
      </c>
      <c r="G82" s="33" t="n"/>
      <c r="H82" s="32" t="n"/>
      <c r="I82" s="61" t="n">
        <v>49.99</v>
      </c>
      <c r="J82" s="62" t="inlineStr">
        <is>
          <t>2026-03-30</t>
        </is>
      </c>
      <c r="K82" s="33" t="n">
        <v>18.89</v>
      </c>
      <c r="L82" s="63" t="n">
        <v>0.377875575115023</v>
      </c>
      <c r="M82" s="64" t="n">
        <v>1</v>
      </c>
      <c r="N82" s="32" t="inlineStr">
        <is>
          <t>Active</t>
        </is>
      </c>
      <c r="O82" s="32" t="n"/>
      <c r="P82" s="65" t="n"/>
      <c r="Q82" s="64" t="n"/>
      <c r="R82" s="64" t="n"/>
      <c r="S82" s="64" t="n"/>
      <c r="T82" s="32" t="n"/>
    </row>
    <row r="83" ht="62" customHeight="1">
      <c r="A83" s="10">
        <f>_xlfn.IMAGE("https://m.media-amazon.com/images/I/81kFS+X+OiL.jpg")</f>
        <v/>
      </c>
      <c r="B83" s="32" t="inlineStr">
        <is>
          <t>B0C7KGGWS8</t>
        </is>
      </c>
      <c r="C83" s="32" t="inlineStr">
        <is>
          <t>SATIN-STRIPE-KING-PURPLE--6-PCS</t>
        </is>
      </c>
      <c r="D83" s="32" t="inlineStr">
        <is>
          <t>DECOLURE Satin Bed Sheets - 6 Piece Luxury Silky King Size Bedding Set - Softer Than Silk, Wrinkle-Free with 15” Deep Pocket Fitted Sheet, Perfect for Hair &amp; Skin, Gifts for Women (Striped Purple)</t>
        </is>
      </c>
      <c r="E83" s="32" t="inlineStr">
        <is>
          <t>King</t>
        </is>
      </c>
      <c r="F83" s="32" t="inlineStr">
        <is>
          <t>Striped Purple</t>
        </is>
      </c>
      <c r="G83" s="33" t="n"/>
      <c r="H83" s="32" t="n"/>
      <c r="I83" s="61" t="n">
        <v>49.99</v>
      </c>
      <c r="J83" s="62" t="inlineStr">
        <is>
          <t>2026-03-30</t>
        </is>
      </c>
      <c r="K83" s="33" t="n">
        <v>17.96</v>
      </c>
      <c r="L83" s="63" t="n">
        <v>0.3592718543708742</v>
      </c>
      <c r="M83" s="64" t="n">
        <v>1</v>
      </c>
      <c r="N83" s="32" t="inlineStr">
        <is>
          <t>Inactive</t>
        </is>
      </c>
      <c r="O83" s="32" t="n"/>
      <c r="P83" s="65" t="n"/>
      <c r="Q83" s="64" t="n"/>
      <c r="R83" s="64" t="n"/>
      <c r="S83" s="64" t="n"/>
      <c r="T83" s="32" t="n"/>
    </row>
    <row r="84" ht="62" customHeight="1">
      <c r="A84" s="10">
        <f>_xlfn.IMAGE("https://m.media-amazon.com/images/I/81v12xURZRL.jpg")</f>
        <v/>
      </c>
      <c r="B84" s="32" t="inlineStr">
        <is>
          <t>B0C7KD5MPK</t>
        </is>
      </c>
      <c r="C84" s="32" t="inlineStr">
        <is>
          <t>SATIN-STRIPE-KING-WHITE--6-PCS</t>
        </is>
      </c>
      <c r="D84" s="32" t="inlineStr">
        <is>
          <t>DECOLURE Satin Bed Sheets - 6 Piece Luxury Silky King Size Bedding Set - Softer Than Silk, Wrinkle-Free with 15” Deep Pocket Fitted Sheet, Perfect for Hair &amp; Skin, Gifts for Women (Striped White)</t>
        </is>
      </c>
      <c r="E84" s="32" t="inlineStr">
        <is>
          <t>King</t>
        </is>
      </c>
      <c r="F84" s="32" t="inlineStr">
        <is>
          <t>Striped White</t>
        </is>
      </c>
      <c r="G84" s="33" t="n"/>
      <c r="H84" s="32" t="n"/>
      <c r="I84" s="61" t="n">
        <v>60.59</v>
      </c>
      <c r="J84" s="62" t="inlineStr">
        <is>
          <t>2026-03-30</t>
        </is>
      </c>
      <c r="K84" s="33" t="n">
        <v>21.9</v>
      </c>
      <c r="L84" s="63" t="n">
        <v>0.3614457831325301</v>
      </c>
      <c r="M84" s="64" t="n">
        <v>1</v>
      </c>
      <c r="N84" s="32" t="inlineStr">
        <is>
          <t>Active</t>
        </is>
      </c>
      <c r="O84" s="32" t="n"/>
      <c r="P84" s="65" t="n"/>
      <c r="Q84" s="64" t="n"/>
      <c r="R84" s="64" t="n"/>
      <c r="S84" s="64" t="n"/>
      <c r="T84" s="32" t="n"/>
    </row>
    <row r="85" ht="62" customHeight="1">
      <c r="A85" s="10">
        <f>_xlfn.IMAGE("https://m.media-amazon.com/images/I/81NXdWsawHL.jpg")</f>
        <v/>
      </c>
      <c r="B85" s="32" t="inlineStr">
        <is>
          <t>B0C7FFRNMH</t>
        </is>
      </c>
      <c r="C85" s="32" t="inlineStr">
        <is>
          <t>SATIN-CHAMPAGNE-QUEEN-6PCS</t>
        </is>
      </c>
      <c r="D85" s="32" t="inlineStr">
        <is>
          <t>DECOLURE Satin Bed Sheets - 6 Piece Luxury Silky Queen Size Bedding Set - Softer Than Silk, Wrinkle-Free with 15” Deep Pocket Fitted Sheet, Perfect for Hair &amp; Skin, Gifts for Women (Champagne)</t>
        </is>
      </c>
      <c r="E85" s="32" t="inlineStr">
        <is>
          <t>Queen</t>
        </is>
      </c>
      <c r="F85" s="32" t="inlineStr">
        <is>
          <t>Champagne</t>
        </is>
      </c>
      <c r="G85" s="33" t="n"/>
      <c r="H85" s="32" t="n"/>
      <c r="I85" s="61" t="n">
        <v>47.99</v>
      </c>
      <c r="J85" s="62" t="inlineStr">
        <is>
          <t>2026-03-30</t>
        </is>
      </c>
      <c r="K85" s="33" t="n">
        <v>18.79</v>
      </c>
      <c r="L85" s="63" t="n">
        <v>0.3915399041466972</v>
      </c>
      <c r="M85" s="64" t="n">
        <v>1</v>
      </c>
      <c r="N85" s="32" t="inlineStr">
        <is>
          <t>Inactive</t>
        </is>
      </c>
      <c r="O85" s="32" t="n"/>
      <c r="P85" s="65" t="n"/>
      <c r="Q85" s="64" t="n"/>
      <c r="R85" s="64" t="n"/>
      <c r="S85" s="64" t="n"/>
      <c r="T85" s="32" t="n"/>
    </row>
    <row r="86" ht="62" customHeight="1">
      <c r="A86" s="10">
        <f>_xlfn.IMAGE("https://m.media-amazon.com/images/I/81h83JgkpAL.jpg")</f>
        <v/>
      </c>
      <c r="B86" s="32" t="inlineStr">
        <is>
          <t>B0D9QSYR9G</t>
        </is>
      </c>
      <c r="C86" s="32" t="inlineStr">
        <is>
          <t>SATIN-6PC-QUEEN-DARK GREEN</t>
        </is>
      </c>
      <c r="D86" s="32" t="inlineStr">
        <is>
          <t>DECOLURE Satin Bed Sheets - 6 Piece Luxury Silky Queen Size Bedding Set - Softer Than Silk, Wrinkle-Free with 15” Deep Pocket Fitted Sheet, Perfect for Hair &amp; Skin, Gifts for Women (Dark Green)</t>
        </is>
      </c>
      <c r="E86" s="32" t="inlineStr">
        <is>
          <t>Queen</t>
        </is>
      </c>
      <c r="F86" s="32" t="inlineStr">
        <is>
          <t>Dark Green</t>
        </is>
      </c>
      <c r="G86" s="33" t="n"/>
      <c r="H86" s="32" t="n"/>
      <c r="I86" s="61" t="n">
        <v>56.98</v>
      </c>
      <c r="J86" s="62" t="inlineStr">
        <is>
          <t>2026-03-30</t>
        </is>
      </c>
      <c r="K86" s="33" t="n">
        <v>22.91</v>
      </c>
      <c r="L86" s="63" t="n">
        <v>0.402070902070902</v>
      </c>
      <c r="M86" s="64" t="n">
        <v>1</v>
      </c>
      <c r="N86" s="32" t="inlineStr">
        <is>
          <t>Active</t>
        </is>
      </c>
      <c r="O86" s="32" t="n"/>
      <c r="P86" s="65" t="n"/>
      <c r="Q86" s="64" t="n"/>
      <c r="R86" s="64" t="n"/>
      <c r="S86" s="64" t="n"/>
      <c r="T86" s="32" t="n"/>
    </row>
    <row r="87" ht="62" customHeight="1">
      <c r="A87" s="10">
        <f>_xlfn.IMAGE("https://m.media-amazon.com/images/I/818xrpI8WdL.jpg")</f>
        <v/>
      </c>
      <c r="B87" s="32" t="inlineStr">
        <is>
          <t>B0C7FD1CLN</t>
        </is>
      </c>
      <c r="C87" s="32" t="inlineStr">
        <is>
          <t>SATIN-SEA-TEAL-QUEEN-6PCS</t>
        </is>
      </c>
      <c r="D87" s="32" t="inlineStr">
        <is>
          <t>DECOLURE Satin Bed Sheets - 6 Piece Luxury Silky Queen Size Bedding Set - Softer Than Silk, Wrinkle-Free with 15” Deep Pocket Fitted Sheet, Perfect for Hair &amp; Skin, Gifts for Women (Sea Teal)</t>
        </is>
      </c>
      <c r="E87" s="32" t="inlineStr">
        <is>
          <t>Queen</t>
        </is>
      </c>
      <c r="F87" s="32" t="inlineStr">
        <is>
          <t>Sea Teal</t>
        </is>
      </c>
      <c r="G87" s="33" t="n"/>
      <c r="H87" s="32" t="n"/>
      <c r="I87" s="61" t="n">
        <v>47.99</v>
      </c>
      <c r="J87" s="62" t="inlineStr">
        <is>
          <t>2026-03-30</t>
        </is>
      </c>
      <c r="K87" s="33" t="n">
        <v>18.79</v>
      </c>
      <c r="L87" s="63" t="n">
        <v>0.3915399041466972</v>
      </c>
      <c r="M87" s="64" t="n">
        <v>1</v>
      </c>
      <c r="N87" s="32" t="inlineStr">
        <is>
          <t>Active</t>
        </is>
      </c>
      <c r="O87" s="32" t="n"/>
      <c r="P87" s="65" t="n"/>
      <c r="Q87" s="64" t="n"/>
      <c r="R87" s="64" t="n"/>
      <c r="S87" s="64" t="n"/>
      <c r="T87" s="32" t="n"/>
    </row>
    <row r="88" ht="62" customHeight="1">
      <c r="A88" s="10">
        <f>_xlfn.IMAGE("https://m.media-amazon.com/images/I/81k4pZo8ZKL.jpg")</f>
        <v/>
      </c>
      <c r="B88" s="32" t="inlineStr">
        <is>
          <t>B0C7K5GC4L</t>
        </is>
      </c>
      <c r="C88" s="32" t="inlineStr">
        <is>
          <t>SATIN-STRIPE-QUEEN-BLACK--6-PCS</t>
        </is>
      </c>
      <c r="D88" s="32" t="inlineStr">
        <is>
          <t>DECOLURE Satin Bed Sheets - 6 Piece Luxury Silky Queen Size Bedding Set - Softer Than Silk, Wrinkle-Free with 15” Deep Pocket Fitted Sheet, Perfect for Hair &amp; Skin, Gifts for Women (Striped Black)</t>
        </is>
      </c>
      <c r="E88" s="32" t="inlineStr">
        <is>
          <t>Queen</t>
        </is>
      </c>
      <c r="F88" s="32" t="inlineStr">
        <is>
          <t>Striped Black</t>
        </is>
      </c>
      <c r="G88" s="33" t="n"/>
      <c r="H88" s="32" t="n"/>
      <c r="I88" s="61" t="n">
        <v>47.99</v>
      </c>
      <c r="J88" s="62" t="inlineStr">
        <is>
          <t>2026-03-30</t>
        </is>
      </c>
      <c r="K88" s="33" t="n">
        <v>18.6</v>
      </c>
      <c r="L88" s="63" t="n">
        <v>0.3875807459887476</v>
      </c>
      <c r="M88" s="64" t="n">
        <v>1</v>
      </c>
      <c r="N88" s="32" t="inlineStr">
        <is>
          <t>Active</t>
        </is>
      </c>
      <c r="O88" s="32" t="n"/>
      <c r="P88" s="65" t="n"/>
      <c r="Q88" s="64" t="n"/>
      <c r="R88" s="64" t="n"/>
      <c r="S88" s="64" t="n"/>
      <c r="T88" s="32" t="n"/>
    </row>
    <row r="89" ht="62" customHeight="1">
      <c r="A89" s="10">
        <f>_xlfn.IMAGE("https://m.media-amazon.com/images/I/81xV5hDfr6L.jpg")</f>
        <v/>
      </c>
      <c r="B89" s="32" t="inlineStr">
        <is>
          <t>B0C7KJMDNG</t>
        </is>
      </c>
      <c r="C89" s="32" t="inlineStr">
        <is>
          <t>SATIN-STRIPE-QUEEN-BLUE--6-PCS</t>
        </is>
      </c>
      <c r="D89" s="32" t="inlineStr">
        <is>
          <t>DECOLURE Satin Bed Sheets - 6 Piece Luxury Silky Queen Size Bedding Set - Softer Than Silk, Wrinkle-Free with 15” Deep Pocket Fitted Sheet, Perfect for Hair &amp; Skin, Gifts for Women (Striped Blue)</t>
        </is>
      </c>
      <c r="E89" s="32" t="inlineStr">
        <is>
          <t>Queen</t>
        </is>
      </c>
      <c r="F89" s="32" t="inlineStr">
        <is>
          <t>Striped Blue</t>
        </is>
      </c>
      <c r="G89" s="33" t="n"/>
      <c r="H89" s="32" t="n"/>
      <c r="I89" s="61" t="n">
        <v>47.99</v>
      </c>
      <c r="J89" s="62" t="inlineStr">
        <is>
          <t>2026-03-30</t>
        </is>
      </c>
      <c r="K89" s="33" t="n">
        <v>18.24</v>
      </c>
      <c r="L89" s="63" t="n">
        <v>0.3800791831631589</v>
      </c>
      <c r="M89" s="64" t="n">
        <v>1</v>
      </c>
      <c r="N89" s="32" t="inlineStr">
        <is>
          <t>Active</t>
        </is>
      </c>
      <c r="O89" s="32" t="n"/>
      <c r="P89" s="65" t="n"/>
      <c r="Q89" s="64" t="n"/>
      <c r="R89" s="64" t="n"/>
      <c r="S89" s="64" t="n"/>
      <c r="T89" s="32" t="n"/>
    </row>
    <row r="90" ht="62" customHeight="1">
      <c r="A90" s="10">
        <f>_xlfn.IMAGE("https://m.media-amazon.com/images/I/81DhwdBOQ+L.jpg")</f>
        <v/>
      </c>
      <c r="B90" s="32" t="inlineStr">
        <is>
          <t>B0C7FXTXLD</t>
        </is>
      </c>
      <c r="C90" s="32" t="inlineStr">
        <is>
          <t>SATIN-GOLD-TWIN-6PCS</t>
        </is>
      </c>
      <c r="D90" s="32" t="inlineStr">
        <is>
          <t>DECOLURE Satin Bed Sheets - 4 Piece Luxury Silky Twin Size Bedding Set - Softer Than Silk, Wrinkle-Free with 15” Deep Pocket Fitted Sheet, Perfect for Hair &amp; Skin, Gifts for Women (Gold)</t>
        </is>
      </c>
      <c r="E90" s="32" t="inlineStr">
        <is>
          <t>Twin</t>
        </is>
      </c>
      <c r="F90" s="32" t="inlineStr">
        <is>
          <t>Gold</t>
        </is>
      </c>
      <c r="G90" s="33" t="n"/>
      <c r="H90" s="32" t="n"/>
      <c r="I90" s="61" t="n">
        <v>39.99</v>
      </c>
      <c r="J90" s="62" t="inlineStr">
        <is>
          <t>2026-03-30</t>
        </is>
      </c>
      <c r="K90" s="33" t="n">
        <v>17.56</v>
      </c>
      <c r="L90" s="63" t="n">
        <v>0.4391097774443612</v>
      </c>
      <c r="M90" s="64" t="n">
        <v>1</v>
      </c>
      <c r="N90" s="32" t="inlineStr">
        <is>
          <t>Active</t>
        </is>
      </c>
      <c r="O90" s="32" t="n"/>
      <c r="P90" s="65" t="n"/>
      <c r="Q90" s="64" t="n"/>
      <c r="R90" s="64" t="n"/>
      <c r="S90" s="64" t="n"/>
      <c r="T90" s="32" t="n"/>
    </row>
    <row r="91" ht="62" customHeight="1">
      <c r="A91" s="10">
        <f>_xlfn.IMAGE("https://m.media-amazon.com/images/I/81N5DWhx8TL.jpg")</f>
        <v/>
      </c>
      <c r="B91" s="32" t="inlineStr">
        <is>
          <t>B0C7JVQWDH</t>
        </is>
      </c>
      <c r="C91" s="32" t="inlineStr">
        <is>
          <t>SATIN-STRIPE-TWIN-BLUE--6-PCS</t>
        </is>
      </c>
      <c r="D91" s="32" t="inlineStr">
        <is>
          <t>DECOLURE Satin Bed Sheets - 4 Piece Luxury Silky Twin Size Bedding Set - Softer Than Silk, Wrinkle-Free with 15” Deep Pocket Fitted Sheet, Perfect for Hair &amp; Skin, Gifts for Women (Striped Blue)</t>
        </is>
      </c>
      <c r="E91" s="32" t="inlineStr">
        <is>
          <t>Twin</t>
        </is>
      </c>
      <c r="F91" s="32" t="inlineStr">
        <is>
          <t>Striped Blue</t>
        </is>
      </c>
      <c r="G91" s="33" t="n"/>
      <c r="H91" s="32" t="n"/>
      <c r="I91" s="61" t="n">
        <v>39.99</v>
      </c>
      <c r="J91" s="62" t="inlineStr">
        <is>
          <t>2026-03-30</t>
        </is>
      </c>
      <c r="K91" s="33" t="n">
        <v>16.16</v>
      </c>
      <c r="L91" s="63" t="n">
        <v>0.4041010252563141</v>
      </c>
      <c r="M91" s="64" t="n">
        <v>1</v>
      </c>
      <c r="N91" s="32" t="inlineStr">
        <is>
          <t>Active</t>
        </is>
      </c>
      <c r="O91" s="32" t="n"/>
      <c r="P91" s="65" t="n"/>
      <c r="Q91" s="64" t="n"/>
      <c r="R91" s="64" t="n"/>
      <c r="S91" s="64" t="n"/>
      <c r="T91" s="32" t="n"/>
    </row>
    <row r="92" ht="62" customHeight="1">
      <c r="A92" s="10">
        <f>_xlfn.IMAGE("https://m.media-amazon.com/images/I/81G94nrfhtL.jpg")</f>
        <v/>
      </c>
      <c r="B92" s="32" t="inlineStr">
        <is>
          <t>B0C7K6YWWL</t>
        </is>
      </c>
      <c r="C92" s="32" t="inlineStr">
        <is>
          <t>SATIN-STRIPE-TWIN-PURPLE--6-PCS</t>
        </is>
      </c>
      <c r="D92" s="32" t="inlineStr">
        <is>
          <t>DECOLURE Satin Bed Sheets - 4 Piece Luxury Silky Twin Size Bedding Set - Softer Than Silk, Wrinkle-Free with 15” Deep Pocket Fitted Sheet, Perfect for Hair &amp; Skin, Gifts for Women (Striped Purple)</t>
        </is>
      </c>
      <c r="E92" s="32" t="inlineStr">
        <is>
          <t>Twin</t>
        </is>
      </c>
      <c r="F92" s="32" t="inlineStr">
        <is>
          <t>Striped Purple</t>
        </is>
      </c>
      <c r="G92" s="33" t="n"/>
      <c r="H92" s="32" t="n"/>
      <c r="I92" s="61" t="n">
        <v>39.99</v>
      </c>
      <c r="J92" s="62" t="inlineStr">
        <is>
          <t>2026-03-30</t>
        </is>
      </c>
      <c r="K92" s="33" t="n">
        <v>16.41</v>
      </c>
      <c r="L92" s="63" t="n">
        <v>0.4103525881470367</v>
      </c>
      <c r="M92" s="64" t="n">
        <v>1</v>
      </c>
      <c r="N92" s="32" t="inlineStr">
        <is>
          <t>Active</t>
        </is>
      </c>
      <c r="O92" s="32" t="n"/>
      <c r="P92" s="65" t="n"/>
      <c r="Q92" s="64" t="n"/>
      <c r="R92" s="64" t="n"/>
      <c r="S92" s="64" t="n"/>
      <c r="T92" s="32" t="n"/>
    </row>
    <row r="93" ht="62" customHeight="1">
      <c r="A93" s="10">
        <f>_xlfn.IMAGE("https://m.media-amazon.com/images/I/81RVAQq5A8L.jpg")</f>
        <v/>
      </c>
      <c r="B93" s="32" t="inlineStr">
        <is>
          <t>B0C7KGK2WK</t>
        </is>
      </c>
      <c r="C93" s="32" t="inlineStr">
        <is>
          <t>SATIN-STRIPE-TWIN-WHITE--6-PCS</t>
        </is>
      </c>
      <c r="D93" s="32" t="inlineStr">
        <is>
          <t>DECOLURE Satin Bed Sheets - 4 Piece Luxury Silky Twin Size Bedding Set - Softer Than Silk, Wrinkle-Free with 15” Deep Pocket Fitted Sheet, Perfect for Hair &amp; Skin, Gifts for Women (Striped White)</t>
        </is>
      </c>
      <c r="E93" s="32" t="inlineStr">
        <is>
          <t>Twin</t>
        </is>
      </c>
      <c r="F93" s="32" t="inlineStr">
        <is>
          <t>Striped White</t>
        </is>
      </c>
      <c r="G93" s="33" t="n"/>
      <c r="H93" s="32" t="n"/>
      <c r="I93" s="61" t="n">
        <v>39.99</v>
      </c>
      <c r="J93" s="62" t="inlineStr">
        <is>
          <t>2026-03-30</t>
        </is>
      </c>
      <c r="K93" s="33" t="n">
        <v>15.73</v>
      </c>
      <c r="L93" s="63" t="n">
        <v>0.393348337084271</v>
      </c>
      <c r="M93" s="64" t="n">
        <v>1</v>
      </c>
      <c r="N93" s="32" t="inlineStr">
        <is>
          <t>Active</t>
        </is>
      </c>
      <c r="O93" s="32" t="n"/>
      <c r="P93" s="65" t="n"/>
      <c r="Q93" s="64" t="n"/>
      <c r="R93" s="64" t="n"/>
      <c r="S93" s="64" t="n"/>
      <c r="T93" s="32" t="n"/>
    </row>
    <row r="94" ht="62" customHeight="1">
      <c r="A94" s="10">
        <f>_xlfn.IMAGE("https://m.media-amazon.com/images/I/81r29XS-EcL.jpg")</f>
        <v/>
      </c>
      <c r="B94" s="32" t="inlineStr">
        <is>
          <t>B0C7FBCF2X</t>
        </is>
      </c>
      <c r="C94" s="32" t="inlineStr">
        <is>
          <t>SATIN-WHITE-TWIN-6PCS</t>
        </is>
      </c>
      <c r="D94" s="32" t="inlineStr">
        <is>
          <t>DECOLURE Satin Bed Sheets - 4 Piece Luxury Silky Twin Size Bedding Set - Softer Than Silk, Wrinkle-Free with 15” Deep Pocket Fitted Sheet, Perfect for Hair &amp; Skin, Gifts for Women (White)</t>
        </is>
      </c>
      <c r="E94" s="32" t="inlineStr">
        <is>
          <t>Twin</t>
        </is>
      </c>
      <c r="F94" s="32" t="inlineStr">
        <is>
          <t>White</t>
        </is>
      </c>
      <c r="G94" s="33" t="n"/>
      <c r="H94" s="32" t="n"/>
      <c r="I94" s="61" t="n">
        <v>39.99</v>
      </c>
      <c r="J94" s="62" t="inlineStr">
        <is>
          <t>2026-03-30</t>
        </is>
      </c>
      <c r="K94" s="33" t="n">
        <v>16.77</v>
      </c>
      <c r="L94" s="63" t="n">
        <v>0.4193548387096775</v>
      </c>
      <c r="M94" s="64" t="n">
        <v>1</v>
      </c>
      <c r="N94" s="32" t="inlineStr">
        <is>
          <t>Active</t>
        </is>
      </c>
      <c r="O94" s="32" t="n"/>
      <c r="P94" s="65" t="n"/>
      <c r="Q94" s="64" t="n"/>
      <c r="R94" s="64" t="n"/>
      <c r="S94" s="64" t="n"/>
      <c r="T94" s="32" t="n"/>
    </row>
    <row r="95" ht="62" customHeight="1">
      <c r="A95" s="10">
        <f>_xlfn.IMAGE("https://m.media-amazon.com/images/I/81QbKTHtUqL.jpg")</f>
        <v/>
      </c>
      <c r="B95" s="32" t="inlineStr">
        <is>
          <t>B0C7FXQZVG</t>
        </is>
      </c>
      <c r="C95" s="32" t="inlineStr">
        <is>
          <t>SATIN-FULL-BLUE-6PCS</t>
        </is>
      </c>
      <c r="D95" s="32" t="inlineStr">
        <is>
          <t>DECOLURE Satin Bed Sheets - 6 Piece Luxury Silky Full Size Bedding Set - Softer Than Silk, Wrinkle-Free with 15” Deep Pocket Fitted Sheet, Perfect for Hair &amp; Skin, Gifts for Women (Blue)</t>
        </is>
      </c>
      <c r="E95" s="32" t="inlineStr">
        <is>
          <t>Full</t>
        </is>
      </c>
      <c r="F95" s="32" t="inlineStr">
        <is>
          <t>Blue</t>
        </is>
      </c>
      <c r="G95" s="33" t="n"/>
      <c r="H95" s="32" t="n"/>
      <c r="I95" s="61" t="n">
        <v>44.99</v>
      </c>
      <c r="J95" s="62" t="inlineStr">
        <is>
          <t>2026-03-30</t>
        </is>
      </c>
      <c r="K95" s="33" t="n">
        <v>18.03</v>
      </c>
      <c r="L95" s="63" t="n">
        <v>0.4007557234941098</v>
      </c>
      <c r="M95" s="64" t="n">
        <v>0</v>
      </c>
      <c r="N95" s="32" t="inlineStr">
        <is>
          <t>Active</t>
        </is>
      </c>
      <c r="O95" s="32" t="n"/>
      <c r="P95" s="65" t="n"/>
      <c r="Q95" s="64" t="n"/>
      <c r="R95" s="64" t="n"/>
      <c r="S95" s="64" t="n"/>
      <c r="T95" s="32" t="n"/>
    </row>
    <row r="96" ht="62" customHeight="1">
      <c r="A96" s="10">
        <f>_xlfn.IMAGE("https://m.media-amazon.com/images/I/81Lq8U6Oz8L.jpg")</f>
        <v/>
      </c>
      <c r="B96" s="32" t="inlineStr">
        <is>
          <t>B0D9QRNBSH</t>
        </is>
      </c>
      <c r="C96" s="32" t="inlineStr">
        <is>
          <t>SATIN-6PC-FULL-BURNT ORANGE</t>
        </is>
      </c>
      <c r="D96" s="32" t="inlineStr">
        <is>
          <t>DECOLURE Satin Bed Sheets - 6 Piece Luxury Silky Full Size Bedding Set - Softer Than Silk, Wrinkle-Free with 15” Deep Pocket Fitted Sheet, Perfect for Hair &amp; Skin, Gifts for Women (Burnt Orange)</t>
        </is>
      </c>
      <c r="E96" s="32" t="inlineStr">
        <is>
          <t>Full</t>
        </is>
      </c>
      <c r="F96" s="32" t="inlineStr">
        <is>
          <t>Burnt Orange</t>
        </is>
      </c>
      <c r="G96" s="33" t="n"/>
      <c r="H96" s="32" t="n"/>
      <c r="I96" s="61" t="n">
        <v>44.99</v>
      </c>
      <c r="J96" s="62" t="inlineStr">
        <is>
          <t>2026-03-30</t>
        </is>
      </c>
      <c r="K96" s="33" t="n">
        <v>18.92</v>
      </c>
      <c r="L96" s="63" t="n">
        <v>0.4205378973105134</v>
      </c>
      <c r="M96" s="64" t="n">
        <v>0</v>
      </c>
      <c r="N96" s="32" t="inlineStr">
        <is>
          <t>Active</t>
        </is>
      </c>
      <c r="O96" s="32" t="n"/>
      <c r="P96" s="65" t="n"/>
      <c r="Q96" s="64" t="n"/>
      <c r="R96" s="64" t="n"/>
      <c r="S96" s="64" t="n"/>
      <c r="T96" s="32" t="n"/>
    </row>
    <row r="97" ht="62" customHeight="1">
      <c r="A97" s="10">
        <f>_xlfn.IMAGE("https://m.media-amazon.com/images/I/81u38yfz4ML.jpg")</f>
        <v/>
      </c>
      <c r="B97" s="32" t="inlineStr">
        <is>
          <t>B0C7FTBBQB</t>
        </is>
      </c>
      <c r="C97" s="32" t="inlineStr">
        <is>
          <t>SATIN-GOLD-FULL-6PCS</t>
        </is>
      </c>
      <c r="D97" s="32" t="inlineStr">
        <is>
          <t>DECOLURE Satin Bed Sheets - 6 Piece Luxury Silky Full Size Bedding Set - Softer Than Silk, Wrinkle-Free with 15” Deep Pocket Fitted Sheet, Perfect for Hair &amp; Skin, Gifts for Women (Gold)</t>
        </is>
      </c>
      <c r="E97" s="32" t="inlineStr">
        <is>
          <t>Full</t>
        </is>
      </c>
      <c r="F97" s="32" t="inlineStr">
        <is>
          <t>Gold</t>
        </is>
      </c>
      <c r="G97" s="33" t="n"/>
      <c r="H97" s="32" t="n"/>
      <c r="I97" s="61" t="n">
        <v>44.99</v>
      </c>
      <c r="J97" s="62" t="inlineStr">
        <is>
          <t>2026-03-30</t>
        </is>
      </c>
      <c r="K97" s="33" t="n">
        <v>17.39</v>
      </c>
      <c r="L97" s="63" t="n">
        <v>0.3865303400755724</v>
      </c>
      <c r="M97" s="64" t="n">
        <v>0</v>
      </c>
      <c r="N97" s="32" t="inlineStr">
        <is>
          <t>Active</t>
        </is>
      </c>
      <c r="O97" s="32" t="n"/>
      <c r="P97" s="65" t="n"/>
      <c r="Q97" s="64" t="n"/>
      <c r="R97" s="64" t="n"/>
      <c r="S97" s="64" t="n"/>
      <c r="T97" s="32" t="n"/>
    </row>
    <row r="98" ht="62" customHeight="1">
      <c r="A98" s="10">
        <f>_xlfn.IMAGE("https://m.media-amazon.com/images/I/81OBu-lV5UL.jpg")</f>
        <v/>
      </c>
      <c r="B98" s="32" t="inlineStr">
        <is>
          <t>B0C7FQTJYM</t>
        </is>
      </c>
      <c r="C98" s="32" t="inlineStr">
        <is>
          <t>SATIN-FULL-PINK-6PCS</t>
        </is>
      </c>
      <c r="D98" s="32" t="inlineStr">
        <is>
          <t>DECOLURE Satin Bed Sheets - 6 Piece Luxury Silky Full Size Bedding Set - Softer Than Silk, Wrinkle-Free with 15” Deep Pocket Fitted Sheet, Perfect for Hair &amp; Skin, Gifts for Women (Pink)</t>
        </is>
      </c>
      <c r="E98" s="32" t="inlineStr">
        <is>
          <t>Full</t>
        </is>
      </c>
      <c r="F98" s="32" t="inlineStr">
        <is>
          <t>Pink</t>
        </is>
      </c>
      <c r="G98" s="33" t="n"/>
      <c r="H98" s="32" t="n"/>
      <c r="I98" s="61" t="n">
        <v>54.44</v>
      </c>
      <c r="J98" s="62" t="inlineStr">
        <is>
          <t>2026-03-30</t>
        </is>
      </c>
      <c r="K98" s="33" t="n">
        <v>19.94</v>
      </c>
      <c r="L98" s="63" t="n">
        <v>0.3662747979426892</v>
      </c>
      <c r="M98" s="64" t="n">
        <v>0</v>
      </c>
      <c r="N98" s="32" t="inlineStr">
        <is>
          <t>Active</t>
        </is>
      </c>
      <c r="O98" s="32" t="n"/>
      <c r="P98" s="65" t="n"/>
      <c r="Q98" s="64" t="n"/>
      <c r="R98" s="64" t="n"/>
      <c r="S98" s="64" t="n"/>
      <c r="T98" s="32" t="n"/>
    </row>
    <row r="99" ht="62" customHeight="1">
      <c r="A99" s="10">
        <f>_xlfn.IMAGE("https://m.media-amazon.com/images/I/81xV5hDfr6L.jpg")</f>
        <v/>
      </c>
      <c r="B99" s="32" t="inlineStr">
        <is>
          <t>B0C7K6CKLC</t>
        </is>
      </c>
      <c r="C99" s="32" t="inlineStr">
        <is>
          <t>SATIN-STRIPE-FULL-BLUE--6-PCS</t>
        </is>
      </c>
      <c r="D99" s="32" t="inlineStr">
        <is>
          <t>DECOLURE Satin Bed Sheets - 6 Piece Luxury Silky Full Size Bedding Set - Softer Than Silk, Wrinkle-Free with 15” Deep Pocket Fitted Sheet, Perfect for Hair &amp; Skin, Gifts for Women (Striped Blue)</t>
        </is>
      </c>
      <c r="E99" s="32" t="inlineStr">
        <is>
          <t>Full</t>
        </is>
      </c>
      <c r="F99" s="32" t="inlineStr">
        <is>
          <t>Striped Blue</t>
        </is>
      </c>
      <c r="G99" s="33" t="n"/>
      <c r="H99" s="32" t="n"/>
      <c r="I99" s="61" t="n">
        <v>55.33</v>
      </c>
      <c r="J99" s="62" t="inlineStr">
        <is>
          <t>2026-03-30</t>
        </is>
      </c>
      <c r="K99" s="33" t="n">
        <v>18.83000000000001</v>
      </c>
      <c r="L99" s="63" t="n">
        <v>0.3403217061268752</v>
      </c>
      <c r="M99" s="64" t="n">
        <v>0</v>
      </c>
      <c r="N99" s="32" t="inlineStr">
        <is>
          <t>Active</t>
        </is>
      </c>
      <c r="O99" s="32" t="n"/>
      <c r="P99" s="65" t="n"/>
      <c r="Q99" s="64" t="n"/>
      <c r="R99" s="64" t="n"/>
      <c r="S99" s="64" t="n"/>
      <c r="T99" s="32" t="n"/>
    </row>
    <row r="100" ht="62" customHeight="1">
      <c r="A100" s="10">
        <f>_xlfn.IMAGE("https://m.media-amazon.com/images/I/91wFGUsQtVL.jpg")</f>
        <v/>
      </c>
      <c r="B100" s="32" t="inlineStr">
        <is>
          <t>B0C7KGFHT7</t>
        </is>
      </c>
      <c r="C100" s="32" t="inlineStr">
        <is>
          <t>SATIN-STRIPE-FULL-GOLD--6-PCS</t>
        </is>
      </c>
      <c r="D100" s="32" t="inlineStr">
        <is>
          <t>DECOLURE Satin Bed Sheets - 6 Piece Luxury Silky Full Size Bedding Set - Softer Than Silk, Wrinkle-Free with 15” Deep Pocket Fitted Sheet, Perfect for Hair &amp; Skin, Gifts for Women (Striped Gold)</t>
        </is>
      </c>
      <c r="E100" s="32" t="inlineStr">
        <is>
          <t>Full</t>
        </is>
      </c>
      <c r="F100" s="32" t="inlineStr">
        <is>
          <t>Striped Gold</t>
        </is>
      </c>
      <c r="G100" s="33" t="n"/>
      <c r="H100" s="32" t="n"/>
      <c r="I100" s="61" t="n">
        <v>55.55</v>
      </c>
      <c r="J100" s="62" t="inlineStr">
        <is>
          <t>2026-03-30</t>
        </is>
      </c>
      <c r="K100" s="33" t="n">
        <v>19.02</v>
      </c>
      <c r="L100" s="63" t="n">
        <v>0.3423942394239425</v>
      </c>
      <c r="M100" s="64" t="n">
        <v>0</v>
      </c>
      <c r="N100" s="32" t="inlineStr">
        <is>
          <t>Active</t>
        </is>
      </c>
      <c r="O100" s="32" t="n"/>
      <c r="P100" s="65" t="n"/>
      <c r="Q100" s="64" t="n"/>
      <c r="R100" s="64" t="n"/>
      <c r="S100" s="64" t="n"/>
      <c r="T100" s="32" t="n"/>
    </row>
    <row r="101" ht="62" customHeight="1">
      <c r="A101" s="10">
        <f>_xlfn.IMAGE("https://m.media-amazon.com/images/I/81PBLKf1SBL.jpg")</f>
        <v/>
      </c>
      <c r="B101" s="32" t="inlineStr">
        <is>
          <t>B0C7K7NCKW</t>
        </is>
      </c>
      <c r="C101" s="32" t="inlineStr">
        <is>
          <t>SATIN-STRIPE-FULL-GRAY--6-PCS</t>
        </is>
      </c>
      <c r="D101" s="32" t="inlineStr">
        <is>
          <t>DECOLURE Satin Bed Sheets - 6 Piece Luxury Silky Full Size Bedding Set - Softer Than Silk, Wrinkle-Free with 15” Deep Pocket Fitted Sheet, Perfect for Hair &amp; Skin, Gifts for Women (Striped Grey)</t>
        </is>
      </c>
      <c r="E101" s="32" t="inlineStr">
        <is>
          <t>Full</t>
        </is>
      </c>
      <c r="F101" s="32" t="inlineStr">
        <is>
          <t>Striped Grey</t>
        </is>
      </c>
      <c r="G101" s="33" t="n"/>
      <c r="H101" s="32" t="n"/>
      <c r="I101" s="61" t="n">
        <v>44.99</v>
      </c>
      <c r="J101" s="62" t="inlineStr">
        <is>
          <t>2026-03-30</t>
        </is>
      </c>
      <c r="K101" s="33" t="n">
        <v>16.43</v>
      </c>
      <c r="L101" s="63" t="n">
        <v>0.3651922649477661</v>
      </c>
      <c r="M101" s="64" t="n">
        <v>0</v>
      </c>
      <c r="N101" s="32" t="inlineStr">
        <is>
          <t>Active</t>
        </is>
      </c>
      <c r="O101" s="32" t="n"/>
      <c r="P101" s="65" t="n"/>
      <c r="Q101" s="64" t="n"/>
      <c r="R101" s="64" t="n"/>
      <c r="S101" s="64" t="n"/>
      <c r="T101" s="32" t="n"/>
    </row>
    <row r="102" ht="62" customHeight="1">
      <c r="A102" s="10">
        <f>_xlfn.IMAGE("https://m.media-amazon.com/images/I/81-NapzaU0L.jpg")</f>
        <v/>
      </c>
      <c r="B102" s="32" t="inlineStr">
        <is>
          <t>B0C7K7YWH2</t>
        </is>
      </c>
      <c r="C102" s="32" t="inlineStr">
        <is>
          <t>SATIN-STRIPE-FULL-PINK--6--PCS</t>
        </is>
      </c>
      <c r="D102" s="32" t="inlineStr">
        <is>
          <t>DECOLURE Satin Bed Sheets - 6 Piece Luxury Silky Full Size Bedding Set - Softer Than Silk, Wrinkle-Free with 15” Deep Pocket Fitted Sheet, Perfect for Hair &amp; Skin, Gifts for Women (Striped Pink)</t>
        </is>
      </c>
      <c r="E102" s="32" t="inlineStr">
        <is>
          <t>Full</t>
        </is>
      </c>
      <c r="F102" s="32" t="inlineStr">
        <is>
          <t>Striped Pink</t>
        </is>
      </c>
      <c r="G102" s="33" t="n"/>
      <c r="H102" s="32" t="n"/>
      <c r="I102" s="61" t="n">
        <v>55.33</v>
      </c>
      <c r="J102" s="62" t="inlineStr">
        <is>
          <t>2026-03-30</t>
        </is>
      </c>
      <c r="K102" s="33" t="n">
        <v>18.5</v>
      </c>
      <c r="L102" s="63" t="n">
        <v>0.3343574914151455</v>
      </c>
      <c r="M102" s="64" t="n"/>
      <c r="N102" s="32" t="inlineStr">
        <is>
          <t>Inactive</t>
        </is>
      </c>
      <c r="O102" s="32" t="n"/>
      <c r="P102" s="65" t="n"/>
      <c r="Q102" s="64" t="n"/>
      <c r="R102" s="64" t="n"/>
      <c r="S102" s="64" t="n"/>
      <c r="T102" s="32" t="n"/>
    </row>
    <row r="103" ht="62" customHeight="1">
      <c r="A103" s="10">
        <f>_xlfn.IMAGE("https://m.media-amazon.com/images/I/91LEDRktAdL.jpg")</f>
        <v/>
      </c>
      <c r="B103" s="32" t="inlineStr">
        <is>
          <t>B0C7JYS2K4</t>
        </is>
      </c>
      <c r="C103" s="32" t="inlineStr">
        <is>
          <t>SATIN-STRIPE-FULL-RED--6-PCS</t>
        </is>
      </c>
      <c r="D103" s="32" t="inlineStr">
        <is>
          <t>DECOLURE Satin Bed Sheets - 6 Piece Luxury Silky Full Size Bedding Set - Softer Than Silk, Wrinkle-Free with 15” Deep Pocket Fitted Sheet, Perfect for Hair &amp; Skin, Gifts for Women (Striped Red)</t>
        </is>
      </c>
      <c r="E103" s="32" t="inlineStr">
        <is>
          <t>Full</t>
        </is>
      </c>
      <c r="F103" s="32" t="inlineStr">
        <is>
          <t>Striped Red</t>
        </is>
      </c>
      <c r="G103" s="33" t="n"/>
      <c r="H103" s="32" t="n"/>
      <c r="I103" s="61" t="n">
        <v>44.99</v>
      </c>
      <c r="J103" s="62" t="inlineStr">
        <is>
          <t>2026-03-30</t>
        </is>
      </c>
      <c r="K103" s="33" t="n">
        <v>16.07</v>
      </c>
      <c r="L103" s="63" t="n">
        <v>0.357190486774839</v>
      </c>
      <c r="M103" s="64" t="n">
        <v>0</v>
      </c>
      <c r="N103" s="32" t="inlineStr">
        <is>
          <t>Active</t>
        </is>
      </c>
      <c r="O103" s="32" t="n"/>
      <c r="P103" s="65" t="n"/>
      <c r="Q103" s="64" t="n"/>
      <c r="R103" s="64" t="n"/>
      <c r="S103" s="64" t="n"/>
      <c r="T103" s="32" t="n"/>
    </row>
    <row r="104" ht="62" customHeight="1">
      <c r="A104" s="10">
        <f>_xlfn.IMAGE("https://m.media-amazon.com/images/I/81v12xURZRL.jpg")</f>
        <v/>
      </c>
      <c r="B104" s="32" t="inlineStr">
        <is>
          <t>B0C7K2B1Y3</t>
        </is>
      </c>
      <c r="C104" s="32" t="inlineStr">
        <is>
          <t>SATIN-STRIPE-FULL-WHITE--6-PCS</t>
        </is>
      </c>
      <c r="D104" s="32" t="inlineStr">
        <is>
          <t>DECOLURE Satin Bed Sheets - 6 Piece Luxury Silky Full Size Bedding Set - Softer Than Silk, Wrinkle-Free with 15” Deep Pocket Fitted Sheet, Perfect for Hair &amp; Skin, Gifts for Women (Striped White)</t>
        </is>
      </c>
      <c r="E104" s="32" t="inlineStr">
        <is>
          <t>Full</t>
        </is>
      </c>
      <c r="F104" s="32" t="inlineStr">
        <is>
          <t>Striped White</t>
        </is>
      </c>
      <c r="G104" s="33" t="n"/>
      <c r="H104" s="32" t="n"/>
      <c r="I104" s="61" t="n">
        <v>44.99</v>
      </c>
      <c r="J104" s="62" t="inlineStr">
        <is>
          <t>2026-03-30</t>
        </is>
      </c>
      <c r="K104" s="33" t="n">
        <v>17.32</v>
      </c>
      <c r="L104" s="63" t="n">
        <v>0.3849744387641698</v>
      </c>
      <c r="M104" s="64" t="n">
        <v>0</v>
      </c>
      <c r="N104" s="32" t="inlineStr">
        <is>
          <t>Active</t>
        </is>
      </c>
      <c r="O104" s="32" t="n"/>
      <c r="P104" s="65" t="n"/>
      <c r="Q104" s="64" t="n"/>
      <c r="R104" s="64" t="n"/>
      <c r="S104" s="64" t="n"/>
      <c r="T104" s="32" t="n"/>
    </row>
    <row r="105" ht="62" customHeight="1">
      <c r="A105" s="10">
        <f>_xlfn.IMAGE("https://m.media-amazon.com/images/I/81Z3bEG6bxL.jpg")</f>
        <v/>
      </c>
      <c r="B105" s="32" t="inlineStr">
        <is>
          <t>B0C7FHXP11</t>
        </is>
      </c>
      <c r="C105" s="32" t="inlineStr">
        <is>
          <t>SATIN-TAUPE-FULL-6PCS</t>
        </is>
      </c>
      <c r="D105" s="32" t="inlineStr">
        <is>
          <t>DECOLURE Satin Bed Sheets - 6 Piece Luxury Silky Full Size Bedding Set - Softer Than Silk, Wrinkle-Free with 15” Deep Pocket Fitted Sheet, Perfect for Hair &amp; Skin, Gifts for Women (Taupe)</t>
        </is>
      </c>
      <c r="E105" s="32" t="inlineStr">
        <is>
          <t>Full</t>
        </is>
      </c>
      <c r="F105" s="32" t="inlineStr">
        <is>
          <t>Taupe</t>
        </is>
      </c>
      <c r="G105" s="33" t="n"/>
      <c r="H105" s="32" t="n"/>
      <c r="I105" s="61" t="n">
        <v>44.99</v>
      </c>
      <c r="J105" s="62" t="inlineStr">
        <is>
          <t>2026-03-30</t>
        </is>
      </c>
      <c r="K105" s="33" t="n">
        <v>17.83</v>
      </c>
      <c r="L105" s="63" t="n">
        <v>0.3963102911758169</v>
      </c>
      <c r="M105" s="64" t="n">
        <v>0</v>
      </c>
      <c r="N105" s="32" t="inlineStr">
        <is>
          <t>Active</t>
        </is>
      </c>
      <c r="O105" s="32" t="n"/>
      <c r="P105" s="65" t="n"/>
      <c r="Q105" s="64" t="n"/>
      <c r="R105" s="64" t="n"/>
      <c r="S105" s="64" t="n"/>
      <c r="T105" s="32" t="n"/>
    </row>
    <row r="106" ht="62" customHeight="1">
      <c r="A106" s="10">
        <f>_xlfn.IMAGE("https://m.media-amazon.com/images/I/81gUBcWN2iL.jpg")</f>
        <v/>
      </c>
      <c r="B106" s="32" t="inlineStr">
        <is>
          <t>B0C7FGGPJT</t>
        </is>
      </c>
      <c r="C106" s="32" t="inlineStr">
        <is>
          <t>SATIN-WHITE-FULL-6PCS</t>
        </is>
      </c>
      <c r="D106" s="32" t="inlineStr">
        <is>
          <t>DECOLURE Satin Sheets Full Size (6 Pieces, 8 Colors) - Silky Sheet Set With 2 Pillowcases, Fitted Sheet - White, Full Size Bed Set</t>
        </is>
      </c>
      <c r="E106" s="32" t="inlineStr">
        <is>
          <t>Full</t>
        </is>
      </c>
      <c r="F106" s="32" t="inlineStr">
        <is>
          <t>White-01</t>
        </is>
      </c>
      <c r="G106" s="33" t="n"/>
      <c r="H106" s="32" t="n"/>
      <c r="I106" s="61" t="n">
        <v>44.99</v>
      </c>
      <c r="J106" s="62" t="inlineStr">
        <is>
          <t>2026-03-12</t>
        </is>
      </c>
      <c r="K106" s="33" t="n">
        <v>17.5649</v>
      </c>
      <c r="L106" s="63" t="n">
        <v>0.3904178706379196</v>
      </c>
      <c r="M106" s="64" t="n"/>
      <c r="N106" s="32" t="inlineStr">
        <is>
          <t>Inactive</t>
        </is>
      </c>
      <c r="O106" s="32" t="n"/>
      <c r="P106" s="65" t="n"/>
      <c r="Q106" s="64" t="n"/>
      <c r="R106" s="64" t="n"/>
      <c r="S106" s="64" t="n"/>
      <c r="T106" s="32" t="n"/>
    </row>
    <row r="107" ht="62" customHeight="1">
      <c r="A107" s="10">
        <f>_xlfn.IMAGE("https://m.media-amazon.com/images/I/81NXdWsawHL.jpg")</f>
        <v/>
      </c>
      <c r="B107" s="32" t="inlineStr">
        <is>
          <t>B0C7FKZ4VG</t>
        </is>
      </c>
      <c r="C107" s="32" t="inlineStr">
        <is>
          <t>SATIN-CHAMPAGNE-KING-6PCS</t>
        </is>
      </c>
      <c r="D107" s="32" t="inlineStr">
        <is>
          <t>DECOLURE Satin Bed Sheets - 6 Piece Luxury Silky King Size Bedding Set - Softer Than Silk, Wrinkle-Free with 15” Deep Pocket Fitted Sheet, Perfect for Hair &amp; Skin, Gifts for Women (Champagne)</t>
        </is>
      </c>
      <c r="E107" s="32" t="inlineStr">
        <is>
          <t>King</t>
        </is>
      </c>
      <c r="F107" s="32" t="inlineStr">
        <is>
          <t>Champagne</t>
        </is>
      </c>
      <c r="G107" s="33" t="n"/>
      <c r="H107" s="32" t="n"/>
      <c r="I107" s="61" t="n">
        <v>49.99</v>
      </c>
      <c r="J107" s="62" t="inlineStr">
        <is>
          <t>2026-03-30</t>
        </is>
      </c>
      <c r="K107" s="33" t="n">
        <v>19.49</v>
      </c>
      <c r="L107" s="63" t="n">
        <v>0.3898779755951191</v>
      </c>
      <c r="M107" s="64" t="n">
        <v>0</v>
      </c>
      <c r="N107" s="32" t="inlineStr">
        <is>
          <t>Active</t>
        </is>
      </c>
      <c r="O107" s="32" t="n"/>
      <c r="P107" s="65" t="n"/>
      <c r="Q107" s="64" t="n"/>
      <c r="R107" s="64" t="n"/>
      <c r="S107" s="64" t="n"/>
      <c r="T107" s="32" t="n"/>
    </row>
    <row r="108" ht="62" customHeight="1">
      <c r="A108" s="10">
        <f>_xlfn.IMAGE("https://m.media-amazon.com/images/I/81PU9JNVXwL.jpg")</f>
        <v/>
      </c>
      <c r="B108" s="32" t="inlineStr">
        <is>
          <t>B0D9QSHBSX</t>
        </is>
      </c>
      <c r="C108" s="32" t="inlineStr">
        <is>
          <t>SATIN-6PC-KING-NAVY BLUE</t>
        </is>
      </c>
      <c r="D108" s="32" t="inlineStr">
        <is>
          <t>DECOLURE Satin Bed Sheets - 6 Piece Luxury Silky King Size Bedding Set - Softer Than Silk, Wrinkle-Free with 15” Deep Pocket Fitted Sheet, Perfect for Hair &amp; Skin, Gifts for Women (Navy Blue)</t>
        </is>
      </c>
      <c r="E108" s="32" t="inlineStr">
        <is>
          <t>King</t>
        </is>
      </c>
      <c r="F108" s="32" t="inlineStr">
        <is>
          <t>Navy Blue</t>
        </is>
      </c>
      <c r="G108" s="33" t="n"/>
      <c r="H108" s="32" t="n"/>
      <c r="I108" s="61" t="n">
        <v>62.82</v>
      </c>
      <c r="J108" s="62" t="inlineStr">
        <is>
          <t>2026-03-26</t>
        </is>
      </c>
      <c r="K108" s="33" t="n">
        <v>30.50999999999999</v>
      </c>
      <c r="L108" s="63" t="n">
        <v>0.4856733524355301</v>
      </c>
      <c r="M108" s="64" t="n"/>
      <c r="N108" s="32" t="inlineStr">
        <is>
          <t>Inactive</t>
        </is>
      </c>
      <c r="O108" s="32" t="n"/>
      <c r="P108" s="65" t="n"/>
      <c r="Q108" s="64" t="n"/>
      <c r="R108" s="64" t="n"/>
      <c r="S108" s="64" t="n"/>
      <c r="T108" s="32" t="n"/>
    </row>
    <row r="109" ht="62" customHeight="1">
      <c r="A109" s="10">
        <f>_xlfn.IMAGE("https://m.media-amazon.com/images/I/81xV5hDfr6L.jpg")</f>
        <v/>
      </c>
      <c r="B109" s="32" t="inlineStr">
        <is>
          <t>B0C7KBKH28</t>
        </is>
      </c>
      <c r="C109" s="32" t="inlineStr">
        <is>
          <t>SATIN-STRIPE-KING-BLUE--6-PCS</t>
        </is>
      </c>
      <c r="D109" s="32" t="inlineStr">
        <is>
          <t>DECOLURE Satin Bed Sheets - 6 Piece Luxury Silky King Size Bedding Set - Softer Than Silk, Wrinkle-Free with 15” Deep Pocket Fitted Sheet, Perfect for Hair &amp; Skin, Gifts for Women (Striped Blue)</t>
        </is>
      </c>
      <c r="E109" s="32" t="inlineStr">
        <is>
          <t>King</t>
        </is>
      </c>
      <c r="F109" s="32" t="inlineStr">
        <is>
          <t>Striped Blue</t>
        </is>
      </c>
      <c r="G109" s="33" t="n"/>
      <c r="H109" s="32" t="n"/>
      <c r="I109" s="61" t="n">
        <v>49.99</v>
      </c>
      <c r="J109" s="62" t="inlineStr">
        <is>
          <t>2026-03-30</t>
        </is>
      </c>
      <c r="K109" s="33" t="n">
        <v>17.47</v>
      </c>
      <c r="L109" s="63" t="n">
        <v>0.3494698939787957</v>
      </c>
      <c r="M109" s="64" t="n"/>
      <c r="N109" s="32" t="inlineStr">
        <is>
          <t>Inactive</t>
        </is>
      </c>
      <c r="O109" s="32" t="n"/>
      <c r="P109" s="65" t="n"/>
      <c r="Q109" s="64" t="n"/>
      <c r="R109" s="64" t="n"/>
      <c r="S109" s="64" t="n"/>
      <c r="T109" s="32" t="n"/>
    </row>
    <row r="110" ht="62" customHeight="1">
      <c r="A110" s="10">
        <f>_xlfn.IMAGE("https://m.media-amazon.com/images/I/91wFGUsQtVL.jpg")</f>
        <v/>
      </c>
      <c r="B110" s="32" t="inlineStr">
        <is>
          <t>B0C7KBFK2P</t>
        </is>
      </c>
      <c r="C110" s="32" t="inlineStr">
        <is>
          <t>SATIN-STRIPE-KING-GOLD--6-PCS</t>
        </is>
      </c>
      <c r="D110" s="32" t="inlineStr">
        <is>
          <t>DECOLURE Satin Bed Sheets - 6 Piece Luxury Silky King Size Bedding Set - Softer Than Silk, Wrinkle-Free with 15” Deep Pocket Fitted Sheet, Perfect for Hair &amp; Skin, Gifts for Women (Striped Gold)</t>
        </is>
      </c>
      <c r="E110" s="32" t="inlineStr">
        <is>
          <t>King</t>
        </is>
      </c>
      <c r="F110" s="32" t="inlineStr">
        <is>
          <t>Striped Gold</t>
        </is>
      </c>
      <c r="G110" s="33" t="n"/>
      <c r="H110" s="32" t="n"/>
      <c r="I110" s="61" t="n">
        <v>49.99</v>
      </c>
      <c r="J110" s="62" t="inlineStr">
        <is>
          <t>2026-03-30</t>
        </is>
      </c>
      <c r="K110" s="33" t="n">
        <v>17.47</v>
      </c>
      <c r="L110" s="63" t="n">
        <v>0.3494698939787957</v>
      </c>
      <c r="M110" s="64" t="n"/>
      <c r="N110" s="32" t="inlineStr">
        <is>
          <t>Inactive</t>
        </is>
      </c>
      <c r="O110" s="32" t="n"/>
      <c r="P110" s="65" t="n"/>
      <c r="Q110" s="64" t="n"/>
      <c r="R110" s="64" t="n"/>
      <c r="S110" s="64" t="n"/>
      <c r="T110" s="32" t="n"/>
    </row>
    <row r="111" ht="62" customHeight="1">
      <c r="A111" s="10">
        <f>_xlfn.IMAGE("https://m.media-amazon.com/images/I/81-NapzaU0L.jpg")</f>
        <v/>
      </c>
      <c r="B111" s="32" t="inlineStr">
        <is>
          <t>B0C7K2LV1N</t>
        </is>
      </c>
      <c r="C111" s="32" t="inlineStr">
        <is>
          <t>SATIN-STRIPE-KING-PINK--6-PCS</t>
        </is>
      </c>
      <c r="D111" s="32" t="inlineStr">
        <is>
          <t>DECOLURE Satin Bed Sheets - 6 Piece Luxury Silky King Size Bedding Set - Softer Than Silk, Wrinkle-Free with 15” Deep Pocket Fitted Sheet, Perfect for Hair &amp; Skin, Gifts for Women (Striped Pink)</t>
        </is>
      </c>
      <c r="E111" s="32" t="inlineStr">
        <is>
          <t>King</t>
        </is>
      </c>
      <c r="F111" s="32" t="inlineStr">
        <is>
          <t>Striped Pink</t>
        </is>
      </c>
      <c r="G111" s="33" t="n"/>
      <c r="H111" s="32" t="n"/>
      <c r="I111" s="61" t="n">
        <v>49.99</v>
      </c>
      <c r="J111" s="62" t="inlineStr">
        <is>
          <t>2026-03-30</t>
        </is>
      </c>
      <c r="K111" s="33" t="n">
        <v>17.96</v>
      </c>
      <c r="L111" s="63" t="n">
        <v>0.3592718543708742</v>
      </c>
      <c r="M111" s="64" t="n"/>
      <c r="N111" s="32" t="inlineStr">
        <is>
          <t>Inactive</t>
        </is>
      </c>
      <c r="O111" s="32" t="n"/>
      <c r="P111" s="65" t="n"/>
      <c r="Q111" s="64" t="n"/>
      <c r="R111" s="64" t="n"/>
      <c r="S111" s="64" t="n"/>
      <c r="T111" s="32" t="n"/>
    </row>
    <row r="112" ht="62" customHeight="1">
      <c r="A112" s="10">
        <f>_xlfn.IMAGE("https://m.media-amazon.com/images/I/81Lq8U6Oz8L.jpg")</f>
        <v/>
      </c>
      <c r="B112" s="32" t="inlineStr">
        <is>
          <t>B0D9QTV7S6</t>
        </is>
      </c>
      <c r="C112" s="32" t="inlineStr">
        <is>
          <t>SATIN-6PC-QUEEN-BURNT ORANGE</t>
        </is>
      </c>
      <c r="D112" s="32" t="inlineStr">
        <is>
          <t>DECOLURE Satin Bed Sheets - 6 Piece Luxury Silky Queen Size Bedding Set - Softer Than Silk, Wrinkle-Free with 15” Deep Pocket Fitted Sheet, Perfect for Hair &amp; Skin, Gifts for Women (Burnt Orange)</t>
        </is>
      </c>
      <c r="E112" s="32" t="inlineStr">
        <is>
          <t>Queen</t>
        </is>
      </c>
      <c r="F112" s="32" t="inlineStr">
        <is>
          <t>Burnt Orange</t>
        </is>
      </c>
      <c r="G112" s="33" t="n"/>
      <c r="H112" s="32" t="n"/>
      <c r="I112" s="61" t="n">
        <v>59.54</v>
      </c>
      <c r="J112" s="62" t="inlineStr">
        <is>
          <t>2026-03-30</t>
        </is>
      </c>
      <c r="K112" s="33" t="n">
        <v>22.54000000000001</v>
      </c>
      <c r="L112" s="63" t="n">
        <v>0.3785690292240512</v>
      </c>
      <c r="M112" s="64" t="n">
        <v>0</v>
      </c>
      <c r="N112" s="32" t="inlineStr">
        <is>
          <t>Active</t>
        </is>
      </c>
      <c r="O112" s="32" t="n"/>
      <c r="P112" s="65" t="n"/>
      <c r="Q112" s="64" t="n"/>
      <c r="R112" s="64" t="n"/>
      <c r="S112" s="64" t="n"/>
      <c r="T112" s="32" t="n"/>
    </row>
    <row r="113" ht="62" customHeight="1">
      <c r="A113" s="10">
        <f>_xlfn.IMAGE("https://m.media-amazon.com/images/I/81u38yfz4ML.jpg")</f>
        <v/>
      </c>
      <c r="B113" s="32" t="inlineStr">
        <is>
          <t>B0C7FPM5CR</t>
        </is>
      </c>
      <c r="C113" s="32" t="inlineStr">
        <is>
          <t>SATIN-GOLD-QUEEN-6PCS</t>
        </is>
      </c>
      <c r="D113" s="32" t="inlineStr">
        <is>
          <t>DECOLURE Satin Bed Sheets - 6 Piece Luxury Silky Queen Size Bedding Set - Softer Than Silk, Wrinkle-Free with 15” Deep Pocket Fitted Sheet, Perfect for Hair &amp; Skin, Gifts for Women (Gold)</t>
        </is>
      </c>
      <c r="E113" s="32" t="inlineStr">
        <is>
          <t>Queen</t>
        </is>
      </c>
      <c r="F113" s="32" t="inlineStr">
        <is>
          <t>Gold</t>
        </is>
      </c>
      <c r="G113" s="33" t="n"/>
      <c r="H113" s="32" t="n"/>
      <c r="I113" s="61" t="n">
        <v>47.99</v>
      </c>
      <c r="J113" s="62" t="inlineStr">
        <is>
          <t>2026-03-30</t>
        </is>
      </c>
      <c r="K113" s="33" t="n">
        <v>19.88</v>
      </c>
      <c r="L113" s="63" t="n">
        <v>0.4142529693686183</v>
      </c>
      <c r="M113" s="64" t="n">
        <v>0</v>
      </c>
      <c r="N113" s="32" t="inlineStr">
        <is>
          <t>Active</t>
        </is>
      </c>
      <c r="O113" s="32" t="n"/>
      <c r="P113" s="65" t="n"/>
      <c r="Q113" s="64" t="n"/>
      <c r="R113" s="64" t="n"/>
      <c r="S113" s="64" t="n"/>
      <c r="T113" s="32" t="n"/>
    </row>
    <row r="114" ht="62" customHeight="1">
      <c r="A114" s="10">
        <f>_xlfn.IMAGE("https://m.media-amazon.com/images/I/91wFGUsQtVL.jpg")</f>
        <v/>
      </c>
      <c r="B114" s="32" t="inlineStr">
        <is>
          <t>B0C7K92CTB</t>
        </is>
      </c>
      <c r="C114" s="32" t="inlineStr">
        <is>
          <t>SATIN-STRIPE-QUEEN-GOLD--6-PCS</t>
        </is>
      </c>
      <c r="D114" s="32" t="inlineStr">
        <is>
          <t>DECOLURE Satin Bed Sheets - 6 Piece Luxury Silky Queen Size Bedding Set - Softer Than Silk, Wrinkle-Free with 15” Deep Pocket Fitted Sheet, Perfect for Hair &amp; Skin, Gifts for Women (Striped Gold)</t>
        </is>
      </c>
      <c r="E114" s="32" t="inlineStr">
        <is>
          <t>Queen</t>
        </is>
      </c>
      <c r="F114" s="32" t="inlineStr">
        <is>
          <t>Striped Gold</t>
        </is>
      </c>
      <c r="G114" s="33" t="n"/>
      <c r="H114" s="32" t="n"/>
      <c r="I114" s="61" t="n">
        <v>47.99</v>
      </c>
      <c r="J114" s="62" t="inlineStr">
        <is>
          <t>2026-03-30</t>
        </is>
      </c>
      <c r="K114" s="33" t="n">
        <v>17.43</v>
      </c>
      <c r="L114" s="63" t="n">
        <v>0.3632006668055845</v>
      </c>
      <c r="M114" s="64" t="n">
        <v>0</v>
      </c>
      <c r="N114" s="32" t="inlineStr">
        <is>
          <t>Active</t>
        </is>
      </c>
      <c r="O114" s="32" t="n"/>
      <c r="P114" s="65" t="n"/>
      <c r="Q114" s="64" t="n"/>
      <c r="R114" s="64" t="n"/>
      <c r="S114" s="64" t="n"/>
      <c r="T114" s="32" t="n"/>
    </row>
    <row r="115" ht="62" customHeight="1">
      <c r="A115" s="10">
        <f>_xlfn.IMAGE("https://m.media-amazon.com/images/I/81v12xURZRL.jpg")</f>
        <v/>
      </c>
      <c r="B115" s="32" t="inlineStr">
        <is>
          <t>B0C7JQ8266</t>
        </is>
      </c>
      <c r="C115" s="32" t="inlineStr">
        <is>
          <t>SATIN-STRIPE-QUEEN-WHITE--6-PCS</t>
        </is>
      </c>
      <c r="D115" s="32" t="inlineStr">
        <is>
          <t>DECOLURE Satin Bed Sheets - 6 Piece Luxury Silky Queen Size Bedding Set - Softer Than Silk, Wrinkle-Free with 15” Deep Pocket Fitted Sheet, Perfect for Hair &amp; Skin, Gifts for Women (Striped White)</t>
        </is>
      </c>
      <c r="E115" s="32" t="inlineStr">
        <is>
          <t>Queen</t>
        </is>
      </c>
      <c r="F115" s="32" t="inlineStr">
        <is>
          <t>Striped White</t>
        </is>
      </c>
      <c r="G115" s="33" t="n"/>
      <c r="H115" s="32" t="n"/>
      <c r="I115" s="61" t="n">
        <v>47.99</v>
      </c>
      <c r="J115" s="62" t="inlineStr">
        <is>
          <t>2026-03-30</t>
        </is>
      </c>
      <c r="K115" s="33" t="n">
        <v>18.19</v>
      </c>
      <c r="L115" s="63" t="n">
        <v>0.3790372994373827</v>
      </c>
      <c r="M115" s="64" t="n">
        <v>0</v>
      </c>
      <c r="N115" s="32" t="inlineStr">
        <is>
          <t>Active</t>
        </is>
      </c>
      <c r="O115" s="32" t="n"/>
      <c r="P115" s="65" t="n"/>
      <c r="Q115" s="64" t="n"/>
      <c r="R115" s="64" t="n"/>
      <c r="S115" s="64" t="n"/>
      <c r="T115" s="32" t="n"/>
    </row>
    <row r="116" ht="62" customHeight="1">
      <c r="A116" s="10">
        <f>_xlfn.IMAGE("https://m.media-amazon.com/images/I/81Z3bEG6bxL.jpg")</f>
        <v/>
      </c>
      <c r="B116" s="32" t="inlineStr">
        <is>
          <t>B0C7FK58RV</t>
        </is>
      </c>
      <c r="C116" s="32" t="inlineStr">
        <is>
          <t>SATIN-TAUPE-QUEEN-6PCS</t>
        </is>
      </c>
      <c r="D116" s="32" t="inlineStr">
        <is>
          <t>DECOLURE Satin Bed Sheets - 6 Piece Luxury Silky Queen Size Bedding Set - Softer Than Silk, Wrinkle-Free with 15” Deep Pocket Fitted Sheet, Perfect for Hair &amp; Skin, Gifts for Women (Taupe)</t>
        </is>
      </c>
      <c r="E116" s="32" t="inlineStr">
        <is>
          <t>Queen</t>
        </is>
      </c>
      <c r="F116" s="32" t="inlineStr">
        <is>
          <t>Taupe</t>
        </is>
      </c>
      <c r="G116" s="33" t="n"/>
      <c r="H116" s="32" t="n"/>
      <c r="I116" s="61" t="n">
        <v>47.99</v>
      </c>
      <c r="J116" s="62" t="inlineStr">
        <is>
          <t>2026-03-30</t>
        </is>
      </c>
      <c r="K116" s="33" t="n">
        <v>18.79</v>
      </c>
      <c r="L116" s="63" t="n">
        <v>0.3915399041466972</v>
      </c>
      <c r="M116" s="64" t="n">
        <v>0</v>
      </c>
      <c r="N116" s="32" t="inlineStr">
        <is>
          <t>Active</t>
        </is>
      </c>
      <c r="O116" s="32" t="n"/>
      <c r="P116" s="65" t="n"/>
      <c r="Q116" s="64" t="n"/>
      <c r="R116" s="64" t="n"/>
      <c r="S116" s="64" t="n"/>
      <c r="T116" s="32" t="n"/>
    </row>
    <row r="117" ht="62" customHeight="1">
      <c r="A117" s="10">
        <f>_xlfn.IMAGE("https://m.media-amazon.com/images/I/81OT2-k0G5L.jpg")</f>
        <v/>
      </c>
      <c r="B117" s="32" t="inlineStr">
        <is>
          <t>B0D9QTQGSJ</t>
        </is>
      </c>
      <c r="C117" s="32" t="n"/>
      <c r="D117" s="32" t="inlineStr">
        <is>
          <t>DECOLURE Satin Bed Sheets - 4 Piece Luxury Silky Twin Size Bedding Set - Softer Than Silk, Wrinkle-Free with 15” Deep Pocket Fitted Sheet, Perfect for Hair &amp; Skin, Gifts for Women (Baby Blue)</t>
        </is>
      </c>
      <c r="E117" s="32" t="inlineStr">
        <is>
          <t>Twin</t>
        </is>
      </c>
      <c r="F117" s="32" t="inlineStr">
        <is>
          <t>Baby Blue</t>
        </is>
      </c>
      <c r="G117" s="33" t="n"/>
      <c r="H117" s="32" t="n"/>
      <c r="I117" s="33" t="n"/>
      <c r="J117" s="32" t="n"/>
      <c r="K117" s="33" t="n"/>
      <c r="L117" s="63" t="n"/>
      <c r="M117" s="64" t="n"/>
      <c r="N117" s="32" t="inlineStr">
        <is>
          <t>Active</t>
        </is>
      </c>
      <c r="O117" s="32" t="n"/>
      <c r="P117" s="65" t="n"/>
      <c r="Q117" s="64" t="n"/>
      <c r="R117" s="64" t="n"/>
      <c r="S117" s="64" t="n"/>
      <c r="T117" s="32" t="n"/>
    </row>
    <row r="118" ht="62" customHeight="1">
      <c r="A118" s="10">
        <f>_xlfn.IMAGE("https://m.media-amazon.com/images/I/51lncsgLtjL.jpg")</f>
        <v/>
      </c>
      <c r="B118" s="32" t="inlineStr">
        <is>
          <t>B0918MD781</t>
        </is>
      </c>
      <c r="C118" s="32" t="inlineStr">
        <is>
          <t>SATIN-TWIN-BLACK-6PC</t>
        </is>
      </c>
      <c r="D118" s="32" t="inlineStr">
        <is>
          <t>DECOLURE Satin Sheets Twin (4 Pieces, 8 Colors), Silky Satin Sheet Set -Satin Bed Set with Pillowcase, Satin Fitted Sheet - Black Satin Sheets, Satin Bed Sheets Twin, Satin Bedding Set</t>
        </is>
      </c>
      <c r="E118" s="32" t="inlineStr">
        <is>
          <t>Twin</t>
        </is>
      </c>
      <c r="F118" s="32" t="inlineStr">
        <is>
          <t>Black Satin Sheets, Satin Bed Sheets Twin, Satin Bedding Set</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10">
        <f>_xlfn.IMAGE("https://m.media-amazon.com/images/I/81pfKYhsMoL.jpg")</f>
        <v/>
      </c>
      <c r="B119" s="32" t="inlineStr">
        <is>
          <t>B0C7FFM7L9</t>
        </is>
      </c>
      <c r="C119" s="32" t="inlineStr">
        <is>
          <t>SATIN-TWIN-BLUE-6PCS</t>
        </is>
      </c>
      <c r="D119" s="32" t="inlineStr">
        <is>
          <t>DECOLURE Satin Bed Sheets - 4 Piece Luxury Silky Twin Size Bedding Set - Softer Than Silk, Wrinkle-Free with 15” Deep Pocket Fitted Sheet, Perfect for Hair &amp; Skin, Gifts for Women (Blue)</t>
        </is>
      </c>
      <c r="E119" s="32" t="inlineStr">
        <is>
          <t>Twin</t>
        </is>
      </c>
      <c r="F119" s="32" t="inlineStr">
        <is>
          <t>Blue</t>
        </is>
      </c>
      <c r="G119" s="33" t="n"/>
      <c r="H119" s="32" t="n"/>
      <c r="I119" s="61" t="n">
        <v>39.99</v>
      </c>
      <c r="J119" s="62" t="inlineStr">
        <is>
          <t>2026-03-30</t>
        </is>
      </c>
      <c r="K119" s="33" t="n">
        <v>15.85</v>
      </c>
      <c r="L119" s="63" t="n">
        <v>0.3963490872718179</v>
      </c>
      <c r="M119" s="64" t="n">
        <v>0</v>
      </c>
      <c r="N119" s="32" t="inlineStr">
        <is>
          <t>Active</t>
        </is>
      </c>
      <c r="O119" s="32" t="n"/>
      <c r="P119" s="65" t="n"/>
      <c r="Q119" s="64" t="n"/>
      <c r="R119" s="64" t="n"/>
      <c r="S119" s="64" t="n"/>
      <c r="T119" s="32" t="n"/>
    </row>
    <row r="120" ht="62" customHeight="1">
      <c r="A120" s="10">
        <f>_xlfn.IMAGE("https://m.media-amazon.com/images/I/81z6+tLQ6rL.jpg")</f>
        <v/>
      </c>
      <c r="B120" s="32" t="inlineStr">
        <is>
          <t>B0D9QQ99HB</t>
        </is>
      </c>
      <c r="C120" s="32" t="n"/>
      <c r="D120" s="32" t="inlineStr">
        <is>
          <t>DECOLURE Satin Bed Sheets - 4 Piece Luxury Silky Twin Size Bedding Set - Softer Than Silk, Wrinkle-Free with 15” Deep Pocket Fitted Sheet, Perfect for Hair &amp; Skin, Gifts for Women (Blush Pink)</t>
        </is>
      </c>
      <c r="E120" s="32" t="inlineStr">
        <is>
          <t>Twin</t>
        </is>
      </c>
      <c r="F120" s="32" t="inlineStr">
        <is>
          <t>Blush Pink</t>
        </is>
      </c>
      <c r="G120" s="33" t="n"/>
      <c r="H120" s="32" t="n"/>
      <c r="I120" s="33" t="n"/>
      <c r="J120" s="32" t="n"/>
      <c r="K120" s="33" t="n"/>
      <c r="L120" s="63" t="n"/>
      <c r="M120" s="64" t="n"/>
      <c r="N120" s="32" t="inlineStr">
        <is>
          <t>Active</t>
        </is>
      </c>
      <c r="O120" s="32" t="n"/>
      <c r="P120" s="65" t="n"/>
      <c r="Q120" s="64" t="n"/>
      <c r="R120" s="64" t="n"/>
      <c r="S120" s="64" t="n"/>
      <c r="T120" s="32" t="n"/>
    </row>
    <row r="121" ht="62" customHeight="1">
      <c r="A121" s="10">
        <f>_xlfn.IMAGE("https://m.media-amazon.com/images/I/81xslWeND-L.jpg")</f>
        <v/>
      </c>
      <c r="B121" s="32" t="inlineStr">
        <is>
          <t>B0D9QSQ8W7</t>
        </is>
      </c>
      <c r="C121" s="32" t="n"/>
      <c r="D121" s="32" t="inlineStr">
        <is>
          <t>DECOLURE Satin Bed Sheets - 4 Piece Luxury Silky Twin Size Bedding Set - Softer Than Silk, Wrinkle-Free with 15” Deep Pocket Fitted Sheet, Perfect for Hair &amp; Skin, Gifts for Women (Burnt Orange)</t>
        </is>
      </c>
      <c r="E121" s="32" t="inlineStr">
        <is>
          <t>Twin</t>
        </is>
      </c>
      <c r="F121" s="32" t="inlineStr">
        <is>
          <t>Burnt Orange</t>
        </is>
      </c>
      <c r="G121" s="33" t="n"/>
      <c r="H121" s="32" t="n"/>
      <c r="I121" s="33" t="n"/>
      <c r="J121" s="32" t="n"/>
      <c r="K121" s="33" t="n"/>
      <c r="L121" s="63" t="n"/>
      <c r="M121" s="64" t="n"/>
      <c r="N121" s="32" t="inlineStr">
        <is>
          <t>Active</t>
        </is>
      </c>
      <c r="O121" s="32" t="n"/>
      <c r="P121" s="65" t="n"/>
      <c r="Q121" s="64" t="n"/>
      <c r="R121" s="64" t="n"/>
      <c r="S121" s="64" t="n"/>
      <c r="T121" s="32" t="n"/>
    </row>
    <row r="122" ht="62" customHeight="1">
      <c r="A122" s="10">
        <f>_xlfn.IMAGE("https://m.media-amazon.com/images/I/81WPJBv71TL.jpg")</f>
        <v/>
      </c>
      <c r="B122" s="32" t="inlineStr">
        <is>
          <t>B0C7FLZ6S8</t>
        </is>
      </c>
      <c r="C122" s="32" t="inlineStr">
        <is>
          <t>SATIN-CHAMPAGNE-TWIN-6PCS</t>
        </is>
      </c>
      <c r="D122" s="32" t="inlineStr">
        <is>
          <t>DECOLURE Satin Bed Sheets - 4 Piece Luxury Silky Twin Size Bedding Set - Softer Than Silk, Wrinkle-Free with 15” Deep Pocket Fitted Sheet, Perfect for Hair &amp; Skin, Gifts for Women (Champagne)</t>
        </is>
      </c>
      <c r="E122" s="32" t="inlineStr">
        <is>
          <t>Twin</t>
        </is>
      </c>
      <c r="F122" s="32" t="inlineStr">
        <is>
          <t>Champagne</t>
        </is>
      </c>
      <c r="G122" s="33" t="n"/>
      <c r="H122" s="32" t="n"/>
      <c r="I122" s="61" t="n">
        <v>39.99</v>
      </c>
      <c r="J122" s="62" t="inlineStr">
        <is>
          <t>2026-03-30</t>
        </is>
      </c>
      <c r="K122" s="33" t="n">
        <v>15.45</v>
      </c>
      <c r="L122" s="63" t="n">
        <v>0.3863465866466617</v>
      </c>
      <c r="M122" s="64" t="n">
        <v>0</v>
      </c>
      <c r="N122" s="32" t="inlineStr">
        <is>
          <t>Active</t>
        </is>
      </c>
      <c r="O122" s="32" t="n"/>
      <c r="P122" s="65" t="n"/>
      <c r="Q122" s="64" t="n"/>
      <c r="R122" s="64" t="n"/>
      <c r="S122" s="64" t="n"/>
      <c r="T122" s="32" t="n"/>
    </row>
    <row r="123" ht="62" customHeight="1">
      <c r="A123" s="10">
        <f>_xlfn.IMAGE("https://m.media-amazon.com/images/I/81Gw0km1nlL.jpg")</f>
        <v/>
      </c>
      <c r="B123" s="32" t="inlineStr">
        <is>
          <t>B0D9QRPTXQ</t>
        </is>
      </c>
      <c r="C123" s="32" t="n"/>
      <c r="D123" s="32" t="inlineStr">
        <is>
          <t>DECOLURE Satin Bed Sheets - 4 Piece Luxury Silky Twin Size Bedding Set - Softer Than Silk, Wrinkle-Free with 15” Deep Pocket Fitted Sheet, Perfect for Hair &amp; Skin, Gifts for Women (Dark Green)</t>
        </is>
      </c>
      <c r="E123" s="32" t="inlineStr">
        <is>
          <t>Twin</t>
        </is>
      </c>
      <c r="F123" s="32" t="inlineStr">
        <is>
          <t>Dark Green</t>
        </is>
      </c>
      <c r="G123" s="33" t="n"/>
      <c r="H123" s="32" t="n"/>
      <c r="I123" s="33" t="n"/>
      <c r="J123" s="32" t="n"/>
      <c r="K123" s="33" t="n"/>
      <c r="L123" s="63" t="n"/>
      <c r="M123" s="64" t="n"/>
      <c r="N123" s="32" t="inlineStr">
        <is>
          <t>Active</t>
        </is>
      </c>
      <c r="O123" s="32" t="n"/>
      <c r="P123" s="65" t="n"/>
      <c r="Q123" s="64" t="n"/>
      <c r="R123" s="64" t="n"/>
      <c r="S123" s="64" t="n"/>
      <c r="T123" s="32" t="n"/>
    </row>
    <row r="124" ht="62" customHeight="1">
      <c r="A124" s="10">
        <f>_xlfn.IMAGE("https://m.media-amazon.com/images/I/81GTdnhbh2L.jpg")</f>
        <v/>
      </c>
      <c r="B124" s="32" t="inlineStr">
        <is>
          <t>B0C7FM1K6P</t>
        </is>
      </c>
      <c r="C124" s="32" t="inlineStr">
        <is>
          <t>SATIN-IVORY-TWIN-6PCS</t>
        </is>
      </c>
      <c r="D124" s="32" t="inlineStr">
        <is>
          <t>DECOLURE Satin Bed Sheets - 4 Piece Luxury Silky Twin Size Bedding Set - Softer Than Silk, Wrinkle-Free with 15” Deep Pocket Fitted Sheet, Perfect for Hair &amp; Skin, Gifts for Women (Ivory)</t>
        </is>
      </c>
      <c r="E124" s="32" t="inlineStr">
        <is>
          <t>Twin</t>
        </is>
      </c>
      <c r="F124" s="32" t="inlineStr">
        <is>
          <t>Ivory</t>
        </is>
      </c>
      <c r="G124" s="33" t="n"/>
      <c r="H124" s="32" t="n"/>
      <c r="I124" s="61" t="n">
        <v>39.99</v>
      </c>
      <c r="J124" s="62" t="inlineStr">
        <is>
          <t>2026-03-30</t>
        </is>
      </c>
      <c r="K124" s="33" t="n">
        <v>16.27</v>
      </c>
      <c r="L124" s="63" t="n">
        <v>0.4068517129282321</v>
      </c>
      <c r="M124" s="64" t="n">
        <v>0</v>
      </c>
      <c r="N124" s="32" t="inlineStr">
        <is>
          <t>Active</t>
        </is>
      </c>
      <c r="O124" s="32" t="n"/>
      <c r="P124" s="65" t="n"/>
      <c r="Q124" s="64" t="n"/>
      <c r="R124" s="64" t="n"/>
      <c r="S124" s="64" t="n"/>
      <c r="T124" s="32" t="n"/>
    </row>
    <row r="125" ht="62" customHeight="1">
      <c r="A125" s="10">
        <f>_xlfn.IMAGE("https://m.media-amazon.com/images/I/814pweSkMgL.jpg")</f>
        <v/>
      </c>
      <c r="B125" s="32" t="inlineStr">
        <is>
          <t>B0D9QTXKQ8</t>
        </is>
      </c>
      <c r="C125" s="32" t="n"/>
      <c r="D125" s="32" t="inlineStr">
        <is>
          <t>DECOLURE Satin Bed Sheets - 4 Piece Luxury Silky Twin Size Bedding Set - Softer Than Silk, Wrinkle-Free with 15” Deep Pocket Fitted Sheet, Perfect for Hair &amp; Skin, Gifts for Women (Lavender)</t>
        </is>
      </c>
      <c r="E125" s="32" t="inlineStr">
        <is>
          <t>Twin</t>
        </is>
      </c>
      <c r="F125" s="32" t="inlineStr">
        <is>
          <t>Lavender</t>
        </is>
      </c>
      <c r="G125" s="33" t="n"/>
      <c r="H125" s="32" t="n"/>
      <c r="I125" s="33" t="n"/>
      <c r="J125" s="32" t="n"/>
      <c r="K125" s="33" t="n"/>
      <c r="L125" s="63" t="n"/>
      <c r="M125" s="64" t="n"/>
      <c r="N125" s="32" t="inlineStr">
        <is>
          <t>Active</t>
        </is>
      </c>
      <c r="O125" s="32" t="n"/>
      <c r="P125" s="65" t="n"/>
      <c r="Q125" s="64" t="n"/>
      <c r="R125" s="64" t="n"/>
      <c r="S125" s="64" t="n"/>
      <c r="T125" s="32" t="n"/>
    </row>
    <row r="126" ht="62" customHeight="1">
      <c r="A126" s="10">
        <f>_xlfn.IMAGE("https://m.media-amazon.com/images/I/81Y-A5xTlcL.jpg")</f>
        <v/>
      </c>
      <c r="B126" s="32" t="inlineStr">
        <is>
          <t>B0D9QSYXL8</t>
        </is>
      </c>
      <c r="C126" s="32" t="n"/>
      <c r="D126" s="32" t="inlineStr">
        <is>
          <t>DECOLURE Satin Bed Sheets - 4 Piece Luxury Silky Twin Size Bedding Set - Softer Than Silk, Wrinkle-Free with 15” Deep Pocket Fitted Sheet, Perfect for Hair &amp; Skin, Gifts for Women (Navy Blue)</t>
        </is>
      </c>
      <c r="E126" s="32" t="inlineStr">
        <is>
          <t>Twin</t>
        </is>
      </c>
      <c r="F126" s="32" t="inlineStr">
        <is>
          <t>Navy Blue</t>
        </is>
      </c>
      <c r="G126" s="33" t="n"/>
      <c r="H126" s="32" t="n"/>
      <c r="I126" s="33" t="n"/>
      <c r="J126" s="32" t="n"/>
      <c r="K126" s="33" t="n"/>
      <c r="L126" s="63" t="n"/>
      <c r="M126" s="64" t="n"/>
      <c r="N126" s="32" t="inlineStr">
        <is>
          <t>Active</t>
        </is>
      </c>
      <c r="O126" s="32" t="n"/>
      <c r="P126" s="65" t="n"/>
      <c r="Q126" s="64" t="n"/>
      <c r="R126" s="64" t="n"/>
      <c r="S126" s="64" t="n"/>
      <c r="T126" s="32" t="n"/>
    </row>
    <row r="127" ht="62" customHeight="1">
      <c r="A127" s="10">
        <f>_xlfn.IMAGE("https://m.media-amazon.com/images/I/81DvfRbabuL.jpg")</f>
        <v/>
      </c>
      <c r="B127" s="32" t="inlineStr">
        <is>
          <t>B0C7FKPZNT</t>
        </is>
      </c>
      <c r="C127" s="32" t="inlineStr">
        <is>
          <t>SATIN-TWIN-PINK-6PCS</t>
        </is>
      </c>
      <c r="D127" s="32" t="inlineStr">
        <is>
          <t>DECOLURE Satin Bed Sheets - 4 Piece Luxury Silky Twin Size Bedding Set - Softer Than Silk, Wrinkle-Free with 15” Deep Pocket Fitted Sheet, Perfect for Hair &amp; Skin, Gifts for Women (Pink)</t>
        </is>
      </c>
      <c r="E127" s="32" t="inlineStr">
        <is>
          <t>Twin</t>
        </is>
      </c>
      <c r="F127" s="32" t="inlineStr">
        <is>
          <t>Pink</t>
        </is>
      </c>
      <c r="G127" s="33" t="n"/>
      <c r="H127" s="32" t="n"/>
      <c r="I127" s="61" t="n">
        <v>39.99</v>
      </c>
      <c r="J127" s="62" t="inlineStr">
        <is>
          <t>2026-03-30</t>
        </is>
      </c>
      <c r="K127" s="33" t="n">
        <v>16.09</v>
      </c>
      <c r="L127" s="63" t="n">
        <v>0.4023505876469117</v>
      </c>
      <c r="M127" s="64" t="n">
        <v>0</v>
      </c>
      <c r="N127" s="32" t="inlineStr">
        <is>
          <t>Active</t>
        </is>
      </c>
      <c r="O127" s="32" t="n"/>
      <c r="P127" s="65" t="n"/>
      <c r="Q127" s="64" t="n"/>
      <c r="R127" s="64" t="n"/>
      <c r="S127" s="64" t="n"/>
      <c r="T127" s="32" t="n"/>
    </row>
    <row r="128" ht="62" customHeight="1">
      <c r="A128" s="10">
        <f>_xlfn.IMAGE("https://m.media-amazon.com/images/I/81Brwb+ofkL.jpg")</f>
        <v/>
      </c>
      <c r="B128" s="32" t="inlineStr">
        <is>
          <t>B0D9QRVYMT</t>
        </is>
      </c>
      <c r="C128" s="32" t="n"/>
      <c r="D128" s="32" t="inlineStr">
        <is>
          <t>DECOLURE Satin Bed Sheets - 4 Piece Luxury Silky Twin Size Bedding Set - Softer Than Silk, Wrinkle-Free with 15” Deep Pocket Fitted Sheet, Perfect for Hair &amp; Skin, Gifts for Women (Sage Green)</t>
        </is>
      </c>
      <c r="E128" s="32" t="inlineStr">
        <is>
          <t>Twin</t>
        </is>
      </c>
      <c r="F128" s="32" t="inlineStr">
        <is>
          <t>Sage Green</t>
        </is>
      </c>
      <c r="G128" s="33" t="n"/>
      <c r="H128" s="32" t="n"/>
      <c r="I128" s="33" t="n"/>
      <c r="J128" s="32" t="n"/>
      <c r="K128" s="33" t="n"/>
      <c r="L128" s="63" t="n"/>
      <c r="M128" s="64" t="n"/>
      <c r="N128" s="32" t="inlineStr">
        <is>
          <t>Active</t>
        </is>
      </c>
      <c r="O128" s="32" t="n"/>
      <c r="P128" s="65" t="n"/>
      <c r="Q128" s="64" t="n"/>
      <c r="R128" s="64" t="n"/>
      <c r="S128" s="64" t="n"/>
      <c r="T128" s="32" t="n"/>
    </row>
    <row r="129" ht="62" customHeight="1">
      <c r="A129" s="10">
        <f>_xlfn.IMAGE("https://m.media-amazon.com/images/I/81iitr63ZVL.jpg")</f>
        <v/>
      </c>
      <c r="B129" s="32" t="inlineStr">
        <is>
          <t>B0C7FF3CWB</t>
        </is>
      </c>
      <c r="C129" s="32" t="inlineStr">
        <is>
          <t>SATIN-SEA-TEAL-TWIN-6PCS</t>
        </is>
      </c>
      <c r="D129" s="32" t="inlineStr">
        <is>
          <t>DECOLURE Satin Bed Sheets - 4 Piece Luxury Silky Twin Size Bedding Set - Softer Than Silk, Wrinkle-Free with 15” Deep Pocket Fitted Sheet, Perfect for Hair &amp; Skin, Gifts for Women (Sea Teal)</t>
        </is>
      </c>
      <c r="E129" s="32" t="inlineStr">
        <is>
          <t>Twin</t>
        </is>
      </c>
      <c r="F129" s="32" t="inlineStr">
        <is>
          <t>Sea Teal</t>
        </is>
      </c>
      <c r="G129" s="33" t="n"/>
      <c r="H129" s="32" t="n"/>
      <c r="I129" s="61" t="n">
        <v>39.99</v>
      </c>
      <c r="J129" s="62" t="inlineStr">
        <is>
          <t>2026-03-30</t>
        </is>
      </c>
      <c r="K129" s="33" t="n">
        <v>16.97</v>
      </c>
      <c r="L129" s="63" t="n">
        <v>0.4243560890222555</v>
      </c>
      <c r="M129" s="64" t="n">
        <v>0</v>
      </c>
      <c r="N129" s="32" t="inlineStr">
        <is>
          <t>Active</t>
        </is>
      </c>
      <c r="O129" s="32" t="n"/>
      <c r="P129" s="65" t="n"/>
      <c r="Q129" s="64" t="n"/>
      <c r="R129" s="64" t="n"/>
      <c r="S129" s="64" t="n"/>
      <c r="T129" s="32" t="n"/>
    </row>
    <row r="130" ht="62" customHeight="1">
      <c r="A130" s="10">
        <f>_xlfn.IMAGE("https://m.media-amazon.com/images/I/81tof11clrL.jpg")</f>
        <v/>
      </c>
      <c r="B130" s="32" t="inlineStr">
        <is>
          <t>B0C7F9HG21</t>
        </is>
      </c>
      <c r="C130" s="32" t="inlineStr">
        <is>
          <t>SATIN-STONEGREY-TWIN-6PCS</t>
        </is>
      </c>
      <c r="D130" s="32" t="inlineStr">
        <is>
          <t>DECOLURE Satin Bed Sheets - 4 Piece Luxury Silky Twin Size Bedding Set - Softer Than Silk, Wrinkle-Free with 15” Deep Pocket Fitted Sheet, Perfect for Hair &amp; Skin, Gifts for Women (Stone Grey)</t>
        </is>
      </c>
      <c r="E130" s="32" t="inlineStr">
        <is>
          <t>Twin</t>
        </is>
      </c>
      <c r="F130" s="32" t="inlineStr">
        <is>
          <t>Stone Grey</t>
        </is>
      </c>
      <c r="G130" s="33" t="n"/>
      <c r="H130" s="32" t="n"/>
      <c r="I130" s="61" t="n">
        <v>39.99</v>
      </c>
      <c r="J130" s="62" t="inlineStr">
        <is>
          <t>2026-03-30</t>
        </is>
      </c>
      <c r="K130" s="33" t="n">
        <v>16.97</v>
      </c>
      <c r="L130" s="63" t="n">
        <v>0.4243560890222555</v>
      </c>
      <c r="M130" s="64" t="n">
        <v>0</v>
      </c>
      <c r="N130" s="32" t="inlineStr">
        <is>
          <t>Active</t>
        </is>
      </c>
      <c r="O130" s="32" t="n"/>
      <c r="P130" s="65" t="n"/>
      <c r="Q130" s="64" t="n"/>
      <c r="R130" s="64" t="n"/>
      <c r="S130" s="64" t="n"/>
      <c r="T130" s="32" t="n"/>
    </row>
    <row r="131" ht="62" customHeight="1">
      <c r="A131" s="10">
        <f>_xlfn.IMAGE("https://m.media-amazon.com/images/I/81NTDmYCSHL.jpg")</f>
        <v/>
      </c>
      <c r="B131" s="32" t="inlineStr">
        <is>
          <t>B0C7K5TSRR</t>
        </is>
      </c>
      <c r="C131" s="32" t="inlineStr">
        <is>
          <t>SATIN-STRIPE-TWIN-GOLD--6-PCS</t>
        </is>
      </c>
      <c r="D131" s="32" t="inlineStr">
        <is>
          <t>DECOLURE Satin Bed Sheets - 4 Piece Luxury Silky Twin Size Bedding Set - Softer Than Silk, Wrinkle-Free with 15” Deep Pocket Fitted Sheet, Perfect for Hair &amp; Skin, Gifts for Women (Striped Gold)</t>
        </is>
      </c>
      <c r="E131" s="32" t="inlineStr">
        <is>
          <t>Twin</t>
        </is>
      </c>
      <c r="F131" s="32" t="inlineStr">
        <is>
          <t>Striped Gold</t>
        </is>
      </c>
      <c r="G131" s="33" t="n"/>
      <c r="H131" s="32" t="n"/>
      <c r="I131" s="61" t="n">
        <v>48.39</v>
      </c>
      <c r="J131" s="62" t="inlineStr">
        <is>
          <t>2026-03-30</t>
        </is>
      </c>
      <c r="K131" s="33" t="n">
        <v>16.25</v>
      </c>
      <c r="L131" s="63" t="n">
        <v>0.3358131845422608</v>
      </c>
      <c r="M131" s="64" t="n">
        <v>0</v>
      </c>
      <c r="N131" s="32" t="inlineStr">
        <is>
          <t>Active</t>
        </is>
      </c>
      <c r="O131" s="32" t="n"/>
      <c r="P131" s="65" t="n"/>
      <c r="Q131" s="64" t="n"/>
      <c r="R131" s="64" t="n"/>
      <c r="S131" s="64" t="n"/>
      <c r="T131" s="32" t="n"/>
    </row>
    <row r="132" ht="62" customHeight="1">
      <c r="A132" s="10">
        <f>_xlfn.IMAGE("https://m.media-amazon.com/images/I/81D2zpVVytL.jpg")</f>
        <v/>
      </c>
      <c r="B132" s="32" t="inlineStr">
        <is>
          <t>B0C7K62XCT</t>
        </is>
      </c>
      <c r="C132" s="32" t="inlineStr">
        <is>
          <t>SATIN-STRIPE-TWIN-GRAY--6-PCS</t>
        </is>
      </c>
      <c r="D132" s="32" t="inlineStr">
        <is>
          <t>DECOLURE Satin Bed Sheets - 4 Piece Luxury Silky Twin Size Bedding Set - Softer Than Silk, Wrinkle-Free with 15” Deep Pocket Fitted Sheet, Perfect for Hair &amp; Skin, Gifts for Women (Striped Grey)</t>
        </is>
      </c>
      <c r="E132" s="32" t="inlineStr">
        <is>
          <t>Twin</t>
        </is>
      </c>
      <c r="F132" s="32" t="inlineStr">
        <is>
          <t>Striped Grey</t>
        </is>
      </c>
      <c r="G132" s="33" t="n"/>
      <c r="H132" s="32" t="n"/>
      <c r="I132" s="61" t="n">
        <v>39.99</v>
      </c>
      <c r="J132" s="62" t="inlineStr">
        <is>
          <t>2026-03-30</t>
        </is>
      </c>
      <c r="K132" s="33" t="n">
        <v>16.16</v>
      </c>
      <c r="L132" s="63" t="n">
        <v>0.4041010252563141</v>
      </c>
      <c r="M132" s="64" t="n">
        <v>0</v>
      </c>
      <c r="N132" s="32" t="inlineStr">
        <is>
          <t>Active</t>
        </is>
      </c>
      <c r="O132" s="32" t="n"/>
      <c r="P132" s="65" t="n"/>
      <c r="Q132" s="64" t="n"/>
      <c r="R132" s="64" t="n"/>
      <c r="S132" s="64" t="n"/>
      <c r="T132" s="32" t="n"/>
    </row>
    <row r="133" ht="62" customHeight="1">
      <c r="A133" s="10">
        <f>_xlfn.IMAGE("https://m.media-amazon.com/images/I/81jr5OVoTrL.jpg")</f>
        <v/>
      </c>
      <c r="B133" s="32" t="inlineStr">
        <is>
          <t>B0C7KB2CR6</t>
        </is>
      </c>
      <c r="C133" s="32" t="inlineStr">
        <is>
          <t>SATIN-STRIPE-TWIN-PINK--6-PCS</t>
        </is>
      </c>
      <c r="D133" s="32" t="inlineStr">
        <is>
          <t>DECOLURE Satin Bed Sheets - 4 Piece Luxury Silky Twin Size Bedding Set - Softer Than Silk, Wrinkle-Free with 15” Deep Pocket Fitted Sheet, Perfect for Hair &amp; Skin, Gifts for Women (Striped Pink)</t>
        </is>
      </c>
      <c r="E133" s="32" t="inlineStr">
        <is>
          <t>Twin</t>
        </is>
      </c>
      <c r="F133" s="32" t="inlineStr">
        <is>
          <t>Striped Pink</t>
        </is>
      </c>
      <c r="G133" s="33" t="n"/>
      <c r="H133" s="32" t="n"/>
      <c r="I133" s="61" t="n">
        <v>39.99</v>
      </c>
      <c r="J133" s="62" t="inlineStr">
        <is>
          <t>2026-03-30</t>
        </is>
      </c>
      <c r="K133" s="33" t="n">
        <v>15.25</v>
      </c>
      <c r="L133" s="63" t="n">
        <v>0.3813453363340835</v>
      </c>
      <c r="M133" s="64" t="n">
        <v>0</v>
      </c>
      <c r="N133" s="32" t="inlineStr">
        <is>
          <t>Active</t>
        </is>
      </c>
      <c r="O133" s="32" t="n"/>
      <c r="P133" s="65" t="n"/>
      <c r="Q133" s="64" t="n"/>
      <c r="R133" s="64" t="n"/>
      <c r="S133" s="64" t="n"/>
      <c r="T133" s="32" t="n"/>
    </row>
    <row r="134" ht="62" customHeight="1">
      <c r="A134" s="10">
        <f>_xlfn.IMAGE("https://m.media-amazon.com/images/I/8121oIZnHFL.jpg")</f>
        <v/>
      </c>
      <c r="B134" s="32" t="inlineStr">
        <is>
          <t>B0C7JQ5MZY</t>
        </is>
      </c>
      <c r="C134" s="32" t="inlineStr">
        <is>
          <t>SATIN-STRIPE-TWIN-RED--6-PCS</t>
        </is>
      </c>
      <c r="D134" s="32" t="inlineStr">
        <is>
          <t>DECOLURE Satin Bed Sheets - 4 Piece Luxury Silky Twin Size Bedding Set - Softer Than Silk, Wrinkle-Free with 15” Deep Pocket Fitted Sheet, Perfect for Hair &amp; Skin, Gifts for Women (Striped Red)</t>
        </is>
      </c>
      <c r="E134" s="32" t="inlineStr">
        <is>
          <t>Twin</t>
        </is>
      </c>
      <c r="F134" s="32" t="inlineStr">
        <is>
          <t>Striped Red</t>
        </is>
      </c>
      <c r="G134" s="33" t="n"/>
      <c r="H134" s="32" t="n"/>
      <c r="I134" s="61" t="n">
        <v>39.99</v>
      </c>
      <c r="J134" s="62" t="inlineStr">
        <is>
          <t>2026-03-30</t>
        </is>
      </c>
      <c r="K134" s="33" t="n">
        <v>15.89</v>
      </c>
      <c r="L134" s="63" t="n">
        <v>0.3973493373343336</v>
      </c>
      <c r="M134" s="64" t="n">
        <v>0</v>
      </c>
      <c r="N134" s="32" t="inlineStr">
        <is>
          <t>Active</t>
        </is>
      </c>
      <c r="O134" s="32" t="n"/>
      <c r="P134" s="65" t="n"/>
      <c r="Q134" s="64" t="n"/>
      <c r="R134" s="64" t="n"/>
      <c r="S134" s="64" t="n"/>
      <c r="T134" s="32" t="n"/>
    </row>
    <row r="135" ht="62" customHeight="1">
      <c r="A135" s="10">
        <f>_xlfn.IMAGE("https://m.media-amazon.com/images/I/81MYfM3XgsL.jpg")</f>
        <v/>
      </c>
      <c r="B135" s="32" t="inlineStr">
        <is>
          <t>B0C7FD12CQ</t>
        </is>
      </c>
      <c r="C135" s="32" t="inlineStr">
        <is>
          <t>SATIN-TAUPE-TWIN-6PCS</t>
        </is>
      </c>
      <c r="D135" s="32" t="inlineStr">
        <is>
          <t>DECOLURE Satin Bed Sheets - 4 Piece Luxury Silky Twin Size Bedding Set - Softer Than Silk, Wrinkle-Free with 15” Deep Pocket Fitted Sheet, Perfect for Hair &amp; Skin, Gifts for Women (Taupe)</t>
        </is>
      </c>
      <c r="E135" s="32" t="inlineStr">
        <is>
          <t>Twin</t>
        </is>
      </c>
      <c r="F135" s="32" t="inlineStr">
        <is>
          <t>Taupe</t>
        </is>
      </c>
      <c r="G135" s="33" t="n"/>
      <c r="H135" s="32" t="n"/>
      <c r="I135" s="61" t="n">
        <v>39.99</v>
      </c>
      <c r="J135" s="62" t="inlineStr">
        <is>
          <t>2026-03-30</t>
        </is>
      </c>
      <c r="K135" s="33" t="n">
        <v>15.19</v>
      </c>
      <c r="L135" s="63" t="n">
        <v>0.3798449612403101</v>
      </c>
      <c r="M135" s="64" t="n">
        <v>0</v>
      </c>
      <c r="N135" s="32" t="inlineStr">
        <is>
          <t>Active</t>
        </is>
      </c>
      <c r="O135" s="32" t="n"/>
      <c r="P135" s="65" t="n"/>
      <c r="Q135" s="64" t="n"/>
      <c r="R135" s="64" t="n"/>
      <c r="S135" s="64" t="n"/>
      <c r="T135" s="32" t="n"/>
    </row>
    <row r="137" ht="20" customHeight="1">
      <c r="A137" s="54" t="inlineStr">
        <is>
          <t>3 · OUR BFCM 2025 RESULT &amp; EVENT VISIBILITY</t>
        </is>
      </c>
    </row>
    <row r="138">
      <c r="A138" s="67" t="inlineStr">
        <is>
          <t>Window</t>
        </is>
      </c>
      <c r="B138" s="68" t="n"/>
      <c r="C138" s="69" t="n"/>
      <c r="D138" s="67" t="inlineStr">
        <is>
          <t>Ad spend</t>
        </is>
      </c>
      <c r="E138" s="67" t="inlineStr">
        <is>
          <t>Ad sales</t>
        </is>
      </c>
      <c r="F138" s="67" t="inlineStr">
        <is>
          <t>ACoS</t>
        </is>
      </c>
      <c r="G138" s="67" t="inlineStr">
        <is>
          <t>TACoS</t>
        </is>
      </c>
      <c r="H138" s="67" t="inlineStr">
        <is>
          <t>Total sales (derived)</t>
        </is>
      </c>
      <c r="J138" s="67" t="inlineStr">
        <is>
          <t>Ad orders</t>
        </is>
      </c>
      <c r="K138" s="67" t="inlineStr">
        <is>
          <t>CVR</t>
        </is>
      </c>
    </row>
    <row r="139">
      <c r="A139" s="70" t="inlineStr">
        <is>
          <t>Pre-event Oct 21 - Nov 19, 2025 (30d)</t>
        </is>
      </c>
      <c r="B139" s="68" t="n"/>
      <c r="C139" s="69" t="n"/>
      <c r="D139" s="71" t="n">
        <v>5846.89</v>
      </c>
      <c r="E139" s="71" t="n">
        <v>24013.96</v>
      </c>
      <c r="F139" s="72" t="n">
        <v>24.3</v>
      </c>
      <c r="G139" s="72" t="n">
        <v>16.80445989041688</v>
      </c>
      <c r="H139" s="71" t="n">
        <v>34793.68</v>
      </c>
      <c r="J139" s="73" t="n">
        <v>634</v>
      </c>
      <c r="K139" s="74" t="n">
        <v>12.29</v>
      </c>
    </row>
    <row r="140">
      <c r="A140" s="70" t="inlineStr">
        <is>
          <t>BFCM week Nov 20 - Dec 1, 2025 (12d)</t>
        </is>
      </c>
      <c r="B140" s="68" t="n"/>
      <c r="C140" s="69" t="n"/>
      <c r="D140" s="71" t="n">
        <v>5517.679999999999</v>
      </c>
      <c r="E140" s="71" t="n">
        <v>28935.21</v>
      </c>
      <c r="F140" s="72" t="n">
        <v>19.1</v>
      </c>
      <c r="G140" s="72" t="n">
        <v>13.50115077192009</v>
      </c>
      <c r="H140" s="71" t="n">
        <v>40868.22</v>
      </c>
      <c r="J140" s="73" t="n">
        <v>817</v>
      </c>
      <c r="K140" s="74" t="n">
        <v>16.75</v>
      </c>
    </row>
    <row r="141">
      <c r="A141" s="70" t="inlineStr">
        <is>
          <t>December 2 - 31, 2025 (30d)</t>
        </is>
      </c>
      <c r="B141" s="68" t="n"/>
      <c r="C141" s="69" t="n"/>
      <c r="D141" s="71" t="n">
        <v>10557.18</v>
      </c>
      <c r="E141" s="71" t="n">
        <v>48107.69999999999</v>
      </c>
      <c r="F141" s="72" t="n">
        <v>21.9</v>
      </c>
      <c r="G141" s="72" t="n">
        <v>16.17601880596754</v>
      </c>
      <c r="H141" s="71" t="n">
        <v>65264.39</v>
      </c>
      <c r="J141" s="73" t="n">
        <v>1240</v>
      </c>
      <c r="K141" s="74" t="n">
        <v>13.92</v>
      </c>
    </row>
    <row r="143">
      <c r="A143" s="67" t="inlineStr">
        <is>
          <t>Actual sales (SellerBoard)</t>
        </is>
      </c>
      <c r="B143" s="68" t="n"/>
      <c r="C143" s="69" t="n"/>
      <c r="D143" s="67" t="inlineStr">
        <is>
          <t>Sales</t>
        </is>
      </c>
      <c r="E143" s="67" t="inlineStr">
        <is>
          <t>Units</t>
        </is>
      </c>
      <c r="F143" s="67" t="inlineStr">
        <is>
          <t>Organic units</t>
        </is>
      </c>
      <c r="G143" s="67" t="inlineStr">
        <is>
          <t>Ad units</t>
        </is>
      </c>
      <c r="H143" s="67" t="inlineStr">
        <is>
          <t>Ad cost</t>
        </is>
      </c>
      <c r="J143" s="67" t="inlineStr">
        <is>
          <t>TACoS (actual)</t>
        </is>
      </c>
      <c r="K143" s="67" t="inlineStr">
        <is>
          <t>Sessions</t>
        </is>
      </c>
      <c r="L143" s="67" t="inlineStr">
        <is>
          <t>Unit session %</t>
        </is>
      </c>
      <c r="M143" s="67" t="inlineStr">
        <is>
          <t>Avg price</t>
        </is>
      </c>
      <c r="N143" s="67" t="inlineStr">
        <is>
          <t>Refunds</t>
        </is>
      </c>
    </row>
    <row r="144">
      <c r="A144" s="70" t="inlineStr">
        <is>
          <t>Pre-event Oct 21 - Nov 19, 2025 (30d)</t>
        </is>
      </c>
      <c r="B144" s="68" t="n"/>
      <c r="C144" s="69" t="n"/>
      <c r="D144" s="71" t="n">
        <v>25132.39</v>
      </c>
      <c r="E144" s="73" t="n">
        <v>918</v>
      </c>
      <c r="F144" s="73" t="n">
        <v>823</v>
      </c>
      <c r="G144" s="73" t="n">
        <v>95</v>
      </c>
      <c r="H144" s="71" t="n">
        <v>4168.04</v>
      </c>
      <c r="J144" s="75" t="n">
        <v>0.1658433599032961</v>
      </c>
      <c r="K144" s="73" t="n">
        <v>19229</v>
      </c>
      <c r="L144" s="75" t="n">
        <v>0.04774039211607468</v>
      </c>
      <c r="M144" s="76" t="n">
        <v>27.3773311546841</v>
      </c>
      <c r="N144" s="73" t="n">
        <v>50</v>
      </c>
    </row>
    <row r="145">
      <c r="A145" s="70" t="inlineStr">
        <is>
          <t>BFCM week Nov 20 - Dec 1, 2025 (12d)</t>
        </is>
      </c>
      <c r="B145" s="68" t="n"/>
      <c r="C145" s="69" t="n"/>
      <c r="D145" s="71" t="n">
        <v>29918.62</v>
      </c>
      <c r="E145" s="73" t="n">
        <v>1201</v>
      </c>
      <c r="F145" s="73" t="n">
        <v>1081</v>
      </c>
      <c r="G145" s="73" t="n">
        <v>120</v>
      </c>
      <c r="H145" s="71" t="n">
        <v>3932.84</v>
      </c>
      <c r="J145" s="75" t="n">
        <v>0.1314512500910804</v>
      </c>
      <c r="K145" s="73" t="n">
        <v>16679</v>
      </c>
      <c r="L145" s="75" t="n">
        <v>0.07200671503087715</v>
      </c>
      <c r="M145" s="76" t="n">
        <v>24.91142381348876</v>
      </c>
      <c r="N145" s="73" t="n">
        <v>28</v>
      </c>
    </row>
    <row r="146">
      <c r="A146" s="70" t="inlineStr">
        <is>
          <t>December 2 - 31, 2025 (30d)</t>
        </is>
      </c>
      <c r="B146" s="68" t="n"/>
      <c r="C146" s="69" t="n"/>
      <c r="D146" s="71" t="n">
        <v>50576.78</v>
      </c>
      <c r="E146" s="73" t="n">
        <v>1800</v>
      </c>
      <c r="F146" s="73" t="n">
        <v>1627</v>
      </c>
      <c r="G146" s="73" t="n">
        <v>173</v>
      </c>
      <c r="H146" s="71" t="n">
        <v>7673.17</v>
      </c>
      <c r="J146" s="75" t="n">
        <v>0.1517132961014916</v>
      </c>
      <c r="K146" s="73" t="n">
        <v>29238</v>
      </c>
      <c r="L146" s="75" t="n">
        <v>0.0615637184485943</v>
      </c>
      <c r="M146" s="76" t="n">
        <v>28.09821111111111</v>
      </c>
      <c r="N146" s="73" t="n">
        <v>100</v>
      </c>
    </row>
    <row r="147">
      <c r="A147" s="59" t="inlineStr">
        <is>
          <t>SellerBoard, Ecotero account, Amazon parent B0CJSDXDJW plus any of this product's child ASINs SellerBoard lists on their own, UTC days. Lift above uses these actual sales (2.98x; the ad-spend estimate was 2.94x). Amazon.ca sales here are in USD: SellerBoard converts to the account currency, while the Command Center table above is in CAD (ratio ~0.71). Lift is a ratio, so it is unaffected.</t>
        </is>
      </c>
    </row>
    <row r="148" ht="30" customHeight="1">
      <c r="A148" s="77" t="inlineStr">
        <is>
          <t>Deals we ran or scheduled, Nov 1 - Dec 5, 2025 (DataHub promotions; scheduled deal price not in the feed. Keepa price = lowest Buy Box seen during the deal, an observation for the hero child only, not the scheduled deal price): Lightning Deal 11-04 to 11-05 (ran, 97 variations, 18 units); Lightning Deal 11-14 to 11-15 (ran, 97 variations, 1 units); Best Deal 11-20 to 12-02 (ran, 81 variations, 1,073 units).</t>
        </is>
      </c>
    </row>
    <row r="149" ht="26" customHeight="1">
      <c r="A149" s="77" t="inlineStr">
        <is>
          <t>Stock in BFCM week 2025 (FBA inventory snapshots, child-ASIN level, revision 2): 0 of 110 variations hit zero FBA stock on at least one observed day; weighted by today's sales mix that is ~0.0% of variation-days lost. Snapshots missing: US Nov 26-27 and Dec 1 (Cyber Monday); CA Nov 24, 29-30.</t>
        </is>
      </c>
    </row>
    <row r="150">
      <c r="A150" s="59" t="inlineStr">
        <is>
          <t>Figures above are Amazon.ca in CAD. Visibility history is held for US ASINs only.</t>
        </is>
      </c>
    </row>
    <row r="152" ht="20" customHeight="1">
      <c r="A152" s="54" t="inlineStr">
        <is>
          <t>4 · COMPETITOR LANDSCAPE (15 mapped)</t>
        </is>
      </c>
    </row>
    <row r="153">
      <c r="A153" s="59" t="inlineStr">
        <is>
          <t>Sorted by tier, then estimated weekly units. Green = Command Center price/sales; blue = Data Dive listing; purple = Command Center search strategy (ASINsight); yellow = fill from Keepa / page check.</t>
        </is>
      </c>
    </row>
    <row r="154" ht="30" customHeight="1">
      <c r="A154"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Command Center CAD price (Mar 2026) - no live Canadian price source yet.</t>
        </is>
      </c>
    </row>
    <row r="155">
      <c r="A155" s="78" t="inlineStr">
        <is>
          <t>COMPETITOR</t>
        </is>
      </c>
      <c r="I155" s="79" t="inlineStr">
        <is>
          <t>LISTING - Data Dive</t>
        </is>
      </c>
      <c r="J155" s="80" t="inlineStr">
        <is>
          <t>SEARCH STRATEGY - Command Center ASINsight</t>
        </is>
      </c>
      <c r="K155" s="81" t="inlineStr">
        <is>
          <t>PRICE &amp; SALES - Command Center snapshot (date per row)</t>
        </is>
      </c>
      <c r="X155" s="79" t="inlineStr">
        <is>
          <t>LISTING - Data Dive</t>
        </is>
      </c>
      <c r="AA155" s="80" t="inlineStr">
        <is>
          <t>SEARCH STRATEGY - Command Center ASINsight</t>
        </is>
      </c>
      <c r="AR155" s="82" t="inlineStr">
        <is>
          <t>STR NOW - Amazon page check (Oct 13, P1 + P2)</t>
        </is>
      </c>
      <c r="AY155" s="83" t="inlineStr">
        <is>
          <t>BFCM 2025 - Keepa (P1 filled; yellow = not pulled yet)</t>
        </is>
      </c>
    </row>
    <row r="156" ht="48" customHeight="1">
      <c r="A156" s="22" t="inlineStr">
        <is>
          <t>Image</t>
        </is>
      </c>
      <c r="B156" s="22" t="inlineStr">
        <is>
          <t>Brand</t>
        </is>
      </c>
      <c r="C156" s="22" t="inlineStr">
        <is>
          <t>Product title</t>
        </is>
      </c>
      <c r="D156" s="22" t="inlineStr">
        <is>
          <t>Tier</t>
        </is>
      </c>
      <c r="E156" s="22" t="inlineStr">
        <is>
          <t>Parent ASIN</t>
        </is>
      </c>
      <c r="F156" s="22" t="inlineStr">
        <is>
          <t>Tracked child ASIN</t>
        </is>
      </c>
      <c r="G156" s="22" t="inlineStr">
        <is>
          <t>Size (title)</t>
        </is>
      </c>
      <c r="H156" s="22" t="inlineStr">
        <is>
          <t>Colour (title)</t>
        </is>
      </c>
      <c r="I156" s="22" t="inlineStr">
        <is>
          <t>Variations</t>
        </is>
      </c>
      <c r="J156" s="22" t="inlineStr">
        <is>
          <t>Hero child ASINs (share of their visibility)</t>
        </is>
      </c>
      <c r="K156" s="22" t="inlineStr">
        <is>
          <t>Price ($)</t>
        </is>
      </c>
      <c r="L156" s="22" t="inlineStr">
        <is>
          <t>List Price ($)</t>
        </is>
      </c>
      <c r="M156" s="22" t="inlineStr">
        <is>
          <t>List Price % over</t>
        </is>
      </c>
      <c r="N156" s="22" t="inlineStr">
        <is>
          <t>STR band</t>
        </is>
      </c>
      <c r="O156" s="22" t="inlineStr">
        <is>
          <t>Our price, same size ($)</t>
        </is>
      </c>
      <c r="P156" s="22" t="inlineStr">
        <is>
          <t>Their price vs ours</t>
        </is>
      </c>
      <c r="Q156" s="22" t="inlineStr">
        <is>
          <t>Comparison basis</t>
        </is>
      </c>
      <c r="R156" s="22" t="inlineStr">
        <is>
          <t>BSR</t>
        </is>
      </c>
      <c r="S156" s="22" t="inlineStr">
        <is>
          <t>Est weekly units</t>
        </is>
      </c>
      <c r="T156" s="22" t="inlineStr">
        <is>
          <t>Est monthly revenue ($)</t>
        </is>
      </c>
      <c r="U156" s="22" t="inlineStr">
        <is>
          <t>Rating</t>
        </is>
      </c>
      <c r="V156" s="22" t="inlineStr">
        <is>
          <t>Reviews</t>
        </is>
      </c>
      <c r="W156" s="22" t="inlineStr">
        <is>
          <t>Snapshot date</t>
        </is>
      </c>
      <c r="X156" s="22" t="inlineStr">
        <is>
          <t>Listed</t>
        </is>
      </c>
      <c r="Y156" s="22" t="inlineStr">
        <is>
          <t>Fulfil.</t>
        </is>
      </c>
      <c r="Z156" s="22" t="inlineStr">
        <is>
          <t>Seller country</t>
        </is>
      </c>
      <c r="AA156" s="22" t="inlineStr">
        <is>
          <t>ASINsight 7d traffic</t>
        </is>
      </c>
      <c r="AB156" s="22" t="inlineStr">
        <is>
          <t>Keywords ranked</t>
        </is>
      </c>
      <c r="AC156" s="22" t="inlineStr">
        <is>
          <t>Organic share of traffic</t>
        </is>
      </c>
      <c r="AD156" s="22" t="inlineStr">
        <is>
          <t>Ad share of traffic</t>
        </is>
      </c>
      <c r="AE156" s="22" t="inlineStr">
        <is>
          <t>Top keyword</t>
        </is>
      </c>
      <c r="AF156" s="22" t="inlineStr">
        <is>
          <t>SP reach</t>
        </is>
      </c>
      <c r="AG156" s="22" t="inlineStr">
        <is>
          <t>SB reach</t>
        </is>
      </c>
      <c r="AH156" s="22" t="inlineStr">
        <is>
          <t>SB video reach</t>
        </is>
      </c>
      <c r="AI156" s="22" t="inlineStr">
        <is>
          <t>Amazon's Choice reach</t>
        </is>
      </c>
      <c r="AJ156" s="22" t="inlineStr">
        <is>
          <t>Shared keywords</t>
        </is>
      </c>
      <c r="AK156" s="22" t="inlineStr">
        <is>
          <t>We win</t>
        </is>
      </c>
      <c r="AL156" s="22" t="inlineStr">
        <is>
          <t>We lose</t>
        </is>
      </c>
      <c r="AM156" s="22" t="inlineStr">
        <is>
          <t>Their keywords we miss</t>
        </is>
      </c>
      <c r="AN156" s="22" t="inlineStr">
        <is>
          <t>KWs they advertise, we don't</t>
        </is>
      </c>
      <c r="AO156" s="22" t="inlineStr">
        <is>
          <t>KWs they out-advertise us</t>
        </is>
      </c>
      <c r="AP156" s="22" t="inlineStr">
        <is>
          <t>Prime Day 2026 organic vis lift</t>
        </is>
      </c>
      <c r="AQ156" s="22" t="inlineStr">
        <is>
          <t>Organic trend (Aug-Sep vs Q2)</t>
        </is>
      </c>
      <c r="AR156" s="22" t="inlineStr">
        <is>
          <t>STR showing now? (Y/N)</t>
        </is>
      </c>
      <c r="AS156" s="22" t="inlineStr">
        <is>
          <t>STR label</t>
        </is>
      </c>
      <c r="AT156" s="22" t="inlineStr">
        <is>
          <t>Strikethrough price ($)</t>
        </is>
      </c>
      <c r="AU156" s="22" t="inlineStr">
        <is>
          <t>Page price at check ($)</t>
        </is>
      </c>
      <c r="AV156" s="22" t="inlineStr">
        <is>
          <t>Deal / coupon now</t>
        </is>
      </c>
      <c r="AW156" s="22" t="inlineStr">
        <is>
          <t>Orderable now (Y/N)</t>
        </is>
      </c>
      <c r="AX156" s="22" t="inlineStr">
        <is>
          <t>Checked (ET)</t>
        </is>
      </c>
      <c r="AY156" s="22" t="inlineStr">
        <is>
          <t>BFCM 2025 deal type</t>
        </is>
      </c>
      <c r="AZ156" s="22" t="inlineStr">
        <is>
          <t>BFCM 2025 deal dates</t>
        </is>
      </c>
      <c r="BA156" s="22" t="inlineStr">
        <is>
          <t>Pre-event price ($)</t>
        </is>
      </c>
      <c r="BB156" s="22" t="inlineStr">
        <is>
          <t>BFCM 2025 low ($)</t>
        </is>
      </c>
      <c r="BC156" s="22" t="inlineStr">
        <is>
          <t>BFCM 2025 discount</t>
        </is>
      </c>
      <c r="BD156" s="22" t="inlineStr">
        <is>
          <t>BSR pre-event</t>
        </is>
      </c>
      <c r="BE156" s="22" t="inlineStr">
        <is>
          <t>BSR BFCM wk</t>
        </is>
      </c>
      <c r="BF156" s="22" t="inlineStr">
        <is>
          <t>BSR lift (x)</t>
        </is>
      </c>
      <c r="BG156" s="22" t="inlineStr">
        <is>
          <t>OOS in BFCM? (Y/N)</t>
        </is>
      </c>
      <c r="BH156" s="22" t="inlineStr">
        <is>
          <t>Notes</t>
        </is>
      </c>
    </row>
    <row r="157" ht="62" customHeight="1">
      <c r="A157" s="10">
        <f>_xlfn.IMAGE("https://m.media-amazon.com/images/I/61-Kk3biG1L.jpg")</f>
        <v/>
      </c>
      <c r="B157" s="84" t="inlineStr">
        <is>
          <t>JUWENIN</t>
        </is>
      </c>
      <c r="C157" s="32" t="inlineStr">
        <is>
          <t>Satin Sheet Set, 6 Piece Soft Silky Bed Sheets Deep Pocket, Good for Skin and Hair 1 Satin Fitted Sheet + 1 Flat Sheet + 4 Pillow Cases (Gray, Queen-6PCS)</t>
        </is>
      </c>
      <c r="D157" s="84" t="inlineStr">
        <is>
          <t>Untiered</t>
        </is>
      </c>
      <c r="E157" s="84" t="inlineStr">
        <is>
          <t>B0FNQY65MC</t>
        </is>
      </c>
      <c r="F157" s="84" t="inlineStr">
        <is>
          <t>B0FNR1QR4J</t>
        </is>
      </c>
      <c r="G157" s="84" t="inlineStr">
        <is>
          <t>Queen</t>
        </is>
      </c>
      <c r="H157" s="84" t="inlineStr">
        <is>
          <t>Gray</t>
        </is>
      </c>
      <c r="I157" s="85" t="n">
        <v>11</v>
      </c>
      <c r="J157" s="32" t="n"/>
      <c r="K157" s="86" t="n">
        <v>27.99</v>
      </c>
      <c r="L157" s="86" t="n"/>
      <c r="M157" s="87">
        <f>IF(AND(ISNUMBER(L157),ISNUMBER(K157),N(K157)&gt;0),L157/K157-1,"")</f>
        <v/>
      </c>
      <c r="N157" s="88">
        <f>IF(M157="","No List Price",IF(M157&lt;=0,"At/below price",IF(M157&lt;=0.12,"&lt;=12% STR zone",IF(M157&lt;=0.25,"12-25%","&gt;25% over"))))</f>
        <v/>
      </c>
      <c r="O157" s="86" t="n">
        <v>50.21499999999998</v>
      </c>
      <c r="P157" s="89">
        <f>IF(AND(ISNUMBER(K157),ISNUMBER(O157),N(O157)&gt;0),K157/O157-1,"")</f>
        <v/>
      </c>
      <c r="Q157" s="32" t="inlineStr">
        <is>
          <t>Same size (Queen), CAD. Ours: Command Center fee feed, Mar 2026 - STALE</t>
        </is>
      </c>
      <c r="R157" s="85" t="n">
        <v>224911</v>
      </c>
      <c r="S157" s="85" t="n"/>
      <c r="T157" s="90">
        <f>IF(AND(ISNUMBER(K157),ISNUMBER(S157)),K157*S157*52/12,"")</f>
        <v/>
      </c>
      <c r="U157" s="91" t="n">
        <v>4.1</v>
      </c>
      <c r="V157" s="85" t="n">
        <v>29</v>
      </c>
      <c r="W157" s="92" t="n">
        <v>46309</v>
      </c>
      <c r="X157" s="92" t="n"/>
      <c r="Y157" s="84" t="n"/>
      <c r="Z157" s="84" t="n"/>
      <c r="AA157" s="85" t="n"/>
      <c r="AB157" s="85" t="n"/>
      <c r="AC157" s="93" t="n"/>
      <c r="AD157" s="93" t="n"/>
      <c r="AE157" s="32" t="n"/>
      <c r="AF157" s="93" t="n"/>
      <c r="AG157" s="93" t="n"/>
      <c r="AH157" s="93" t="n"/>
      <c r="AI157" s="93" t="n"/>
      <c r="AJ157" s="85" t="n"/>
      <c r="AK157" s="85" t="n"/>
      <c r="AL157" s="85" t="n"/>
      <c r="AM157" s="85" t="n"/>
      <c r="AN157" s="85" t="n"/>
      <c r="AO157" s="85" t="n"/>
      <c r="AP157" s="94" t="n"/>
      <c r="AQ157" s="89" t="n"/>
      <c r="AR157" s="95" t="inlineStr">
        <is>
          <t>N</t>
        </is>
      </c>
      <c r="AS157" s="95" t="inlineStr">
        <is>
          <t>none</t>
        </is>
      </c>
      <c r="AT157" s="101" t="n"/>
      <c r="AU157" s="96" t="n">
        <v>27.99</v>
      </c>
      <c r="AV157" s="95" t="inlineStr">
        <is>
          <t>none</t>
        </is>
      </c>
      <c r="AW157" s="95" t="inlineStr">
        <is>
          <t>Y</t>
        </is>
      </c>
      <c r="AX157" s="95" t="inlineStr">
        <is>
          <t>2026-10-14 00:30:14</t>
        </is>
      </c>
      <c r="AY157" s="102" t="n"/>
      <c r="AZ157" s="102" t="n"/>
      <c r="BA157" s="101" t="n"/>
      <c r="BB157" s="101" t="n"/>
      <c r="BC157" s="87">
        <f>IF(AND(ISNUMBER(BA157),ISNUMBER(BB157),N(BA157)&gt;0),1-BB157/BA157,"")</f>
        <v/>
      </c>
      <c r="BD157" s="103" t="n"/>
      <c r="BE157" s="103" t="n"/>
      <c r="BF157" s="100">
        <f>IF(AND(ISNUMBER(BD157),ISNUMBER(BE157),N(BE157)&gt;0),BD157/BE157,"")</f>
        <v/>
      </c>
      <c r="BG157" s="102" t="n"/>
      <c r="BH157" s="97" t="inlineStr">
        <is>
          <t>Amazon.ca organic #1 for 'satin sheets 6 piece'; 100%POLYESTER; Search child B0FNR1PKQB; selected Queen-6PCS child B0FNR1QR4J. Orderable; availability wording:  variation_count = distinct children exposed in page variation m</t>
        </is>
      </c>
    </row>
    <row r="158" ht="62" customHeight="1">
      <c r="A158" s="10">
        <f>_xlfn.IMAGE("https://m.media-amazon.com/images/I/81uzfBY3YQL.jpg")</f>
        <v/>
      </c>
      <c r="B158" s="84" t="inlineStr">
        <is>
          <t>Love's cabin</t>
        </is>
      </c>
      <c r="C158" s="32" t="inlineStr">
        <is>
          <t>Love's cabin Satin Queen Sheets Set, 6 Pieces, Brown, 15" Deep Pocket</t>
        </is>
      </c>
      <c r="D158" s="84" t="inlineStr">
        <is>
          <t>Untiered</t>
        </is>
      </c>
      <c r="E158" s="84" t="inlineStr">
        <is>
          <t>B08PZKGSSN</t>
        </is>
      </c>
      <c r="F158" s="84" t="inlineStr">
        <is>
          <t>B0H756Q1V9</t>
        </is>
      </c>
      <c r="G158" s="84" t="inlineStr">
        <is>
          <t>Queen</t>
        </is>
      </c>
      <c r="H158" s="84" t="inlineStr">
        <is>
          <t>Brown.</t>
        </is>
      </c>
      <c r="I158" s="85" t="n">
        <v>200</v>
      </c>
      <c r="J158" s="32" t="n"/>
      <c r="K158" s="86" t="n">
        <v>51.29</v>
      </c>
      <c r="L158" s="86" t="n"/>
      <c r="M158" s="87">
        <f>IF(AND(ISNUMBER(L158),ISNUMBER(K158),N(K158)&gt;0),L158/K158-1,"")</f>
        <v/>
      </c>
      <c r="N158" s="88">
        <f>IF(M158="","No List Price",IF(M158&lt;=0,"At/below price",IF(M158&lt;=0.12,"&lt;=12% STR zone",IF(M158&lt;=0.25,"12-25%","&gt;25% over"))))</f>
        <v/>
      </c>
      <c r="O158" s="86" t="n">
        <v>50.21499999999998</v>
      </c>
      <c r="P158" s="89">
        <f>IF(AND(ISNUMBER(K158),ISNUMBER(O158),N(O158)&gt;0),K158/O158-1,"")</f>
        <v/>
      </c>
      <c r="Q158" s="32" t="inlineStr">
        <is>
          <t>Same size (Queen), CAD. Ours: Command Center fee feed, Mar 2026 - STALE</t>
        </is>
      </c>
      <c r="R158" s="85" t="n">
        <v>303174</v>
      </c>
      <c r="S158" s="85" t="n"/>
      <c r="T158" s="90">
        <f>IF(AND(ISNUMBER(K158),ISNUMBER(S158)),K158*S158*52/12,"")</f>
        <v/>
      </c>
      <c r="U158" s="91" t="n">
        <v>4.4</v>
      </c>
      <c r="V158" s="85" t="n">
        <v>5953</v>
      </c>
      <c r="W158" s="92" t="n">
        <v>46309</v>
      </c>
      <c r="X158" s="92" t="n"/>
      <c r="Y158" s="84" t="n"/>
      <c r="Z158" s="84" t="n"/>
      <c r="AA158" s="85" t="n"/>
      <c r="AB158" s="85" t="n"/>
      <c r="AC158" s="93" t="n"/>
      <c r="AD158" s="93" t="n"/>
      <c r="AE158" s="32" t="n"/>
      <c r="AF158" s="93" t="n"/>
      <c r="AG158" s="93" t="n"/>
      <c r="AH158" s="93" t="n"/>
      <c r="AI158" s="93" t="n"/>
      <c r="AJ158" s="85" t="n"/>
      <c r="AK158" s="85" t="n"/>
      <c r="AL158" s="85" t="n"/>
      <c r="AM158" s="85" t="n"/>
      <c r="AN158" s="85" t="n"/>
      <c r="AO158" s="85" t="n"/>
      <c r="AP158" s="94" t="n"/>
      <c r="AQ158" s="89" t="n"/>
      <c r="AR158" s="95" t="inlineStr">
        <is>
          <t>N</t>
        </is>
      </c>
      <c r="AS158" s="95" t="inlineStr">
        <is>
          <t>none</t>
        </is>
      </c>
      <c r="AT158" s="101" t="n"/>
      <c r="AU158" s="96" t="n">
        <v>51.29</v>
      </c>
      <c r="AV158" s="95" t="inlineStr">
        <is>
          <t>none</t>
        </is>
      </c>
      <c r="AW158" s="95" t="inlineStr">
        <is>
          <t>Y</t>
        </is>
      </c>
      <c r="AX158" s="95" t="inlineStr">
        <is>
          <t>2026-10-14 00:32:45</t>
        </is>
      </c>
      <c r="AY158" s="102" t="n"/>
      <c r="AZ158" s="102" t="n"/>
      <c r="BA158" s="101" t="n"/>
      <c r="BB158" s="101" t="n"/>
      <c r="BC158" s="87">
        <f>IF(AND(ISNUMBER(BA158),ISNUMBER(BB158),N(BA158)&gt;0),1-BB158/BA158,"")</f>
        <v/>
      </c>
      <c r="BD158" s="103" t="n"/>
      <c r="BE158" s="103" t="n"/>
      <c r="BF158" s="100">
        <f>IF(AND(ISNUMBER(BD158),ISNUMBER(BE158),N(BE158)&gt;0),BD158/BE158,"")</f>
        <v/>
      </c>
      <c r="BG158" s="102" t="n"/>
      <c r="BH158" s="97" t="inlineStr">
        <is>
          <t>Amazon.ca organic #5 for 'satin sheets queen 6 piece'; 100% Polyester; variation_count = distinct children exposed in page variation map, not a guaranteed complete catalogue. Bought-past-month badge not displayed.</t>
        </is>
      </c>
    </row>
    <row r="159" ht="62" customHeight="1">
      <c r="A159" s="10">
        <f>_xlfn.IMAGE("https://m.media-amazon.com/images/I/71TbH0l5XfL.jpg")</f>
        <v/>
      </c>
      <c r="B159" s="84" t="inlineStr">
        <is>
          <t>P Pothuiny</t>
        </is>
      </c>
      <c r="C159" s="32" t="inlineStr">
        <is>
          <t>P Pothuiny 6-Piece Queen Satin Sheet Set Burgundy Silky Sheets</t>
        </is>
      </c>
      <c r="D159" s="84" t="inlineStr">
        <is>
          <t>Untiered</t>
        </is>
      </c>
      <c r="E159" s="84" t="inlineStr">
        <is>
          <t>B08T9NBQ1J</t>
        </is>
      </c>
      <c r="F159" s="84" t="inlineStr">
        <is>
          <t>B08QMF6D5W</t>
        </is>
      </c>
      <c r="G159" s="84" t="inlineStr">
        <is>
          <t>Queen</t>
        </is>
      </c>
      <c r="H159" s="84" t="inlineStr">
        <is>
          <t>Burgundy</t>
        </is>
      </c>
      <c r="I159" s="85" t="n">
        <v>37</v>
      </c>
      <c r="J159" s="32" t="n"/>
      <c r="K159" s="86" t="n">
        <v>55.67</v>
      </c>
      <c r="L159" s="86" t="n"/>
      <c r="M159" s="87">
        <f>IF(AND(ISNUMBER(L159),ISNUMBER(K159),N(K159)&gt;0),L159/K159-1,"")</f>
        <v/>
      </c>
      <c r="N159" s="88">
        <f>IF(M159="","No List Price",IF(M159&lt;=0,"At/below price",IF(M159&lt;=0.12,"&lt;=12% STR zone",IF(M159&lt;=0.25,"12-25%","&gt;25% over"))))</f>
        <v/>
      </c>
      <c r="O159" s="86" t="n">
        <v>50.21499999999998</v>
      </c>
      <c r="P159" s="89">
        <f>IF(AND(ISNUMBER(K159),ISNUMBER(O159),N(O159)&gt;0),K159/O159-1,"")</f>
        <v/>
      </c>
      <c r="Q159" s="32" t="inlineStr">
        <is>
          <t>Same size (Queen), CAD. Ours: Command Center fee feed, Mar 2026 - STALE</t>
        </is>
      </c>
      <c r="R159" s="85" t="n">
        <v>365995</v>
      </c>
      <c r="S159" s="85" t="n"/>
      <c r="T159" s="90">
        <f>IF(AND(ISNUMBER(K159),ISNUMBER(S159)),K159*S159*52/12,"")</f>
        <v/>
      </c>
      <c r="U159" s="91" t="n">
        <v>4.4</v>
      </c>
      <c r="V159" s="85" t="n">
        <v>3487</v>
      </c>
      <c r="W159" s="92" t="n">
        <v>46309</v>
      </c>
      <c r="X159" s="92" t="n"/>
      <c r="Y159" s="84" t="n"/>
      <c r="Z159" s="84" t="n"/>
      <c r="AA159" s="85" t="n"/>
      <c r="AB159" s="85" t="n"/>
      <c r="AC159" s="93" t="n"/>
      <c r="AD159" s="93" t="n"/>
      <c r="AE159" s="32" t="n"/>
      <c r="AF159" s="93" t="n"/>
      <c r="AG159" s="93" t="n"/>
      <c r="AH159" s="93" t="n"/>
      <c r="AI159" s="93" t="n"/>
      <c r="AJ159" s="85" t="n"/>
      <c r="AK159" s="85" t="n"/>
      <c r="AL159" s="85" t="n"/>
      <c r="AM159" s="85" t="n"/>
      <c r="AN159" s="85" t="n"/>
      <c r="AO159" s="85" t="n"/>
      <c r="AP159" s="94" t="n"/>
      <c r="AQ159" s="89" t="n"/>
      <c r="AR159" s="95" t="inlineStr">
        <is>
          <t>N</t>
        </is>
      </c>
      <c r="AS159" s="95" t="inlineStr">
        <is>
          <t>none</t>
        </is>
      </c>
      <c r="AT159" s="101" t="n"/>
      <c r="AU159" s="96" t="n">
        <v>55.67</v>
      </c>
      <c r="AV159" s="95" t="inlineStr">
        <is>
          <t>none</t>
        </is>
      </c>
      <c r="AW159" s="95" t="inlineStr">
        <is>
          <t>Y</t>
        </is>
      </c>
      <c r="AX159" s="95" t="inlineStr">
        <is>
          <t>2026-10-14 00:33:17</t>
        </is>
      </c>
      <c r="AY159" s="97" t="inlineStr">
        <is>
          <t>Prime Exclusive Discount</t>
        </is>
      </c>
      <c r="AZ159" s="97" t="inlineStr">
        <is>
          <t>11-01 to 12-01</t>
        </is>
      </c>
      <c r="BA159" s="98" t="n">
        <v>29.99</v>
      </c>
      <c r="BB159" s="98" t="n">
        <v>24.95</v>
      </c>
      <c r="BC159" s="87">
        <f>IF(AND(ISNUMBER(BA159),ISNUMBER(BB159),N(BA159)&gt;0),1-BB159/BA159,"")</f>
        <v/>
      </c>
      <c r="BD159" s="99" t="n">
        <v>19773</v>
      </c>
      <c r="BE159" s="99" t="n">
        <v>19113</v>
      </c>
      <c r="BF159" s="100">
        <f>IF(AND(ISNUMBER(BD159),ISNUMBER(BE159),N(BE159)&gt;0),BD159/BE159,"")</f>
        <v/>
      </c>
      <c r="BG159" s="97" t="inlineStr">
        <is>
          <t>N</t>
        </is>
      </c>
      <c r="BH159" s="97" t="inlineStr">
        <is>
          <t>Amazon.ca organic #6 for 'satin sheets queen 6 piece'; 100% Polyester Satin; variation_count = distinct children exposed in page variation map, not a guaranteed complete catalogue. Bought-past-month badge not displayed.</t>
        </is>
      </c>
    </row>
    <row r="160" ht="62" customHeight="1">
      <c r="A160" s="10">
        <f>_xlfn.IMAGE("https://m.media-amazon.com/images/I/81ZfhNYfpcL.jpg")</f>
        <v/>
      </c>
      <c r="B160" s="84" t="inlineStr">
        <is>
          <t>Madison Park</t>
        </is>
      </c>
      <c r="C160" s="32" t="inlineStr">
        <is>
          <t>Madison Park Essentials Polyester Satin 6 Piece Sheet Set with Ivory MPE20-904, Queen</t>
        </is>
      </c>
      <c r="D160" s="84" t="inlineStr">
        <is>
          <t>Untiered</t>
        </is>
      </c>
      <c r="E160" s="84" t="inlineStr">
        <is>
          <t>B0H7TMMW5T</t>
        </is>
      </c>
      <c r="F160" s="84" t="inlineStr">
        <is>
          <t>B09HVCPNLX</t>
        </is>
      </c>
      <c r="G160" s="84" t="inlineStr">
        <is>
          <t>Queen</t>
        </is>
      </c>
      <c r="H160" s="84" t="inlineStr">
        <is>
          <t>Ivory</t>
        </is>
      </c>
      <c r="I160" s="85" t="n">
        <v>1</v>
      </c>
      <c r="J160" s="32" t="n"/>
      <c r="K160" s="86" t="n">
        <v>52.62</v>
      </c>
      <c r="L160" s="86" t="n"/>
      <c r="M160" s="87">
        <f>IF(AND(ISNUMBER(L160),ISNUMBER(K160),N(K160)&gt;0),L160/K160-1,"")</f>
        <v/>
      </c>
      <c r="N160" s="88">
        <f>IF(M160="","No List Price",IF(M160&lt;=0,"At/below price",IF(M160&lt;=0.12,"&lt;=12% STR zone",IF(M160&lt;=0.25,"12-25%","&gt;25% over"))))</f>
        <v/>
      </c>
      <c r="O160" s="86" t="n">
        <v>50.21499999999998</v>
      </c>
      <c r="P160" s="89">
        <f>IF(AND(ISNUMBER(K160),ISNUMBER(O160),N(O160)&gt;0),K160/O160-1,"")</f>
        <v/>
      </c>
      <c r="Q160" s="32" t="inlineStr">
        <is>
          <t>Same size (Queen), CAD. Ours: Command Center fee feed, Mar 2026 - STALE</t>
        </is>
      </c>
      <c r="R160" s="85" t="n">
        <v>678123</v>
      </c>
      <c r="S160" s="85" t="n"/>
      <c r="T160" s="90">
        <f>IF(AND(ISNUMBER(K160),ISNUMBER(S160)),K160*S160*52/12,"")</f>
        <v/>
      </c>
      <c r="U160" s="91" t="n">
        <v>4.4</v>
      </c>
      <c r="V160" s="85" t="n">
        <v>123</v>
      </c>
      <c r="W160" s="92" t="n">
        <v>46309</v>
      </c>
      <c r="X160" s="92" t="n"/>
      <c r="Y160" s="84" t="n"/>
      <c r="Z160" s="84" t="n"/>
      <c r="AA160" s="85" t="n"/>
      <c r="AB160" s="85" t="n"/>
      <c r="AC160" s="93" t="n"/>
      <c r="AD160" s="93" t="n"/>
      <c r="AE160" s="32" t="n"/>
      <c r="AF160" s="93" t="n"/>
      <c r="AG160" s="93" t="n"/>
      <c r="AH160" s="93" t="n"/>
      <c r="AI160" s="93" t="n"/>
      <c r="AJ160" s="85" t="n"/>
      <c r="AK160" s="85" t="n"/>
      <c r="AL160" s="85" t="n"/>
      <c r="AM160" s="85" t="n"/>
      <c r="AN160" s="85" t="n"/>
      <c r="AO160" s="85" t="n"/>
      <c r="AP160" s="94" t="n"/>
      <c r="AQ160" s="89" t="n"/>
      <c r="AR160" s="95" t="inlineStr">
        <is>
          <t>N</t>
        </is>
      </c>
      <c r="AS160" s="95" t="inlineStr">
        <is>
          <t>none</t>
        </is>
      </c>
      <c r="AT160" s="101" t="n"/>
      <c r="AU160" s="96" t="n">
        <v>52.62</v>
      </c>
      <c r="AV160" s="95" t="inlineStr">
        <is>
          <t>none</t>
        </is>
      </c>
      <c r="AW160" s="95" t="inlineStr">
        <is>
          <t>Y</t>
        </is>
      </c>
      <c r="AX160" s="95" t="inlineStr">
        <is>
          <t>2026-10-14 00:34:31</t>
        </is>
      </c>
      <c r="AY160" s="97" t="inlineStr">
        <is>
          <t>None</t>
        </is>
      </c>
      <c r="AZ160" s="102" t="n"/>
      <c r="BA160" s="98" t="n">
        <v>30.99</v>
      </c>
      <c r="BB160" s="98" t="n">
        <v>30.99</v>
      </c>
      <c r="BC160" s="87">
        <f>IF(AND(ISNUMBER(BA160),ISNUMBER(BB160),N(BA160)&gt;0),1-BB160/BA160,"")</f>
        <v/>
      </c>
      <c r="BD160" s="99" t="n">
        <v>38276</v>
      </c>
      <c r="BE160" s="99" t="n">
        <v>39554</v>
      </c>
      <c r="BF160" s="100">
        <f>IF(AND(ISNUMBER(BD160),ISNUMBER(BE160),N(BE160)&gt;0),BD160/BE160,"")</f>
        <v/>
      </c>
      <c r="BG160" s="97" t="inlineStr">
        <is>
          <t>N</t>
        </is>
      </c>
      <c r="BH160" s="97" t="inlineStr">
        <is>
          <t>Amazon.ca organic #9 for 'satin sheets queen 6 piece'; 100% Polyester Solid Satin; variation_count = distinct children exposed in page variation map, not a guaranteed complete catalogue. Bought-past-month badge not displayed. Material attribut</t>
        </is>
      </c>
    </row>
    <row r="161" ht="62" customHeight="1">
      <c r="A161" s="10">
        <f>_xlfn.IMAGE("https://m.media-amazon.com/images/I/718KDeMA1pL.jpg")</f>
        <v/>
      </c>
      <c r="B161" s="84" t="inlineStr">
        <is>
          <t>GOLAL</t>
        </is>
      </c>
      <c r="C161" s="32" t="inlineStr">
        <is>
          <t>Sage Green Satin Sheets Queen Size - 6 Pieces Silky Soft Bed Sheets</t>
        </is>
      </c>
      <c r="D161" s="84" t="inlineStr">
        <is>
          <t>Untiered</t>
        </is>
      </c>
      <c r="E161" s="84" t="inlineStr">
        <is>
          <t>B09JB7K1PP</t>
        </is>
      </c>
      <c r="F161" s="84" t="inlineStr">
        <is>
          <t>B0DB5QPHB8</t>
        </is>
      </c>
      <c r="G161" s="84" t="inlineStr">
        <is>
          <t>Queen</t>
        </is>
      </c>
      <c r="H161" s="84" t="inlineStr">
        <is>
          <t>Sage Green</t>
        </is>
      </c>
      <c r="I161" s="85" t="n">
        <v>91</v>
      </c>
      <c r="J161" s="32" t="n"/>
      <c r="K161" s="86" t="n">
        <v>66.66</v>
      </c>
      <c r="L161" s="86" t="n"/>
      <c r="M161" s="87">
        <f>IF(AND(ISNUMBER(L161),ISNUMBER(K161),N(K161)&gt;0),L161/K161-1,"")</f>
        <v/>
      </c>
      <c r="N161" s="88">
        <f>IF(M161="","No List Price",IF(M161&lt;=0,"At/below price",IF(M161&lt;=0.12,"&lt;=12% STR zone",IF(M161&lt;=0.25,"12-25%","&gt;25% over"))))</f>
        <v/>
      </c>
      <c r="O161" s="86" t="n">
        <v>50.21499999999998</v>
      </c>
      <c r="P161" s="89">
        <f>IF(AND(ISNUMBER(K161),ISNUMBER(O161),N(O161)&gt;0),K161/O161-1,"")</f>
        <v/>
      </c>
      <c r="Q161" s="32" t="inlineStr">
        <is>
          <t>Same size (Queen), CAD. Ours: Command Center fee feed, Mar 2026 - STALE</t>
        </is>
      </c>
      <c r="R161" s="85" t="n">
        <v>18076</v>
      </c>
      <c r="S161" s="85" t="n"/>
      <c r="T161" s="90">
        <f>IF(AND(ISNUMBER(K161),ISNUMBER(S161)),K161*S161*52/12,"")</f>
        <v/>
      </c>
      <c r="U161" s="91" t="n">
        <v>4</v>
      </c>
      <c r="V161" s="85" t="n">
        <v>31</v>
      </c>
      <c r="W161" s="92" t="n">
        <v>46309</v>
      </c>
      <c r="X161" s="92" t="n"/>
      <c r="Y161" s="84" t="n"/>
      <c r="Z161" s="84" t="n"/>
      <c r="AA161" s="85" t="n"/>
      <c r="AB161" s="85" t="n"/>
      <c r="AC161" s="93" t="n"/>
      <c r="AD161" s="93" t="n"/>
      <c r="AE161" s="32" t="n"/>
      <c r="AF161" s="93" t="n"/>
      <c r="AG161" s="93" t="n"/>
      <c r="AH161" s="93" t="n"/>
      <c r="AI161" s="93" t="n"/>
      <c r="AJ161" s="85" t="n"/>
      <c r="AK161" s="85" t="n"/>
      <c r="AL161" s="85" t="n"/>
      <c r="AM161" s="85" t="n"/>
      <c r="AN161" s="85" t="n"/>
      <c r="AO161" s="85" t="n"/>
      <c r="AP161" s="94" t="n"/>
      <c r="AQ161" s="89" t="n"/>
      <c r="AR161" s="95" t="inlineStr">
        <is>
          <t>Y</t>
        </is>
      </c>
      <c r="AS161" s="95" t="inlineStr">
        <is>
          <t>Was price</t>
        </is>
      </c>
      <c r="AT161" s="96" t="n">
        <v>88.09999999999999</v>
      </c>
      <c r="AU161" s="96" t="n">
        <v>66.66</v>
      </c>
      <c r="AV161" s="95" t="inlineStr">
        <is>
          <t>none</t>
        </is>
      </c>
      <c r="AW161" s="95" t="inlineStr">
        <is>
          <t>Y</t>
        </is>
      </c>
      <c r="AX161" s="95" t="inlineStr">
        <is>
          <t>2026-10-14 00:34:41</t>
        </is>
      </c>
      <c r="AY161" s="102" t="n"/>
      <c r="AZ161" s="102" t="n"/>
      <c r="BA161" s="101" t="n"/>
      <c r="BB161" s="101" t="n"/>
      <c r="BC161" s="87">
        <f>IF(AND(ISNUMBER(BA161),ISNUMBER(BB161),N(BA161)&gt;0),1-BB161/BA161,"")</f>
        <v/>
      </c>
      <c r="BD161" s="103" t="n"/>
      <c r="BE161" s="103" t="n"/>
      <c r="BF161" s="100">
        <f>IF(AND(ISNUMBER(BD161),ISNUMBER(BE161),N(BE161)&gt;0),BD161/BE161,"")</f>
        <v/>
      </c>
      <c r="BG161" s="102" t="n"/>
      <c r="BH161" s="97" t="inlineStr">
        <is>
          <t>Amazon.ca organic #10 for 'satin sheets queen 6 piece'; 100% Polyester; variation_count = distinct children exposed in page variation map, not a guaranteed complete catalogue. Bought-past-month badge not displayed.</t>
        </is>
      </c>
    </row>
    <row r="162" ht="62" customHeight="1">
      <c r="A162" s="10">
        <f>_xlfn.IMAGE("https://m.media-amazon.com/images/I/71NqLu99bjL.jpg")</f>
        <v/>
      </c>
      <c r="B162" s="84" t="inlineStr">
        <is>
          <t>Horbaunal</t>
        </is>
      </c>
      <c r="C162" s="32" t="inlineStr">
        <is>
          <t>Horbaunal 6 Piece Satin Sheet Set Queen Size Luxury Silky &amp; Soft Burgundy Satin Queen Bed Sheet Set with 16" Deep Pocket, 1 Fitted Sheet, 1 Flat Sheet, 4 Pillowcases</t>
        </is>
      </c>
      <c r="D162" s="84" t="inlineStr">
        <is>
          <t>Untiered</t>
        </is>
      </c>
      <c r="E162" s="84" t="inlineStr">
        <is>
          <t>B0B853RZWS</t>
        </is>
      </c>
      <c r="F162" s="84" t="inlineStr">
        <is>
          <t>B0B4MWGBCL</t>
        </is>
      </c>
      <c r="G162" s="84" t="inlineStr">
        <is>
          <t>Queen</t>
        </is>
      </c>
      <c r="H162" s="84" t="inlineStr">
        <is>
          <t>Burgundy</t>
        </is>
      </c>
      <c r="I162" s="85" t="n">
        <v>25</v>
      </c>
      <c r="J162" s="32" t="n"/>
      <c r="K162" s="86" t="n">
        <v>54.37</v>
      </c>
      <c r="L162" s="86" t="n"/>
      <c r="M162" s="87">
        <f>IF(AND(ISNUMBER(L162),ISNUMBER(K162),N(K162)&gt;0),L162/K162-1,"")</f>
        <v/>
      </c>
      <c r="N162" s="88">
        <f>IF(M162="","No List Price",IF(M162&lt;=0,"At/below price",IF(M162&lt;=0.12,"&lt;=12% STR zone",IF(M162&lt;=0.25,"12-25%","&gt;25% over"))))</f>
        <v/>
      </c>
      <c r="O162" s="86" t="n">
        <v>50.21499999999998</v>
      </c>
      <c r="P162" s="89">
        <f>IF(AND(ISNUMBER(K162),ISNUMBER(O162),N(O162)&gt;0),K162/O162-1,"")</f>
        <v/>
      </c>
      <c r="Q162" s="32" t="inlineStr">
        <is>
          <t>Same size (Queen), CAD. Ours: Command Center fee feed, Mar 2026 - STALE</t>
        </is>
      </c>
      <c r="R162" s="85" t="n">
        <v>515168</v>
      </c>
      <c r="S162" s="85" t="n"/>
      <c r="T162" s="90">
        <f>IF(AND(ISNUMBER(K162),ISNUMBER(S162)),K162*S162*52/12,"")</f>
        <v/>
      </c>
      <c r="U162" s="91" t="n">
        <v>4.4</v>
      </c>
      <c r="V162" s="85" t="n">
        <v>842</v>
      </c>
      <c r="W162" s="92" t="n">
        <v>46309</v>
      </c>
      <c r="X162" s="92" t="n"/>
      <c r="Y162" s="84" t="n"/>
      <c r="Z162" s="84" t="n"/>
      <c r="AA162" s="85" t="n"/>
      <c r="AB162" s="85" t="n"/>
      <c r="AC162" s="93" t="n"/>
      <c r="AD162" s="93" t="n"/>
      <c r="AE162" s="32" t="n"/>
      <c r="AF162" s="93" t="n"/>
      <c r="AG162" s="93" t="n"/>
      <c r="AH162" s="93" t="n"/>
      <c r="AI162" s="93" t="n"/>
      <c r="AJ162" s="85" t="n"/>
      <c r="AK162" s="85" t="n"/>
      <c r="AL162" s="85" t="n"/>
      <c r="AM162" s="85" t="n"/>
      <c r="AN162" s="85" t="n"/>
      <c r="AO162" s="85" t="n"/>
      <c r="AP162" s="94" t="n"/>
      <c r="AQ162" s="89" t="n"/>
      <c r="AR162" s="95" t="inlineStr">
        <is>
          <t>Y</t>
        </is>
      </c>
      <c r="AS162" s="95" t="inlineStr">
        <is>
          <t>Was price</t>
        </is>
      </c>
      <c r="AT162" s="96" t="n">
        <v>62.09</v>
      </c>
      <c r="AU162" s="96" t="n">
        <v>54.37</v>
      </c>
      <c r="AV162" s="95" t="inlineStr">
        <is>
          <t>none</t>
        </is>
      </c>
      <c r="AW162" s="95" t="inlineStr">
        <is>
          <t>Y</t>
        </is>
      </c>
      <c r="AX162" s="95" t="inlineStr">
        <is>
          <t>2026-10-14 00:35:06</t>
        </is>
      </c>
      <c r="AY162" s="102" t="n"/>
      <c r="AZ162" s="102" t="n"/>
      <c r="BA162" s="101" t="n"/>
      <c r="BB162" s="101" t="n"/>
      <c r="BC162" s="87">
        <f>IF(AND(ISNUMBER(BA162),ISNUMBER(BB162),N(BA162)&gt;0),1-BB162/BA162,"")</f>
        <v/>
      </c>
      <c r="BD162" s="103" t="n"/>
      <c r="BE162" s="103" t="n"/>
      <c r="BF162" s="100">
        <f>IF(AND(ISNUMBER(BD162),ISNUMBER(BE162),N(BE162)&gt;0),BD162/BE162,"")</f>
        <v/>
      </c>
      <c r="BG162" s="102" t="n"/>
      <c r="BH162" s="97" t="inlineStr">
        <is>
          <t>Amazon.ca organic #12 for 'satin sheets queen 6 piece'; 100% Polyester; variation_count = distinct children exposed in page variation map, not a guaranteed complete catalogue. Bought-past-month badge not displayed.</t>
        </is>
      </c>
    </row>
    <row r="163" ht="62" customHeight="1">
      <c r="A163" s="10">
        <f>_xlfn.IMAGE("https://m.media-amazon.com/images/I/51VwRlflBFL.jpg")</f>
        <v/>
      </c>
      <c r="B163" s="84" t="inlineStr">
        <is>
          <t>JUWENIN</t>
        </is>
      </c>
      <c r="C163" s="32" t="inlineStr">
        <is>
          <t>JUWENIN Satin Sheet Set, 6 Piece Soft Silky Bed Sheets Deep Pocket, Good for Skin and Hair 1 Satin Fitted Sheet + 1 Flat Sheet + 4 Pillow Cases(Gray, Queen)</t>
        </is>
      </c>
      <c r="D163" s="84" t="inlineStr">
        <is>
          <t>Untiered</t>
        </is>
      </c>
      <c r="E163" s="84" t="inlineStr">
        <is>
          <t>B0FBL9474N</t>
        </is>
      </c>
      <c r="F163" s="84" t="inlineStr">
        <is>
          <t>B0CN5LRC1T</t>
        </is>
      </c>
      <c r="G163" s="84" t="inlineStr">
        <is>
          <t>Queen</t>
        </is>
      </c>
      <c r="H163" s="84" t="inlineStr">
        <is>
          <t>Gray</t>
        </is>
      </c>
      <c r="I163" s="85" t="n">
        <v>3</v>
      </c>
      <c r="J163" s="32" t="n"/>
      <c r="K163" s="86" t="n">
        <v>49.7</v>
      </c>
      <c r="L163" s="86" t="n"/>
      <c r="M163" s="87">
        <f>IF(AND(ISNUMBER(L163),ISNUMBER(K163),N(K163)&gt;0),L163/K163-1,"")</f>
        <v/>
      </c>
      <c r="N163" s="88">
        <f>IF(M163="","No List Price",IF(M163&lt;=0,"At/below price",IF(M163&lt;=0.12,"&lt;=12% STR zone",IF(M163&lt;=0.25,"12-25%","&gt;25% over"))))</f>
        <v/>
      </c>
      <c r="O163" s="86" t="n">
        <v>50.21499999999998</v>
      </c>
      <c r="P163" s="89">
        <f>IF(AND(ISNUMBER(K163),ISNUMBER(O163),N(O163)&gt;0),K163/O163-1,"")</f>
        <v/>
      </c>
      <c r="Q163" s="32" t="inlineStr">
        <is>
          <t>Same size (Queen), CAD. Ours: Command Center fee feed, Mar 2026 - STALE</t>
        </is>
      </c>
      <c r="R163" s="85" t="n">
        <v>418002</v>
      </c>
      <c r="S163" s="85" t="n"/>
      <c r="T163" s="90">
        <f>IF(AND(ISNUMBER(K163),ISNUMBER(S163)),K163*S163*52/12,"")</f>
        <v/>
      </c>
      <c r="U163" s="91" t="n"/>
      <c r="V163" s="85" t="n"/>
      <c r="W163" s="92" t="n">
        <v>46309</v>
      </c>
      <c r="X163" s="92" t="n"/>
      <c r="Y163" s="84" t="n"/>
      <c r="Z163" s="84" t="n"/>
      <c r="AA163" s="85" t="n"/>
      <c r="AB163" s="85" t="n"/>
      <c r="AC163" s="93" t="n"/>
      <c r="AD163" s="93" t="n"/>
      <c r="AE163" s="32" t="n"/>
      <c r="AF163" s="93" t="n"/>
      <c r="AG163" s="93" t="n"/>
      <c r="AH163" s="93" t="n"/>
      <c r="AI163" s="93" t="n"/>
      <c r="AJ163" s="85" t="n"/>
      <c r="AK163" s="85" t="n"/>
      <c r="AL163" s="85" t="n"/>
      <c r="AM163" s="85" t="n"/>
      <c r="AN163" s="85" t="n"/>
      <c r="AO163" s="85" t="n"/>
      <c r="AP163" s="94" t="n"/>
      <c r="AQ163" s="89" t="n"/>
      <c r="AR163" s="95" t="inlineStr">
        <is>
          <t>N</t>
        </is>
      </c>
      <c r="AS163" s="95" t="inlineStr">
        <is>
          <t>none</t>
        </is>
      </c>
      <c r="AT163" s="101" t="n"/>
      <c r="AU163" s="96" t="n">
        <v>49.7</v>
      </c>
      <c r="AV163" s="95" t="inlineStr">
        <is>
          <t>none</t>
        </is>
      </c>
      <c r="AW163" s="95" t="inlineStr">
        <is>
          <t>Y</t>
        </is>
      </c>
      <c r="AX163" s="95" t="inlineStr">
        <is>
          <t>2026-10-14 00:35:22</t>
        </is>
      </c>
      <c r="AY163" s="102" t="n"/>
      <c r="AZ163" s="102" t="n"/>
      <c r="BA163" s="101" t="n"/>
      <c r="BB163" s="101" t="n"/>
      <c r="BC163" s="87">
        <f>IF(AND(ISNUMBER(BA163),ISNUMBER(BB163),N(BA163)&gt;0),1-BB163/BA163,"")</f>
        <v/>
      </c>
      <c r="BD163" s="103" t="n"/>
      <c r="BE163" s="103" t="n"/>
      <c r="BF163" s="100">
        <f>IF(AND(ISNUMBER(BD163),ISNUMBER(BE163),N(BE163)&gt;0),BD163/BE163,"")</f>
        <v/>
      </c>
      <c r="BG163" s="102" t="n"/>
      <c r="BH163" s="97" t="inlineStr">
        <is>
          <t>Amazon.ca organic #15 for 'satin sheets queen 6 piece'; 100%polyester Satin; variation_count = distinct children exposed in page variation map, not a guaranteed complete catalogue. Rating not displayed. Bought-past-month badge not displa</t>
        </is>
      </c>
    </row>
    <row r="164" ht="62" customHeight="1">
      <c r="A164" s="10">
        <f>_xlfn.IMAGE("https://m.media-amazon.com/images/I/71r+gBRw83L.jpg")</f>
        <v/>
      </c>
      <c r="B164" s="84" t="inlineStr">
        <is>
          <t>MR&amp;HM</t>
        </is>
      </c>
      <c r="C164" s="32" t="inlineStr">
        <is>
          <t>MR&amp;HM Satin Sheets Queen Size with Elastic Corner Straps, Black</t>
        </is>
      </c>
      <c r="D164" s="84" t="inlineStr">
        <is>
          <t>Untiered</t>
        </is>
      </c>
      <c r="E164" s="84" t="inlineStr">
        <is>
          <t>B08NPFTQWB</t>
        </is>
      </c>
      <c r="F164" s="84" t="inlineStr">
        <is>
          <t>B08R64X5P9</t>
        </is>
      </c>
      <c r="G164" s="84" t="inlineStr">
        <is>
          <t>Queen</t>
        </is>
      </c>
      <c r="H164" s="84" t="inlineStr">
        <is>
          <t>01- Black</t>
        </is>
      </c>
      <c r="I164" s="85" t="n">
        <v>182</v>
      </c>
      <c r="J164" s="32" t="n"/>
      <c r="K164" s="86" t="n">
        <v>64.89</v>
      </c>
      <c r="L164" s="86" t="n"/>
      <c r="M164" s="87">
        <f>IF(AND(ISNUMBER(L164),ISNUMBER(K164),N(K164)&gt;0),L164/K164-1,"")</f>
        <v/>
      </c>
      <c r="N164" s="88">
        <f>IF(M164="","No List Price",IF(M164&lt;=0,"At/below price",IF(M164&lt;=0.12,"&lt;=12% STR zone",IF(M164&lt;=0.25,"12-25%","&gt;25% over"))))</f>
        <v/>
      </c>
      <c r="O164" s="86" t="n">
        <v>50.21499999999998</v>
      </c>
      <c r="P164" s="89">
        <f>IF(AND(ISNUMBER(K164),ISNUMBER(O164),N(O164)&gt;0),K164/O164-1,"")</f>
        <v/>
      </c>
      <c r="Q164" s="32" t="inlineStr">
        <is>
          <t>Same size (Queen), CAD. Ours: Command Center fee feed, Mar 2026 - STALE</t>
        </is>
      </c>
      <c r="R164" s="85" t="n">
        <v>1512</v>
      </c>
      <c r="S164" s="85" t="n"/>
      <c r="T164" s="90">
        <f>IF(AND(ISNUMBER(K164),ISNUMBER(S164)),K164*S164*52/12,"")</f>
        <v/>
      </c>
      <c r="U164" s="91" t="n">
        <v>4.2</v>
      </c>
      <c r="V164" s="85" t="n">
        <v>17432</v>
      </c>
      <c r="W164" s="92" t="n">
        <v>46309</v>
      </c>
      <c r="X164" s="92" t="n"/>
      <c r="Y164" s="84" t="n"/>
      <c r="Z164" s="84" t="n"/>
      <c r="AA164" s="85" t="n"/>
      <c r="AB164" s="85" t="n"/>
      <c r="AC164" s="93" t="n"/>
      <c r="AD164" s="93" t="n"/>
      <c r="AE164" s="32" t="n"/>
      <c r="AF164" s="93" t="n"/>
      <c r="AG164" s="93" t="n"/>
      <c r="AH164" s="93" t="n"/>
      <c r="AI164" s="93" t="n"/>
      <c r="AJ164" s="85" t="n"/>
      <c r="AK164" s="85" t="n"/>
      <c r="AL164" s="85" t="n"/>
      <c r="AM164" s="85" t="n"/>
      <c r="AN164" s="85" t="n"/>
      <c r="AO164" s="85" t="n"/>
      <c r="AP164" s="94" t="n"/>
      <c r="AQ164" s="89" t="n"/>
      <c r="AR164" s="95" t="inlineStr">
        <is>
          <t>Y</t>
        </is>
      </c>
      <c r="AS164" s="95" t="inlineStr">
        <is>
          <t>Was price</t>
        </is>
      </c>
      <c r="AT164" s="96" t="n">
        <v>74.34999999999999</v>
      </c>
      <c r="AU164" s="96" t="n">
        <v>64.89</v>
      </c>
      <c r="AV164" s="95" t="inlineStr">
        <is>
          <t>none</t>
        </is>
      </c>
      <c r="AW164" s="95" t="inlineStr">
        <is>
          <t>Y</t>
        </is>
      </c>
      <c r="AX164" s="95" t="inlineStr">
        <is>
          <t>2026-10-14 00:35:31</t>
        </is>
      </c>
      <c r="AY164" s="102" t="n"/>
      <c r="AZ164" s="102" t="n"/>
      <c r="BA164" s="101" t="n"/>
      <c r="BB164" s="101" t="n"/>
      <c r="BC164" s="87">
        <f>IF(AND(ISNUMBER(BA164),ISNUMBER(BB164),N(BA164)&gt;0),1-BB164/BA164,"")</f>
        <v/>
      </c>
      <c r="BD164" s="103" t="n"/>
      <c r="BE164" s="103" t="n"/>
      <c r="BF164" s="100">
        <f>IF(AND(ISNUMBER(BD164),ISNUMBER(BE164),N(BE164)&gt;0),BD164/BE164,"")</f>
        <v/>
      </c>
      <c r="BG164" s="102" t="n"/>
      <c r="BH164" s="97" t="inlineStr">
        <is>
          <t>Amazon.ca organic #16 for 'satin sheets 6 piece'; 100% Polyester Satin; variation_count = distinct children exposed in page variation map, not a guaranteed complete catalogue. Bought-past-month badge not displayed.</t>
        </is>
      </c>
    </row>
    <row r="165" ht="62" customHeight="1">
      <c r="A165" s="10">
        <f>_xlfn.IMAGE("https://m.media-amazon.com/images/I/81iqkRjtATL.jpg")</f>
        <v/>
      </c>
      <c r="B165" s="84" t="inlineStr">
        <is>
          <t>Madison Park</t>
        </is>
      </c>
      <c r="C165" s="32" t="inlineStr">
        <is>
          <t>Madison Park Essentials Satin Sheet Set Luxury and Silky with Natural Sheen, Elastic 14" Pocket fits up to 16" Mattress, All Around Elastic - Year-Round Bedding, Queen, White, 6 Piece</t>
        </is>
      </c>
      <c r="D165" s="84" t="inlineStr">
        <is>
          <t>Untiered</t>
        </is>
      </c>
      <c r="E165" s="84" t="n"/>
      <c r="F165" s="84" t="inlineStr">
        <is>
          <t>B09HVFNH3Z</t>
        </is>
      </c>
      <c r="G165" s="84" t="inlineStr">
        <is>
          <t>Queen</t>
        </is>
      </c>
      <c r="H165" s="84" t="inlineStr">
        <is>
          <t>White</t>
        </is>
      </c>
      <c r="I165" s="85" t="n"/>
      <c r="J165" s="32" t="n"/>
      <c r="K165" s="86" t="n">
        <v>59.75</v>
      </c>
      <c r="L165" s="86" t="n"/>
      <c r="M165" s="87">
        <f>IF(AND(ISNUMBER(L165),ISNUMBER(K165),N(K165)&gt;0),L165/K165-1,"")</f>
        <v/>
      </c>
      <c r="N165" s="88">
        <f>IF(M165="","No List Price",IF(M165&lt;=0,"At/below price",IF(M165&lt;=0.12,"&lt;=12% STR zone",IF(M165&lt;=0.25,"12-25%","&gt;25% over"))))</f>
        <v/>
      </c>
      <c r="O165" s="86" t="n">
        <v>50.21499999999998</v>
      </c>
      <c r="P165" s="89">
        <f>IF(AND(ISNUMBER(K165),ISNUMBER(O165),N(O165)&gt;0),K165/O165-1,"")</f>
        <v/>
      </c>
      <c r="Q165" s="32" t="inlineStr">
        <is>
          <t>Same size (Queen), CAD. Ours: Command Center fee feed, Mar 2026 - STALE</t>
        </is>
      </c>
      <c r="R165" s="85" t="n">
        <v>724759</v>
      </c>
      <c r="S165" s="85" t="n"/>
      <c r="T165" s="90">
        <f>IF(AND(ISNUMBER(K165),ISNUMBER(S165)),K165*S165*52/12,"")</f>
        <v/>
      </c>
      <c r="U165" s="91" t="n">
        <v>4.3</v>
      </c>
      <c r="V165" s="85" t="n">
        <v>40</v>
      </c>
      <c r="W165" s="92" t="n">
        <v>46309</v>
      </c>
      <c r="X165" s="92" t="n"/>
      <c r="Y165" s="84" t="n"/>
      <c r="Z165" s="84" t="n"/>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96" t="n">
        <v>59.75</v>
      </c>
      <c r="AV165" s="95" t="inlineStr">
        <is>
          <t>none</t>
        </is>
      </c>
      <c r="AW165" s="95" t="inlineStr">
        <is>
          <t>Y</t>
        </is>
      </c>
      <c r="AX165" s="95" t="inlineStr">
        <is>
          <t>2026-10-14 00:35:57</t>
        </is>
      </c>
      <c r="AY165" s="102" t="n"/>
      <c r="AZ165" s="102" t="n"/>
      <c r="BA165" s="101" t="n"/>
      <c r="BB165" s="101" t="n"/>
      <c r="BC165" s="87">
        <f>IF(AND(ISNUMBER(BA165),ISNUMBER(BB165),N(BA165)&gt;0),1-BB165/BA165,"")</f>
        <v/>
      </c>
      <c r="BD165" s="103" t="n"/>
      <c r="BE165" s="103" t="n"/>
      <c r="BF165" s="100">
        <f>IF(AND(ISNUMBER(BD165),ISNUMBER(BE165),N(BE165)&gt;0),BD165/BE165,"")</f>
        <v/>
      </c>
      <c r="BG165" s="102" t="n"/>
      <c r="BH165" s="97" t="inlineStr">
        <is>
          <t>Amazon.ca organic #19 for 'satin sheets queen 6 piece'; 100% Polyester Solid Satin; Page parent field repeats the selected child; no distinct parent ASIN exposed. Treated as standalone observed listing. Parent ASIN not exposed. No child variati</t>
        </is>
      </c>
    </row>
    <row r="166" ht="62" customHeight="1">
      <c r="A166" s="10">
        <f>_xlfn.IMAGE("https://m.media-amazon.com/images/I/71+1229cTuL.jpg")</f>
        <v/>
      </c>
      <c r="B166" s="84" t="inlineStr">
        <is>
          <t>Candoury</t>
        </is>
      </c>
      <c r="C166" s="32" t="inlineStr">
        <is>
          <t>Candoury - Satin Sheet Set 6 Piece Luxury Queen Bed Sheets Set - Soft Durable Flat Sheet Set - Top Sheet, Fitted Sheet &amp; Pillowcases - Hotel Quality (Queen, Burgundy)</t>
        </is>
      </c>
      <c r="D166" s="84" t="inlineStr">
        <is>
          <t>Untiered</t>
        </is>
      </c>
      <c r="E166" s="84" t="inlineStr">
        <is>
          <t>B08KHR1MCV</t>
        </is>
      </c>
      <c r="F166" s="84" t="inlineStr">
        <is>
          <t>B08R5WM69J</t>
        </is>
      </c>
      <c r="G166" s="84" t="inlineStr">
        <is>
          <t>Queen</t>
        </is>
      </c>
      <c r="H166" s="84" t="inlineStr">
        <is>
          <t>Burgundy</t>
        </is>
      </c>
      <c r="I166" s="85" t="n">
        <v>58</v>
      </c>
      <c r="J166" s="32" t="n"/>
      <c r="K166" s="86" t="n">
        <v>78.98999999999999</v>
      </c>
      <c r="L166" s="86" t="n"/>
      <c r="M166" s="87">
        <f>IF(AND(ISNUMBER(L166),ISNUMBER(K166),N(K166)&gt;0),L166/K166-1,"")</f>
        <v/>
      </c>
      <c r="N166" s="88">
        <f>IF(M166="","No List Price",IF(M166&lt;=0,"At/below price",IF(M166&lt;=0.12,"&lt;=12% STR zone",IF(M166&lt;=0.25,"12-25%","&gt;25% over"))))</f>
        <v/>
      </c>
      <c r="O166" s="86" t="n">
        <v>50.21499999999998</v>
      </c>
      <c r="P166" s="89">
        <f>IF(AND(ISNUMBER(K166),ISNUMBER(O166),N(O166)&gt;0),K166/O166-1,"")</f>
        <v/>
      </c>
      <c r="Q166" s="32" t="inlineStr">
        <is>
          <t>Same size (Queen), CAD. Ours: Command Center fee feed, Mar 2026 - STALE</t>
        </is>
      </c>
      <c r="R166" s="85" t="n">
        <v>137725</v>
      </c>
      <c r="S166" s="85" t="n"/>
      <c r="T166" s="90">
        <f>IF(AND(ISNUMBER(K166),ISNUMBER(S166)),K166*S166*52/12,"")</f>
        <v/>
      </c>
      <c r="U166" s="91" t="n">
        <v>4.2</v>
      </c>
      <c r="V166" s="85" t="n">
        <v>5080</v>
      </c>
      <c r="W166" s="92" t="n">
        <v>46309</v>
      </c>
      <c r="X166" s="92" t="n"/>
      <c r="Y166" s="84" t="n"/>
      <c r="Z166" s="84" t="n"/>
      <c r="AA166" s="85" t="n"/>
      <c r="AB166" s="85" t="n"/>
      <c r="AC166" s="93" t="n"/>
      <c r="AD166" s="93" t="n"/>
      <c r="AE166" s="32" t="n"/>
      <c r="AF166" s="93" t="n"/>
      <c r="AG166" s="93" t="n"/>
      <c r="AH166" s="93" t="n"/>
      <c r="AI166" s="93" t="n"/>
      <c r="AJ166" s="85" t="n"/>
      <c r="AK166" s="85" t="n"/>
      <c r="AL166" s="85" t="n"/>
      <c r="AM166" s="85" t="n"/>
      <c r="AN166" s="85" t="n"/>
      <c r="AO166" s="85" t="n"/>
      <c r="AP166" s="94" t="n"/>
      <c r="AQ166" s="89" t="n"/>
      <c r="AR166" s="95" t="inlineStr">
        <is>
          <t>N</t>
        </is>
      </c>
      <c r="AS166" s="95" t="inlineStr">
        <is>
          <t>none</t>
        </is>
      </c>
      <c r="AT166" s="101" t="n"/>
      <c r="AU166" s="96" t="n">
        <v>78.98999999999999</v>
      </c>
      <c r="AV166" s="95" t="inlineStr">
        <is>
          <t>none</t>
        </is>
      </c>
      <c r="AW166" s="95" t="inlineStr">
        <is>
          <t>Y</t>
        </is>
      </c>
      <c r="AX166" s="95" t="inlineStr">
        <is>
          <t>2026-10-14 00:36:27</t>
        </is>
      </c>
      <c r="AY166" s="102" t="n"/>
      <c r="AZ166" s="102" t="n"/>
      <c r="BA166" s="101" t="n"/>
      <c r="BB166" s="101" t="n"/>
      <c r="BC166" s="87">
        <f>IF(AND(ISNUMBER(BA166),ISNUMBER(BB166),N(BA166)&gt;0),1-BB166/BA166,"")</f>
        <v/>
      </c>
      <c r="BD166" s="103" t="n"/>
      <c r="BE166" s="103" t="n"/>
      <c r="BF166" s="100">
        <f>IF(AND(ISNUMBER(BD166),ISNUMBER(BE166),N(BE166)&gt;0),BD166/BE166,"")</f>
        <v/>
      </c>
      <c r="BG166" s="102" t="n"/>
      <c r="BH166" s="97" t="inlineStr">
        <is>
          <t>Amazon.ca organic #24 for 'satin sheets queen 6 piece'; 100% Satin Polyester; Orderable; availability wording: Usually ships within 3 to 4 days variation_count = distinct children exposed in page variation map, not a guaranteed complete c</t>
        </is>
      </c>
    </row>
    <row r="167" ht="62" customHeight="1">
      <c r="A167" s="10">
        <f>_xlfn.IMAGE("https://m.media-amazon.com/images/I/71DuFRcKCPL.jpg")</f>
        <v/>
      </c>
      <c r="B167" s="84" t="inlineStr">
        <is>
          <t>P Pothuiny</t>
        </is>
      </c>
      <c r="C167" s="32" t="inlineStr">
        <is>
          <t>P Pothuiny 6-Piece Queen Satin Sheet Set Flint Blue Striped Printed</t>
        </is>
      </c>
      <c r="D167" s="84" t="inlineStr">
        <is>
          <t>Untiered</t>
        </is>
      </c>
      <c r="E167" s="84" t="n"/>
      <c r="F167" s="84" t="inlineStr">
        <is>
          <t>B0B3D4SBB1</t>
        </is>
      </c>
      <c r="G167" s="84" t="inlineStr">
        <is>
          <t>Queen</t>
        </is>
      </c>
      <c r="H167" s="84" t="inlineStr">
        <is>
          <t>Flint Blue</t>
        </is>
      </c>
      <c r="I167" s="85" t="n"/>
      <c r="J167" s="32" t="n"/>
      <c r="K167" s="86" t="n">
        <v>59.4</v>
      </c>
      <c r="L167" s="86" t="n"/>
      <c r="M167" s="87">
        <f>IF(AND(ISNUMBER(L167),ISNUMBER(K167),N(K167)&gt;0),L167/K167-1,"")</f>
        <v/>
      </c>
      <c r="N167" s="88">
        <f>IF(M167="","No List Price",IF(M167&lt;=0,"At/below price",IF(M167&lt;=0.12,"&lt;=12% STR zone",IF(M167&lt;=0.25,"12-25%","&gt;25% over"))))</f>
        <v/>
      </c>
      <c r="O167" s="86" t="n">
        <v>50.21499999999998</v>
      </c>
      <c r="P167" s="89">
        <f>IF(AND(ISNUMBER(K167),ISNUMBER(O167),N(O167)&gt;0),K167/O167-1,"")</f>
        <v/>
      </c>
      <c r="Q167" s="32" t="inlineStr">
        <is>
          <t>Same size (Queen), CAD. Ours: Command Center fee feed, Mar 2026 - STALE</t>
        </is>
      </c>
      <c r="R167" s="85" t="n">
        <v>1923711</v>
      </c>
      <c r="S167" s="85" t="n"/>
      <c r="T167" s="90">
        <f>IF(AND(ISNUMBER(K167),ISNUMBER(S167)),K167*S167*52/12,"")</f>
        <v/>
      </c>
      <c r="U167" s="91" t="n">
        <v>4.4</v>
      </c>
      <c r="V167" s="85" t="n">
        <v>23</v>
      </c>
      <c r="W167" s="92" t="n">
        <v>46309</v>
      </c>
      <c r="X167" s="92" t="n"/>
      <c r="Y167" s="84" t="n"/>
      <c r="Z167" s="84" t="n"/>
      <c r="AA167" s="85" t="n"/>
      <c r="AB167" s="85" t="n"/>
      <c r="AC167" s="93" t="n"/>
      <c r="AD167" s="93" t="n"/>
      <c r="AE167" s="32" t="n"/>
      <c r="AF167" s="93" t="n"/>
      <c r="AG167" s="93" t="n"/>
      <c r="AH167" s="93" t="n"/>
      <c r="AI167" s="93" t="n"/>
      <c r="AJ167" s="85" t="n"/>
      <c r="AK167" s="85" t="n"/>
      <c r="AL167" s="85" t="n"/>
      <c r="AM167" s="85" t="n"/>
      <c r="AN167" s="85" t="n"/>
      <c r="AO167" s="85" t="n"/>
      <c r="AP167" s="94" t="n"/>
      <c r="AQ167" s="89" t="n"/>
      <c r="AR167" s="95" t="inlineStr">
        <is>
          <t>N</t>
        </is>
      </c>
      <c r="AS167" s="95" t="inlineStr">
        <is>
          <t>none</t>
        </is>
      </c>
      <c r="AT167" s="101" t="n"/>
      <c r="AU167" s="96" t="n">
        <v>59.4</v>
      </c>
      <c r="AV167" s="95" t="inlineStr">
        <is>
          <t>none</t>
        </is>
      </c>
      <c r="AW167" s="95" t="inlineStr">
        <is>
          <t>Y</t>
        </is>
      </c>
      <c r="AX167" s="95" t="inlineStr">
        <is>
          <t>2026-10-14 00:37:14</t>
        </is>
      </c>
      <c r="AY167" s="102" t="n"/>
      <c r="AZ167" s="102" t="n"/>
      <c r="BA167" s="101" t="n"/>
      <c r="BB167" s="101" t="n"/>
      <c r="BC167" s="87">
        <f>IF(AND(ISNUMBER(BA167),ISNUMBER(BB167),N(BA167)&gt;0),1-BB167/BA167,"")</f>
        <v/>
      </c>
      <c r="BD167" s="103" t="n"/>
      <c r="BE167" s="103" t="n"/>
      <c r="BF167" s="100">
        <f>IF(AND(ISNUMBER(BD167),ISNUMBER(BE167),N(BE167)&gt;0),BD167/BE167,"")</f>
        <v/>
      </c>
      <c r="BG167" s="102" t="n"/>
      <c r="BH167" s="97" t="inlineStr">
        <is>
          <t>Amazon.ca organic #31 for 'satin sheets queen 6 piece'; Satin; Page parent field repeats the selected child; no distinct parent ASIN exposed. Treated as standalone observed listing. Parent ASIN not exposed. No child variati</t>
        </is>
      </c>
    </row>
    <row r="168" ht="62" customHeight="1">
      <c r="A168" s="10">
        <f>_xlfn.IMAGE("https://m.media-amazon.com/images/I/7137mOom6hL.jpg")</f>
        <v/>
      </c>
      <c r="B168" s="84" t="inlineStr">
        <is>
          <t>TREELY</t>
        </is>
      </c>
      <c r="C168" s="32" t="inlineStr">
        <is>
          <t>TREELY 6 Piece Satin Sheets King Size Silky Smooth Beige Satin Sheet Set with Deep Pocket, Satin Fitted Sheet, Flat Sheet, 4 Satin Pillowcase</t>
        </is>
      </c>
      <c r="D168" s="84" t="inlineStr">
        <is>
          <t>Untiered</t>
        </is>
      </c>
      <c r="E168" s="84" t="n"/>
      <c r="F168" s="84" t="inlineStr">
        <is>
          <t>B0CG8XWGLK</t>
        </is>
      </c>
      <c r="G168" s="84" t="inlineStr">
        <is>
          <t>King</t>
        </is>
      </c>
      <c r="H168" s="84" t="inlineStr">
        <is>
          <t>Beige</t>
        </is>
      </c>
      <c r="I168" s="85" t="n"/>
      <c r="J168" s="32" t="n"/>
      <c r="K168" s="86" t="n">
        <v>47.57</v>
      </c>
      <c r="L168" s="86" t="n"/>
      <c r="M168" s="87">
        <f>IF(AND(ISNUMBER(L168),ISNUMBER(K168),N(K168)&gt;0),L168/K168-1,"")</f>
        <v/>
      </c>
      <c r="N168" s="88">
        <f>IF(M168="","No List Price",IF(M168&lt;=0,"At/below price",IF(M168&lt;=0.12,"&lt;=12% STR zone",IF(M168&lt;=0.25,"12-25%","&gt;25% over"))))</f>
        <v/>
      </c>
      <c r="O168" s="86" t="n">
        <v>50.94631067961166</v>
      </c>
      <c r="P168" s="89">
        <f>IF(AND(ISNUMBER(K168),ISNUMBER(O168),N(O168)&gt;0),K168/O168-1,"")</f>
        <v/>
      </c>
      <c r="Q168" s="32" t="inlineStr">
        <is>
          <t>Same size (King), CAD. Ours: Command Center fee feed, Mar 2026 - STALE</t>
        </is>
      </c>
      <c r="R168" s="85" t="n"/>
      <c r="S168" s="85" t="n"/>
      <c r="T168" s="90">
        <f>IF(AND(ISNUMBER(K168),ISNUMBER(S168)),K168*S168*52/12,"")</f>
        <v/>
      </c>
      <c r="U168" s="91" t="n">
        <v>5</v>
      </c>
      <c r="V168" s="85" t="n">
        <v>3</v>
      </c>
      <c r="W168" s="92" t="n">
        <v>46309</v>
      </c>
      <c r="X168" s="92" t="n"/>
      <c r="Y168" s="84" t="n"/>
      <c r="Z168" s="84" t="n"/>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N</t>
        </is>
      </c>
      <c r="AS168" s="95" t="inlineStr">
        <is>
          <t>none</t>
        </is>
      </c>
      <c r="AT168" s="101" t="n"/>
      <c r="AU168" s="96" t="n">
        <v>47.57</v>
      </c>
      <c r="AV168" s="95" t="inlineStr">
        <is>
          <t>none</t>
        </is>
      </c>
      <c r="AW168" s="95" t="inlineStr">
        <is>
          <t>Y</t>
        </is>
      </c>
      <c r="AX168" s="95" t="inlineStr">
        <is>
          <t>2026-10-14 00:38:13</t>
        </is>
      </c>
      <c r="AY168" s="102" t="n"/>
      <c r="AZ168" s="102" t="n"/>
      <c r="BA168" s="101" t="n"/>
      <c r="BB168" s="101" t="n"/>
      <c r="BC168" s="87">
        <f>IF(AND(ISNUMBER(BA168),ISNUMBER(BB168),N(BA168)&gt;0),1-BB168/BA168,"")</f>
        <v/>
      </c>
      <c r="BD168" s="103" t="n"/>
      <c r="BE168" s="103" t="n"/>
      <c r="BF168" s="100">
        <f>IF(AND(ISNUMBER(BD168),ISNUMBER(BE168),N(BE168)&gt;0),BD168/BE168,"")</f>
        <v/>
      </c>
      <c r="BG168" s="102" t="n"/>
      <c r="BH168" s="97" t="inlineStr">
        <is>
          <t>Amazon.ca organic #37 for 'satin sheets 6 piece'; Satin; No Queen option exposed; King used. Page parent field repeats the selected child; no distinct parent ASIN exposed. Treated as standalone observed listing. Paren</t>
        </is>
      </c>
    </row>
    <row r="169" ht="62" customHeight="1">
      <c r="A169" s="10">
        <f>_xlfn.IMAGE("https://m.media-amazon.com/images/I/81WDDYbsuoL.jpg")</f>
        <v/>
      </c>
      <c r="B169" s="84" t="inlineStr">
        <is>
          <t>Madison Park</t>
        </is>
      </c>
      <c r="C169" s="32" t="inlineStr">
        <is>
          <t>Madison Park Satin Sheets Queen Size, Luxurious Silky Bed Sheets, Elastic 14" Pocket fits up to 16" Mattress, Wrinkle-Free, Soft Satin Bed Sheet Set, Emerald 6 Piece</t>
        </is>
      </c>
      <c r="D169" s="84" t="inlineStr">
        <is>
          <t>Untiered</t>
        </is>
      </c>
      <c r="E169" s="84" t="inlineStr">
        <is>
          <t>B0DDQD35D4</t>
        </is>
      </c>
      <c r="F169" s="84" t="inlineStr">
        <is>
          <t>B0DDQ6H23P</t>
        </is>
      </c>
      <c r="G169" s="84" t="inlineStr">
        <is>
          <t>Queen</t>
        </is>
      </c>
      <c r="H169" s="84" t="inlineStr">
        <is>
          <t>Emerald Green</t>
        </is>
      </c>
      <c r="I169" s="85" t="n">
        <v>39</v>
      </c>
      <c r="J169" s="32" t="n"/>
      <c r="K169" s="86" t="n">
        <v>96.7</v>
      </c>
      <c r="L169" s="86" t="n"/>
      <c r="M169" s="87">
        <f>IF(AND(ISNUMBER(L169),ISNUMBER(K169),N(K169)&gt;0),L169/K169-1,"")</f>
        <v/>
      </c>
      <c r="N169" s="88">
        <f>IF(M169="","No List Price",IF(M169&lt;=0,"At/below price",IF(M169&lt;=0.12,"&lt;=12% STR zone",IF(M169&lt;=0.25,"12-25%","&gt;25% over"))))</f>
        <v/>
      </c>
      <c r="O169" s="86" t="n">
        <v>50.21499999999998</v>
      </c>
      <c r="P169" s="89">
        <f>IF(AND(ISNUMBER(K169),ISNUMBER(O169),N(O169)&gt;0),K169/O169-1,"")</f>
        <v/>
      </c>
      <c r="Q169" s="32" t="inlineStr">
        <is>
          <t>Same size (Queen), CAD. Ours: Command Center fee feed, Mar 2026 - STALE</t>
        </is>
      </c>
      <c r="R169" s="85" t="n">
        <v>724244</v>
      </c>
      <c r="S169" s="85" t="n"/>
      <c r="T169" s="90">
        <f>IF(AND(ISNUMBER(K169),ISNUMBER(S169)),K169*S169*52/12,"")</f>
        <v/>
      </c>
      <c r="U169" s="91" t="n">
        <v>4.2</v>
      </c>
      <c r="V169" s="85" t="n">
        <v>110</v>
      </c>
      <c r="W169" s="92" t="n">
        <v>46309</v>
      </c>
      <c r="X169" s="92" t="n"/>
      <c r="Y169" s="84" t="n"/>
      <c r="Z169" s="84" t="n"/>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N</t>
        </is>
      </c>
      <c r="AS169" s="95" t="inlineStr">
        <is>
          <t>none</t>
        </is>
      </c>
      <c r="AT169" s="101" t="n"/>
      <c r="AU169" s="96" t="n">
        <v>96.7</v>
      </c>
      <c r="AV169" s="95" t="inlineStr">
        <is>
          <t>none</t>
        </is>
      </c>
      <c r="AW169" s="95" t="inlineStr">
        <is>
          <t>Y</t>
        </is>
      </c>
      <c r="AX169" s="95" t="inlineStr">
        <is>
          <t>2026-10-14 00:38:18</t>
        </is>
      </c>
      <c r="AY169" s="102" t="n"/>
      <c r="AZ169" s="102" t="n"/>
      <c r="BA169" s="101" t="n"/>
      <c r="BB169" s="101" t="n"/>
      <c r="BC169" s="87">
        <f>IF(AND(ISNUMBER(BA169),ISNUMBER(BB169),N(BA169)&gt;0),1-BB169/BA169,"")</f>
        <v/>
      </c>
      <c r="BD169" s="103" t="n"/>
      <c r="BE169" s="103" t="n"/>
      <c r="BF169" s="100">
        <f>IF(AND(ISNUMBER(BD169),ISNUMBER(BE169),N(BE169)&gt;0),BD169/BE169,"")</f>
        <v/>
      </c>
      <c r="BG169" s="102" t="n"/>
      <c r="BH169" s="97" t="inlineStr">
        <is>
          <t>Amazon.ca organic #37 for 'satin sheets queen 6 piece'; Satin; variation_count = distinct children exposed in page variation map, not a guaranteed complete catalogue. Bought-past-month badge not displayed.</t>
        </is>
      </c>
    </row>
    <row r="170" ht="62" customHeight="1">
      <c r="A170" s="10">
        <f>_xlfn.IMAGE("https://m.media-amazon.com/images/I/81gVMcbJ+9L.jpg")</f>
        <v/>
      </c>
      <c r="B170" s="84" t="inlineStr">
        <is>
          <t>Madison Park</t>
        </is>
      </c>
      <c r="C170" s="32" t="inlineStr">
        <is>
          <t>Madison Park Essentials Premier Comfort SHET20-173 Satin 6 Piece Sheet Set, Queen, Black</t>
        </is>
      </c>
      <c r="D170" s="84" t="inlineStr">
        <is>
          <t>Untiered</t>
        </is>
      </c>
      <c r="E170" s="84" t="inlineStr">
        <is>
          <t>B07N97B765</t>
        </is>
      </c>
      <c r="F170" s="84" t="inlineStr">
        <is>
          <t>B0053WL9UA</t>
        </is>
      </c>
      <c r="G170" s="84" t="inlineStr">
        <is>
          <t>Queen</t>
        </is>
      </c>
      <c r="H170" s="84" t="inlineStr">
        <is>
          <t>Black</t>
        </is>
      </c>
      <c r="I170" s="85" t="n">
        <v>15</v>
      </c>
      <c r="J170" s="32" t="n"/>
      <c r="K170" s="86" t="n">
        <v>61.99</v>
      </c>
      <c r="L170" s="86" t="n"/>
      <c r="M170" s="87">
        <f>IF(AND(ISNUMBER(L170),ISNUMBER(K170),N(K170)&gt;0),L170/K170-1,"")</f>
        <v/>
      </c>
      <c r="N170" s="88">
        <f>IF(M170="","No List Price",IF(M170&lt;=0,"At/below price",IF(M170&lt;=0.12,"&lt;=12% STR zone",IF(M170&lt;=0.25,"12-25%","&gt;25% over"))))</f>
        <v/>
      </c>
      <c r="O170" s="86" t="n">
        <v>50.21499999999998</v>
      </c>
      <c r="P170" s="89">
        <f>IF(AND(ISNUMBER(K170),ISNUMBER(O170),N(O170)&gt;0),K170/O170-1,"")</f>
        <v/>
      </c>
      <c r="Q170" s="32" t="inlineStr">
        <is>
          <t>Same size (Queen), CAD. Ours: Command Center fee feed, Mar 2026 - STALE</t>
        </is>
      </c>
      <c r="R170" s="85" t="n">
        <v>823880</v>
      </c>
      <c r="S170" s="85" t="n"/>
      <c r="T170" s="90">
        <f>IF(AND(ISNUMBER(K170),ISNUMBER(S170)),K170*S170*52/12,"")</f>
        <v/>
      </c>
      <c r="U170" s="91" t="n">
        <v>4</v>
      </c>
      <c r="V170" s="85" t="n">
        <v>2955</v>
      </c>
      <c r="W170" s="92" t="n">
        <v>46309</v>
      </c>
      <c r="X170" s="92" t="n"/>
      <c r="Y170" s="84" t="n"/>
      <c r="Z170" s="84" t="n"/>
      <c r="AA170" s="85" t="n"/>
      <c r="AB170" s="85" t="n"/>
      <c r="AC170" s="93" t="n"/>
      <c r="AD170" s="93" t="n"/>
      <c r="AE170" s="32" t="n"/>
      <c r="AF170" s="93" t="n"/>
      <c r="AG170" s="93" t="n"/>
      <c r="AH170" s="93" t="n"/>
      <c r="AI170" s="93" t="n"/>
      <c r="AJ170" s="85" t="n"/>
      <c r="AK170" s="85" t="n"/>
      <c r="AL170" s="85" t="n"/>
      <c r="AM170" s="85" t="n"/>
      <c r="AN170" s="85" t="n"/>
      <c r="AO170" s="85" t="n"/>
      <c r="AP170" s="94" t="n"/>
      <c r="AQ170" s="89" t="n"/>
      <c r="AR170" s="95" t="inlineStr">
        <is>
          <t>N</t>
        </is>
      </c>
      <c r="AS170" s="95" t="inlineStr">
        <is>
          <t>none</t>
        </is>
      </c>
      <c r="AT170" s="101" t="n"/>
      <c r="AU170" s="96" t="n">
        <v>61.99</v>
      </c>
      <c r="AV170" s="95" t="inlineStr">
        <is>
          <t>none</t>
        </is>
      </c>
      <c r="AW170" s="95" t="inlineStr">
        <is>
          <t>Y</t>
        </is>
      </c>
      <c r="AX170" s="95" t="inlineStr">
        <is>
          <t>2026-10-14 00:38:33</t>
        </is>
      </c>
      <c r="AY170" s="102" t="n"/>
      <c r="AZ170" s="102" t="n"/>
      <c r="BA170" s="101" t="n"/>
      <c r="BB170" s="101" t="n"/>
      <c r="BC170" s="87">
        <f>IF(AND(ISNUMBER(BA170),ISNUMBER(BB170),N(BA170)&gt;0),1-BB170/BA170,"")</f>
        <v/>
      </c>
      <c r="BD170" s="103" t="n"/>
      <c r="BE170" s="103" t="n"/>
      <c r="BF170" s="100">
        <f>IF(AND(ISNUMBER(BD170),ISNUMBER(BE170),N(BE170)&gt;0),BD170/BE170,"")</f>
        <v/>
      </c>
      <c r="BG170" s="102" t="n"/>
      <c r="BH170" s="97" t="inlineStr">
        <is>
          <t>Amazon.ca organic #39 for 'satin sheets queen 6 piece'; Polyester; Page Fabric Type field is non-material text (3.27); Material field used instead. variation_count = distinct children exposed in page variation map, not a guaran</t>
        </is>
      </c>
    </row>
    <row r="171" ht="62" customHeight="1">
      <c r="A171" s="10">
        <f>_xlfn.IMAGE("https://m.media-amazon.com/images/I/71VWxLeKClL.jpg")</f>
        <v/>
      </c>
      <c r="B171" s="84" t="inlineStr">
        <is>
          <t>P Pothuiny</t>
        </is>
      </c>
      <c r="C171" s="32" t="inlineStr">
        <is>
          <t>P Pothuiny 6-Piece Queen Satin Sheet Set Burnt Orange Silky Sheets</t>
        </is>
      </c>
      <c r="D171" s="84" t="inlineStr">
        <is>
          <t>Untiered</t>
        </is>
      </c>
      <c r="E171" s="84" t="n"/>
      <c r="F171" s="84" t="inlineStr">
        <is>
          <t>B09W2QF9B8</t>
        </is>
      </c>
      <c r="G171" s="84" t="inlineStr">
        <is>
          <t>Queen</t>
        </is>
      </c>
      <c r="H171" s="84" t="inlineStr">
        <is>
          <t>Burnt Orange</t>
        </is>
      </c>
      <c r="I171" s="85" t="n"/>
      <c r="J171" s="32" t="n"/>
      <c r="K171" s="86" t="n">
        <v>59.5</v>
      </c>
      <c r="L171" s="86" t="n"/>
      <c r="M171" s="87">
        <f>IF(AND(ISNUMBER(L171),ISNUMBER(K171),N(K171)&gt;0),L171/K171-1,"")</f>
        <v/>
      </c>
      <c r="N171" s="88">
        <f>IF(M171="","No List Price",IF(M171&lt;=0,"At/below price",IF(M171&lt;=0.12,"&lt;=12% STR zone",IF(M171&lt;=0.25,"12-25%","&gt;25% over"))))</f>
        <v/>
      </c>
      <c r="O171" s="86" t="n">
        <v>50.21499999999998</v>
      </c>
      <c r="P171" s="89">
        <f>IF(AND(ISNUMBER(K171),ISNUMBER(O171),N(O171)&gt;0),K171/O171-1,"")</f>
        <v/>
      </c>
      <c r="Q171" s="32" t="inlineStr">
        <is>
          <t>Same size (Queen), CAD. Ours: Command Center fee feed, Mar 2026 - STALE</t>
        </is>
      </c>
      <c r="R171" s="85" t="n"/>
      <c r="S171" s="85" t="n"/>
      <c r="T171" s="90">
        <f>IF(AND(ISNUMBER(K171),ISNUMBER(S171)),K171*S171*52/12,"")</f>
        <v/>
      </c>
      <c r="U171" s="91" t="n">
        <v>4</v>
      </c>
      <c r="V171" s="85" t="n">
        <v>64</v>
      </c>
      <c r="W171" s="92" t="n">
        <v>46309</v>
      </c>
      <c r="X171" s="92" t="n"/>
      <c r="Y171" s="84" t="n"/>
      <c r="Z171" s="84" t="n"/>
      <c r="AA171" s="85" t="n"/>
      <c r="AB171" s="85" t="n"/>
      <c r="AC171" s="93" t="n"/>
      <c r="AD171" s="93" t="n"/>
      <c r="AE171" s="32" t="n"/>
      <c r="AF171" s="93" t="n"/>
      <c r="AG171" s="93" t="n"/>
      <c r="AH171" s="93" t="n"/>
      <c r="AI171" s="93" t="n"/>
      <c r="AJ171" s="85" t="n"/>
      <c r="AK171" s="85" t="n"/>
      <c r="AL171" s="85" t="n"/>
      <c r="AM171" s="85" t="n"/>
      <c r="AN171" s="85" t="n"/>
      <c r="AO171" s="85" t="n"/>
      <c r="AP171" s="94" t="n"/>
      <c r="AQ171" s="89" t="n"/>
      <c r="AR171" s="95" t="inlineStr">
        <is>
          <t>N</t>
        </is>
      </c>
      <c r="AS171" s="95" t="inlineStr">
        <is>
          <t>none</t>
        </is>
      </c>
      <c r="AT171" s="101" t="n"/>
      <c r="AU171" s="96" t="n">
        <v>59.5</v>
      </c>
      <c r="AV171" s="95" t="inlineStr">
        <is>
          <t>none</t>
        </is>
      </c>
      <c r="AW171" s="95" t="inlineStr">
        <is>
          <t>Y</t>
        </is>
      </c>
      <c r="AX171" s="95" t="inlineStr">
        <is>
          <t>2026-10-14 00:38:36</t>
        </is>
      </c>
      <c r="AY171" s="102" t="n"/>
      <c r="AZ171" s="102" t="n"/>
      <c r="BA171" s="101" t="n"/>
      <c r="BB171" s="101" t="n"/>
      <c r="BC171" s="87">
        <f>IF(AND(ISNUMBER(BA171),ISNUMBER(BB171),N(BA171)&gt;0),1-BB171/BA171,"")</f>
        <v/>
      </c>
      <c r="BD171" s="103" t="n"/>
      <c r="BE171" s="103" t="n"/>
      <c r="BF171" s="100">
        <f>IF(AND(ISNUMBER(BD171),ISNUMBER(BE171),N(BE171)&gt;0),BD171/BE171,"")</f>
        <v/>
      </c>
      <c r="BG171" s="102" t="n"/>
      <c r="BH171" s="97" t="inlineStr">
        <is>
          <t>Amazon.ca organic #40 for 'satin sheets queen 6 piece'; 100% Polyester Satin; Page parent field repeats the selected child; no distinct parent ASIN exposed. Treated as standalone observed listing. Parent ASIN not exposed. No child variati</t>
        </is>
      </c>
    </row>
    <row r="173" ht="20" customHeight="1">
      <c r="A173" s="54" t="inlineStr">
        <is>
          <t>5 · WHAT THIS MEANS FOR BFCM</t>
        </is>
      </c>
    </row>
    <row r="174" ht="30" customHeight="1">
      <c r="A174" s="104" t="inlineStr">
        <is>
          <t>•  Price: 3 of 15 rivals sit below our price today (same size where the title states one). Cheapest strong rivals: JUWENIN $27.99, TREELY $47.57, JUWENIN $49.70. CA prices are CAD; our comparison price is the Command Center's Mar 2026 CAD price (no live Canadian price yet).</t>
        </is>
      </c>
    </row>
    <row r="175" ht="30" customHeight="1">
      <c r="A175" s="104" t="inlineStr">
        <is>
          <t>•  Top organic on Amazon.ca (Oct 13): #1 JUWENIN $27.99 (satin sheets 6 piece); #5 Love's cabin $51.29 (satin sheets queen 6 piece); #6 P Pothuiny $55.67 (satin sheets queen 6 piece); #9 Madison Park $52.62 (satin sheets queen 6 piece); #10 GOLAL $66.66 (satin sheets queen 6 piece).</t>
        </is>
      </c>
    </row>
    <row r="176" ht="30" customHeight="1">
      <c r="A176" s="104" t="inlineStr">
        <is>
          <t>•  Strikethrough on the page today (Oct 13 check): 3 of 15 checked rivals show one: GOLAL Was price $88.10 vs $66.66 (+32%), Horbaunal Was price $62.09 vs $54.37 (+14%), MR&amp;HM Was price $74.35 vs $64.89 (+15%).</t>
        </is>
      </c>
    </row>
    <row r="177" ht="18" customHeight="1">
      <c r="A177" s="104" t="inlineStr">
        <is>
          <t>•  Our BFCM 2025: 2.98x daily sales in BFCM week vs the 30 days before; TACoS 13.5% vs 16.8% before; December 2.01x.</t>
        </is>
      </c>
    </row>
  </sheetData>
  <autoFilter ref="B156:BH171"/>
  <mergeCells count="67">
    <mergeCell ref="A15:BH15"/>
    <mergeCell ref="A148:BH148"/>
    <mergeCell ref="A155:H155"/>
    <mergeCell ref="K155:W155"/>
    <mergeCell ref="X155:Z155"/>
    <mergeCell ref="L5:Q5"/>
    <mergeCell ref="A1:BH1"/>
    <mergeCell ref="A145:C145"/>
    <mergeCell ref="Q11:T11"/>
    <mergeCell ref="A139:C139"/>
    <mergeCell ref="L8:Q8"/>
    <mergeCell ref="L4:Q4"/>
    <mergeCell ref="D7:I7"/>
    <mergeCell ref="A13:D13"/>
    <mergeCell ref="A153:BH153"/>
    <mergeCell ref="AA155:AQ155"/>
    <mergeCell ref="I13:L13"/>
    <mergeCell ref="A173:BH173"/>
    <mergeCell ref="A174:BH174"/>
    <mergeCell ref="A16:BH16"/>
    <mergeCell ref="A137:BH137"/>
    <mergeCell ref="D4:I4"/>
    <mergeCell ref="L10:Q10"/>
    <mergeCell ref="E12:H12"/>
    <mergeCell ref="Q13:T13"/>
    <mergeCell ref="A141:C141"/>
    <mergeCell ref="A177:BH177"/>
    <mergeCell ref="D9:I9"/>
    <mergeCell ref="U12:X12"/>
    <mergeCell ref="L9:Q9"/>
    <mergeCell ref="Q12:T12"/>
    <mergeCell ref="A140:C140"/>
    <mergeCell ref="A11:D11"/>
    <mergeCell ref="A144:C144"/>
    <mergeCell ref="A149:BH149"/>
    <mergeCell ref="I11:L11"/>
    <mergeCell ref="A3:BH3"/>
    <mergeCell ref="L6:Q6"/>
    <mergeCell ref="D8:I8"/>
    <mergeCell ref="A4:B9"/>
    <mergeCell ref="A154:BH154"/>
    <mergeCell ref="T6:Y6"/>
    <mergeCell ref="AR155:AX155"/>
    <mergeCell ref="A175:BH175"/>
    <mergeCell ref="D5:I5"/>
    <mergeCell ref="M11:P11"/>
    <mergeCell ref="A143:C143"/>
    <mergeCell ref="A150:BH150"/>
    <mergeCell ref="U11:X11"/>
    <mergeCell ref="E13:H13"/>
    <mergeCell ref="A147:BH147"/>
    <mergeCell ref="D10:I10"/>
    <mergeCell ref="L7:Q7"/>
    <mergeCell ref="T5:Y5"/>
    <mergeCell ref="A138:C138"/>
    <mergeCell ref="A152:BH152"/>
    <mergeCell ref="AY155:BH155"/>
    <mergeCell ref="A12:D12"/>
    <mergeCell ref="M13:P13"/>
    <mergeCell ref="I12:L12"/>
    <mergeCell ref="U13:X13"/>
    <mergeCell ref="A146:C146"/>
    <mergeCell ref="M12:P12"/>
    <mergeCell ref="T4:Y4"/>
    <mergeCell ref="D6:I6"/>
    <mergeCell ref="E11:H11"/>
    <mergeCell ref="A176:BH176"/>
  </mergeCells>
  <conditionalFormatting sqref="N157:N171">
    <cfRule type="expression" priority="1" dxfId="1">
      <formula>N157="&lt;=12% STR zone"</formula>
    </cfRule>
  </conditionalFormatting>
  <conditionalFormatting sqref="W157:W171">
    <cfRule type="expression" priority="2" dxfId="0">
      <formula>AND(ISNUMBER(W157),W157&lt;DATE(2026,10,6))</formula>
    </cfRule>
  </conditionalFormatting>
  <conditionalFormatting sqref="Q157:Q171">
    <cfRule type="expression" priority="3" dxfId="0">
      <formula>ISNUMBER(SEARCH("STALE",Q157))</formula>
    </cfRule>
  </conditionalFormatting>
  <conditionalFormatting sqref="P157:P171">
    <cfRule type="expression" priority="4" dxfId="0">
      <formula>AND(ISNUMBER(P157),P157&lt;0)</formula>
    </cfRule>
  </conditionalFormatting>
  <dataValidations count="3">
    <dataValidation sqref="AR157:AR171 BG157:BG171" showDropDown="0" showInputMessage="0" showErrorMessage="0" allowBlank="1" type="list">
      <formula1>"Y,N"</formula1>
    </dataValidation>
    <dataValidation sqref="AS157:AS171" showDropDown="0" showInputMessage="0" showErrorMessage="0" allowBlank="1" type="list">
      <formula1>"List Price,Typical price,Was price,None"</formula1>
    </dataValidation>
    <dataValidation sqref="AY157:AY17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BH19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Amazon.com (US)  ·  Satin  ·  BFCM role: Clearance with margin  ·  Scope: Core</t>
        </is>
      </c>
    </row>
    <row r="2">
      <c r="A2" s="53" t="inlineStr">
        <is>
          <t>← Dashboard</t>
        </is>
      </c>
    </row>
    <row r="3" ht="20" customHeight="1">
      <c r="A3" s="54" t="inlineStr">
        <is>
          <t>1 · OUR PRODUCT</t>
        </is>
      </c>
    </row>
    <row r="4" ht="34" customHeight="1">
      <c r="A4" s="10">
        <f>_xlfn.IMAGE("https://m.media-amazon.com/images/I/81GoZ+gTjbL._AC_SL1500_.jpg")</f>
        <v/>
      </c>
      <c r="C4" s="11" t="inlineStr">
        <is>
          <t>Title</t>
        </is>
      </c>
      <c r="D4" s="12" t="inlineStr">
        <is>
          <t>SLEEP SANCTUARY Satin Sheets Queen Size – 4 Piece Luxury Silky Bed Set, Softer Than Silk, 15" Deep Pocket, Cooling &amp; Wrinkle-Free, Moisture-Wicking &amp; Breathable for Hair &amp; Skin (Navy Blue)</t>
        </is>
      </c>
      <c r="K4" s="11" t="inlineStr">
        <is>
          <t>Sizes</t>
        </is>
      </c>
      <c r="L4" s="55" t="inlineStr">
        <is>
          <t>Full, King, Queen, Twin</t>
        </is>
      </c>
      <c r="S4" s="11" t="inlineStr">
        <is>
          <t>Break-even ACoS</t>
        </is>
      </c>
      <c r="T4" s="55" t="inlineStr">
        <is>
          <t>37%</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700</t>
        </is>
      </c>
    </row>
    <row r="6" ht="22" customHeight="1">
      <c r="C6" s="11" t="inlineStr">
        <is>
          <t>Marketplace</t>
        </is>
      </c>
      <c r="D6" s="55" t="inlineStr">
        <is>
          <t>Amazon.com (US)</t>
        </is>
      </c>
      <c r="K6" s="11" t="inlineStr">
        <is>
          <t>Price now, best child</t>
        </is>
      </c>
      <c r="L6" s="55" t="inlineStr">
        <is>
          <t>$33.95 (Helium 10 Xray, 2026-10-13)</t>
        </is>
      </c>
      <c r="S6" s="11" t="inlineStr">
        <is>
          <t>Command Center product ASIN</t>
        </is>
      </c>
      <c r="T6" s="55" t="inlineStr">
        <is>
          <t>B0DDR4HJCS (one of our child ASINs, not the Amazon parent)</t>
        </is>
      </c>
    </row>
    <row r="7" ht="22" customHeight="1">
      <c r="C7" s="11" t="inlineStr">
        <is>
          <t>Parent ASIN (Amazon)</t>
        </is>
      </c>
      <c r="D7" s="55" t="inlineStr">
        <is>
          <t>B0HFWXSCFP</t>
        </is>
      </c>
      <c r="K7" s="11" t="inlineStr">
        <is>
          <t>Rating / reviews now</t>
        </is>
      </c>
      <c r="L7" s="55" t="inlineStr">
        <is>
          <t>4.4 / 1,080 (Helium 10 Xray, 2026-10-13)</t>
        </is>
      </c>
    </row>
    <row r="8" ht="22" customHeight="1">
      <c r="C8" s="11" t="inlineStr">
        <is>
          <t>Best-selling child ASIN</t>
        </is>
      </c>
      <c r="D8" s="55" t="inlineStr">
        <is>
          <t>B0DDRH9RD7</t>
        </is>
      </c>
      <c r="K8" s="11" t="inlineStr">
        <is>
          <t>Live prices held</t>
        </is>
      </c>
      <c r="L8" s="55" t="inlineStr">
        <is>
          <t>116 of 117 variations</t>
        </is>
      </c>
    </row>
    <row r="9" ht="22" customHeight="1">
      <c r="C9" s="11" t="inlineStr">
        <is>
          <t>Stage</t>
        </is>
      </c>
      <c r="D9" s="55" t="inlineStr">
        <is>
          <t>Maintenance</t>
        </is>
      </c>
      <c r="K9" s="11" t="inlineStr">
        <is>
          <t>Blended price (Command Center)</t>
        </is>
      </c>
      <c r="L9" s="55" t="inlineStr">
        <is>
          <t>$37.06 - fee feed as of 2026-03-30, STALE</t>
        </is>
      </c>
    </row>
    <row r="10">
      <c r="C10" s="11" t="inlineStr">
        <is>
          <t>Total variations (SKUs)</t>
        </is>
      </c>
      <c r="D10" s="55" t="n">
        <v>116</v>
      </c>
      <c r="K10" s="11" t="inlineStr">
        <is>
          <t>Contribution / unit</t>
        </is>
      </c>
      <c r="L10" s="55" t="inlineStr">
        <is>
          <t>$13.85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2.59x</t>
        </is>
      </c>
      <c r="E12" s="57" t="inlineStr">
        <is>
          <t>15.8%</t>
        </is>
      </c>
      <c r="I12" s="57" t="inlineStr">
        <is>
          <t>5.01x</t>
        </is>
      </c>
      <c r="M12" s="57" t="inlineStr">
        <is>
          <t>29</t>
        </is>
      </c>
      <c r="Q12" s="57" t="inlineStr">
        <is>
          <t>29</t>
        </is>
      </c>
      <c r="U12" s="57" t="inlineStr">
        <is>
          <t>0</t>
        </is>
      </c>
    </row>
    <row r="13">
      <c r="A13" s="58" t="inlineStr">
        <is>
          <t>daily sales, BFCM wk vs 30 days before (SellerBoard actual)</t>
        </is>
      </c>
      <c r="E13" s="58" t="inlineStr">
        <is>
          <t>vs 18.3%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_xlfn.IMAGE("https://m.media-amazon.com/images/I/81AE8h7l4-L.jpg")</f>
        <v/>
      </c>
      <c r="B18" s="32" t="inlineStr">
        <is>
          <t>B0DDRHPKDV</t>
        </is>
      </c>
      <c r="C18" s="32" t="inlineStr">
        <is>
          <t>SS-SATIN-GOLD-QUEEN-4PCS</t>
        </is>
      </c>
      <c r="D18" s="32" t="inlineStr">
        <is>
          <t>SLEEP SANCTUARY Satin Sheets Queen Size – 4 Piece Luxury Silky Bed Set, Softer Than Silk, 15" Deep Pocket, Cooling &amp; Wrinkle-Free, Moisture-Wicking &amp; Breathable for Hair &amp; Skin (Gold)</t>
        </is>
      </c>
      <c r="E18" s="32" t="inlineStr">
        <is>
          <t>Queen</t>
        </is>
      </c>
      <c r="F18" s="32" t="inlineStr">
        <is>
          <t>Gold</t>
        </is>
      </c>
      <c r="G18" s="60" t="n">
        <v>33.95</v>
      </c>
      <c r="H18" s="32" t="inlineStr">
        <is>
          <t>Helium 10 Xray, 2026-10-13</t>
        </is>
      </c>
      <c r="I18" s="61" t="n">
        <v>39.95</v>
      </c>
      <c r="J18" s="62" t="inlineStr">
        <is>
          <t>2026-03-30</t>
        </is>
      </c>
      <c r="K18" s="33" t="n">
        <v>17.92</v>
      </c>
      <c r="L18" s="63" t="n">
        <v>0.4485607008760951</v>
      </c>
      <c r="M18" s="64" t="n">
        <v>45</v>
      </c>
      <c r="N18" s="32" t="inlineStr">
        <is>
          <t>Active</t>
        </is>
      </c>
      <c r="O18" s="32" t="inlineStr">
        <is>
          <t>Yes (12%)</t>
        </is>
      </c>
      <c r="P18" s="65" t="n">
        <v>4.4</v>
      </c>
      <c r="Q18" s="64" t="n">
        <v>1080</v>
      </c>
      <c r="R18" s="64" t="n">
        <v>28109</v>
      </c>
      <c r="S18" s="64" t="n">
        <v>47</v>
      </c>
      <c r="T18" s="32" t="n"/>
    </row>
    <row r="19" ht="62" customHeight="1">
      <c r="A19" s="10">
        <f>_xlfn.IMAGE("https://m.media-amazon.com/images/I/81GoZ+gTjbL.jpg")</f>
        <v/>
      </c>
      <c r="B19" s="32" t="inlineStr">
        <is>
          <t>B0DDRH9RD7</t>
        </is>
      </c>
      <c r="C19" s="32" t="inlineStr">
        <is>
          <t>SS-SATIN-NAVY-BLUE-QUEEN-4PCS</t>
        </is>
      </c>
      <c r="D19" s="32" t="inlineStr">
        <is>
          <t>SLEEP SANCTUARY Satin Sheets Queen Size – 4 Piece Luxury Silky Bed Set, Softer Than Silk, 15" Deep Pocket, Cooling &amp; Wrinkle-Free, Moisture-Wicking &amp; Breathable for Hair &amp; Skin (Navy Blue)</t>
        </is>
      </c>
      <c r="E19" s="32" t="inlineStr">
        <is>
          <t>Queen</t>
        </is>
      </c>
      <c r="F19" s="32" t="inlineStr">
        <is>
          <t>Navy Blue</t>
        </is>
      </c>
      <c r="G19" s="60" t="n">
        <v>33.95</v>
      </c>
      <c r="H19" s="32" t="inlineStr">
        <is>
          <t>Helium 10 Xray, 2026-10-13</t>
        </is>
      </c>
      <c r="I19" s="61" t="n">
        <v>39.95</v>
      </c>
      <c r="J19" s="62" t="inlineStr">
        <is>
          <t>2026-03-30</t>
        </is>
      </c>
      <c r="K19" s="33" t="n">
        <v>17.71</v>
      </c>
      <c r="L19" s="63" t="n">
        <v>0.4433041301627034</v>
      </c>
      <c r="M19" s="64" t="n">
        <v>35</v>
      </c>
      <c r="N19" s="32" t="inlineStr">
        <is>
          <t>Active</t>
        </is>
      </c>
      <c r="O19" s="32" t="inlineStr">
        <is>
          <t>Yes (10%)</t>
        </is>
      </c>
      <c r="P19" s="65" t="n">
        <v>4.4</v>
      </c>
      <c r="Q19" s="64" t="n">
        <v>1080</v>
      </c>
      <c r="R19" s="64" t="n">
        <v>28109</v>
      </c>
      <c r="S19" s="64" t="n">
        <v>126</v>
      </c>
      <c r="T19" s="32" t="n"/>
    </row>
    <row r="20" ht="62" customHeight="1">
      <c r="A20" s="10">
        <f>_xlfn.IMAGE("https://m.media-amazon.com/images/I/81BW8ryqp0L.jpg")</f>
        <v/>
      </c>
      <c r="B20" s="32" t="inlineStr">
        <is>
          <t>B0DDQZ6VT4</t>
        </is>
      </c>
      <c r="C20" s="32" t="inlineStr">
        <is>
          <t>SS-SATIN-WHITE-KING-4PCS</t>
        </is>
      </c>
      <c r="D20" s="32" t="inlineStr">
        <is>
          <t>SLEEP SANCTUARY Satin Sheets King Size – 4 Piece Luxury Silky Bed Set, Softer Than Silk, 15" Deep Pocket, Cooling &amp; Wrinkle-Free, Moisture-Wicking &amp; Breathable for Hair &amp; Skin (White)</t>
        </is>
      </c>
      <c r="E20" s="32" t="inlineStr">
        <is>
          <t>King</t>
        </is>
      </c>
      <c r="F20" s="32" t="inlineStr">
        <is>
          <t>White</t>
        </is>
      </c>
      <c r="G20" s="60" t="n">
        <v>35.95</v>
      </c>
      <c r="H20" s="32" t="inlineStr">
        <is>
          <t>Helium 10 Xray, 2026-10-13</t>
        </is>
      </c>
      <c r="I20" s="61" t="n">
        <v>35.95</v>
      </c>
      <c r="J20" s="62" t="inlineStr">
        <is>
          <t>2026-03-30</t>
        </is>
      </c>
      <c r="K20" s="33" t="n">
        <v>10.86</v>
      </c>
      <c r="L20" s="63" t="n">
        <v>0.3020862308762171</v>
      </c>
      <c r="M20" s="64" t="n">
        <v>34</v>
      </c>
      <c r="N20" s="32" t="inlineStr">
        <is>
          <t>Active</t>
        </is>
      </c>
      <c r="O20" s="32" t="inlineStr">
        <is>
          <t>Yes (17%)</t>
        </is>
      </c>
      <c r="P20" s="65" t="n">
        <v>4.4</v>
      </c>
      <c r="Q20" s="64" t="n">
        <v>1080</v>
      </c>
      <c r="R20" s="64" t="n">
        <v>28109</v>
      </c>
      <c r="S20" s="64" t="n">
        <v>135</v>
      </c>
      <c r="T20" s="32" t="n"/>
    </row>
    <row r="21" ht="62" customHeight="1">
      <c r="A21" s="10">
        <f>_xlfn.IMAGE("https://m.media-amazon.com/images/I/81AE8h7l4-L.jpg")</f>
        <v/>
      </c>
      <c r="B21" s="32" t="inlineStr">
        <is>
          <t>B0DDR5JMCH</t>
        </is>
      </c>
      <c r="C21" s="32" t="inlineStr">
        <is>
          <t>SS-SATIN-GOLD-KING-4PCS</t>
        </is>
      </c>
      <c r="D21" s="32" t="inlineStr">
        <is>
          <t>SLEEP SANCTUARY Satin Sheets King Size – 4 Piece Luxury Silky Bed Set, Softer Than Silk, 15" Deep Pocket, Cooling &amp; Wrinkle-Free, Moisture-Wicking &amp; Breathable for Hair &amp; Skin (Gold)</t>
        </is>
      </c>
      <c r="E21" s="32" t="inlineStr">
        <is>
          <t>King</t>
        </is>
      </c>
      <c r="F21" s="32" t="inlineStr">
        <is>
          <t>Gold</t>
        </is>
      </c>
      <c r="G21" s="60" t="n">
        <v>39.95</v>
      </c>
      <c r="H21" s="32" t="inlineStr">
        <is>
          <t>Helium 10 Xray, 2026-10-13</t>
        </is>
      </c>
      <c r="I21" s="61" t="n">
        <v>35.95</v>
      </c>
      <c r="J21" s="62" t="inlineStr">
        <is>
          <t>2026-03-30</t>
        </is>
      </c>
      <c r="K21" s="33" t="n">
        <v>11.41</v>
      </c>
      <c r="L21" s="63" t="n">
        <v>0.3173852573018081</v>
      </c>
      <c r="M21" s="64" t="n">
        <v>33</v>
      </c>
      <c r="N21" s="32" t="inlineStr">
        <is>
          <t>Active</t>
        </is>
      </c>
      <c r="O21" s="32" t="n"/>
      <c r="P21" s="65" t="n">
        <v>4.4</v>
      </c>
      <c r="Q21" s="64" t="n">
        <v>1080</v>
      </c>
      <c r="R21" s="64" t="n">
        <v>28109</v>
      </c>
      <c r="S21" s="64" t="n">
        <v>3</v>
      </c>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60" t="n">
        <v>35.95</v>
      </c>
      <c r="H22" s="32" t="inlineStr">
        <is>
          <t>Helium 10 Xray, 2026-10-13</t>
        </is>
      </c>
      <c r="I22" s="61" t="n">
        <v>35.95</v>
      </c>
      <c r="J22" s="62" t="inlineStr">
        <is>
          <t>2026-03-30</t>
        </is>
      </c>
      <c r="K22" s="33" t="n">
        <v>10.94</v>
      </c>
      <c r="L22" s="63" t="n">
        <v>0.3043115438108485</v>
      </c>
      <c r="M22" s="64" t="n">
        <v>29</v>
      </c>
      <c r="N22" s="32" t="inlineStr">
        <is>
          <t>Active</t>
        </is>
      </c>
      <c r="O22" s="32" t="inlineStr">
        <is>
          <t>Yes (21%)</t>
        </is>
      </c>
      <c r="P22" s="65" t="n">
        <v>4.4</v>
      </c>
      <c r="Q22" s="64" t="n">
        <v>1080</v>
      </c>
      <c r="R22" s="64" t="n">
        <v>28109</v>
      </c>
      <c r="S22" s="64" t="n">
        <v>124</v>
      </c>
      <c r="T22" s="32" t="n"/>
    </row>
    <row r="23" ht="62" customHeight="1">
      <c r="A23" s="10">
        <f>_xlfn.IMAGE("https://m.media-amazon.com/images/I/81aclCTpoYL.jpg")</f>
        <v/>
      </c>
      <c r="B23" s="32" t="inlineStr">
        <is>
          <t>B0DDR6921L</t>
        </is>
      </c>
      <c r="C23" s="32" t="inlineStr">
        <is>
          <t>SS-SATIN-DARK-GREEN-KING-4PCS</t>
        </is>
      </c>
      <c r="D23" s="32" t="inlineStr">
        <is>
          <t>SLEEP SANCTUARY Satin Sheets King Size – 4 Piece Luxury Silky Bed Set, Softer Than Silk, 15" Deep Pocket, Cooling &amp; Wrinkle-Free, Moisture-Wicking &amp; Breathable for Hair &amp; Skin (Dark Green)</t>
        </is>
      </c>
      <c r="E23" s="32" t="inlineStr">
        <is>
          <t>King</t>
        </is>
      </c>
      <c r="F23" s="32" t="inlineStr">
        <is>
          <t>Dark Green</t>
        </is>
      </c>
      <c r="G23" s="60" t="n">
        <v>37.95</v>
      </c>
      <c r="H23" s="32" t="inlineStr">
        <is>
          <t>Helium 10 Xray, 2026-10-13</t>
        </is>
      </c>
      <c r="I23" s="61" t="n">
        <v>35.95</v>
      </c>
      <c r="J23" s="62" t="inlineStr">
        <is>
          <t>2026-03-30</t>
        </is>
      </c>
      <c r="K23" s="33" t="n">
        <v>12.1</v>
      </c>
      <c r="L23" s="63" t="n">
        <v>0.3365785813630042</v>
      </c>
      <c r="M23" s="64" t="n">
        <v>23</v>
      </c>
      <c r="N23" s="32" t="inlineStr">
        <is>
          <t>Active</t>
        </is>
      </c>
      <c r="O23" s="32" t="n"/>
      <c r="P23" s="65" t="n">
        <v>4.4</v>
      </c>
      <c r="Q23" s="64" t="n">
        <v>1080</v>
      </c>
      <c r="R23" s="64" t="n">
        <v>28101</v>
      </c>
      <c r="S23" s="64" t="n">
        <v>4</v>
      </c>
      <c r="T23" s="32" t="n"/>
    </row>
    <row r="24" ht="62" customHeight="1">
      <c r="A24" s="10">
        <f>_xlfn.IMAGE("https://m.media-amazon.com/images/I/81x+7oMcdCL.jpg")</f>
        <v/>
      </c>
      <c r="B24" s="32" t="inlineStr">
        <is>
          <t>B0DDRM5YW5</t>
        </is>
      </c>
      <c r="C24" s="32" t="inlineStr">
        <is>
          <t>SS-SATIN-ROSEWOOD-KING-4PCS</t>
        </is>
      </c>
      <c r="D24" s="32" t="inlineStr">
        <is>
          <t>SLEEP SANCTUARY Satin Sheets King Size – 4 Piece Luxury Silky Bed Set, Softer Than Silk, 15" Deep Pocket, Cooling &amp; Wrinkle-Free, Moisture-Wicking &amp; Breathable for Hair &amp; Skin (Rosewood)</t>
        </is>
      </c>
      <c r="E24" s="32" t="inlineStr">
        <is>
          <t>King</t>
        </is>
      </c>
      <c r="F24" s="32" t="inlineStr">
        <is>
          <t>Rosewood</t>
        </is>
      </c>
      <c r="G24" s="60" t="n">
        <v>35.95</v>
      </c>
      <c r="H24" s="32" t="inlineStr">
        <is>
          <t>Helium 10 Xray, 2026-10-13</t>
        </is>
      </c>
      <c r="I24" s="61" t="n">
        <v>35.95</v>
      </c>
      <c r="J24" s="62" t="inlineStr">
        <is>
          <t>2026-03-30</t>
        </is>
      </c>
      <c r="K24" s="33" t="n">
        <v>11.68</v>
      </c>
      <c r="L24" s="63" t="n">
        <v>0.3248956884561892</v>
      </c>
      <c r="M24" s="64" t="n">
        <v>23</v>
      </c>
      <c r="N24" s="32" t="inlineStr">
        <is>
          <t>Active</t>
        </is>
      </c>
      <c r="O24" s="32" t="n"/>
      <c r="P24" s="65" t="n">
        <v>4.4</v>
      </c>
      <c r="Q24" s="64" t="n">
        <v>1080</v>
      </c>
      <c r="R24" s="64" t="n">
        <v>28109</v>
      </c>
      <c r="S24" s="64" t="n">
        <v>2</v>
      </c>
      <c r="T24" s="32" t="n"/>
    </row>
    <row r="25" ht="62" customHeight="1">
      <c r="A25" s="10">
        <f>_xlfn.IMAGE("https://m.media-amazon.com/images/I/816QTAjFcGL.jpg")</f>
        <v/>
      </c>
      <c r="B25" s="32" t="inlineStr">
        <is>
          <t>B0DDR1ZPRZ</t>
        </is>
      </c>
      <c r="C25" s="32" t="inlineStr">
        <is>
          <t>SS-SATIN-STONE-GREY-KING-4PCS</t>
        </is>
      </c>
      <c r="D25" s="32" t="inlineStr">
        <is>
          <t>SLEEP SANCTUARY Satin Sheets King Size – 4 Piece Luxury Silky Bed Set, Softer Than Silk, 15" Deep Pocket, Cooling &amp; Wrinkle-Free, Moisture-Wicking &amp; Breathable for Hair &amp; Skin (Stone Grey)</t>
        </is>
      </c>
      <c r="E25" s="32" t="inlineStr">
        <is>
          <t>King</t>
        </is>
      </c>
      <c r="F25" s="32" t="inlineStr">
        <is>
          <t>Stone Grey</t>
        </is>
      </c>
      <c r="G25" s="60" t="n">
        <v>35.95</v>
      </c>
      <c r="H25" s="32" t="inlineStr">
        <is>
          <t>Helium 10 Xray, 2026-10-13</t>
        </is>
      </c>
      <c r="I25" s="61" t="n">
        <v>35.95</v>
      </c>
      <c r="J25" s="62" t="inlineStr">
        <is>
          <t>2026-03-30</t>
        </is>
      </c>
      <c r="K25" s="33" t="n">
        <v>11.32</v>
      </c>
      <c r="L25" s="63" t="n">
        <v>0.3148817802503478</v>
      </c>
      <c r="M25" s="64" t="n">
        <v>23</v>
      </c>
      <c r="N25" s="32" t="inlineStr">
        <is>
          <t>Active</t>
        </is>
      </c>
      <c r="O25" s="32" t="n"/>
      <c r="P25" s="65" t="n">
        <v>4.4</v>
      </c>
      <c r="Q25" s="64" t="n">
        <v>1080</v>
      </c>
      <c r="R25" s="64" t="n">
        <v>28101</v>
      </c>
      <c r="S25" s="64" t="n">
        <v>87</v>
      </c>
      <c r="T25" s="32" t="n"/>
    </row>
    <row r="26" ht="62" customHeight="1">
      <c r="A26" s="10">
        <f>_xlfn.IMAGE("https://m.media-amazon.com/images/I/81-8fCPCUcL.jpg")</f>
        <v/>
      </c>
      <c r="B26" s="32" t="inlineStr">
        <is>
          <t>B0DDR1H4YM</t>
        </is>
      </c>
      <c r="C26" s="32" t="inlineStr">
        <is>
          <t>SS-SATIN-BLUSH-PINK-QUEEN-4PCS</t>
        </is>
      </c>
      <c r="D26" s="32" t="inlineStr">
        <is>
          <t>SLEEP SANCTUARY Satin Sheets Queen Size – 4 Piece Luxury Silky Bed Set, Softer Than Silk, 15" Deep Pocket, Cooling &amp; Wrinkle-Free, Moisture-Wicking &amp; Breathable for Hair &amp; Skin (Blush Pink)</t>
        </is>
      </c>
      <c r="E26" s="32" t="inlineStr">
        <is>
          <t>Queen</t>
        </is>
      </c>
      <c r="F26" s="32" t="inlineStr">
        <is>
          <t>Blush Pink</t>
        </is>
      </c>
      <c r="G26" s="60" t="n">
        <v>33.95</v>
      </c>
      <c r="H26" s="32" t="inlineStr">
        <is>
          <t>Helium 10 Xray, 2026-10-13</t>
        </is>
      </c>
      <c r="I26" s="61" t="n">
        <v>39.95</v>
      </c>
      <c r="J26" s="62" t="inlineStr">
        <is>
          <t>2026-03-30</t>
        </is>
      </c>
      <c r="K26" s="33" t="n">
        <v>15.94</v>
      </c>
      <c r="L26" s="63" t="n">
        <v>0.3989987484355444</v>
      </c>
      <c r="M26" s="64" t="n">
        <v>19</v>
      </c>
      <c r="N26" s="32" t="inlineStr">
        <is>
          <t>Active</t>
        </is>
      </c>
      <c r="O26" s="32" t="n"/>
      <c r="P26" s="65" t="n">
        <v>4.4</v>
      </c>
      <c r="Q26" s="64" t="n">
        <v>1080</v>
      </c>
      <c r="R26" s="64" t="n">
        <v>28101</v>
      </c>
      <c r="S26" s="64" t="n">
        <v>5</v>
      </c>
      <c r="T26" s="32" t="n"/>
    </row>
    <row r="27" ht="62" customHeight="1">
      <c r="A27" s="10">
        <f>_xlfn.IMAGE("https://m.media-amazon.com/images/I/81eHsiCwxyL.jpg")</f>
        <v/>
      </c>
      <c r="B27" s="32" t="inlineStr">
        <is>
          <t>B0DDR5QBGQ</t>
        </is>
      </c>
      <c r="C27" s="32" t="inlineStr">
        <is>
          <t>SS-SATIN-IVORY-KING-4PCS</t>
        </is>
      </c>
      <c r="D27" s="32" t="inlineStr">
        <is>
          <t>SLEEP SANCTUARY Satin Sheets King Size – 4 Piece Luxury Silky Bed Set, Softer Than Silk, 15" Deep Pocket, Cooling &amp; Wrinkle-Free, Moisture-Wicking &amp; Breathable for Hair &amp; Skin (Ivory)</t>
        </is>
      </c>
      <c r="E27" s="32" t="inlineStr">
        <is>
          <t>King</t>
        </is>
      </c>
      <c r="F27" s="32" t="inlineStr">
        <is>
          <t>Ivory</t>
        </is>
      </c>
      <c r="G27" s="60" t="n">
        <v>35.95</v>
      </c>
      <c r="H27" s="32" t="inlineStr">
        <is>
          <t>Helium 10 Xray, 2026-10-13</t>
        </is>
      </c>
      <c r="I27" s="61" t="n">
        <v>35.95</v>
      </c>
      <c r="J27" s="62" t="inlineStr">
        <is>
          <t>2026-03-30</t>
        </is>
      </c>
      <c r="K27" s="33" t="n">
        <v>11.85</v>
      </c>
      <c r="L27" s="63" t="n">
        <v>0.329624478442281</v>
      </c>
      <c r="M27" s="64" t="n">
        <v>18</v>
      </c>
      <c r="N27" s="32" t="inlineStr">
        <is>
          <t>Active</t>
        </is>
      </c>
      <c r="O27" s="32" t="n"/>
      <c r="P27" s="65" t="n">
        <v>4.4</v>
      </c>
      <c r="Q27" s="64" t="n">
        <v>1080</v>
      </c>
      <c r="R27" s="64" t="n">
        <v>28101</v>
      </c>
      <c r="S27" s="64" t="n">
        <v>2</v>
      </c>
      <c r="T27" s="32" t="n"/>
    </row>
    <row r="28" ht="62" customHeight="1">
      <c r="A28" s="10">
        <f>_xlfn.IMAGE("https://m.media-amazon.com/images/I/81GoZ+gTjbL.jpg")</f>
        <v/>
      </c>
      <c r="B28" s="32" t="inlineStr">
        <is>
          <t>B0DDR5K4JT</t>
        </is>
      </c>
      <c r="C28" s="32" t="inlineStr">
        <is>
          <t>SS-SATIN-NAVY-BLUE-KING-4PCS</t>
        </is>
      </c>
      <c r="D28" s="32" t="inlineStr">
        <is>
          <t>SLEEP SANCTUARY Satin Sheets King Size – 4 Piece Luxury Silky Bed Set, Softer Than Silk, 15" Deep Pocket, Cooling &amp; Wrinkle-Free, Moisture-Wicking &amp; Breathable for Hair &amp; Skin (Navy Blue)</t>
        </is>
      </c>
      <c r="E28" s="32" t="inlineStr">
        <is>
          <t>King</t>
        </is>
      </c>
      <c r="F28" s="32" t="inlineStr">
        <is>
          <t>Navy Blue</t>
        </is>
      </c>
      <c r="G28" s="60" t="n">
        <v>35.95</v>
      </c>
      <c r="H28" s="32" t="inlineStr">
        <is>
          <t>Helium 10 Xray, 2026-10-13</t>
        </is>
      </c>
      <c r="I28" s="61" t="n">
        <v>35.95</v>
      </c>
      <c r="J28" s="62" t="inlineStr">
        <is>
          <t>2026-03-30</t>
        </is>
      </c>
      <c r="K28" s="33" t="n">
        <v>12.57</v>
      </c>
      <c r="L28" s="63" t="n">
        <v>0.3496522948539639</v>
      </c>
      <c r="M28" s="64" t="n">
        <v>17</v>
      </c>
      <c r="N28" s="32" t="inlineStr">
        <is>
          <t>Active</t>
        </is>
      </c>
      <c r="O28" s="32" t="n"/>
      <c r="P28" s="65" t="n">
        <v>4.4</v>
      </c>
      <c r="Q28" s="64" t="n">
        <v>1080</v>
      </c>
      <c r="R28" s="64" t="n">
        <v>28101</v>
      </c>
      <c r="S28" s="64" t="n">
        <v>69</v>
      </c>
      <c r="T28" s="32" t="n"/>
    </row>
    <row r="29" ht="62" customHeight="1">
      <c r="A29" s="10">
        <f>_xlfn.IMAGE("https://m.media-amazon.com/images/I/81T7uFbjFiL.jpg")</f>
        <v/>
      </c>
      <c r="B29" s="32" t="inlineStr">
        <is>
          <t>B0DDRL7H2W</t>
        </is>
      </c>
      <c r="C29" s="32" t="inlineStr">
        <is>
          <t>SS-SATIN-SEA-TEAL-KING-4PCS</t>
        </is>
      </c>
      <c r="D29" s="32" t="inlineStr">
        <is>
          <t>SLEEP SANCTUARY Satin Sheets King Size – 4 Piece Luxury Silky Bed Set, Softer Than Silk, 15" Deep Pocket, Cooling &amp; Wrinkle-Free, Moisture-Wicking &amp; Breathable for Hair &amp; Skin (Sea Teal)</t>
        </is>
      </c>
      <c r="E29" s="32" t="inlineStr">
        <is>
          <t>King</t>
        </is>
      </c>
      <c r="F29" s="32" t="inlineStr">
        <is>
          <t>Sea Teal</t>
        </is>
      </c>
      <c r="G29" s="60" t="n">
        <v>38.95</v>
      </c>
      <c r="H29" s="32" t="inlineStr">
        <is>
          <t>Helium 10 Xray, 2026-10-13</t>
        </is>
      </c>
      <c r="I29" s="61" t="n">
        <v>35.95</v>
      </c>
      <c r="J29" s="62" t="inlineStr">
        <is>
          <t>2026-03-30</t>
        </is>
      </c>
      <c r="K29" s="33" t="n">
        <v>12.18</v>
      </c>
      <c r="L29" s="63" t="n">
        <v>0.3388038942976357</v>
      </c>
      <c r="M29" s="64" t="n">
        <v>17</v>
      </c>
      <c r="N29" s="32" t="inlineStr">
        <is>
          <t>Active</t>
        </is>
      </c>
      <c r="O29" s="32" t="n"/>
      <c r="P29" s="65" t="n">
        <v>4.4</v>
      </c>
      <c r="Q29" s="64" t="n">
        <v>1080</v>
      </c>
      <c r="R29" s="64" t="n">
        <v>28109</v>
      </c>
      <c r="S29" s="64" t="n">
        <v>4</v>
      </c>
      <c r="T29" s="32" t="n"/>
    </row>
    <row r="30" ht="62" customHeight="1">
      <c r="A30" s="10">
        <f>_xlfn.IMAGE("https://m.media-amazon.com/images/I/81UEky8B2XL.jpg")</f>
        <v/>
      </c>
      <c r="B30" s="32" t="inlineStr">
        <is>
          <t>B0DDQX793B</t>
        </is>
      </c>
      <c r="C30" s="32" t="inlineStr">
        <is>
          <t>SS-SATIN-GREY-FULL-4PCS</t>
        </is>
      </c>
      <c r="D30" s="32" t="inlineStr">
        <is>
          <t>SLEEP SANCTUARY Satin Sheets Full Size – 4 Piece Luxury Silky Bed Set, Softer Than Silk, 15" Deep Pocket, Cooling &amp; Wrinkle-Free, Moisture-Wicking &amp; Breathable for Hair &amp; Skin (Grey)</t>
        </is>
      </c>
      <c r="E30" s="32" t="inlineStr">
        <is>
          <t>Full</t>
        </is>
      </c>
      <c r="F30" s="32" t="inlineStr">
        <is>
          <t>Grey</t>
        </is>
      </c>
      <c r="G30" s="60" t="n">
        <v>31.95</v>
      </c>
      <c r="H30" s="32" t="inlineStr">
        <is>
          <t>Helium 10 Xray, 2026-10-13</t>
        </is>
      </c>
      <c r="I30" s="61" t="n">
        <v>37.95</v>
      </c>
      <c r="J30" s="62" t="inlineStr">
        <is>
          <t>2026-03-30</t>
        </is>
      </c>
      <c r="K30" s="33" t="n">
        <v>16.70000000000001</v>
      </c>
      <c r="L30" s="63" t="n">
        <v>0.4400527009222663</v>
      </c>
      <c r="M30" s="64" t="n">
        <v>14</v>
      </c>
      <c r="N30" s="32" t="inlineStr">
        <is>
          <t>Active</t>
        </is>
      </c>
      <c r="O30" s="32" t="inlineStr">
        <is>
          <t>Yes (5%)</t>
        </is>
      </c>
      <c r="P30" s="65" t="n">
        <v>4.4</v>
      </c>
      <c r="Q30" s="64" t="n">
        <v>1080</v>
      </c>
      <c r="R30" s="64" t="n">
        <v>28101</v>
      </c>
      <c r="S30" s="64" t="n">
        <v>36</v>
      </c>
      <c r="T30" s="32" t="n"/>
    </row>
    <row r="31" ht="62" customHeight="1">
      <c r="A31" s="10">
        <f>_xlfn.IMAGE("https://m.media-amazon.com/images/I/81qEq06R1GL.jpg")</f>
        <v/>
      </c>
      <c r="B31" s="32" t="inlineStr">
        <is>
          <t>B0DDR6MK7V</t>
        </is>
      </c>
      <c r="C31" s="32" t="inlineStr">
        <is>
          <t>SS-SATIN-BABY-BLUE-KING-4PCS</t>
        </is>
      </c>
      <c r="D31" s="32" t="inlineStr">
        <is>
          <t>SLEEP SANCTUARY Satin Sheets King Size – 4 Piece Luxury Silky Bed Set, Softer Than Silk, 15" Deep Pocket, Cooling &amp; Wrinkle-Free, Moisture-Wicking &amp; Breathable for Hair &amp; Skin (Baby Blue)</t>
        </is>
      </c>
      <c r="E31" s="32" t="inlineStr">
        <is>
          <t>King</t>
        </is>
      </c>
      <c r="F31" s="32" t="inlineStr">
        <is>
          <t>Baby Blue</t>
        </is>
      </c>
      <c r="G31" s="60" t="n">
        <v>35.95</v>
      </c>
      <c r="H31" s="32" t="inlineStr">
        <is>
          <t>Helium 10 Xray, 2026-10-13</t>
        </is>
      </c>
      <c r="I31" s="61" t="n">
        <v>41.95</v>
      </c>
      <c r="J31" s="62" t="inlineStr">
        <is>
          <t>2026-03-30</t>
        </is>
      </c>
      <c r="K31" s="33" t="n">
        <v>16.90000000000001</v>
      </c>
      <c r="L31" s="63" t="n">
        <v>0.4028605482717522</v>
      </c>
      <c r="M31" s="64" t="n">
        <v>14</v>
      </c>
      <c r="N31" s="32" t="inlineStr">
        <is>
          <t>Active</t>
        </is>
      </c>
      <c r="O31" s="32" t="n"/>
      <c r="P31" s="65" t="n">
        <v>4.4</v>
      </c>
      <c r="Q31" s="64" t="n">
        <v>1080</v>
      </c>
      <c r="R31" s="64" t="n">
        <v>28109</v>
      </c>
      <c r="S31" s="64" t="n">
        <v>47</v>
      </c>
      <c r="T31" s="32" t="n"/>
    </row>
    <row r="32" ht="62" customHeight="1">
      <c r="A32" s="10">
        <f>_xlfn.IMAGE("https://m.media-amazon.com/images/I/811f9U2X++L.jpg")</f>
        <v/>
      </c>
      <c r="B32" s="32" t="inlineStr">
        <is>
          <t>B0DDRBTG9J</t>
        </is>
      </c>
      <c r="C32" s="32" t="inlineStr">
        <is>
          <t>SS-SATIN-PINK-QUEEN-4PCS</t>
        </is>
      </c>
      <c r="D32" s="32" t="inlineStr">
        <is>
          <t>SLEEP SANCTUARY Satin Sheets Queen Size – 4 Piece Luxury Silky Bed Set, Softer Than Silk, 15" Deep Pocket, Cooling &amp; Wrinkle-Free, Moisture-Wicking &amp; Breathable for Hair &amp; Skin (Pink)</t>
        </is>
      </c>
      <c r="E32" s="32" t="inlineStr">
        <is>
          <t>Queen</t>
        </is>
      </c>
      <c r="F32" s="32" t="inlineStr">
        <is>
          <t>Pink</t>
        </is>
      </c>
      <c r="G32" s="60" t="n">
        <v>31.95</v>
      </c>
      <c r="H32" s="32" t="inlineStr">
        <is>
          <t>Helium 10 Xray, 2026-10-13</t>
        </is>
      </c>
      <c r="I32" s="61" t="n">
        <v>39.95</v>
      </c>
      <c r="J32" s="62" t="inlineStr">
        <is>
          <t>2026-03-30</t>
        </is>
      </c>
      <c r="K32" s="33" t="n">
        <v>16.98</v>
      </c>
      <c r="L32" s="63" t="n">
        <v>0.4250312891113893</v>
      </c>
      <c r="M32" s="64" t="n">
        <v>14</v>
      </c>
      <c r="N32" s="32" t="inlineStr">
        <is>
          <t>Active</t>
        </is>
      </c>
      <c r="O32" s="32" t="n"/>
      <c r="P32" s="65" t="n">
        <v>4.4</v>
      </c>
      <c r="Q32" s="64" t="n">
        <v>1080</v>
      </c>
      <c r="R32" s="64" t="n">
        <v>28101</v>
      </c>
      <c r="S32" s="64" t="n">
        <v>6</v>
      </c>
      <c r="T32" s="32" t="n"/>
    </row>
    <row r="33" ht="62" customHeight="1">
      <c r="A33" s="10">
        <f>_xlfn.IMAGE("https://m.media-amazon.com/images/I/81nw4rg0gcL.jpg")</f>
        <v/>
      </c>
      <c r="B33" s="32" t="inlineStr">
        <is>
          <t>B0DDR4FVH1</t>
        </is>
      </c>
      <c r="C33" s="32" t="inlineStr">
        <is>
          <t>SS-SATIN-PURPLE-QUEEN-4PCS</t>
        </is>
      </c>
      <c r="D33" s="32" t="inlineStr">
        <is>
          <t>SLEEP SANCTUARY Satin Sheets Queen Size – 4 Piece Luxury Silky Bed Set, Softer Than Silk, 15" Deep Pocket, Cooling &amp; Wrinkle-Free, Moisture-Wicking &amp; Breathable for Hair &amp; Skin (Purple)</t>
        </is>
      </c>
      <c r="E33" s="32" t="inlineStr">
        <is>
          <t>Queen</t>
        </is>
      </c>
      <c r="F33" s="32" t="inlineStr">
        <is>
          <t>Purple</t>
        </is>
      </c>
      <c r="G33" s="60" t="n">
        <v>33.95</v>
      </c>
      <c r="H33" s="32" t="inlineStr">
        <is>
          <t>Helium 10 Xray, 2026-10-13</t>
        </is>
      </c>
      <c r="I33" s="61" t="n">
        <v>33.95</v>
      </c>
      <c r="J33" s="62" t="inlineStr">
        <is>
          <t>2026-03-30</t>
        </is>
      </c>
      <c r="K33" s="33" t="n">
        <v>11.03</v>
      </c>
      <c r="L33" s="63" t="n">
        <v>0.3248895434462445</v>
      </c>
      <c r="M33" s="64" t="n">
        <v>14</v>
      </c>
      <c r="N33" s="32" t="inlineStr">
        <is>
          <t>Active</t>
        </is>
      </c>
      <c r="O33" s="32" t="n"/>
      <c r="P33" s="65" t="n">
        <v>4.4</v>
      </c>
      <c r="Q33" s="64" t="n">
        <v>1080</v>
      </c>
      <c r="R33" s="64" t="n">
        <v>28101</v>
      </c>
      <c r="S33" s="64" t="n">
        <v>6</v>
      </c>
      <c r="T33" s="32" t="n"/>
    </row>
    <row r="34" ht="62" customHeight="1">
      <c r="A34" s="10">
        <f>_xlfn.IMAGE("https://m.media-amazon.com/images/I/81-8fCPCUcL.jpg")</f>
        <v/>
      </c>
      <c r="B34" s="32" t="inlineStr">
        <is>
          <t>B0DDR4T2Y6</t>
        </is>
      </c>
      <c r="C34" s="32" t="inlineStr">
        <is>
          <t>SS-SATIN-BLUSH-PINK-KING-4PCS</t>
        </is>
      </c>
      <c r="D34" s="32" t="inlineStr">
        <is>
          <t>SLEEP SANCTUARY Satin Sheets King Size – 4 Piece Luxury Silky Bed Set, Softer Than Silk, 15" Deep Pocket, Cooling &amp; Wrinkle-Free, Moisture-Wicking &amp; Breathable for Hair &amp; Skin (Blush Pink)</t>
        </is>
      </c>
      <c r="E34" s="32" t="inlineStr">
        <is>
          <t>King</t>
        </is>
      </c>
      <c r="F34" s="32" t="inlineStr">
        <is>
          <t>Blush Pink</t>
        </is>
      </c>
      <c r="G34" s="60" t="n">
        <v>35.95</v>
      </c>
      <c r="H34" s="32" t="inlineStr">
        <is>
          <t>Helium 10 Xray, 2026-10-13</t>
        </is>
      </c>
      <c r="I34" s="61" t="n">
        <v>35.95</v>
      </c>
      <c r="J34" s="62" t="inlineStr">
        <is>
          <t>2026-03-30</t>
        </is>
      </c>
      <c r="K34" s="33" t="n">
        <v>10.8</v>
      </c>
      <c r="L34" s="63" t="n">
        <v>0.3004172461752435</v>
      </c>
      <c r="M34" s="64" t="n">
        <v>13</v>
      </c>
      <c r="N34" s="32" t="inlineStr">
        <is>
          <t>Active</t>
        </is>
      </c>
      <c r="O34" s="32" t="inlineStr">
        <is>
          <t>Yes (4%)</t>
        </is>
      </c>
      <c r="P34" s="65" t="n">
        <v>4.4</v>
      </c>
      <c r="Q34" s="64" t="n">
        <v>1080</v>
      </c>
      <c r="R34" s="64" t="n">
        <v>28101</v>
      </c>
      <c r="S34" s="64" t="n">
        <v>4</v>
      </c>
      <c r="T34" s="32" t="n"/>
    </row>
    <row r="35" ht="62" customHeight="1">
      <c r="A35" s="10">
        <f>_xlfn.IMAGE("https://m.media-amazon.com/images/I/81ttAeO-RjL.jpg")</f>
        <v/>
      </c>
      <c r="B35" s="32" t="inlineStr">
        <is>
          <t>B0DDRHLV1C</t>
        </is>
      </c>
      <c r="C35" s="32" t="inlineStr">
        <is>
          <t>SS-SATIN-LAVENDER-QUEEN-4PCS</t>
        </is>
      </c>
      <c r="D35" s="32" t="inlineStr">
        <is>
          <t>SLEEP SANCTUARY Satin Sheets Queen Size – 4 Piece Luxury Silky Bed Set, Softer Than Silk, 15" Deep Pocket, Cooling &amp; Wrinkle-Free, Moisture-Wicking &amp; Breathable for Hair &amp; Skin (Lavender)</t>
        </is>
      </c>
      <c r="E35" s="32" t="inlineStr">
        <is>
          <t>Queen</t>
        </is>
      </c>
      <c r="F35" s="32" t="inlineStr">
        <is>
          <t>Lavender</t>
        </is>
      </c>
      <c r="G35" s="60" t="n">
        <v>33.95</v>
      </c>
      <c r="H35" s="32" t="inlineStr">
        <is>
          <t>Helium 10 Xray, 2026-10-13</t>
        </is>
      </c>
      <c r="I35" s="61" t="n">
        <v>33.95</v>
      </c>
      <c r="J35" s="62" t="inlineStr">
        <is>
          <t>2026-03-30</t>
        </is>
      </c>
      <c r="K35" s="33" t="n">
        <v>11.92</v>
      </c>
      <c r="L35" s="63" t="n">
        <v>0.3511045655375553</v>
      </c>
      <c r="M35" s="64" t="n">
        <v>13</v>
      </c>
      <c r="N35" s="32" t="inlineStr">
        <is>
          <t>Active</t>
        </is>
      </c>
      <c r="O35" s="32" t="n"/>
      <c r="P35" s="65" t="n">
        <v>4.4</v>
      </c>
      <c r="Q35" s="64" t="n">
        <v>1080</v>
      </c>
      <c r="R35" s="64" t="n">
        <v>28101</v>
      </c>
      <c r="S35" s="64" t="n">
        <v>6</v>
      </c>
      <c r="T35" s="32" t="n"/>
    </row>
    <row r="36" ht="62" customHeight="1">
      <c r="A36" s="10">
        <f>_xlfn.IMAGE("https://m.media-amazon.com/images/I/81iohyoFldL.jpg")</f>
        <v/>
      </c>
      <c r="B36" s="32" t="inlineStr">
        <is>
          <t>B0DDR5K4KK</t>
        </is>
      </c>
      <c r="C36" s="32" t="inlineStr">
        <is>
          <t>SS-SATIN-SAGE-GREEN-QUEEN-4PCS</t>
        </is>
      </c>
      <c r="D36" s="32" t="inlineStr">
        <is>
          <t>SLEEP SANCTUARY Satin Sheets Queen Size – 4 Piece Luxury Silky Bed Set, Softer Than Silk, 15" Deep Pocket, Cooling &amp; Wrinkle-Free, Moisture-Wicking &amp; Breathable for Hair &amp; Skin (Sage Green)</t>
        </is>
      </c>
      <c r="E36" s="32" t="inlineStr">
        <is>
          <t>Queen</t>
        </is>
      </c>
      <c r="F36" s="32" t="inlineStr">
        <is>
          <t>Sage Green</t>
        </is>
      </c>
      <c r="G36" s="60" t="n">
        <v>31.95</v>
      </c>
      <c r="H36" s="32" t="inlineStr">
        <is>
          <t>Helium 10 Xray, 2026-10-13</t>
        </is>
      </c>
      <c r="I36" s="61" t="n">
        <v>39.95</v>
      </c>
      <c r="J36" s="62" t="inlineStr">
        <is>
          <t>2026-03-30</t>
        </is>
      </c>
      <c r="K36" s="33" t="n">
        <v>16.76</v>
      </c>
      <c r="L36" s="63" t="n">
        <v>0.4195244055068836</v>
      </c>
      <c r="M36" s="64" t="n">
        <v>13</v>
      </c>
      <c r="N36" s="32" t="inlineStr">
        <is>
          <t>Active</t>
        </is>
      </c>
      <c r="O36" s="32" t="n"/>
      <c r="P36" s="65" t="n">
        <v>4.4</v>
      </c>
      <c r="Q36" s="64" t="n">
        <v>1080</v>
      </c>
      <c r="R36" s="64" t="n">
        <v>28101</v>
      </c>
      <c r="S36" s="64" t="n">
        <v>46</v>
      </c>
      <c r="T36" s="32" t="n"/>
    </row>
    <row r="37" ht="62" customHeight="1">
      <c r="A37" s="10">
        <f>_xlfn.IMAGE("https://m.media-amazon.com/images/I/81vHqIiWdYL.jpg")</f>
        <v/>
      </c>
      <c r="B37" s="32" t="inlineStr">
        <is>
          <t>B0DDR6TLDV</t>
        </is>
      </c>
      <c r="C37" s="32" t="inlineStr">
        <is>
          <t>SS-SATIN-ROSEWOOD-TWIN-3PCS</t>
        </is>
      </c>
      <c r="D37" s="32" t="inlineStr">
        <is>
          <t>SLEEP SANCTUARY Satin Sheets Twin Size – 3 Piece Luxury Silky Bed Set, Softer Than Silk, 15" Deep Pocket, Cooling &amp; Wrinkle-Free, Moisture-Wicking &amp; Breathable for Hair &amp; Skin (Rosewood)</t>
        </is>
      </c>
      <c r="E37" s="32" t="inlineStr">
        <is>
          <t>Twin</t>
        </is>
      </c>
      <c r="F37" s="32" t="inlineStr">
        <is>
          <t>Rosewood</t>
        </is>
      </c>
      <c r="G37" s="60" t="n">
        <v>29.95</v>
      </c>
      <c r="H37" s="32" t="inlineStr">
        <is>
          <t>Helium 10 Xray, 2026-10-13</t>
        </is>
      </c>
      <c r="I37" s="61" t="n">
        <v>31.95</v>
      </c>
      <c r="J37" s="62" t="inlineStr">
        <is>
          <t>2026-03-30</t>
        </is>
      </c>
      <c r="K37" s="33" t="n">
        <v>12.98</v>
      </c>
      <c r="L37" s="63" t="n">
        <v>0.4062597809076681</v>
      </c>
      <c r="M37" s="64" t="n">
        <v>12</v>
      </c>
      <c r="N37" s="32" t="inlineStr">
        <is>
          <t>Active</t>
        </is>
      </c>
      <c r="O37" s="32" t="inlineStr">
        <is>
          <t>Yes (4%)</t>
        </is>
      </c>
      <c r="P37" s="65" t="n">
        <v>4.4</v>
      </c>
      <c r="Q37" s="64" t="n">
        <v>1080</v>
      </c>
      <c r="R37" s="64" t="n">
        <v>28101</v>
      </c>
      <c r="S37" s="64" t="n">
        <v>10</v>
      </c>
      <c r="T37" s="32" t="n"/>
    </row>
    <row r="38" ht="62" customHeight="1">
      <c r="A38" s="10">
        <f>_xlfn.IMAGE("https://m.media-amazon.com/images/I/81nw4rg0gcL.jpg")</f>
        <v/>
      </c>
      <c r="B38" s="32" t="inlineStr">
        <is>
          <t>B0DDRB21Z6</t>
        </is>
      </c>
      <c r="C38" s="32" t="inlineStr">
        <is>
          <t>SS-SATIN-PURPLE-FULL-4PCS</t>
        </is>
      </c>
      <c r="D38" s="32" t="inlineStr">
        <is>
          <t>SLEEP SANCTUARY Satin Sheets Full Size – 4 Piece Luxury Silky Bed Set, Softer Than Silk, 15" Deep Pocket, Cooling &amp; Wrinkle-Free, Moisture-Wicking &amp; Breathable for Hair &amp; Skin (Purple)</t>
        </is>
      </c>
      <c r="E38" s="32" t="inlineStr">
        <is>
          <t>Full</t>
        </is>
      </c>
      <c r="F38" s="32" t="inlineStr">
        <is>
          <t>Purple</t>
        </is>
      </c>
      <c r="G38" s="60" t="n">
        <v>29.95</v>
      </c>
      <c r="H38" s="32" t="inlineStr">
        <is>
          <t>Helium 10 Xray, 2026-10-13</t>
        </is>
      </c>
      <c r="I38" s="61" t="n">
        <v>37.95</v>
      </c>
      <c r="J38" s="62" t="inlineStr">
        <is>
          <t>2026-03-30</t>
        </is>
      </c>
      <c r="K38" s="33" t="n">
        <v>15.37000000000001</v>
      </c>
      <c r="L38" s="63" t="n">
        <v>0.4050065876152834</v>
      </c>
      <c r="M38" s="64" t="n">
        <v>11</v>
      </c>
      <c r="N38" s="32" t="inlineStr">
        <is>
          <t>Active</t>
        </is>
      </c>
      <c r="O38" s="32" t="n"/>
      <c r="P38" s="65" t="n">
        <v>4.4</v>
      </c>
      <c r="Q38" s="64" t="n">
        <v>1080</v>
      </c>
      <c r="R38" s="64" t="n">
        <v>28101</v>
      </c>
      <c r="S38" s="64" t="n">
        <v>7</v>
      </c>
      <c r="T38" s="32" t="n"/>
    </row>
    <row r="39" ht="62" customHeight="1">
      <c r="A39" s="10">
        <f>_xlfn.IMAGE("https://m.media-amazon.com/images/I/81nw4rg0gcL.jpg")</f>
        <v/>
      </c>
      <c r="B39" s="32" t="inlineStr">
        <is>
          <t>B0DDRCQZ7G</t>
        </is>
      </c>
      <c r="C39" s="32" t="inlineStr">
        <is>
          <t>SS-SATIN-PURPLE-KING-4PCS</t>
        </is>
      </c>
      <c r="D39" s="32" t="inlineStr">
        <is>
          <t>SLEEP SANCTUARY Satin Sheets King Size – 4 Piece Luxury Silky Bed Set, Softer Than Silk, 15" Deep Pocket, Cooling &amp; Wrinkle-Free, Moisture-Wicking &amp; Breathable for Hair &amp; Skin (Purple)</t>
        </is>
      </c>
      <c r="E39" s="32" t="inlineStr">
        <is>
          <t>King</t>
        </is>
      </c>
      <c r="F39" s="32" t="inlineStr">
        <is>
          <t>Purple</t>
        </is>
      </c>
      <c r="G39" s="60" t="n">
        <v>39.95</v>
      </c>
      <c r="H39" s="32" t="inlineStr">
        <is>
          <t>Helium 10 Xray, 2026-10-13</t>
        </is>
      </c>
      <c r="I39" s="61" t="n">
        <v>35.95</v>
      </c>
      <c r="J39" s="62" t="inlineStr">
        <is>
          <t>2026-03-30</t>
        </is>
      </c>
      <c r="K39" s="33" t="n">
        <v>11.96</v>
      </c>
      <c r="L39" s="63" t="n">
        <v>0.3326842837273992</v>
      </c>
      <c r="M39" s="64" t="n">
        <v>11</v>
      </c>
      <c r="N39" s="32" t="inlineStr">
        <is>
          <t>Active</t>
        </is>
      </c>
      <c r="O39" s="32" t="n"/>
      <c r="P39" s="65" t="n">
        <v>4.4</v>
      </c>
      <c r="Q39" s="64" t="n">
        <v>1080</v>
      </c>
      <c r="R39" s="64" t="n">
        <v>28101</v>
      </c>
      <c r="S39" s="64" t="n">
        <v>3</v>
      </c>
      <c r="T39" s="32" t="n"/>
    </row>
    <row r="40" ht="62" customHeight="1">
      <c r="A40" s="10">
        <f>_xlfn.IMAGE("https://m.media-amazon.com/images/I/81n6eJJsrGL.jpg")</f>
        <v/>
      </c>
      <c r="B40" s="32" t="inlineStr">
        <is>
          <t>B0DDRP3R3F</t>
        </is>
      </c>
      <c r="C40" s="32" t="inlineStr">
        <is>
          <t>SS-SATIN-RED-KING-4PCS</t>
        </is>
      </c>
      <c r="D40" s="32" t="inlineStr">
        <is>
          <t>SLEEP SANCTUARY Satin Sheets King Size – 4 Piece Luxury Silky Bed Set, Softer Than Silk, 15" Deep Pocket, Cooling &amp; Wrinkle-Free, Moisture-Wicking &amp; Breathable for Hair &amp; Skin (Red)</t>
        </is>
      </c>
      <c r="E40" s="32" t="inlineStr">
        <is>
          <t>King</t>
        </is>
      </c>
      <c r="F40" s="32" t="inlineStr">
        <is>
          <t>Red</t>
        </is>
      </c>
      <c r="G40" s="60" t="n">
        <v>35.95</v>
      </c>
      <c r="H40" s="32" t="inlineStr">
        <is>
          <t>Helium 10 Xray, 2026-10-13</t>
        </is>
      </c>
      <c r="I40" s="61" t="n">
        <v>35.95</v>
      </c>
      <c r="J40" s="62" t="inlineStr">
        <is>
          <t>2026-03-30</t>
        </is>
      </c>
      <c r="K40" s="33" t="n">
        <v>12.68</v>
      </c>
      <c r="L40" s="63" t="n">
        <v>0.3527121001390821</v>
      </c>
      <c r="M40" s="64" t="n">
        <v>11</v>
      </c>
      <c r="N40" s="32" t="inlineStr">
        <is>
          <t>Active</t>
        </is>
      </c>
      <c r="O40" s="32" t="n"/>
      <c r="P40" s="65" t="n">
        <v>4.4</v>
      </c>
      <c r="Q40" s="64" t="n">
        <v>1080</v>
      </c>
      <c r="R40" s="64" t="n">
        <v>28101</v>
      </c>
      <c r="S40" s="64" t="n">
        <v>8</v>
      </c>
      <c r="T40" s="32" t="n"/>
    </row>
    <row r="41" ht="62" customHeight="1">
      <c r="A41" s="10">
        <f>_xlfn.IMAGE("https://m.media-amazon.com/images/I/81bZ3S4CehL.jpg")</f>
        <v/>
      </c>
      <c r="B41" s="32" t="inlineStr">
        <is>
          <t>B0DDRF1Z4N</t>
        </is>
      </c>
      <c r="C41" s="32" t="inlineStr">
        <is>
          <t>SS-SATIN-TAUPE-KING-4PCS</t>
        </is>
      </c>
      <c r="D41" s="32" t="inlineStr">
        <is>
          <t>SLEEP SANCTUARY Satin Sheets King Size – 4 Piece Luxury Silky Bed Set, Softer Than Silk, 15" Deep Pocket, Cooling &amp; Wrinkle-Free, Moisture-Wicking &amp; Breathable for Hair &amp; Skin (Taupe)</t>
        </is>
      </c>
      <c r="E41" s="32" t="inlineStr">
        <is>
          <t>King</t>
        </is>
      </c>
      <c r="F41" s="32" t="inlineStr">
        <is>
          <t>Taupe</t>
        </is>
      </c>
      <c r="G41" s="60" t="n">
        <v>35.95</v>
      </c>
      <c r="H41" s="32" t="inlineStr">
        <is>
          <t>Helium 10 Xray, 2026-10-13</t>
        </is>
      </c>
      <c r="I41" s="61" t="n">
        <v>41.95</v>
      </c>
      <c r="J41" s="62" t="inlineStr">
        <is>
          <t>2026-03-30</t>
        </is>
      </c>
      <c r="K41" s="33" t="n">
        <v>16.23</v>
      </c>
      <c r="L41" s="63" t="n">
        <v>0.3868891537544697</v>
      </c>
      <c r="M41" s="64" t="n">
        <v>11</v>
      </c>
      <c r="N41" s="32" t="inlineStr">
        <is>
          <t>Active</t>
        </is>
      </c>
      <c r="O41" s="32" t="n"/>
      <c r="P41" s="65" t="n">
        <v>4.4</v>
      </c>
      <c r="Q41" s="64" t="n">
        <v>1080</v>
      </c>
      <c r="R41" s="64" t="n">
        <v>28101</v>
      </c>
      <c r="S41" s="64" t="n">
        <v>5</v>
      </c>
      <c r="T41" s="32" t="n"/>
    </row>
    <row r="42" ht="62" customHeight="1">
      <c r="A42" s="10">
        <f>_xlfn.IMAGE("https://m.media-amazon.com/images/I/81UIBGaUe6L.jpg")</f>
        <v/>
      </c>
      <c r="B42" s="32" t="inlineStr">
        <is>
          <t>B0DDRBX7CN</t>
        </is>
      </c>
      <c r="C42" s="32" t="inlineStr">
        <is>
          <t>SS-SATIN-BLUE-KING-4PCS</t>
        </is>
      </c>
      <c r="D42" s="32" t="inlineStr">
        <is>
          <t>SLEEP SANCTUARY Satin Sheets King Size – 4 Piece Luxury Silky Bed Set, Softer Than Silk, 15" Deep Pocket, Cooling &amp; Wrinkle-Free, Moisture-Wicking &amp; Breathable for Hair &amp; Skin (Blue)</t>
        </is>
      </c>
      <c r="E42" s="32" t="inlineStr">
        <is>
          <t>King</t>
        </is>
      </c>
      <c r="F42" s="32" t="inlineStr">
        <is>
          <t>Blue</t>
        </is>
      </c>
      <c r="G42" s="60" t="n">
        <v>35.95</v>
      </c>
      <c r="H42" s="32" t="inlineStr">
        <is>
          <t>Helium 10 Xray, 2026-10-13</t>
        </is>
      </c>
      <c r="I42" s="61" t="n">
        <v>41.95</v>
      </c>
      <c r="J42" s="62" t="inlineStr">
        <is>
          <t>2026-03-30</t>
        </is>
      </c>
      <c r="K42" s="33" t="n">
        <v>16.57000000000001</v>
      </c>
      <c r="L42" s="63" t="n">
        <v>0.3949940405244339</v>
      </c>
      <c r="M42" s="64" t="n">
        <v>10</v>
      </c>
      <c r="N42" s="32" t="inlineStr">
        <is>
          <t>Active</t>
        </is>
      </c>
      <c r="O42" s="32" t="n"/>
      <c r="P42" s="65" t="n">
        <v>4.4</v>
      </c>
      <c r="Q42" s="64" t="n">
        <v>1080</v>
      </c>
      <c r="R42" s="64" t="n">
        <v>28101</v>
      </c>
      <c r="S42" s="64" t="n">
        <v>5</v>
      </c>
      <c r="T42" s="32" t="n"/>
    </row>
    <row r="43" ht="62" customHeight="1">
      <c r="A43" s="10">
        <f>_xlfn.IMAGE("https://m.media-amazon.com/images/I/81eHsiCwxyL.jpg")</f>
        <v/>
      </c>
      <c r="B43" s="32" t="inlineStr">
        <is>
          <t>B0DDRHN5JH</t>
        </is>
      </c>
      <c r="C43" s="32" t="inlineStr">
        <is>
          <t>SS-SATIN-IVORY-QUEEN-4PCS</t>
        </is>
      </c>
      <c r="D43" s="32" t="inlineStr">
        <is>
          <t>SLEEP SANCTUARY Satin Sheets Queen Size – 4 Piece Luxury Silky Bed Set, Softer Than Silk, 15" Deep Pocket, Cooling &amp; Wrinkle-Free, Moisture-Wicking &amp; Breathable for Hair &amp; Skin (Ivory)</t>
        </is>
      </c>
      <c r="E43" s="32" t="inlineStr">
        <is>
          <t>Queen</t>
        </is>
      </c>
      <c r="F43" s="32" t="inlineStr">
        <is>
          <t>Ivory</t>
        </is>
      </c>
      <c r="G43" s="60" t="n">
        <v>38.95</v>
      </c>
      <c r="H43" s="32" t="inlineStr">
        <is>
          <t>Helium 10 Xray, 2026-10-13</t>
        </is>
      </c>
      <c r="I43" s="61" t="n">
        <v>33.95</v>
      </c>
      <c r="J43" s="62" t="inlineStr">
        <is>
          <t>2026-03-30</t>
        </is>
      </c>
      <c r="K43" s="33" t="n">
        <v>11.75</v>
      </c>
      <c r="L43" s="63" t="n">
        <v>0.3460972017673049</v>
      </c>
      <c r="M43" s="64" t="n">
        <v>10</v>
      </c>
      <c r="N43" s="32" t="inlineStr">
        <is>
          <t>Active</t>
        </is>
      </c>
      <c r="O43" s="32" t="n"/>
      <c r="P43" s="65" t="n">
        <v>4.4</v>
      </c>
      <c r="Q43" s="64" t="n">
        <v>1080</v>
      </c>
      <c r="R43" s="64" t="n">
        <v>28109</v>
      </c>
      <c r="S43" s="64" t="n">
        <v>5</v>
      </c>
      <c r="T43" s="32" t="n"/>
    </row>
    <row r="44" ht="62" customHeight="1">
      <c r="A44" s="10">
        <f>_xlfn.IMAGE("https://m.media-amazon.com/images/I/81P2Ae6R78L.jpg")</f>
        <v/>
      </c>
      <c r="B44" s="32" t="inlineStr">
        <is>
          <t>B0DDR852CS</t>
        </is>
      </c>
      <c r="C44" s="32" t="inlineStr">
        <is>
          <t>SS-SATIN-STRIPED-RED-QUEEN-4PCS</t>
        </is>
      </c>
      <c r="D44" s="32" t="inlineStr">
        <is>
          <t>SLEEP SANCTUARY Satin Sheets Queen Size – 4 Piece Luxury Silky Bed Set, Softer Than Silk, 15" Deep Pocket, Cooling &amp; Wrinkle-Free, Moisture-Wicking &amp; Breathable for Hair &amp; Skin (Striped Red)</t>
        </is>
      </c>
      <c r="E44" s="32" t="inlineStr">
        <is>
          <t>Queen</t>
        </is>
      </c>
      <c r="F44" s="32" t="inlineStr">
        <is>
          <t>Striped Red</t>
        </is>
      </c>
      <c r="G44" s="60" t="n">
        <v>36.95</v>
      </c>
      <c r="H44" s="32" t="inlineStr">
        <is>
          <t>Helium 10 Xray, 2026-10-13</t>
        </is>
      </c>
      <c r="I44" s="61" t="n">
        <v>39.95</v>
      </c>
      <c r="J44" s="62" t="inlineStr">
        <is>
          <t>2026-03-30</t>
        </is>
      </c>
      <c r="K44" s="33" t="n">
        <v>15.17</v>
      </c>
      <c r="L44" s="63" t="n">
        <v>0.3797246558197747</v>
      </c>
      <c r="M44" s="64" t="n">
        <v>10</v>
      </c>
      <c r="N44" s="32" t="inlineStr">
        <is>
          <t>Active</t>
        </is>
      </c>
      <c r="O44" s="32" t="n"/>
      <c r="P44" s="65" t="n">
        <v>4.4</v>
      </c>
      <c r="Q44" s="64" t="n">
        <v>1080</v>
      </c>
      <c r="R44" s="64" t="n">
        <v>28109</v>
      </c>
      <c r="S44" s="64" t="n">
        <v>34</v>
      </c>
      <c r="T44" s="32" t="n"/>
    </row>
    <row r="45" ht="62" customHeight="1">
      <c r="A45" s="10">
        <f>_xlfn.IMAGE("https://m.media-amazon.com/images/I/81-8fCPCUcL.jpg")</f>
        <v/>
      </c>
      <c r="B45" s="32" t="inlineStr">
        <is>
          <t>B0DDR6TLF6</t>
        </is>
      </c>
      <c r="C45" s="32" t="inlineStr">
        <is>
          <t>SS-SATIN-BLUSH-PINK-FULL-4PCS</t>
        </is>
      </c>
      <c r="D45" s="32" t="inlineStr">
        <is>
          <t>SLEEP SANCTUARY Satin Sheets Full Size – 4 Piece Luxury Silky Bed Set, Softer Than Silk, 15" Deep Pocket, Cooling &amp; Wrinkle-Free, Moisture-Wicking &amp; Breathable for Hair &amp; Skin (Blush Pink)</t>
        </is>
      </c>
      <c r="E45" s="32" t="inlineStr">
        <is>
          <t>Full</t>
        </is>
      </c>
      <c r="F45" s="32" t="inlineStr">
        <is>
          <t>Blush Pink</t>
        </is>
      </c>
      <c r="G45" s="60" t="n">
        <v>31.95</v>
      </c>
      <c r="H45" s="32" t="inlineStr">
        <is>
          <t>Helium 10 Xray, 2026-10-13</t>
        </is>
      </c>
      <c r="I45" s="61" t="n">
        <v>31.95</v>
      </c>
      <c r="J45" s="62" t="inlineStr">
        <is>
          <t>2026-03-30</t>
        </is>
      </c>
      <c r="K45" s="33" t="n">
        <v>11.57</v>
      </c>
      <c r="L45" s="63" t="n">
        <v>0.3621283255086072</v>
      </c>
      <c r="M45" s="64" t="n">
        <v>9</v>
      </c>
      <c r="N45" s="32" t="inlineStr">
        <is>
          <t>Active</t>
        </is>
      </c>
      <c r="O45" s="32" t="n"/>
      <c r="P45" s="65" t="n">
        <v>4.4</v>
      </c>
      <c r="Q45" s="64" t="n">
        <v>1080</v>
      </c>
      <c r="R45" s="64" t="n">
        <v>28101</v>
      </c>
      <c r="S45" s="64" t="n">
        <v>8</v>
      </c>
      <c r="T45" s="32" t="n"/>
    </row>
    <row r="46" ht="62" customHeight="1">
      <c r="A46" s="10">
        <f>_xlfn.IMAGE("https://m.media-amazon.com/images/I/81GoZ+gTjbL.jpg")</f>
        <v/>
      </c>
      <c r="B46" s="32" t="inlineStr">
        <is>
          <t>B0DDRF88H4</t>
        </is>
      </c>
      <c r="C46" s="32" t="inlineStr">
        <is>
          <t>SS-SATIN-NAVY-BLUE-FULL-4PCS</t>
        </is>
      </c>
      <c r="D46" s="32" t="inlineStr">
        <is>
          <t>SLEEP SANCTUARY Satin Sheets Full Size – 4 Piece Luxury Silky Bed Set, Softer Than Silk, 15" Deep Pocket, Cooling &amp; Wrinkle-Free, Moisture-Wicking &amp; Breathable for Hair &amp; Skin (Navy Blue)</t>
        </is>
      </c>
      <c r="E46" s="32" t="inlineStr">
        <is>
          <t>Full</t>
        </is>
      </c>
      <c r="F46" s="32" t="inlineStr">
        <is>
          <t>Navy Blue</t>
        </is>
      </c>
      <c r="G46" s="60" t="n">
        <v>32.95</v>
      </c>
      <c r="H46" s="32" t="inlineStr">
        <is>
          <t>Helium 10 Xray, 2026-10-13</t>
        </is>
      </c>
      <c r="I46" s="61" t="n">
        <v>40.95</v>
      </c>
      <c r="J46" s="62" t="inlineStr">
        <is>
          <t>2026-03-30</t>
        </is>
      </c>
      <c r="K46" s="33" t="n">
        <v>18.35</v>
      </c>
      <c r="L46" s="63" t="n">
        <v>0.4481074481074481</v>
      </c>
      <c r="M46" s="64" t="n">
        <v>9</v>
      </c>
      <c r="N46" s="32" t="inlineStr">
        <is>
          <t>Active</t>
        </is>
      </c>
      <c r="O46" s="32" t="n"/>
      <c r="P46" s="65" t="n">
        <v>4.4</v>
      </c>
      <c r="Q46" s="64" t="n">
        <v>1080</v>
      </c>
      <c r="R46" s="64" t="n">
        <v>28101</v>
      </c>
      <c r="S46" s="64" t="n">
        <v>6</v>
      </c>
      <c r="T46" s="32" t="n"/>
    </row>
    <row r="47" ht="62" customHeight="1">
      <c r="A47" s="10">
        <f>_xlfn.IMAGE("https://m.media-amazon.com/images/I/81ttAeO-RjL.jpg")</f>
        <v/>
      </c>
      <c r="B47" s="32" t="inlineStr">
        <is>
          <t>B0DDRFLD2F</t>
        </is>
      </c>
      <c r="C47" s="32" t="inlineStr">
        <is>
          <t>SS-SATIN-LAVENDER-KING-4PCS</t>
        </is>
      </c>
      <c r="D47" s="32" t="inlineStr">
        <is>
          <t>SLEEP SANCTUARY Satin Sheets King Size – 4 Piece Luxury Silky Bed Set, Softer Than Silk, 15" Deep Pocket, Cooling &amp; Wrinkle-Free, Moisture-Wicking &amp; Breathable for Hair &amp; Skin (Lavender)</t>
        </is>
      </c>
      <c r="E47" s="32" t="inlineStr">
        <is>
          <t>King</t>
        </is>
      </c>
      <c r="F47" s="32" t="inlineStr">
        <is>
          <t>Lavender</t>
        </is>
      </c>
      <c r="G47" s="60" t="n">
        <v>35.95</v>
      </c>
      <c r="H47" s="32" t="inlineStr">
        <is>
          <t>Helium 10 Xray, 2026-10-13</t>
        </is>
      </c>
      <c r="I47" s="61" t="n">
        <v>41.95</v>
      </c>
      <c r="J47" s="62" t="inlineStr">
        <is>
          <t>2026-03-30</t>
        </is>
      </c>
      <c r="K47" s="33" t="n">
        <v>16.74000000000001</v>
      </c>
      <c r="L47" s="63" t="n">
        <v>0.399046483909416</v>
      </c>
      <c r="M47" s="64" t="n">
        <v>9</v>
      </c>
      <c r="N47" s="32" t="inlineStr">
        <is>
          <t>Active</t>
        </is>
      </c>
      <c r="O47" s="32" t="n"/>
      <c r="P47" s="65" t="n">
        <v>4.4</v>
      </c>
      <c r="Q47" s="64" t="n">
        <v>1080</v>
      </c>
      <c r="R47" s="64" t="n">
        <v>28101</v>
      </c>
      <c r="S47" s="64" t="n">
        <v>4</v>
      </c>
      <c r="T47" s="32" t="n"/>
    </row>
    <row r="48" ht="62" customHeight="1">
      <c r="A48" s="10">
        <f>_xlfn.IMAGE("https://m.media-amazon.com/images/I/811f9U2X++L.jpg")</f>
        <v/>
      </c>
      <c r="B48" s="32" t="inlineStr">
        <is>
          <t>B0DDQQB8VY</t>
        </is>
      </c>
      <c r="C48" s="32" t="inlineStr">
        <is>
          <t>SS-SATIN-PINK-KING-4PCS</t>
        </is>
      </c>
      <c r="D48" s="32" t="inlineStr">
        <is>
          <t>SLEEP SANCTUARY Satin Sheets King Size – 4 Piece Luxury Silky Bed Set, Softer Than Silk, 15" Deep Pocket, Cooling &amp; Wrinkle-Free, Moisture-Wicking &amp; Breathable for Hair &amp; Skin (Pink)</t>
        </is>
      </c>
      <c r="E48" s="32" t="inlineStr">
        <is>
          <t>King</t>
        </is>
      </c>
      <c r="F48" s="32" t="inlineStr">
        <is>
          <t>Pink</t>
        </is>
      </c>
      <c r="G48" s="60" t="n">
        <v>35.95</v>
      </c>
      <c r="H48" s="32" t="inlineStr">
        <is>
          <t>Helium 10 Xray, 2026-10-13</t>
        </is>
      </c>
      <c r="I48" s="61" t="n">
        <v>41.95</v>
      </c>
      <c r="J48" s="62" t="inlineStr">
        <is>
          <t>2026-03-30</t>
        </is>
      </c>
      <c r="K48" s="33" t="n">
        <v>15.74000000000001</v>
      </c>
      <c r="L48" s="63" t="n">
        <v>0.3752085816448154</v>
      </c>
      <c r="M48" s="64" t="n">
        <v>9</v>
      </c>
      <c r="N48" s="32" t="inlineStr">
        <is>
          <t>Active</t>
        </is>
      </c>
      <c r="O48" s="32" t="n"/>
      <c r="P48" s="65" t="n">
        <v>4.4</v>
      </c>
      <c r="Q48" s="64" t="n">
        <v>1080</v>
      </c>
      <c r="R48" s="64" t="n">
        <v>28101</v>
      </c>
      <c r="S48" s="64" t="n">
        <v>5</v>
      </c>
      <c r="T48" s="32" t="n"/>
    </row>
    <row r="49" ht="62" customHeight="1">
      <c r="A49" s="10">
        <f>_xlfn.IMAGE("https://m.media-amazon.com/images/I/811f9U2X++L.jpg")</f>
        <v/>
      </c>
      <c r="B49" s="32" t="inlineStr">
        <is>
          <t>B0DDQZG4MQ</t>
        </is>
      </c>
      <c r="C49" s="32" t="inlineStr">
        <is>
          <t>SS-SATIN-PINK-FULL-4PCS</t>
        </is>
      </c>
      <c r="D49" s="32" t="inlineStr">
        <is>
          <t>SLEEP SANCTUARY Satin Sheets Full Size – 4 Piece Luxury Silky Bed Set, Softer Than Silk, 15" Deep Pocket, Cooling &amp; Wrinkle-Free, Moisture-Wicking &amp; Breathable for Hair &amp; Skin (Pink)</t>
        </is>
      </c>
      <c r="E49" s="32" t="inlineStr">
        <is>
          <t>Full</t>
        </is>
      </c>
      <c r="F49" s="32" t="inlineStr">
        <is>
          <t>Pink</t>
        </is>
      </c>
      <c r="G49" s="60" t="n">
        <v>31.95</v>
      </c>
      <c r="H49" s="32" t="inlineStr">
        <is>
          <t>Helium 10 Xray, 2026-10-13</t>
        </is>
      </c>
      <c r="I49" s="61" t="n">
        <v>37.95</v>
      </c>
      <c r="J49" s="62" t="inlineStr">
        <is>
          <t>2026-03-30</t>
        </is>
      </c>
      <c r="K49" s="33" t="n">
        <v>16.77000000000001</v>
      </c>
      <c r="L49" s="63" t="n">
        <v>0.4418972332015813</v>
      </c>
      <c r="M49" s="64" t="n">
        <v>8</v>
      </c>
      <c r="N49" s="32" t="inlineStr">
        <is>
          <t>Active</t>
        </is>
      </c>
      <c r="O49" s="32" t="inlineStr">
        <is>
          <t>Yes (10%)</t>
        </is>
      </c>
      <c r="P49" s="65" t="n">
        <v>4.4</v>
      </c>
      <c r="Q49" s="64" t="n">
        <v>1080</v>
      </c>
      <c r="R49" s="64" t="n">
        <v>28101</v>
      </c>
      <c r="S49" s="64" t="n">
        <v>6</v>
      </c>
      <c r="T49" s="32" t="n"/>
    </row>
    <row r="50" ht="62" customHeight="1">
      <c r="A50" s="10">
        <f>_xlfn.IMAGE("https://m.media-amazon.com/images/I/81cPOSHJh1L.jpg")</f>
        <v/>
      </c>
      <c r="B50" s="32" t="inlineStr">
        <is>
          <t>B0DDRL4WTJ</t>
        </is>
      </c>
      <c r="C50" s="32" t="inlineStr">
        <is>
          <t>SS-SATIN-BURNT-ORANGE-KING-4PCS</t>
        </is>
      </c>
      <c r="D50" s="32" t="inlineStr">
        <is>
          <t>SLEEP SANCTUARY Satin Sheets King Size – 4 Piece Luxury Silky Bed Set, Softer Than Silk, 15" Deep Pocket, Cooling &amp; Wrinkle-Free, Moisture-Wicking &amp; Breathable for Hair &amp; Skin (Burnt Orange)</t>
        </is>
      </c>
      <c r="E50" s="32" t="inlineStr">
        <is>
          <t>King</t>
        </is>
      </c>
      <c r="F50" s="32" t="inlineStr">
        <is>
          <t>Burnt Orange</t>
        </is>
      </c>
      <c r="G50" s="60" t="n">
        <v>35.95</v>
      </c>
      <c r="H50" s="32" t="inlineStr">
        <is>
          <t>Helium 10 Xray, 2026-10-13</t>
        </is>
      </c>
      <c r="I50" s="61" t="n">
        <v>41.95</v>
      </c>
      <c r="J50" s="62" t="inlineStr">
        <is>
          <t>2026-03-30</t>
        </is>
      </c>
      <c r="K50" s="33" t="n">
        <v>16.67</v>
      </c>
      <c r="L50" s="63" t="n">
        <v>0.3973778307508939</v>
      </c>
      <c r="M50" s="64" t="n">
        <v>8</v>
      </c>
      <c r="N50" s="32" t="inlineStr">
        <is>
          <t>Active</t>
        </is>
      </c>
      <c r="O50" s="32" t="n"/>
      <c r="P50" s="65" t="n">
        <v>4.4</v>
      </c>
      <c r="Q50" s="64" t="n">
        <v>1080</v>
      </c>
      <c r="R50" s="64" t="n">
        <v>28101</v>
      </c>
      <c r="S50" s="64" t="n">
        <v>5</v>
      </c>
      <c r="T50" s="32" t="n"/>
    </row>
    <row r="51" ht="62" customHeight="1">
      <c r="A51" s="10">
        <f>_xlfn.IMAGE("https://m.media-amazon.com/images/I/81oQ5+OPoZL.jpg")</f>
        <v/>
      </c>
      <c r="B51" s="32" t="inlineStr">
        <is>
          <t>B0DDR3WWT1</t>
        </is>
      </c>
      <c r="C51" s="32" t="inlineStr">
        <is>
          <t>SS-SATIN-STRIPED-PINK-QUEEN-4PCS</t>
        </is>
      </c>
      <c r="D51" s="32" t="inlineStr">
        <is>
          <t>SLEEP SANCTUARY Satin Sheets Queen Size – 4 Piece Luxury Silky Bed Set, Softer Than Silk, 15" Deep Pocket, Cooling &amp; Wrinkle-Free, Moisture-Wicking &amp; Breathable for Hair &amp; Skin (Striped Pink)</t>
        </is>
      </c>
      <c r="E51" s="32" t="inlineStr">
        <is>
          <t>Queen</t>
        </is>
      </c>
      <c r="F51" s="32" t="inlineStr">
        <is>
          <t>Striped Pink</t>
        </is>
      </c>
      <c r="G51" s="60" t="n">
        <v>33.95</v>
      </c>
      <c r="H51" s="32" t="inlineStr">
        <is>
          <t>SellerBoard listing price, 2026-10-14</t>
        </is>
      </c>
      <c r="I51" s="61" t="n">
        <v>39.95</v>
      </c>
      <c r="J51" s="62" t="inlineStr">
        <is>
          <t>2026-03-30</t>
        </is>
      </c>
      <c r="K51" s="33" t="n">
        <v>14.54</v>
      </c>
      <c r="L51" s="63" t="n">
        <v>0.3639549436795995</v>
      </c>
      <c r="M51" s="64" t="n">
        <v>8</v>
      </c>
      <c r="N51" s="32" t="inlineStr">
        <is>
          <t>Active</t>
        </is>
      </c>
      <c r="O51" s="32" t="n"/>
      <c r="P51" s="65" t="n"/>
      <c r="Q51" s="64" t="n"/>
      <c r="R51" s="64" t="n"/>
      <c r="S51" s="64" t="n"/>
      <c r="T51" s="32" t="n"/>
    </row>
    <row r="52" ht="62" customHeight="1">
      <c r="A52" s="10">
        <f>_xlfn.IMAGE("https://m.media-amazon.com/images/I/81aclCTpoYL.jpg")</f>
        <v/>
      </c>
      <c r="B52" s="32" t="inlineStr">
        <is>
          <t>B0DDRD3S48</t>
        </is>
      </c>
      <c r="C52" s="32" t="inlineStr">
        <is>
          <t>SS-SATIN-DARK-GREEN-FULL-4PCS</t>
        </is>
      </c>
      <c r="D52" s="32" t="inlineStr">
        <is>
          <t>SLEEP SANCTUARY Satin Sheets Full Size – 4 Piece Luxury Silky Bed Set, Softer Than Silk, 15" Deep Pocket, Cooling &amp; Wrinkle-Free, Moisture-Wicking &amp; Breathable for Hair &amp; Skin (Dark Green)</t>
        </is>
      </c>
      <c r="E52" s="32" t="inlineStr">
        <is>
          <t>Full</t>
        </is>
      </c>
      <c r="F52" s="32" t="inlineStr">
        <is>
          <t>Dark Green</t>
        </is>
      </c>
      <c r="G52" s="60" t="n">
        <v>31.95</v>
      </c>
      <c r="H52" s="32" t="inlineStr">
        <is>
          <t>Helium 10 Xray, 2026-10-13</t>
        </is>
      </c>
      <c r="I52" s="61" t="n">
        <v>37.95</v>
      </c>
      <c r="J52" s="62" t="inlineStr">
        <is>
          <t>2026-03-30</t>
        </is>
      </c>
      <c r="K52" s="33" t="n">
        <v>15.37000000000001</v>
      </c>
      <c r="L52" s="63" t="n">
        <v>0.4050065876152834</v>
      </c>
      <c r="M52" s="64" t="n">
        <v>7</v>
      </c>
      <c r="N52" s="32" t="inlineStr">
        <is>
          <t>Active</t>
        </is>
      </c>
      <c r="O52" s="32" t="n"/>
      <c r="P52" s="65" t="n">
        <v>4.4</v>
      </c>
      <c r="Q52" s="64" t="n">
        <v>1080</v>
      </c>
      <c r="R52" s="64" t="n">
        <v>28101</v>
      </c>
      <c r="S52" s="64" t="n">
        <v>6</v>
      </c>
      <c r="T52" s="32" t="n"/>
    </row>
    <row r="53" ht="62" customHeight="1">
      <c r="A53" s="10">
        <f>_xlfn.IMAGE("https://m.media-amazon.com/images/I/81ttAeO-RjL.jpg")</f>
        <v/>
      </c>
      <c r="B53" s="32" t="inlineStr">
        <is>
          <t>B0DDRFR2FS</t>
        </is>
      </c>
      <c r="C53" s="32" t="inlineStr">
        <is>
          <t>SS-SATIN-LAVENDER-FULL-4PCS</t>
        </is>
      </c>
      <c r="D53" s="32" t="inlineStr">
        <is>
          <t>SLEEP SANCTUARY Satin Sheets Full Size – 4 Piece Luxury Silky Bed Set, Softer Than Silk, 15" Deep Pocket, Cooling &amp; Wrinkle-Free, Moisture-Wicking &amp; Breathable for Hair &amp; Skin (Lavender)</t>
        </is>
      </c>
      <c r="E53" s="32" t="inlineStr">
        <is>
          <t>Full</t>
        </is>
      </c>
      <c r="F53" s="32" t="inlineStr">
        <is>
          <t>Lavender</t>
        </is>
      </c>
      <c r="G53" s="60" t="n">
        <v>31.95</v>
      </c>
      <c r="H53" s="32" t="inlineStr">
        <is>
          <t>Helium 10 Xray, 2026-10-13</t>
        </is>
      </c>
      <c r="I53" s="61" t="n">
        <v>31.95</v>
      </c>
      <c r="J53" s="62" t="inlineStr">
        <is>
          <t>2026-03-30</t>
        </is>
      </c>
      <c r="K53" s="33" t="n">
        <v>10.68</v>
      </c>
      <c r="L53" s="63" t="n">
        <v>0.3342723004694835</v>
      </c>
      <c r="M53" s="64" t="n">
        <v>7</v>
      </c>
      <c r="N53" s="32" t="inlineStr">
        <is>
          <t>Active</t>
        </is>
      </c>
      <c r="O53" s="32" t="n"/>
      <c r="P53" s="65" t="n">
        <v>4.4</v>
      </c>
      <c r="Q53" s="64" t="n">
        <v>1080</v>
      </c>
      <c r="R53" s="64" t="n">
        <v>28101</v>
      </c>
      <c r="S53" s="64" t="n">
        <v>5</v>
      </c>
      <c r="T53" s="32" t="n"/>
    </row>
    <row r="54" ht="62" customHeight="1">
      <c r="A54" s="10">
        <f>_xlfn.IMAGE("https://m.media-amazon.com/images/I/817pb6oL4YL.jpg")</f>
        <v/>
      </c>
      <c r="B54" s="32" t="inlineStr">
        <is>
          <t>B0DDRB7NTZ</t>
        </is>
      </c>
      <c r="C54" s="32" t="inlineStr">
        <is>
          <t>SS-SATIN-CHAMPAGNE-KING-4PCS</t>
        </is>
      </c>
      <c r="D54" s="32" t="inlineStr">
        <is>
          <t>SLEEP SANCTUARY Satin Sheets King Size – 4 Piece Luxury Silky Bed Set, Softer Than Silk, 15" Deep Pocket, Cooling &amp; Wrinkle-Free, Moisture-Wicking &amp; Breathable for Hair &amp; Skin (Champagne)</t>
        </is>
      </c>
      <c r="E54" s="32" t="inlineStr">
        <is>
          <t>King</t>
        </is>
      </c>
      <c r="F54" s="32" t="inlineStr">
        <is>
          <t>Champagne</t>
        </is>
      </c>
      <c r="G54" s="60" t="n">
        <v>35.95</v>
      </c>
      <c r="H54" s="32" t="inlineStr">
        <is>
          <t>Helium 10 Xray, 2026-10-13</t>
        </is>
      </c>
      <c r="I54" s="61" t="n">
        <v>41.95</v>
      </c>
      <c r="J54" s="62" t="inlineStr">
        <is>
          <t>2026-03-30</t>
        </is>
      </c>
      <c r="K54" s="33" t="n">
        <v>16.40000000000001</v>
      </c>
      <c r="L54" s="63" t="n">
        <v>0.3909415971394518</v>
      </c>
      <c r="M54" s="64" t="n">
        <v>7</v>
      </c>
      <c r="N54" s="32" t="inlineStr">
        <is>
          <t>Active</t>
        </is>
      </c>
      <c r="O54" s="32" t="n"/>
      <c r="P54" s="65" t="n">
        <v>4.4</v>
      </c>
      <c r="Q54" s="64" t="n">
        <v>1080</v>
      </c>
      <c r="R54" s="64" t="n">
        <v>28101</v>
      </c>
      <c r="S54" s="64" t="n">
        <v>5</v>
      </c>
      <c r="T54" s="32" t="n"/>
    </row>
    <row r="55" ht="62" customHeight="1">
      <c r="A55" s="10">
        <f>_xlfn.IMAGE("https://m.media-amazon.com/images/I/81zlU-hzNOL.jpg")</f>
        <v/>
      </c>
      <c r="B55" s="32" t="inlineStr">
        <is>
          <t>B0DDRHYXFM</t>
        </is>
      </c>
      <c r="C55" s="32" t="inlineStr">
        <is>
          <t>SS-SATIN-STRIPED-GREY-KING-4PCS</t>
        </is>
      </c>
      <c r="D55" s="32" t="inlineStr">
        <is>
          <t>SLEEP SANCTUARY Satin Sheets King Size – 4 Piece Luxury Silky Bed Set, Softer Than Silk, 15" Deep Pocket, Cooling &amp; Wrinkle-Free, Moisture-Wicking &amp; Breathable for Hair &amp; Skin (Striped Grey)</t>
        </is>
      </c>
      <c r="E55" s="32" t="inlineStr">
        <is>
          <t>King</t>
        </is>
      </c>
      <c r="F55" s="32" t="inlineStr">
        <is>
          <t>Striped Grey</t>
        </is>
      </c>
      <c r="G55" s="60" t="n">
        <v>35.95</v>
      </c>
      <c r="H55" s="32" t="inlineStr">
        <is>
          <t>Helium 10 Xray, 2026-10-13</t>
        </is>
      </c>
      <c r="I55" s="61" t="n">
        <v>35.95</v>
      </c>
      <c r="J55" s="62" t="inlineStr">
        <is>
          <t>2026-03-30</t>
        </is>
      </c>
      <c r="K55" s="33" t="n">
        <v>10.47</v>
      </c>
      <c r="L55" s="63" t="n">
        <v>0.2912378303198888</v>
      </c>
      <c r="M55" s="64" t="n">
        <v>7</v>
      </c>
      <c r="N55" s="32" t="inlineStr">
        <is>
          <t>Active</t>
        </is>
      </c>
      <c r="O55" s="32" t="n"/>
      <c r="P55" s="65" t="n">
        <v>4.4</v>
      </c>
      <c r="Q55" s="64" t="n">
        <v>1080</v>
      </c>
      <c r="R55" s="64" t="n">
        <v>28101</v>
      </c>
      <c r="S55" s="64" t="n">
        <v>2</v>
      </c>
      <c r="T55" s="32" t="n"/>
    </row>
    <row r="56" ht="62" customHeight="1">
      <c r="A56" s="10">
        <f>_xlfn.IMAGE("https://m.media-amazon.com/images/I/81bZ3S4CehL.jpg")</f>
        <v/>
      </c>
      <c r="B56" s="32" t="inlineStr">
        <is>
          <t>B0DDR4V4XB</t>
        </is>
      </c>
      <c r="C56" s="32" t="inlineStr">
        <is>
          <t>SS-SATIN-TAUPE-QUEEN-4PCS</t>
        </is>
      </c>
      <c r="D56" s="32" t="inlineStr">
        <is>
          <t>SLEEP SANCTUARY Satin Sheets Queen Size – 4 Piece Luxury Silky Bed Set, Softer Than Silk, 15" Deep Pocket, Cooling &amp; Wrinkle-Free, Moisture-Wicking &amp; Breathable for Hair &amp; Skin (Taupe)</t>
        </is>
      </c>
      <c r="E56" s="32" t="inlineStr">
        <is>
          <t>Queen</t>
        </is>
      </c>
      <c r="F56" s="32" t="inlineStr">
        <is>
          <t>Taupe</t>
        </is>
      </c>
      <c r="G56" s="60" t="n">
        <v>36.95</v>
      </c>
      <c r="H56" s="32" t="inlineStr">
        <is>
          <t>Helium 10 Xray, 2026-10-13</t>
        </is>
      </c>
      <c r="I56" s="61" t="n">
        <v>39.95</v>
      </c>
      <c r="J56" s="62" t="inlineStr">
        <is>
          <t>2026-03-30</t>
        </is>
      </c>
      <c r="K56" s="33" t="n">
        <v>16.97</v>
      </c>
      <c r="L56" s="63" t="n">
        <v>0.4247809762202754</v>
      </c>
      <c r="M56" s="64" t="n">
        <v>7</v>
      </c>
      <c r="N56" s="32" t="inlineStr">
        <is>
          <t>Active</t>
        </is>
      </c>
      <c r="O56" s="32" t="n"/>
      <c r="P56" s="65" t="n">
        <v>4.4</v>
      </c>
      <c r="Q56" s="64" t="n">
        <v>1080</v>
      </c>
      <c r="R56" s="64" t="n">
        <v>28101</v>
      </c>
      <c r="S56" s="64" t="n">
        <v>7</v>
      </c>
      <c r="T56" s="32" t="n"/>
    </row>
    <row r="57" ht="62" customHeight="1">
      <c r="A57" s="10">
        <f>_xlfn.IMAGE("https://m.media-amazon.com/images/I/81qEq06R1GL.jpg")</f>
        <v/>
      </c>
      <c r="B57" s="32" t="inlineStr">
        <is>
          <t>B0DDR4HJCS</t>
        </is>
      </c>
      <c r="C57" s="32" t="inlineStr">
        <is>
          <t>SS-SATIN-BABY-BLUE-FULL-4PCS</t>
        </is>
      </c>
      <c r="D57" s="32" t="inlineStr">
        <is>
          <t>SLEEP SANCTUARY Satin Sheets Full Size – 4 Piece Luxury Silky Bed Set, Softer Than Silk, 15" Deep Pocket, Cooling &amp; Wrinkle-Free, Moisture-Wicking &amp; Breathable for Hair &amp; Skin (Baby Blue)</t>
        </is>
      </c>
      <c r="E57" s="32" t="inlineStr">
        <is>
          <t>Full</t>
        </is>
      </c>
      <c r="F57" s="32" t="inlineStr">
        <is>
          <t>Baby Blue</t>
        </is>
      </c>
      <c r="G57" s="60" t="n">
        <v>31.95</v>
      </c>
      <c r="H57" s="32" t="inlineStr">
        <is>
          <t>Helium 10 Xray, 2026-10-13</t>
        </is>
      </c>
      <c r="I57" s="61" t="n">
        <v>31.95</v>
      </c>
      <c r="J57" s="62" t="inlineStr">
        <is>
          <t>2026-03-30</t>
        </is>
      </c>
      <c r="K57" s="33" t="n">
        <v>10.71</v>
      </c>
      <c r="L57" s="63" t="n">
        <v>0.3352112676056337</v>
      </c>
      <c r="M57" s="64" t="n">
        <v>6</v>
      </c>
      <c r="N57" s="32" t="inlineStr">
        <is>
          <t>Active</t>
        </is>
      </c>
      <c r="O57" s="32" t="n"/>
      <c r="P57" s="65" t="n">
        <v>4.4</v>
      </c>
      <c r="Q57" s="64" t="n">
        <v>1080</v>
      </c>
      <c r="R57" s="64" t="n">
        <v>28101</v>
      </c>
      <c r="S57" s="64" t="n">
        <v>8</v>
      </c>
      <c r="T57" s="32" t="n"/>
    </row>
    <row r="58" ht="62" customHeight="1">
      <c r="A58" s="10">
        <f>_xlfn.IMAGE("https://m.media-amazon.com/images/I/81AE8h7l4-L.jpg")</f>
        <v/>
      </c>
      <c r="B58" s="32" t="inlineStr">
        <is>
          <t>B0DDR6LYLX</t>
        </is>
      </c>
      <c r="C58" s="32" t="inlineStr">
        <is>
          <t>SS-SATIN-GOLD-FULL-4PCS</t>
        </is>
      </c>
      <c r="D58" s="32" t="inlineStr">
        <is>
          <t>SLEEP SANCTUARY Satin Sheets Full Size – 4 Piece Luxury Silky Bed Set, Softer Than Silk, 15" Deep Pocket, Cooling &amp; Wrinkle-Free, Moisture-Wicking &amp; Breathable for Hair &amp; Skin (Gold)</t>
        </is>
      </c>
      <c r="E58" s="32" t="inlineStr">
        <is>
          <t>Full</t>
        </is>
      </c>
      <c r="F58" s="32" t="inlineStr">
        <is>
          <t>Gold</t>
        </is>
      </c>
      <c r="G58" s="60" t="n">
        <v>29.95</v>
      </c>
      <c r="H58" s="32" t="inlineStr">
        <is>
          <t>Helium 10 Xray, 2026-10-13</t>
        </is>
      </c>
      <c r="I58" s="61" t="n">
        <v>31.95</v>
      </c>
      <c r="J58" s="62" t="inlineStr">
        <is>
          <t>2026-03-30</t>
        </is>
      </c>
      <c r="K58" s="33" t="n">
        <v>9.469999999999999</v>
      </c>
      <c r="L58" s="63" t="n">
        <v>0.2964006259780907</v>
      </c>
      <c r="M58" s="64" t="n">
        <v>6</v>
      </c>
      <c r="N58" s="32" t="inlineStr">
        <is>
          <t>Active</t>
        </is>
      </c>
      <c r="O58" s="32" t="n"/>
      <c r="P58" s="65" t="n">
        <v>4.4</v>
      </c>
      <c r="Q58" s="64" t="n">
        <v>1080</v>
      </c>
      <c r="R58" s="64" t="n">
        <v>28101</v>
      </c>
      <c r="S58" s="64" t="n">
        <v>7</v>
      </c>
      <c r="T58" s="32" t="n"/>
    </row>
    <row r="59" ht="62" customHeight="1">
      <c r="A59" s="10">
        <f>_xlfn.IMAGE("https://m.media-amazon.com/images/I/81eHsiCwxyL.jpg")</f>
        <v/>
      </c>
      <c r="B59" s="32" t="inlineStr">
        <is>
          <t>B0DDRNZ8YM</t>
        </is>
      </c>
      <c r="C59" s="32" t="inlineStr">
        <is>
          <t>SS-SATIN-IVORY-FULL-4PCS</t>
        </is>
      </c>
      <c r="D59" s="32" t="inlineStr">
        <is>
          <t>SLEEP SANCTUARY Satin Sheets Full Size – 4 Piece Luxury Silky Bed Set, Softer Than Silk, 15" Deep Pocket, Cooling &amp; Wrinkle-Free, Moisture-Wicking &amp; Breathable for Hair &amp; Skin (Ivory)</t>
        </is>
      </c>
      <c r="E59" s="32" t="inlineStr">
        <is>
          <t>Full</t>
        </is>
      </c>
      <c r="F59" s="32" t="inlineStr">
        <is>
          <t>Ivory</t>
        </is>
      </c>
      <c r="G59" s="60" t="n">
        <v>31.95</v>
      </c>
      <c r="H59" s="32" t="inlineStr">
        <is>
          <t>Helium 10 Xray, 2026-10-13</t>
        </is>
      </c>
      <c r="I59" s="61" t="n">
        <v>31.95</v>
      </c>
      <c r="J59" s="62" t="inlineStr">
        <is>
          <t>2026-03-30</t>
        </is>
      </c>
      <c r="K59" s="33" t="n">
        <v>10.99</v>
      </c>
      <c r="L59" s="63" t="n">
        <v>0.3439749608763694</v>
      </c>
      <c r="M59" s="64" t="n">
        <v>6</v>
      </c>
      <c r="N59" s="32" t="inlineStr">
        <is>
          <t>Active</t>
        </is>
      </c>
      <c r="O59" s="32" t="n"/>
      <c r="P59" s="65" t="n">
        <v>4.4</v>
      </c>
      <c r="Q59" s="64" t="n">
        <v>1080</v>
      </c>
      <c r="R59" s="64" t="n">
        <v>28101</v>
      </c>
      <c r="S59" s="64" t="n">
        <v>5</v>
      </c>
      <c r="T59" s="32" t="n"/>
    </row>
    <row r="60" ht="62" customHeight="1">
      <c r="A60" s="10">
        <f>_xlfn.IMAGE("https://m.media-amazon.com/images/I/81c0TeFW0bL.jpg")</f>
        <v/>
      </c>
      <c r="B60" s="32" t="inlineStr">
        <is>
          <t>B0DDQXKZK7</t>
        </is>
      </c>
      <c r="C60" s="32" t="inlineStr">
        <is>
          <t>SS-SATIN-STRIPED-GOLD-KING-4PCS</t>
        </is>
      </c>
      <c r="D60" s="32" t="inlineStr">
        <is>
          <t>SLEEP SANCTUARY Satin Sheets King Size – 4 Piece Luxury Silky Bed Set, Softer Than Silk, 15" Deep Pocket, Cooling &amp; Wrinkle-Free, Moisture-Wicking &amp; Breathable for Hair &amp; Skin (Striped Gold)</t>
        </is>
      </c>
      <c r="E60" s="32" t="inlineStr">
        <is>
          <t>King</t>
        </is>
      </c>
      <c r="F60" s="32" t="inlineStr">
        <is>
          <t>Striped Gold</t>
        </is>
      </c>
      <c r="G60" s="60" t="n">
        <v>35.95</v>
      </c>
      <c r="H60" s="32" t="inlineStr">
        <is>
          <t>Helium 10 Xray, 2026-10-13</t>
        </is>
      </c>
      <c r="I60" s="61" t="n">
        <v>41.95</v>
      </c>
      <c r="J60" s="62" t="inlineStr">
        <is>
          <t>2026-03-30</t>
        </is>
      </c>
      <c r="K60" s="33" t="n">
        <v>16.5</v>
      </c>
      <c r="L60" s="63" t="n">
        <v>0.3933253873659119</v>
      </c>
      <c r="M60" s="64" t="n">
        <v>6</v>
      </c>
      <c r="N60" s="32" t="inlineStr">
        <is>
          <t>Active</t>
        </is>
      </c>
      <c r="O60" s="32" t="n"/>
      <c r="P60" s="65" t="n">
        <v>4.4</v>
      </c>
      <c r="Q60" s="64" t="n">
        <v>1080</v>
      </c>
      <c r="R60" s="64" t="n">
        <v>28109</v>
      </c>
      <c r="S60" s="64" t="n">
        <v>4</v>
      </c>
      <c r="T60" s="32" t="n"/>
    </row>
    <row r="61" ht="62" customHeight="1">
      <c r="A61" s="10">
        <f>_xlfn.IMAGE("https://m.media-amazon.com/images/I/81z9M9loqlL.jpg")</f>
        <v/>
      </c>
      <c r="B61" s="32" t="inlineStr">
        <is>
          <t>B0DDRFSGVJ</t>
        </is>
      </c>
      <c r="C61" s="32" t="inlineStr">
        <is>
          <t>SS-SATIN-PURPLE-TWIN-3PCS</t>
        </is>
      </c>
      <c r="D61" s="32" t="inlineStr">
        <is>
          <t>SLEEP SANCTUARY Satin Sheets Twin Size – 3 Piece Luxury Silky Bed Set, Softer Than Silk, 15" Deep Pocket, Cooling &amp; Wrinkle-Free, Moisture-Wicking &amp; Breathable for Hair &amp; Skin (Purple)</t>
        </is>
      </c>
      <c r="E61" s="32" t="inlineStr">
        <is>
          <t>Twin</t>
        </is>
      </c>
      <c r="F61" s="32" t="inlineStr">
        <is>
          <t>Purple</t>
        </is>
      </c>
      <c r="G61" s="60" t="n">
        <v>29.95</v>
      </c>
      <c r="H61" s="32" t="inlineStr">
        <is>
          <t>Helium 10 Xray, 2026-10-13</t>
        </is>
      </c>
      <c r="I61" s="61" t="n">
        <v>34.95</v>
      </c>
      <c r="J61" s="62" t="inlineStr">
        <is>
          <t>2026-03-30</t>
        </is>
      </c>
      <c r="K61" s="33" t="n">
        <v>15.39</v>
      </c>
      <c r="L61" s="63" t="n">
        <v>0.4403433476394849</v>
      </c>
      <c r="M61" s="64" t="n">
        <v>6</v>
      </c>
      <c r="N61" s="32" t="inlineStr">
        <is>
          <t>Active</t>
        </is>
      </c>
      <c r="O61" s="32" t="n"/>
      <c r="P61" s="65" t="n">
        <v>4.4</v>
      </c>
      <c r="Q61" s="64" t="n">
        <v>1080</v>
      </c>
      <c r="R61" s="64" t="n">
        <v>28101</v>
      </c>
      <c r="S61" s="64" t="n">
        <v>9</v>
      </c>
      <c r="T61" s="32" t="n"/>
    </row>
    <row r="62" ht="62" customHeight="1">
      <c r="A62" s="10">
        <f>_xlfn.IMAGE("https://m.media-amazon.com/images/I/81J3uOru1eL.jpg")</f>
        <v/>
      </c>
      <c r="B62" s="32" t="inlineStr">
        <is>
          <t>B0DDRDWVK1</t>
        </is>
      </c>
      <c r="C62" s="32" t="inlineStr">
        <is>
          <t>SS-SATIN-DARK-GREEN-TWIN-3PCS</t>
        </is>
      </c>
      <c r="D62" s="32" t="inlineStr">
        <is>
          <t>SLEEP SANCTUARY Satin Sheets Twin Size – 3 Piece Luxury Silky Bed Set, Softer Than Silk, 15" Deep Pocket, Cooling &amp; Wrinkle-Free, Moisture-Wicking &amp; Breathable for Hair &amp; Skin (Dark Green)</t>
        </is>
      </c>
      <c r="E62" s="32" t="inlineStr">
        <is>
          <t>Twin</t>
        </is>
      </c>
      <c r="F62" s="32" t="inlineStr">
        <is>
          <t>Dark Green</t>
        </is>
      </c>
      <c r="G62" s="60" t="n">
        <v>29.95</v>
      </c>
      <c r="H62" s="32" t="inlineStr">
        <is>
          <t>Helium 10 Xray, 2026-10-13</t>
        </is>
      </c>
      <c r="I62" s="61" t="n">
        <v>34.95</v>
      </c>
      <c r="J62" s="62" t="inlineStr">
        <is>
          <t>2026-03-30</t>
        </is>
      </c>
      <c r="K62" s="33" t="n">
        <v>16.63</v>
      </c>
      <c r="L62" s="63" t="n">
        <v>0.4758226037195993</v>
      </c>
      <c r="M62" s="64" t="n">
        <v>5</v>
      </c>
      <c r="N62" s="32" t="inlineStr">
        <is>
          <t>Active</t>
        </is>
      </c>
      <c r="O62" s="32" t="n"/>
      <c r="P62" s="65" t="n">
        <v>4.4</v>
      </c>
      <c r="Q62" s="64" t="n">
        <v>1080</v>
      </c>
      <c r="R62" s="64" t="n">
        <v>28101</v>
      </c>
      <c r="S62" s="64" t="n">
        <v>10</v>
      </c>
      <c r="T62" s="32" t="n"/>
    </row>
    <row r="63" ht="62" customHeight="1">
      <c r="A63" s="10">
        <f>_xlfn.IMAGE("https://m.media-amazon.com/images/I/81XKFWjDgKL.jpg")</f>
        <v/>
      </c>
      <c r="B63" s="32" t="inlineStr">
        <is>
          <t>B0DDRC2CDX</t>
        </is>
      </c>
      <c r="C63" s="32" t="inlineStr">
        <is>
          <t>SS-SATIN-PINK-TWIN-3PCS</t>
        </is>
      </c>
      <c r="D63" s="32" t="inlineStr">
        <is>
          <t>SLEEP SANCTUARY Satin Sheets Twin Size – 3 Piece Luxury Silky Bed Set, Softer Than Silk, 15" Deep Pocket, Cooling &amp; Wrinkle-Free, Moisture-Wicking &amp; Breathable for Hair &amp; Skin (Pink)</t>
        </is>
      </c>
      <c r="E63" s="32" t="inlineStr">
        <is>
          <t>Twin</t>
        </is>
      </c>
      <c r="F63" s="32" t="inlineStr">
        <is>
          <t>Pink</t>
        </is>
      </c>
      <c r="G63" s="60" t="n">
        <v>29.95</v>
      </c>
      <c r="H63" s="32" t="inlineStr">
        <is>
          <t>Helium 10 Xray, 2026-10-13</t>
        </is>
      </c>
      <c r="I63" s="61" t="n">
        <v>29.95</v>
      </c>
      <c r="J63" s="62" t="inlineStr">
        <is>
          <t>2026-03-30</t>
        </is>
      </c>
      <c r="K63" s="33" t="n">
        <v>11.5</v>
      </c>
      <c r="L63" s="63" t="n">
        <v>0.3839732888146912</v>
      </c>
      <c r="M63" s="64" t="n">
        <v>5</v>
      </c>
      <c r="N63" s="32" t="inlineStr">
        <is>
          <t>Active</t>
        </is>
      </c>
      <c r="O63" s="32" t="n"/>
      <c r="P63" s="65" t="n">
        <v>4.4</v>
      </c>
      <c r="Q63" s="64" t="n">
        <v>1080</v>
      </c>
      <c r="R63" s="64" t="n">
        <v>28101</v>
      </c>
      <c r="S63" s="64" t="n">
        <v>10</v>
      </c>
      <c r="T63" s="32" t="n"/>
    </row>
    <row r="64" ht="62" customHeight="1">
      <c r="A64" s="10">
        <f>_xlfn.IMAGE("https://m.media-amazon.com/images/I/81n6eJJsrGL.jpg")</f>
        <v/>
      </c>
      <c r="B64" s="32" t="inlineStr">
        <is>
          <t>B0DDRCZN9J</t>
        </is>
      </c>
      <c r="C64" s="32" t="inlineStr">
        <is>
          <t>SS-SATIN-RED-FULL-4PCS</t>
        </is>
      </c>
      <c r="D64" s="32" t="inlineStr">
        <is>
          <t>SLEEP SANCTUARY Satin Sheets Full Size – 4 Piece Luxury Silky Bed Set, Softer Than Silk, 15" Deep Pocket, Cooling &amp; Wrinkle-Free, Moisture-Wicking &amp; Breathable for Hair &amp; Skin (Red)</t>
        </is>
      </c>
      <c r="E64" s="32" t="inlineStr">
        <is>
          <t>Full</t>
        </is>
      </c>
      <c r="F64" s="32" t="inlineStr">
        <is>
          <t>Red</t>
        </is>
      </c>
      <c r="G64" s="60" t="n">
        <v>31.95</v>
      </c>
      <c r="H64" s="32" t="inlineStr">
        <is>
          <t>Helium 10 Xray, 2026-10-13</t>
        </is>
      </c>
      <c r="I64" s="61" t="n">
        <v>37.95</v>
      </c>
      <c r="J64" s="62" t="inlineStr">
        <is>
          <t>2026-03-30</t>
        </is>
      </c>
      <c r="K64" s="33" t="n">
        <v>17.04000000000001</v>
      </c>
      <c r="L64" s="63" t="n">
        <v>0.44901185770751</v>
      </c>
      <c r="M64" s="64" t="n">
        <v>4</v>
      </c>
      <c r="N64" s="32" t="inlineStr">
        <is>
          <t>Active</t>
        </is>
      </c>
      <c r="O64" s="32" t="n"/>
      <c r="P64" s="65" t="n">
        <v>4.4</v>
      </c>
      <c r="Q64" s="64" t="n">
        <v>1080</v>
      </c>
      <c r="R64" s="64" t="n">
        <v>28101</v>
      </c>
      <c r="S64" s="64" t="n">
        <v>6</v>
      </c>
      <c r="T64" s="32" t="n"/>
    </row>
    <row r="65" ht="62" customHeight="1">
      <c r="A65" s="10">
        <f>_xlfn.IMAGE("https://m.media-amazon.com/images/I/81iohyoFldL.jpg")</f>
        <v/>
      </c>
      <c r="B65" s="32" t="inlineStr">
        <is>
          <t>B0DDRF2M6S</t>
        </is>
      </c>
      <c r="C65" s="32" t="inlineStr">
        <is>
          <t>SS-SATIN-SAGE-GREEN-FULL-4PCS</t>
        </is>
      </c>
      <c r="D65" s="32" t="inlineStr">
        <is>
          <t>SLEEP SANCTUARY Satin Sheets Full Size – 4 Piece Luxury Silky Bed Set, Softer Than Silk, 15" Deep Pocket, Cooling &amp; Wrinkle-Free, Moisture-Wicking &amp; Breathable for Hair &amp; Skin (Sage Green)</t>
        </is>
      </c>
      <c r="E65" s="32" t="inlineStr">
        <is>
          <t>Full</t>
        </is>
      </c>
      <c r="F65" s="32" t="inlineStr">
        <is>
          <t>Sage Green</t>
        </is>
      </c>
      <c r="G65" s="60" t="n">
        <v>29.95</v>
      </c>
      <c r="H65" s="32" t="inlineStr">
        <is>
          <t>Helium 10 Xray, 2026-10-13</t>
        </is>
      </c>
      <c r="I65" s="61" t="n">
        <v>37.95</v>
      </c>
      <c r="J65" s="62" t="inlineStr">
        <is>
          <t>2026-03-30</t>
        </is>
      </c>
      <c r="K65" s="33" t="n">
        <v>15.19</v>
      </c>
      <c r="L65" s="63" t="n">
        <v>0.4002635046113309</v>
      </c>
      <c r="M65" s="64" t="n">
        <v>4</v>
      </c>
      <c r="N65" s="32" t="inlineStr">
        <is>
          <t>Active</t>
        </is>
      </c>
      <c r="O65" s="32" t="n"/>
      <c r="P65" s="65" t="n">
        <v>4.4</v>
      </c>
      <c r="Q65" s="64" t="n">
        <v>1080</v>
      </c>
      <c r="R65" s="64" t="n">
        <v>28101</v>
      </c>
      <c r="S65" s="64" t="n">
        <v>9</v>
      </c>
      <c r="T65" s="32" t="n"/>
    </row>
    <row r="66" ht="62" customHeight="1">
      <c r="A66" s="10">
        <f>_xlfn.IMAGE("https://m.media-amazon.com/images/I/81jL7DOnYOL.jpg")</f>
        <v/>
      </c>
      <c r="B66" s="32" t="inlineStr">
        <is>
          <t>B0DDR3M171</t>
        </is>
      </c>
      <c r="C66" s="32" t="inlineStr">
        <is>
          <t>SS-SATIN-STRIPED-BLUE-QUEEN-4PCS</t>
        </is>
      </c>
      <c r="D66" s="32" t="inlineStr">
        <is>
          <t>SLEEP SANCTUARY Satin Sheets Queen Size – 4 Piece Luxury Silky Bed Set, Softer Than Silk, 15" Deep Pocket, Cooling &amp; Wrinkle-Free, Moisture-Wicking &amp; Breathable for Hair &amp; Skin (Striped Blue)</t>
        </is>
      </c>
      <c r="E66" s="32" t="inlineStr">
        <is>
          <t>Queen</t>
        </is>
      </c>
      <c r="F66" s="32" t="inlineStr">
        <is>
          <t>Striped Blue</t>
        </is>
      </c>
      <c r="G66" s="60" t="n">
        <v>33.95</v>
      </c>
      <c r="H66" s="32" t="inlineStr">
        <is>
          <t>Helium 10 Xray, 2026-10-13</t>
        </is>
      </c>
      <c r="I66" s="61" t="n">
        <v>33.95</v>
      </c>
      <c r="J66" s="62" t="inlineStr">
        <is>
          <t>2026-03-30</t>
        </is>
      </c>
      <c r="K66" s="33" t="n">
        <v>10.61</v>
      </c>
      <c r="L66" s="63" t="n">
        <v>0.312518409425626</v>
      </c>
      <c r="M66" s="64" t="n">
        <v>4</v>
      </c>
      <c r="N66" s="32" t="inlineStr">
        <is>
          <t>Active</t>
        </is>
      </c>
      <c r="O66" s="32" t="n"/>
      <c r="P66" s="65" t="n">
        <v>4.4</v>
      </c>
      <c r="Q66" s="64" t="n">
        <v>1080</v>
      </c>
      <c r="R66" s="64" t="n">
        <v>28101</v>
      </c>
      <c r="S66" s="64" t="n">
        <v>4</v>
      </c>
      <c r="T66" s="32" t="n"/>
    </row>
    <row r="67" ht="62" customHeight="1">
      <c r="A67" s="10">
        <f>_xlfn.IMAGE("https://m.media-amazon.com/images/I/81ScJDSQPTL.jpg")</f>
        <v/>
      </c>
      <c r="B67" s="32" t="inlineStr">
        <is>
          <t>B0DDRM24KV</t>
        </is>
      </c>
      <c r="C67" s="32" t="inlineStr">
        <is>
          <t>SS-SATIN-BLUSH-PINK-TWIN-3PCS</t>
        </is>
      </c>
      <c r="D67" s="32" t="inlineStr">
        <is>
          <t>SLEEP SANCTUARY Satin Sheets Twin Size – 3 Piece Luxury Silky Bed Set, Softer Than Silk, 15" Deep Pocket, Cooling &amp; Wrinkle-Free, Moisture-Wicking &amp; Breathable for Hair &amp; Skin (Blush Pink)</t>
        </is>
      </c>
      <c r="E67" s="32" t="inlineStr">
        <is>
          <t>Twin</t>
        </is>
      </c>
      <c r="F67" s="32" t="inlineStr">
        <is>
          <t>Blush Pink</t>
        </is>
      </c>
      <c r="G67" s="60" t="n">
        <v>29.95</v>
      </c>
      <c r="H67" s="32" t="inlineStr">
        <is>
          <t>Helium 10 Xray, 2026-10-13</t>
        </is>
      </c>
      <c r="I67" s="61" t="n">
        <v>29.95</v>
      </c>
      <c r="J67" s="62" t="inlineStr">
        <is>
          <t>2026-03-30</t>
        </is>
      </c>
      <c r="K67" s="33" t="n">
        <v>10.49</v>
      </c>
      <c r="L67" s="63" t="n">
        <v>0.3502504173622705</v>
      </c>
      <c r="M67" s="64" t="n">
        <v>4</v>
      </c>
      <c r="N67" s="32" t="inlineStr">
        <is>
          <t>Active</t>
        </is>
      </c>
      <c r="O67" s="32" t="n"/>
      <c r="P67" s="65" t="n">
        <v>4.4</v>
      </c>
      <c r="Q67" s="64" t="n">
        <v>1080</v>
      </c>
      <c r="R67" s="64" t="n">
        <v>28109</v>
      </c>
      <c r="S67" s="64" t="n">
        <v>9</v>
      </c>
      <c r="T67" s="32" t="n"/>
    </row>
    <row r="68" ht="62" customHeight="1">
      <c r="A68" s="10">
        <f>_xlfn.IMAGE("https://m.media-amazon.com/images/I/81cPOSHJh1L.jpg")</f>
        <v/>
      </c>
      <c r="B68" s="32" t="inlineStr">
        <is>
          <t>B0DDQQ83Y4</t>
        </is>
      </c>
      <c r="C68" s="32" t="inlineStr">
        <is>
          <t>SS-SATIN-BURNT-ORANGE-FULL-4PCS</t>
        </is>
      </c>
      <c r="D68" s="32" t="inlineStr">
        <is>
          <t>SLEEP SANCTUARY Satin Sheets Full Size – 4 Piece Luxury Silky Bed Set, Softer Than Silk, 15" Deep Pocket, Cooling &amp; Wrinkle-Free, Moisture-Wicking &amp; Breathable for Hair &amp; Skin (Burnt Orange)</t>
        </is>
      </c>
      <c r="E68" s="32" t="inlineStr">
        <is>
          <t>Full</t>
        </is>
      </c>
      <c r="F68" s="32" t="inlineStr">
        <is>
          <t>Burnt Orange</t>
        </is>
      </c>
      <c r="G68" s="60" t="n">
        <v>29.95</v>
      </c>
      <c r="H68" s="32" t="inlineStr">
        <is>
          <t>Helium 10 Xray, 2026-10-13</t>
        </is>
      </c>
      <c r="I68" s="61" t="n">
        <v>31.95</v>
      </c>
      <c r="J68" s="62" t="inlineStr">
        <is>
          <t>2026-03-30</t>
        </is>
      </c>
      <c r="K68" s="33" t="n">
        <v>10.16</v>
      </c>
      <c r="L68" s="63" t="n">
        <v>0.3179968701095461</v>
      </c>
      <c r="M68" s="64" t="n">
        <v>3</v>
      </c>
      <c r="N68" s="32" t="inlineStr">
        <is>
          <t>Active</t>
        </is>
      </c>
      <c r="O68" s="32" t="n"/>
      <c r="P68" s="65" t="n">
        <v>4.4</v>
      </c>
      <c r="Q68" s="64" t="n">
        <v>1080</v>
      </c>
      <c r="R68" s="64" t="n">
        <v>28101</v>
      </c>
      <c r="S68" s="64" t="n">
        <v>6</v>
      </c>
      <c r="T68" s="32" t="n"/>
    </row>
    <row r="69" ht="62" customHeight="1">
      <c r="A69" s="10">
        <f>_xlfn.IMAGE("https://m.media-amazon.com/images/I/817pb6oL4YL.jpg")</f>
        <v/>
      </c>
      <c r="B69" s="32" t="inlineStr">
        <is>
          <t>B0DDR5CHW7</t>
        </is>
      </c>
      <c r="C69" s="32" t="inlineStr">
        <is>
          <t>SS-SATIN-CHAMPAGNE-FULL-4PCS</t>
        </is>
      </c>
      <c r="D69" s="32" t="inlineStr">
        <is>
          <t>SLEEP SANCTUARY Satin Sheets Full Size – 4 Piece Luxury Silky Bed Set, Softer Than Silk, 15" Deep Pocket, Cooling &amp; Wrinkle-Free, Moisture-Wicking &amp; Breathable for Hair &amp; Skin (Champagne)</t>
        </is>
      </c>
      <c r="E69" s="32" t="inlineStr">
        <is>
          <t>Full</t>
        </is>
      </c>
      <c r="F69" s="32" t="inlineStr">
        <is>
          <t>Champagne</t>
        </is>
      </c>
      <c r="G69" s="60" t="n">
        <v>29.95</v>
      </c>
      <c r="H69" s="32" t="inlineStr">
        <is>
          <t>Helium 10 Xray, 2026-10-13</t>
        </is>
      </c>
      <c r="I69" s="61" t="n">
        <v>33.95</v>
      </c>
      <c r="J69" s="62" t="inlineStr">
        <is>
          <t>2026-03-30</t>
        </is>
      </c>
      <c r="K69" s="33" t="n">
        <v>12.98</v>
      </c>
      <c r="L69" s="63" t="n">
        <v>0.3823269513991164</v>
      </c>
      <c r="M69" s="64" t="n">
        <v>3</v>
      </c>
      <c r="N69" s="32" t="inlineStr">
        <is>
          <t>Active</t>
        </is>
      </c>
      <c r="O69" s="32" t="n"/>
      <c r="P69" s="65" t="n">
        <v>4.4</v>
      </c>
      <c r="Q69" s="64" t="n">
        <v>1080</v>
      </c>
      <c r="R69" s="64" t="n">
        <v>28101</v>
      </c>
      <c r="S69" s="64" t="n">
        <v>7</v>
      </c>
      <c r="T69" s="32" t="n"/>
    </row>
    <row r="70" ht="62" customHeight="1">
      <c r="A70" s="10">
        <f>_xlfn.IMAGE("https://m.media-amazon.com/images/I/81oQ5+OPoZL.jpg")</f>
        <v/>
      </c>
      <c r="B70" s="32" t="inlineStr">
        <is>
          <t>B0DDRKMZ6G</t>
        </is>
      </c>
      <c r="C70" s="32" t="inlineStr">
        <is>
          <t>SS-SATIN-STRIPED-PINK-FULL-4PCS</t>
        </is>
      </c>
      <c r="D70" s="32" t="inlineStr">
        <is>
          <t>SLEEP SANCTUARY Satin Sheets Full Size – 4 Piece Luxury Silky Bed Set, Softer Than Silk, 15" Deep Pocket, Cooling &amp; Wrinkle-Free, Moisture-Wicking &amp; Breathable for Hair &amp; Skin (Striped Pink)</t>
        </is>
      </c>
      <c r="E70" s="32" t="inlineStr">
        <is>
          <t>Full</t>
        </is>
      </c>
      <c r="F70" s="32" t="inlineStr">
        <is>
          <t>Striped Pink</t>
        </is>
      </c>
      <c r="G70" s="60" t="n">
        <v>31.95</v>
      </c>
      <c r="H70" s="32" t="inlineStr">
        <is>
          <t>Helium 10 Xray, 2026-10-13</t>
        </is>
      </c>
      <c r="I70" s="61" t="n">
        <v>37.95</v>
      </c>
      <c r="J70" s="62" t="inlineStr">
        <is>
          <t>2026-03-30</t>
        </is>
      </c>
      <c r="K70" s="33" t="n">
        <v>15.98000000000001</v>
      </c>
      <c r="L70" s="63" t="n">
        <v>0.421080368906456</v>
      </c>
      <c r="M70" s="64" t="n">
        <v>3</v>
      </c>
      <c r="N70" s="32" t="inlineStr">
        <is>
          <t>Active</t>
        </is>
      </c>
      <c r="O70" s="32" t="n"/>
      <c r="P70" s="65" t="n">
        <v>4.4</v>
      </c>
      <c r="Q70" s="64" t="n">
        <v>1080</v>
      </c>
      <c r="R70" s="64" t="n">
        <v>28101</v>
      </c>
      <c r="S70" s="64" t="n">
        <v>6</v>
      </c>
      <c r="T70" s="32" t="n"/>
    </row>
    <row r="71" ht="62" customHeight="1">
      <c r="A71" s="10">
        <f>_xlfn.IMAGE("https://m.media-amazon.com/images/I/81kpdyyPYWL.jpg")</f>
        <v/>
      </c>
      <c r="B71" s="32" t="inlineStr">
        <is>
          <t>B0DDR3SX2D</t>
        </is>
      </c>
      <c r="C71" s="32" t="inlineStr">
        <is>
          <t>SS-SATIN-LAVENDER-TWIN-3PCS</t>
        </is>
      </c>
      <c r="D71" s="32" t="inlineStr">
        <is>
          <t>SLEEP SANCTUARY Satin Sheets Twin Size – 3 Piece Luxury Silky Bed Set, Softer Than Silk, 15" Deep Pocket, Cooling &amp; Wrinkle-Free, Moisture-Wicking &amp; Breathable for Hair &amp; Skin (Lavender)</t>
        </is>
      </c>
      <c r="E71" s="32" t="inlineStr">
        <is>
          <t>Twin</t>
        </is>
      </c>
      <c r="F71" s="32" t="inlineStr">
        <is>
          <t>Lavender</t>
        </is>
      </c>
      <c r="G71" s="60" t="n">
        <v>37.95</v>
      </c>
      <c r="H71" s="32" t="inlineStr">
        <is>
          <t>Helium 10 Xray, 2026-10-13</t>
        </is>
      </c>
      <c r="I71" s="61" t="n">
        <v>35.95</v>
      </c>
      <c r="J71" s="62" t="inlineStr">
        <is>
          <t>2026-03-30</t>
        </is>
      </c>
      <c r="K71" s="33" t="n">
        <v>17.08</v>
      </c>
      <c r="L71" s="63" t="n">
        <v>0.4751043115438109</v>
      </c>
      <c r="M71" s="64" t="n">
        <v>3</v>
      </c>
      <c r="N71" s="32" t="inlineStr">
        <is>
          <t>Active</t>
        </is>
      </c>
      <c r="O71" s="32" t="n"/>
      <c r="P71" s="65" t="n">
        <v>4.4</v>
      </c>
      <c r="Q71" s="64" t="n">
        <v>1080</v>
      </c>
      <c r="R71" s="64" t="n">
        <v>28101</v>
      </c>
      <c r="S71" s="64" t="n">
        <v>2</v>
      </c>
      <c r="T71" s="32" t="n"/>
    </row>
    <row r="72" ht="62" customHeight="1">
      <c r="A72" s="10">
        <f>_xlfn.IMAGE("https://m.media-amazon.com/images/I/81i0u4Y+8uL.jpg")</f>
        <v/>
      </c>
      <c r="B72" s="32" t="inlineStr">
        <is>
          <t>B0DDR154D4</t>
        </is>
      </c>
      <c r="C72" s="32" t="inlineStr">
        <is>
          <t>SS-SATIN-SAGE-GREEN-TWIN-3PCS</t>
        </is>
      </c>
      <c r="D72" s="32" t="inlineStr">
        <is>
          <t>SLEEP SANCTUARY Satin Sheets Twin Size – 3 Piece Luxury Silky Bed Set, Softer Than Silk, 15" Deep Pocket, Cooling &amp; Wrinkle-Free, Moisture-Wicking &amp; Breathable for Hair &amp; Skin (Sage Green)</t>
        </is>
      </c>
      <c r="E72" s="32" t="inlineStr">
        <is>
          <t>Twin</t>
        </is>
      </c>
      <c r="F72" s="32" t="inlineStr">
        <is>
          <t>Sage Green</t>
        </is>
      </c>
      <c r="G72" s="60" t="n">
        <v>29.95</v>
      </c>
      <c r="H72" s="32" t="inlineStr">
        <is>
          <t>Helium 10 Xray, 2026-10-13</t>
        </is>
      </c>
      <c r="I72" s="61" t="n">
        <v>35.95</v>
      </c>
      <c r="J72" s="62" t="inlineStr">
        <is>
          <t>2026-03-30</t>
        </is>
      </c>
      <c r="K72" s="33" t="n">
        <v>17.06</v>
      </c>
      <c r="L72" s="63" t="n">
        <v>0.474547983310153</v>
      </c>
      <c r="M72" s="64" t="n">
        <v>3</v>
      </c>
      <c r="N72" s="32" t="inlineStr">
        <is>
          <t>Active</t>
        </is>
      </c>
      <c r="O72" s="32" t="n"/>
      <c r="P72" s="65" t="n">
        <v>4.4</v>
      </c>
      <c r="Q72" s="64" t="n">
        <v>1080</v>
      </c>
      <c r="R72" s="64" t="n">
        <v>28101</v>
      </c>
      <c r="S72" s="64" t="n">
        <v>10</v>
      </c>
      <c r="T72" s="32" t="n"/>
    </row>
    <row r="73" ht="62" customHeight="1">
      <c r="A73" s="10">
        <f>_xlfn.IMAGE("https://m.media-amazon.com/images/I/81B6BzVilhL.jpg")</f>
        <v/>
      </c>
      <c r="B73" s="32" t="inlineStr">
        <is>
          <t>B0DDR2CP9X</t>
        </is>
      </c>
      <c r="C73" s="32" t="inlineStr">
        <is>
          <t>SS-SATIN-SEA-TEAL-TWIN-3PCS</t>
        </is>
      </c>
      <c r="D73" s="32" t="inlineStr">
        <is>
          <t>SLEEP SANCTUARY Satin Sheets Twin Size – 3 Piece Luxury Silky Bed Set, Softer Than Silk, 15" Deep Pocket, Cooling &amp; Wrinkle-Free, Moisture-Wicking &amp; Breathable for Hair &amp; Skin (Sea Teal)</t>
        </is>
      </c>
      <c r="E73" s="32" t="inlineStr">
        <is>
          <t>Twin</t>
        </is>
      </c>
      <c r="F73" s="32" t="inlineStr">
        <is>
          <t>Sea Teal</t>
        </is>
      </c>
      <c r="G73" s="60" t="n">
        <v>29.95</v>
      </c>
      <c r="H73" s="32" t="inlineStr">
        <is>
          <t>Helium 10 Xray, 2026-10-13</t>
        </is>
      </c>
      <c r="I73" s="61" t="n">
        <v>31.95</v>
      </c>
      <c r="J73" s="62" t="inlineStr">
        <is>
          <t>2026-03-30</t>
        </is>
      </c>
      <c r="K73" s="33" t="n">
        <v>12.39</v>
      </c>
      <c r="L73" s="63" t="n">
        <v>0.3877934272300469</v>
      </c>
      <c r="M73" s="64" t="n">
        <v>3</v>
      </c>
      <c r="N73" s="32" t="inlineStr">
        <is>
          <t>Active</t>
        </is>
      </c>
      <c r="O73" s="32" t="n"/>
      <c r="P73" s="65" t="n">
        <v>4.4</v>
      </c>
      <c r="Q73" s="64" t="n">
        <v>1080</v>
      </c>
      <c r="R73" s="64" t="n">
        <v>28101</v>
      </c>
      <c r="S73" s="64" t="n">
        <v>12</v>
      </c>
      <c r="T73" s="32" t="n"/>
    </row>
    <row r="74" ht="62" customHeight="1">
      <c r="A74" s="10">
        <f>_xlfn.IMAGE("https://m.media-amazon.com/images/I/81XJl86kBiL.jpg")</f>
        <v/>
      </c>
      <c r="B74" s="32" t="inlineStr">
        <is>
          <t>B0DDR7SDNH</t>
        </is>
      </c>
      <c r="C74" s="32" t="inlineStr">
        <is>
          <t>SS-SATIN-TAUPE-TWIN-3PCS</t>
        </is>
      </c>
      <c r="D74" s="32" t="inlineStr">
        <is>
          <t>SLEEP SANCTUARY Satin Sheets Twin Size – 3 Piece Luxury Silky Bed Set, Softer Than Silk, 15" Deep Pocket, Cooling &amp; Wrinkle-Free, Moisture-Wicking &amp; Breathable for Hair &amp; Skin (Taupe)</t>
        </is>
      </c>
      <c r="E74" s="32" t="inlineStr">
        <is>
          <t>Twin</t>
        </is>
      </c>
      <c r="F74" s="32" t="inlineStr">
        <is>
          <t>Taupe</t>
        </is>
      </c>
      <c r="G74" s="60" t="n">
        <v>29.95</v>
      </c>
      <c r="H74" s="32" t="inlineStr">
        <is>
          <t>Helium 10 Xray, 2026-10-13</t>
        </is>
      </c>
      <c r="I74" s="61" t="n">
        <v>34.95</v>
      </c>
      <c r="J74" s="62" t="inlineStr">
        <is>
          <t>2026-03-30</t>
        </is>
      </c>
      <c r="K74" s="33" t="n">
        <v>15.42</v>
      </c>
      <c r="L74" s="63" t="n">
        <v>0.4412017167381974</v>
      </c>
      <c r="M74" s="64" t="n">
        <v>3</v>
      </c>
      <c r="N74" s="32" t="inlineStr">
        <is>
          <t>Active</t>
        </is>
      </c>
      <c r="O74" s="32" t="n"/>
      <c r="P74" s="65" t="n">
        <v>4.4</v>
      </c>
      <c r="Q74" s="64" t="n">
        <v>1080</v>
      </c>
      <c r="R74" s="64" t="n">
        <v>28101</v>
      </c>
      <c r="S74" s="64" t="n">
        <v>8</v>
      </c>
      <c r="T74" s="32" t="n"/>
    </row>
    <row r="75" ht="62" customHeight="1">
      <c r="A75" s="10">
        <f>_xlfn.IMAGE("https://m.media-amazon.com/images/I/818RX-kt6VL.jpg")</f>
        <v/>
      </c>
      <c r="B75" s="32" t="inlineStr">
        <is>
          <t>B0DDQTZ8NT</t>
        </is>
      </c>
      <c r="C75" s="32" t="inlineStr">
        <is>
          <t>SS-SATIN-WHITE-TWIN-3PCS</t>
        </is>
      </c>
      <c r="D75" s="32" t="inlineStr">
        <is>
          <t>SLEEP SANCTUARY Satin Sheets Twin Size – 3 Piece Luxury Silky Bed Set, Softer Than Silk, 15" Deep Pocket, Cooling &amp; Wrinkle-Free, Moisture-Wicking &amp; Breathable for Hair &amp; Skin (White)</t>
        </is>
      </c>
      <c r="E75" s="32" t="inlineStr">
        <is>
          <t>Twin</t>
        </is>
      </c>
      <c r="F75" s="32" t="inlineStr">
        <is>
          <t>White</t>
        </is>
      </c>
      <c r="G75" s="60" t="n">
        <v>29.95</v>
      </c>
      <c r="H75" s="32" t="inlineStr">
        <is>
          <t>Helium 10 Xray, 2026-10-13</t>
        </is>
      </c>
      <c r="I75" s="61" t="n">
        <v>35.95</v>
      </c>
      <c r="J75" s="62" t="inlineStr">
        <is>
          <t>2026-03-30</t>
        </is>
      </c>
      <c r="K75" s="33" t="n">
        <v>17.15</v>
      </c>
      <c r="L75" s="63" t="n">
        <v>0.4770514603616134</v>
      </c>
      <c r="M75" s="64" t="n">
        <v>3</v>
      </c>
      <c r="N75" s="32" t="inlineStr">
        <is>
          <t>Active</t>
        </is>
      </c>
      <c r="O75" s="32" t="n"/>
      <c r="P75" s="65" t="n">
        <v>4.4</v>
      </c>
      <c r="Q75" s="64" t="n">
        <v>1080</v>
      </c>
      <c r="R75" s="64" t="n">
        <v>28101</v>
      </c>
      <c r="S75" s="64" t="n">
        <v>19</v>
      </c>
      <c r="T75" s="32" t="n"/>
    </row>
    <row r="76" ht="62" customHeight="1">
      <c r="A76" s="10">
        <f>_xlfn.IMAGE("https://m.media-amazon.com/images/I/81UIBGaUe6L.jpg")</f>
        <v/>
      </c>
      <c r="B76" s="32" t="inlineStr">
        <is>
          <t>B0DDR28N8X</t>
        </is>
      </c>
      <c r="C76" s="32" t="inlineStr">
        <is>
          <t>SS-SATIN-BLUE-FULL-4PCS</t>
        </is>
      </c>
      <c r="D76" s="32" t="inlineStr">
        <is>
          <t>SLEEP SANCTUARY Satin Sheets Full Size – 4 Piece Luxury Silky Bed Set, Softer Than Silk, 15" Deep Pocket, Cooling &amp; Wrinkle-Free, Moisture-Wicking &amp; Breathable for Hair &amp; Skin (Blue)</t>
        </is>
      </c>
      <c r="E76" s="32" t="inlineStr">
        <is>
          <t>Full</t>
        </is>
      </c>
      <c r="F76" s="32" t="inlineStr">
        <is>
          <t>Blue</t>
        </is>
      </c>
      <c r="G76" s="60" t="n">
        <v>31.95</v>
      </c>
      <c r="H76" s="32" t="inlineStr">
        <is>
          <t>Helium 10 Xray, 2026-10-13</t>
        </is>
      </c>
      <c r="I76" s="61" t="n">
        <v>31.95</v>
      </c>
      <c r="J76" s="62" t="inlineStr">
        <is>
          <t>2026-03-30</t>
        </is>
      </c>
      <c r="K76" s="33" t="n">
        <v>10.26</v>
      </c>
      <c r="L76" s="63" t="n">
        <v>0.3211267605633802</v>
      </c>
      <c r="M76" s="64" t="n">
        <v>2</v>
      </c>
      <c r="N76" s="32" t="inlineStr">
        <is>
          <t>Active</t>
        </is>
      </c>
      <c r="O76" s="32" t="n"/>
      <c r="P76" s="65" t="n">
        <v>4.4</v>
      </c>
      <c r="Q76" s="64" t="n">
        <v>1080</v>
      </c>
      <c r="R76" s="64" t="n">
        <v>28109</v>
      </c>
      <c r="S76" s="64" t="n">
        <v>6</v>
      </c>
      <c r="T76" s="32" t="n"/>
    </row>
    <row r="77" ht="62" customHeight="1">
      <c r="A77" s="10">
        <f>_xlfn.IMAGE("https://m.media-amazon.com/images/I/81T7uFbjFiL.jpg")</f>
        <v/>
      </c>
      <c r="B77" s="32" t="inlineStr">
        <is>
          <t>B0DDRDR4F8</t>
        </is>
      </c>
      <c r="C77" s="32" t="inlineStr">
        <is>
          <t>SS-SATIN-SEA-TEAL-FULL-4PCS</t>
        </is>
      </c>
      <c r="D77" s="32" t="inlineStr">
        <is>
          <t>SLEEP SANCTUARY Satin Sheets Full Size – 4 Piece Luxury Silky Bed Set, Softer Than Silk, 15" Deep Pocket, Cooling &amp; Wrinkle-Free, Moisture-Wicking &amp; Breathable for Hair &amp; Skin (Sea Teal)</t>
        </is>
      </c>
      <c r="E77" s="32" t="inlineStr">
        <is>
          <t>Full</t>
        </is>
      </c>
      <c r="F77" s="32" t="inlineStr">
        <is>
          <t>Sea Teal</t>
        </is>
      </c>
      <c r="G77" s="60" t="n">
        <v>31.95</v>
      </c>
      <c r="H77" s="32" t="inlineStr">
        <is>
          <t>Helium 10 Xray, 2026-10-13</t>
        </is>
      </c>
      <c r="I77" s="61" t="n">
        <v>31.95</v>
      </c>
      <c r="J77" s="62" t="inlineStr">
        <is>
          <t>2026-03-30</t>
        </is>
      </c>
      <c r="K77" s="33" t="n">
        <v>10.17</v>
      </c>
      <c r="L77" s="63" t="n">
        <v>0.3183098591549295</v>
      </c>
      <c r="M77" s="64" t="n">
        <v>2</v>
      </c>
      <c r="N77" s="32" t="inlineStr">
        <is>
          <t>Active</t>
        </is>
      </c>
      <c r="O77" s="32" t="n"/>
      <c r="P77" s="65" t="n">
        <v>4.4</v>
      </c>
      <c r="Q77" s="64" t="n">
        <v>1080</v>
      </c>
      <c r="R77" s="64" t="n">
        <v>28101</v>
      </c>
      <c r="S77" s="64" t="n">
        <v>6</v>
      </c>
      <c r="T77" s="32" t="n"/>
    </row>
    <row r="78" ht="62" customHeight="1">
      <c r="A78" s="10">
        <f>_xlfn.IMAGE("https://m.media-amazon.com/images/I/81EuG0SlLvL.jpg")</f>
        <v/>
      </c>
      <c r="B78" s="32" t="inlineStr">
        <is>
          <t>B0DDRKF8FG</t>
        </is>
      </c>
      <c r="C78" s="32" t="inlineStr">
        <is>
          <t>SS-SATIN-STRIPED-GREY-FULL-4PCS</t>
        </is>
      </c>
      <c r="D78" s="32" t="inlineStr">
        <is>
          <t>SLEEP SANCTUARY Satin Sheets Full Size – 4 Piece Luxury Silky Bed Set, Softer Than Silk, 15" Deep Pocket, Cooling &amp; Wrinkle-Free, Moisture-Wicking &amp; Breathable for Hair &amp; Skin (Striped Grey)</t>
        </is>
      </c>
      <c r="E78" s="32" t="inlineStr">
        <is>
          <t>Full</t>
        </is>
      </c>
      <c r="F78" s="32" t="inlineStr">
        <is>
          <t>Striped Grey</t>
        </is>
      </c>
      <c r="G78" s="60" t="n">
        <v>31.95</v>
      </c>
      <c r="H78" s="32" t="inlineStr">
        <is>
          <t>SellerBoard listing price, 2026-10-14</t>
        </is>
      </c>
      <c r="I78" s="61" t="n">
        <v>31.95</v>
      </c>
      <c r="J78" s="62" t="inlineStr">
        <is>
          <t>2026-03-30</t>
        </is>
      </c>
      <c r="K78" s="33" t="n">
        <v>10.12</v>
      </c>
      <c r="L78" s="63" t="n">
        <v>0.3167449139280125</v>
      </c>
      <c r="M78" s="64" t="n">
        <v>2</v>
      </c>
      <c r="N78" s="32" t="inlineStr">
        <is>
          <t>Active</t>
        </is>
      </c>
      <c r="O78" s="32" t="n"/>
      <c r="P78" s="65" t="n"/>
      <c r="Q78" s="64" t="n"/>
      <c r="R78" s="64" t="n"/>
      <c r="S78" s="64" t="n"/>
      <c r="T78" s="32" t="n"/>
    </row>
    <row r="79" ht="62" customHeight="1">
      <c r="A79" s="10">
        <f>_xlfn.IMAGE("https://m.media-amazon.com/images/I/815aPoY4IYL.jpg")</f>
        <v/>
      </c>
      <c r="B79" s="32" t="inlineStr">
        <is>
          <t>B0DDQXMHHQ</t>
        </is>
      </c>
      <c r="C79" s="32" t="inlineStr">
        <is>
          <t>SS-SATIN-STRIPED-PURPLE-FULL-4PCS</t>
        </is>
      </c>
      <c r="D79" s="32" t="inlineStr">
        <is>
          <t>SLEEP SANCTUARY Satin Sheets Full Size – 4 Piece Luxury Silky Bed Set, Softer Than Silk, 15" Deep Pocket, Cooling &amp; Wrinkle-Free, Moisture-Wicking &amp; Breathable for Hair &amp; Skin (Striped Purple)</t>
        </is>
      </c>
      <c r="E79" s="32" t="inlineStr">
        <is>
          <t>Full</t>
        </is>
      </c>
      <c r="F79" s="32" t="inlineStr">
        <is>
          <t>Striped Purple</t>
        </is>
      </c>
      <c r="G79" s="60" t="n">
        <v>31.95</v>
      </c>
      <c r="H79" s="32" t="inlineStr">
        <is>
          <t>Helium 10 Xray, 2026-10-13</t>
        </is>
      </c>
      <c r="I79" s="61" t="n">
        <v>33.95</v>
      </c>
      <c r="J79" s="62" t="inlineStr">
        <is>
          <t>2026-03-30</t>
        </is>
      </c>
      <c r="K79" s="33" t="n">
        <v>12.56</v>
      </c>
      <c r="L79" s="63" t="n">
        <v>0.3699558173784978</v>
      </c>
      <c r="M79" s="64" t="n">
        <v>2</v>
      </c>
      <c r="N79" s="32" t="inlineStr">
        <is>
          <t>Active</t>
        </is>
      </c>
      <c r="O79" s="32" t="n"/>
      <c r="P79" s="65" t="n">
        <v>4.4</v>
      </c>
      <c r="Q79" s="64" t="n">
        <v>1080</v>
      </c>
      <c r="R79" s="64" t="n">
        <v>28101</v>
      </c>
      <c r="S79" s="64" t="n">
        <v>5</v>
      </c>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60" t="n">
        <v>35.95</v>
      </c>
      <c r="H80" s="32" t="inlineStr">
        <is>
          <t>Helium 10 Xray, 2026-10-13</t>
        </is>
      </c>
      <c r="I80" s="61" t="n">
        <v>41.95</v>
      </c>
      <c r="J80" s="62" t="inlineStr">
        <is>
          <t>2026-03-30</t>
        </is>
      </c>
      <c r="K80" s="33" t="n">
        <v>15.41</v>
      </c>
      <c r="L80" s="63" t="n">
        <v>0.3673420738974971</v>
      </c>
      <c r="M80" s="64" t="n">
        <v>2</v>
      </c>
      <c r="N80" s="32" t="inlineStr">
        <is>
          <t>Active</t>
        </is>
      </c>
      <c r="O80" s="32" t="n"/>
      <c r="P80" s="65" t="n">
        <v>4.4</v>
      </c>
      <c r="Q80" s="64" t="n">
        <v>1080</v>
      </c>
      <c r="R80" s="64" t="n">
        <v>28109</v>
      </c>
      <c r="S80" s="64" t="n">
        <v>4</v>
      </c>
      <c r="T80" s="32" t="n"/>
    </row>
    <row r="81" ht="62" customHeight="1">
      <c r="A81" s="10">
        <f>_xlfn.IMAGE("https://m.media-amazon.com/images/I/817pb6oL4YL.jpg")</f>
        <v/>
      </c>
      <c r="B81" s="32" t="inlineStr">
        <is>
          <t>B0DDR1YLCM</t>
        </is>
      </c>
      <c r="C81" s="32" t="inlineStr">
        <is>
          <t>SS-SATIN-CHAMPAGNE-QUEEN-4PCS</t>
        </is>
      </c>
      <c r="D81" s="32" t="inlineStr">
        <is>
          <t>SLEEP SANCTUARY Satin Sheets Queen Size – 4 Piece Luxury Silky Bed Set, Softer Than Silk, 15" Deep Pocket, Cooling &amp; Wrinkle-Free, Moisture-Wicking &amp; Breathable for Hair &amp; Skin (Champagne)</t>
        </is>
      </c>
      <c r="E81" s="32" t="inlineStr">
        <is>
          <t>Queen</t>
        </is>
      </c>
      <c r="F81" s="32" t="inlineStr">
        <is>
          <t>Champagne</t>
        </is>
      </c>
      <c r="G81" s="60" t="n">
        <v>33.95</v>
      </c>
      <c r="H81" s="32" t="inlineStr">
        <is>
          <t>Helium 10 Xray, 2026-10-13</t>
        </is>
      </c>
      <c r="I81" s="61" t="n">
        <v>39.95</v>
      </c>
      <c r="J81" s="62" t="inlineStr">
        <is>
          <t>2026-03-30</t>
        </is>
      </c>
      <c r="K81" s="33" t="n">
        <v>17.35</v>
      </c>
      <c r="L81" s="63" t="n">
        <v>0.4342928660826033</v>
      </c>
      <c r="M81" s="64" t="n">
        <v>2</v>
      </c>
      <c r="N81" s="32" t="inlineStr">
        <is>
          <t>Active</t>
        </is>
      </c>
      <c r="O81" s="32" t="n"/>
      <c r="P81" s="65" t="n">
        <v>4.4</v>
      </c>
      <c r="Q81" s="64" t="n">
        <v>1080</v>
      </c>
      <c r="R81" s="64" t="n">
        <v>28101</v>
      </c>
      <c r="S81" s="64" t="n">
        <v>3</v>
      </c>
      <c r="T81" s="32" t="n"/>
    </row>
    <row r="82" ht="62" customHeight="1">
      <c r="A82" s="10">
        <f>_xlfn.IMAGE("https://m.media-amazon.com/images/I/81+JI5+UtKL.jpg")</f>
        <v/>
      </c>
      <c r="B82" s="32" t="inlineStr">
        <is>
          <t>B0DDR15FTY</t>
        </is>
      </c>
      <c r="C82" s="32" t="inlineStr">
        <is>
          <t>SS-SATIN-GOLD-TWIN-3PCS</t>
        </is>
      </c>
      <c r="D82" s="32" t="inlineStr">
        <is>
          <t>SLEEP SANCTUARY Satin Sheets Twin Size – 3 Piece Luxury Silky Bed Set, Softer Than Silk, 15" Deep Pocket, Cooling &amp; Wrinkle-Free, Moisture-Wicking &amp; Breathable for Hair &amp; Skin (Gold)</t>
        </is>
      </c>
      <c r="E82" s="32" t="inlineStr">
        <is>
          <t>Twin</t>
        </is>
      </c>
      <c r="F82" s="32" t="inlineStr">
        <is>
          <t>Gold</t>
        </is>
      </c>
      <c r="G82" s="60" t="n">
        <v>29.95</v>
      </c>
      <c r="H82" s="32" t="inlineStr">
        <is>
          <t>Helium 10 Xray, 2026-10-13</t>
        </is>
      </c>
      <c r="I82" s="61" t="n">
        <v>27.95</v>
      </c>
      <c r="J82" s="62" t="inlineStr">
        <is>
          <t>2026-03-30</t>
        </is>
      </c>
      <c r="K82" s="33" t="n">
        <v>8.909999999999997</v>
      </c>
      <c r="L82" s="63" t="n">
        <v>0.3187835420393559</v>
      </c>
      <c r="M82" s="64" t="n">
        <v>2</v>
      </c>
      <c r="N82" s="32" t="inlineStr">
        <is>
          <t>Active</t>
        </is>
      </c>
      <c r="O82" s="32" t="n"/>
      <c r="P82" s="65" t="n">
        <v>4.4</v>
      </c>
      <c r="Q82" s="64" t="n">
        <v>1080</v>
      </c>
      <c r="R82" s="64" t="n">
        <v>28101</v>
      </c>
      <c r="S82" s="64" t="n">
        <v>10</v>
      </c>
      <c r="T82" s="32" t="n"/>
    </row>
    <row r="83" ht="62" customHeight="1">
      <c r="A83" s="10">
        <f>_xlfn.IMAGE("https://m.media-amazon.com/images/I/81TG-RmUYiL.jpg")</f>
        <v/>
      </c>
      <c r="B83" s="32" t="inlineStr">
        <is>
          <t>B0DDRDYFFX</t>
        </is>
      </c>
      <c r="C83" s="32" t="inlineStr">
        <is>
          <t>SS-SATIN-GREY-TWIN-3PCS</t>
        </is>
      </c>
      <c r="D83" s="32" t="inlineStr">
        <is>
          <t>SLEEP SANCTUARY Satin Sheets Twin Size – 3 Piece Luxury Silky Bed Set, Softer Than Silk, 15" Deep Pocket, Cooling &amp; Wrinkle-Free, Moisture-Wicking &amp; Breathable for Hair &amp; Skin (Grey)</t>
        </is>
      </c>
      <c r="E83" s="32" t="inlineStr">
        <is>
          <t>Twin</t>
        </is>
      </c>
      <c r="F83" s="32" t="inlineStr">
        <is>
          <t>Grey</t>
        </is>
      </c>
      <c r="G83" s="60" t="n">
        <v>29.95</v>
      </c>
      <c r="H83" s="32" t="inlineStr">
        <is>
          <t>Helium 10 Xray, 2026-10-13</t>
        </is>
      </c>
      <c r="I83" s="61" t="n">
        <v>35.95</v>
      </c>
      <c r="J83" s="62" t="inlineStr">
        <is>
          <t>2026-03-30</t>
        </is>
      </c>
      <c r="K83" s="33" t="n">
        <v>16.26</v>
      </c>
      <c r="L83" s="63" t="n">
        <v>0.4522948539638387</v>
      </c>
      <c r="M83" s="64" t="n">
        <v>2</v>
      </c>
      <c r="N83" s="32" t="inlineStr">
        <is>
          <t>Active</t>
        </is>
      </c>
      <c r="O83" s="32" t="n"/>
      <c r="P83" s="65" t="n">
        <v>4.4</v>
      </c>
      <c r="Q83" s="64" t="n">
        <v>1080</v>
      </c>
      <c r="R83" s="64" t="n">
        <v>28109</v>
      </c>
      <c r="S83" s="64" t="n">
        <v>7</v>
      </c>
      <c r="T83" s="32" t="n"/>
    </row>
    <row r="84" ht="62" customHeight="1">
      <c r="A84" s="10">
        <f>_xlfn.IMAGE("https://m.media-amazon.com/images/I/81ZPG1HQdFL.jpg")</f>
        <v/>
      </c>
      <c r="B84" s="32" t="inlineStr">
        <is>
          <t>B0DDR4QMK1</t>
        </is>
      </c>
      <c r="C84" s="32" t="inlineStr">
        <is>
          <t>SS-SATIN-IVORY-TWIN-3PCS</t>
        </is>
      </c>
      <c r="D84" s="32" t="inlineStr">
        <is>
          <t>SLEEP SANCTUARY Satin Sheets Twin Size – 3 Piece Luxury Silky Bed Set, Softer Than Silk, 15" Deep Pocket, Cooling &amp; Wrinkle-Free, Moisture-Wicking &amp; Breathable for Hair &amp; Skin (Ivory)</t>
        </is>
      </c>
      <c r="E84" s="32" t="inlineStr">
        <is>
          <t>Twin</t>
        </is>
      </c>
      <c r="F84" s="32" t="inlineStr">
        <is>
          <t>Ivory</t>
        </is>
      </c>
      <c r="G84" s="60" t="n">
        <v>29.95</v>
      </c>
      <c r="H84" s="32" t="inlineStr">
        <is>
          <t>Helium 10 Xray, 2026-10-13</t>
        </is>
      </c>
      <c r="I84" s="61" t="n">
        <v>29.95</v>
      </c>
      <c r="J84" s="62" t="inlineStr">
        <is>
          <t>2026-03-30</t>
        </is>
      </c>
      <c r="K84" s="33" t="n">
        <v>11.34</v>
      </c>
      <c r="L84" s="63" t="n">
        <v>0.3786310517529216</v>
      </c>
      <c r="M84" s="64" t="n">
        <v>2</v>
      </c>
      <c r="N84" s="32" t="inlineStr">
        <is>
          <t>Active</t>
        </is>
      </c>
      <c r="O84" s="32" t="n"/>
      <c r="P84" s="65" t="n">
        <v>4.4</v>
      </c>
      <c r="Q84" s="64" t="n">
        <v>1080</v>
      </c>
      <c r="R84" s="64" t="n">
        <v>28101</v>
      </c>
      <c r="S84" s="64" t="n">
        <v>11</v>
      </c>
      <c r="T84" s="32" t="n"/>
    </row>
    <row r="85" ht="62" customHeight="1">
      <c r="A85" s="10">
        <f>_xlfn.IMAGE("https://m.media-amazon.com/images/I/81f-0l1G1jL.jpg")</f>
        <v/>
      </c>
      <c r="B85" s="32" t="inlineStr">
        <is>
          <t>B0DDR95C35</t>
        </is>
      </c>
      <c r="C85" s="32" t="inlineStr">
        <is>
          <t>SS-SATIN-NAVY-BLUE-TWIN-3PCS</t>
        </is>
      </c>
      <c r="D85" s="32" t="inlineStr">
        <is>
          <t>SLEEP SANCTUARY Satin Sheets Twin Size – 3 Piece Luxury Silky Bed Set, Softer Than Silk, 15" Deep Pocket, Cooling &amp; Wrinkle-Free, Moisture-Wicking &amp; Breathable for Hair &amp; Skin (Navy Blue)</t>
        </is>
      </c>
      <c r="E85" s="32" t="inlineStr">
        <is>
          <t>Twin</t>
        </is>
      </c>
      <c r="F85" s="32" t="inlineStr">
        <is>
          <t>Navy Blue</t>
        </is>
      </c>
      <c r="G85" s="60" t="n">
        <v>31.95</v>
      </c>
      <c r="H85" s="32" t="inlineStr">
        <is>
          <t>Helium 10 Xray, 2026-10-13</t>
        </is>
      </c>
      <c r="I85" s="61" t="n">
        <v>31.95</v>
      </c>
      <c r="J85" s="62" t="inlineStr">
        <is>
          <t>2026-03-30</t>
        </is>
      </c>
      <c r="K85" s="33" t="n">
        <v>13.54</v>
      </c>
      <c r="L85" s="63" t="n">
        <v>0.4237871674491394</v>
      </c>
      <c r="M85" s="64" t="n">
        <v>2</v>
      </c>
      <c r="N85" s="32" t="inlineStr">
        <is>
          <t>Active</t>
        </is>
      </c>
      <c r="O85" s="32" t="n"/>
      <c r="P85" s="65" t="n">
        <v>4.4</v>
      </c>
      <c r="Q85" s="64" t="n">
        <v>1080</v>
      </c>
      <c r="R85" s="64" t="n">
        <v>28101</v>
      </c>
      <c r="S85" s="64" t="n">
        <v>8</v>
      </c>
      <c r="T85" s="32" t="n"/>
    </row>
    <row r="86" ht="62" customHeight="1">
      <c r="A86" s="10">
        <f>_xlfn.IMAGE("https://m.media-amazon.com/images/I/81VzFs1NSBL.jpg")</f>
        <v/>
      </c>
      <c r="B86" s="32" t="inlineStr">
        <is>
          <t>B0DDQX418B</t>
        </is>
      </c>
      <c r="C86" s="32" t="inlineStr">
        <is>
          <t>SS-SATIN-STRIPED-PINK-TWIN-3PCS</t>
        </is>
      </c>
      <c r="D86" s="32" t="inlineStr">
        <is>
          <t>SLEEP SANCTUARY Satin Sheets Twin Size – 3 Piece Luxury Silky Bed Set, Softer Than Silk, 15" Deep Pocket, Cooling &amp; Wrinkle-Free, Moisture-Wicking &amp; Breathable for Hair &amp; Skin (Striped Pink)</t>
        </is>
      </c>
      <c r="E86" s="32" t="inlineStr">
        <is>
          <t>Twin</t>
        </is>
      </c>
      <c r="F86" s="32" t="inlineStr">
        <is>
          <t>Striped Pink</t>
        </is>
      </c>
      <c r="G86" s="60" t="n">
        <v>29.95</v>
      </c>
      <c r="H86" s="32" t="inlineStr">
        <is>
          <t>Helium 10 Xray, 2026-10-13</t>
        </is>
      </c>
      <c r="I86" s="61" t="n">
        <v>31.95</v>
      </c>
      <c r="J86" s="62" t="inlineStr">
        <is>
          <t>2026-03-30</t>
        </is>
      </c>
      <c r="K86" s="33" t="n">
        <v>11.96</v>
      </c>
      <c r="L86" s="63" t="n">
        <v>0.3743348982785603</v>
      </c>
      <c r="M86" s="64" t="n">
        <v>2</v>
      </c>
      <c r="N86" s="32" t="inlineStr">
        <is>
          <t>Active</t>
        </is>
      </c>
      <c r="O86" s="32" t="n"/>
      <c r="P86" s="65" t="n">
        <v>4.4</v>
      </c>
      <c r="Q86" s="64" t="n">
        <v>1080</v>
      </c>
      <c r="R86" s="64" t="n">
        <v>28101</v>
      </c>
      <c r="S86" s="64" t="n">
        <v>11</v>
      </c>
      <c r="T86" s="32" t="n"/>
    </row>
    <row r="87" ht="62" customHeight="1">
      <c r="A87" s="10">
        <f>_xlfn.IMAGE("https://m.media-amazon.com/images/I/81vHqIiWdYL.jpg")</f>
        <v/>
      </c>
      <c r="B87" s="32" t="inlineStr">
        <is>
          <t>B0DDRNYF9Q</t>
        </is>
      </c>
      <c r="C87" s="32" t="inlineStr">
        <is>
          <t>SS-SATIN-ROSEWOOD-FULL-4PCS</t>
        </is>
      </c>
      <c r="D87" s="32" t="inlineStr">
        <is>
          <t>SLEEP SANCTUARY Satin Sheets Full Size – 4 Piece Luxury Silky Bed Set, Softer Than Silk, 15" Deep Pocket, Cooling &amp; Wrinkle-Free, Moisture-Wicking &amp; Breathable for Hair &amp; Skin (Rosewood)</t>
        </is>
      </c>
      <c r="E87" s="32" t="inlineStr">
        <is>
          <t>Full</t>
        </is>
      </c>
      <c r="F87" s="32" t="inlineStr">
        <is>
          <t>Rosewood</t>
        </is>
      </c>
      <c r="G87" s="60" t="n">
        <v>31.95</v>
      </c>
      <c r="H87" s="32" t="inlineStr">
        <is>
          <t>SellerBoard listing price, 2026-10-14</t>
        </is>
      </c>
      <c r="I87" s="61" t="n">
        <v>37.95</v>
      </c>
      <c r="J87" s="62" t="inlineStr">
        <is>
          <t>2026-03-30</t>
        </is>
      </c>
      <c r="K87" s="33" t="n">
        <v>15.37000000000001</v>
      </c>
      <c r="L87" s="63" t="n">
        <v>0.4050065876152834</v>
      </c>
      <c r="M87" s="64" t="n">
        <v>1</v>
      </c>
      <c r="N87" s="32" t="inlineStr">
        <is>
          <t>Inactive</t>
        </is>
      </c>
      <c r="O87" s="32" t="n"/>
      <c r="P87" s="65" t="n"/>
      <c r="Q87" s="64" t="n"/>
      <c r="R87" s="64" t="n"/>
      <c r="S87" s="64" t="n"/>
      <c r="T87" s="32" t="n"/>
    </row>
    <row r="88" ht="62" customHeight="1">
      <c r="A88" s="10">
        <f>_xlfn.IMAGE("https://m.media-amazon.com/images/I/81P2Ae6R78L.jpg")</f>
        <v/>
      </c>
      <c r="B88" s="32" t="inlineStr">
        <is>
          <t>B0DDR9TM21</t>
        </is>
      </c>
      <c r="C88" s="32" t="inlineStr">
        <is>
          <t>SS-SATIN-STRIPED-RED-FULL-4PCS</t>
        </is>
      </c>
      <c r="D88" s="32" t="inlineStr">
        <is>
          <t>SLEEP SANCTUARY Satin Sheets Full Size – 4 Piece Luxury Silky Bed Set, Softer Than Silk, 15" Deep Pocket, Cooling &amp; Wrinkle-Free, Moisture-Wicking &amp; Breathable for Hair &amp; Skin (Striped Red)</t>
        </is>
      </c>
      <c r="E88" s="32" t="inlineStr">
        <is>
          <t>Full</t>
        </is>
      </c>
      <c r="F88" s="32" t="inlineStr">
        <is>
          <t>Striped Red</t>
        </is>
      </c>
      <c r="G88" s="60" t="n">
        <v>31.95</v>
      </c>
      <c r="H88" s="32" t="inlineStr">
        <is>
          <t>Helium 10 Xray, 2026-10-13</t>
        </is>
      </c>
      <c r="I88" s="61" t="n">
        <v>37.95</v>
      </c>
      <c r="J88" s="62" t="inlineStr">
        <is>
          <t>2026-03-30</t>
        </is>
      </c>
      <c r="K88" s="33" t="n">
        <v>15.22</v>
      </c>
      <c r="L88" s="63" t="n">
        <v>0.4010540184453228</v>
      </c>
      <c r="M88" s="64" t="n">
        <v>1</v>
      </c>
      <c r="N88" s="32" t="inlineStr">
        <is>
          <t>Active</t>
        </is>
      </c>
      <c r="O88" s="32" t="n"/>
      <c r="P88" s="65" t="n">
        <v>4.4</v>
      </c>
      <c r="Q88" s="64" t="n">
        <v>1080</v>
      </c>
      <c r="R88" s="64" t="n">
        <v>28101</v>
      </c>
      <c r="S88" s="64" t="n">
        <v>6</v>
      </c>
      <c r="T88" s="32" t="n"/>
    </row>
    <row r="89" ht="62" customHeight="1">
      <c r="A89" s="10">
        <f>_xlfn.IMAGE("https://m.media-amazon.com/images/I/81qEq06R1GL.jpg")</f>
        <v/>
      </c>
      <c r="B89" s="32" t="inlineStr">
        <is>
          <t>B0DDRKVH9Q</t>
        </is>
      </c>
      <c r="C89" s="32" t="inlineStr">
        <is>
          <t>SS-SATIN-BLACK-KING-4PCS</t>
        </is>
      </c>
      <c r="D89" s="32" t="inlineStr">
        <is>
          <t>SLEEP SANCTUARY Satin Sheets King Size – 4 Piece Luxury Silky Bed Set, Softer Than Silk, 15" Deep Pocket, Cooling &amp; Wrinkle-Free, Moisture-Wicking &amp; Breathable for Hair &amp; Skin (Black)</t>
        </is>
      </c>
      <c r="E89" s="32" t="inlineStr">
        <is>
          <t>King</t>
        </is>
      </c>
      <c r="F89" s="32" t="inlineStr">
        <is>
          <t>Black</t>
        </is>
      </c>
      <c r="G89" s="60" t="n">
        <v>35.95</v>
      </c>
      <c r="H89" s="32" t="inlineStr">
        <is>
          <t>SellerBoard listing price, 2026-10-14</t>
        </is>
      </c>
      <c r="I89" s="61" t="n">
        <v>35.95</v>
      </c>
      <c r="J89" s="62" t="inlineStr">
        <is>
          <t>2026-03-30</t>
        </is>
      </c>
      <c r="K89" s="33" t="n">
        <v>12.6</v>
      </c>
      <c r="L89" s="63" t="n">
        <v>0.3504867872044507</v>
      </c>
      <c r="M89" s="64" t="n">
        <v>1</v>
      </c>
      <c r="N89" s="32" t="inlineStr">
        <is>
          <t>Inactive</t>
        </is>
      </c>
      <c r="O89" s="32" t="n"/>
      <c r="P89" s="65" t="n"/>
      <c r="Q89" s="64" t="n"/>
      <c r="R89" s="64" t="n"/>
      <c r="S89" s="64" t="n"/>
      <c r="T89" s="32" t="n"/>
    </row>
    <row r="90" ht="62" customHeight="1">
      <c r="A90" s="10">
        <f>_xlfn.IMAGE("https://m.media-amazon.com/images/I/81eHFzmJ3fL.jpg")</f>
        <v/>
      </c>
      <c r="B90" s="32" t="inlineStr">
        <is>
          <t>B0DDRNW3GF</t>
        </is>
      </c>
      <c r="C90" s="32" t="inlineStr">
        <is>
          <t>SS-SATIN-BLUE-QUEEN-4PCS</t>
        </is>
      </c>
      <c r="D90" s="32" t="inlineStr">
        <is>
          <t>SLEEP SANCTUARY Satin Sheets Queen Size – 4 Piece Luxury Silky Bed Set, Softer Than Silk, 15" Deep Pocket, Cooling &amp; Wrinkle-Free, Moisture-Wicking &amp; Breathable for Hair &amp; Skin (Blue)</t>
        </is>
      </c>
      <c r="E90" s="32" t="inlineStr">
        <is>
          <t>Queen</t>
        </is>
      </c>
      <c r="F90" s="32" t="inlineStr">
        <is>
          <t>Blue</t>
        </is>
      </c>
      <c r="G90" s="60" t="n">
        <v>33.95</v>
      </c>
      <c r="H90" s="32" t="inlineStr">
        <is>
          <t>SellerBoard listing price, 2026-10-14</t>
        </is>
      </c>
      <c r="I90" s="61" t="n">
        <v>33.95</v>
      </c>
      <c r="J90" s="62" t="inlineStr">
        <is>
          <t>2026-03-30</t>
        </is>
      </c>
      <c r="K90" s="33" t="n">
        <v>12.02</v>
      </c>
      <c r="L90" s="63" t="n">
        <v>0.3540500736377026</v>
      </c>
      <c r="M90" s="64" t="n">
        <v>1</v>
      </c>
      <c r="N90" s="32" t="inlineStr">
        <is>
          <t>Inactive</t>
        </is>
      </c>
      <c r="O90" s="32" t="n"/>
      <c r="P90" s="65" t="n"/>
      <c r="Q90" s="64" t="n"/>
      <c r="R90" s="64" t="n"/>
      <c r="S90" s="64" t="n"/>
      <c r="T90" s="32" t="n"/>
    </row>
    <row r="91" ht="62" customHeight="1">
      <c r="A91" s="10">
        <f>_xlfn.IMAGE("https://m.media-amazon.com/images/I/81eHFzmJ3fL.jpg")</f>
        <v/>
      </c>
      <c r="B91" s="32" t="inlineStr">
        <is>
          <t>B0DDR3QB2L</t>
        </is>
      </c>
      <c r="C91" s="32" t="inlineStr">
        <is>
          <t>SS-SATIN-BLUE-TWIN-3PCS</t>
        </is>
      </c>
      <c r="D91" s="32" t="inlineStr">
        <is>
          <t>SLEEP SANCTUARY Satin Sheets Twin Size – 3 Piece Luxury Silky Bed Set, Softer Than Silk, 15" Deep Pocket, Cooling &amp; Wrinkle-Free, Moisture-Wicking &amp; Breathable for Hair &amp; Skin (Blue)</t>
        </is>
      </c>
      <c r="E91" s="32" t="inlineStr">
        <is>
          <t>Twin</t>
        </is>
      </c>
      <c r="F91" s="32" t="inlineStr">
        <is>
          <t>Blue</t>
        </is>
      </c>
      <c r="G91" s="60" t="n">
        <v>29.95</v>
      </c>
      <c r="H91" s="32" t="inlineStr">
        <is>
          <t>Helium 10 Xray, 2026-10-13</t>
        </is>
      </c>
      <c r="I91" s="61" t="n">
        <v>34.95</v>
      </c>
      <c r="J91" s="62" t="inlineStr">
        <is>
          <t>2026-03-30</t>
        </is>
      </c>
      <c r="K91" s="33" t="n">
        <v>15.02</v>
      </c>
      <c r="L91" s="63" t="n">
        <v>0.4297567954220314</v>
      </c>
      <c r="M91" s="64" t="n">
        <v>1</v>
      </c>
      <c r="N91" s="32" t="inlineStr">
        <is>
          <t>Active</t>
        </is>
      </c>
      <c r="O91" s="32" t="n"/>
      <c r="P91" s="65" t="n">
        <v>4.4</v>
      </c>
      <c r="Q91" s="64" t="n">
        <v>1080</v>
      </c>
      <c r="R91" s="64" t="n">
        <v>28101</v>
      </c>
      <c r="S91" s="64" t="n">
        <v>9</v>
      </c>
      <c r="T91" s="32" t="n"/>
    </row>
    <row r="92" ht="62" customHeight="1">
      <c r="A92" s="10">
        <f>_xlfn.IMAGE("https://m.media-amazon.com/images/I/816iXpTTsDL.jpg")</f>
        <v/>
      </c>
      <c r="B92" s="32" t="inlineStr">
        <is>
          <t>B0DDQVBL24</t>
        </is>
      </c>
      <c r="C92" s="32" t="inlineStr">
        <is>
          <t>SS-SATIN-STONE-GREY-TWIN-3PCS</t>
        </is>
      </c>
      <c r="D92" s="32" t="inlineStr">
        <is>
          <t>SLEEP SANCTUARY Satin Sheets Twin Size – 3 Piece Luxury Silky Bed Set, Softer Than Silk, 15" Deep Pocket, Cooling &amp; Wrinkle-Free, Moisture-Wicking &amp; Breathable for Hair &amp; Skin (Stone Grey)</t>
        </is>
      </c>
      <c r="E92" s="32" t="inlineStr">
        <is>
          <t>Twin</t>
        </is>
      </c>
      <c r="F92" s="32" t="inlineStr">
        <is>
          <t>Stone Grey</t>
        </is>
      </c>
      <c r="G92" s="60" t="n">
        <v>29.95</v>
      </c>
      <c r="H92" s="32" t="inlineStr">
        <is>
          <t>Helium 10 Xray, 2026-10-13</t>
        </is>
      </c>
      <c r="I92" s="61" t="n">
        <v>29.95</v>
      </c>
      <c r="J92" s="62" t="inlineStr">
        <is>
          <t>2026-03-30</t>
        </is>
      </c>
      <c r="K92" s="33" t="n">
        <v>10.24</v>
      </c>
      <c r="L92" s="63" t="n">
        <v>0.3419031719532554</v>
      </c>
      <c r="M92" s="64" t="n">
        <v>1</v>
      </c>
      <c r="N92" s="32" t="inlineStr">
        <is>
          <t>Active</t>
        </is>
      </c>
      <c r="O92" s="32" t="n"/>
      <c r="P92" s="65" t="n">
        <v>4.4</v>
      </c>
      <c r="Q92" s="64" t="n">
        <v>1080</v>
      </c>
      <c r="R92" s="64" t="n">
        <v>28101</v>
      </c>
      <c r="S92" s="64" t="n">
        <v>13</v>
      </c>
      <c r="T92" s="32" t="n"/>
    </row>
    <row r="93" ht="62" customHeight="1">
      <c r="A93" s="10">
        <f>_xlfn.IMAGE("https://m.media-amazon.com/images/I/81qEq06R1GL.jpg")</f>
        <v/>
      </c>
      <c r="B93" s="32" t="inlineStr">
        <is>
          <t>B0DDQX824T</t>
        </is>
      </c>
      <c r="C93" s="32" t="inlineStr">
        <is>
          <t>SS-SATIN-BLACK-FULL-4PCS</t>
        </is>
      </c>
      <c r="D93" s="32" t="inlineStr">
        <is>
          <t>SLEEP SANCTUARY Satin Sheets Full Size – 4 Piece Luxury Silky Bed Set, Softer Than Silk, 15" Deep Pocket, Cooling &amp; Wrinkle-Free, Moisture-Wicking &amp; Breathable for Hair &amp; Skin (Black)</t>
        </is>
      </c>
      <c r="E93" s="32" t="inlineStr">
        <is>
          <t>Full</t>
        </is>
      </c>
      <c r="F93" s="32" t="inlineStr">
        <is>
          <t>Black</t>
        </is>
      </c>
      <c r="G93" s="60" t="n">
        <v>38.95</v>
      </c>
      <c r="H93" s="32" t="inlineStr">
        <is>
          <t>SellerBoard listing price, 2026-10-14</t>
        </is>
      </c>
      <c r="I93" s="61" t="n">
        <v>31.95</v>
      </c>
      <c r="J93" s="62" t="inlineStr">
        <is>
          <t>2026-03-22</t>
        </is>
      </c>
      <c r="K93" s="33" t="n">
        <v>11.39</v>
      </c>
      <c r="L93" s="63" t="n">
        <v>0.3564945226917058</v>
      </c>
      <c r="M93" s="64" t="n"/>
      <c r="N93" s="32" t="inlineStr">
        <is>
          <t>Inactive</t>
        </is>
      </c>
      <c r="O93" s="32" t="n"/>
      <c r="P93" s="65" t="n"/>
      <c r="Q93" s="64" t="n"/>
      <c r="R93" s="64" t="n"/>
      <c r="S93" s="64" t="n"/>
      <c r="T93" s="32" t="n"/>
    </row>
    <row r="94" ht="62" customHeight="1">
      <c r="A94" s="10">
        <f>_xlfn.IMAGE("https://m.media-amazon.com/images/I/816iXpTTsDL.jpg")</f>
        <v/>
      </c>
      <c r="B94" s="32" t="inlineStr">
        <is>
          <t>B0DDR97FTJ</t>
        </is>
      </c>
      <c r="C94" s="32" t="inlineStr">
        <is>
          <t>SS-SATIN-STONE-GREY-FULL-4PCS</t>
        </is>
      </c>
      <c r="D94" s="32" t="inlineStr">
        <is>
          <t>SLEEP SANCTUARY Satin Sheets Full Size – 4 Piece Luxury Silky Bed Set, Softer Than Silk, 15" Deep Pocket, Cooling &amp; Wrinkle-Free, Moisture-Wicking &amp; Breathable for Hair &amp; Skin (Stone Grey)</t>
        </is>
      </c>
      <c r="E94" s="32" t="inlineStr">
        <is>
          <t>Full</t>
        </is>
      </c>
      <c r="F94" s="32" t="inlineStr">
        <is>
          <t>Stone Grey</t>
        </is>
      </c>
      <c r="G94" s="60" t="n">
        <v>29.95</v>
      </c>
      <c r="H94" s="32" t="inlineStr">
        <is>
          <t>SellerBoard listing price, 2026-10-14</t>
        </is>
      </c>
      <c r="I94" s="61" t="n">
        <v>37.95</v>
      </c>
      <c r="J94" s="62" t="inlineStr">
        <is>
          <t>2026-03-30</t>
        </is>
      </c>
      <c r="K94" s="33" t="n">
        <v>15.61000000000001</v>
      </c>
      <c r="L94" s="63" t="n">
        <v>0.4113306982872202</v>
      </c>
      <c r="M94" s="64" t="n"/>
      <c r="N94" s="32" t="inlineStr">
        <is>
          <t>Inactive</t>
        </is>
      </c>
      <c r="O94" s="32" t="n"/>
      <c r="P94" s="65" t="n"/>
      <c r="Q94" s="64" t="n"/>
      <c r="R94" s="64" t="n"/>
      <c r="S94" s="64" t="n"/>
      <c r="T94" s="32" t="n"/>
    </row>
    <row r="95" ht="62" customHeight="1">
      <c r="A95" s="10">
        <f>_xlfn.IMAGE("https://m.media-amazon.com/images/I/81qEq06R1GL.jpg")</f>
        <v/>
      </c>
      <c r="B95" s="32" t="inlineStr">
        <is>
          <t>B0DDQQ9LRP</t>
        </is>
      </c>
      <c r="C95" s="32" t="inlineStr">
        <is>
          <t>SS-SATIN-STRIPED-BLACK-FULL-4PCS</t>
        </is>
      </c>
      <c r="D95" s="32" t="inlineStr">
        <is>
          <t>SLEEP SANCTUARY Satin Sheets Full Size – 4 Piece Luxury Silky Bed Set, Softer Than Silk, 15" Deep Pocket, Cooling &amp; Wrinkle-Free, Moisture-Wicking &amp; Breathable for Hair &amp; Skin (Striped Black)</t>
        </is>
      </c>
      <c r="E95" s="32" t="inlineStr">
        <is>
          <t>Full</t>
        </is>
      </c>
      <c r="F95" s="32" t="inlineStr">
        <is>
          <t>Striped Black</t>
        </is>
      </c>
      <c r="G95" s="60" t="n">
        <v>31.95</v>
      </c>
      <c r="H95" s="32" t="inlineStr">
        <is>
          <t>SellerBoard listing price, 2026-10-14</t>
        </is>
      </c>
      <c r="I95" s="61" t="n">
        <v>31.95</v>
      </c>
      <c r="J95" s="62" t="inlineStr">
        <is>
          <t>2026-03-14</t>
        </is>
      </c>
      <c r="K95" s="33" t="n">
        <v>9.969999999999999</v>
      </c>
      <c r="L95" s="63" t="n">
        <v>0.3120500782472613</v>
      </c>
      <c r="M95" s="64" t="n"/>
      <c r="N95" s="32" t="inlineStr">
        <is>
          <t>Inactive</t>
        </is>
      </c>
      <c r="O95" s="32" t="n"/>
      <c r="P95" s="65" t="n"/>
      <c r="Q95" s="64" t="n"/>
      <c r="R95" s="64" t="n"/>
      <c r="S95" s="64" t="n"/>
      <c r="T95" s="32" t="n"/>
    </row>
    <row r="96" ht="62" customHeight="1">
      <c r="A96" s="10">
        <f>_xlfn.IMAGE("https://m.media-amazon.com/images/I/81IuYnZdF7L.jpg")</f>
        <v/>
      </c>
      <c r="B96" s="32" t="inlineStr">
        <is>
          <t>B0DDQX8257</t>
        </is>
      </c>
      <c r="C96" s="32" t="inlineStr">
        <is>
          <t>SS-SATIN-STRIPED-BLUE-FULL-4PCS</t>
        </is>
      </c>
      <c r="D96" s="32" t="inlineStr">
        <is>
          <t>SLEEP SANCTUARY Satin Sheets Full Size – 4 Piece Luxury Silky Bed Set, Softer Than Silk, 15" Deep Pocket, Cooling &amp; Wrinkle-Free, Moisture-Wicking &amp; Breathable for Hair &amp; Skin (Striped Blue)</t>
        </is>
      </c>
      <c r="E96" s="32" t="inlineStr">
        <is>
          <t>Full</t>
        </is>
      </c>
      <c r="F96" s="32" t="inlineStr">
        <is>
          <t>Striped Blue</t>
        </is>
      </c>
      <c r="G96" s="60" t="n">
        <v>29.95</v>
      </c>
      <c r="H96" s="32" t="inlineStr">
        <is>
          <t>SellerBoard listing price, 2026-10-14</t>
        </is>
      </c>
      <c r="I96" s="61" t="n">
        <v>36.95</v>
      </c>
      <c r="J96" s="62" t="inlineStr">
        <is>
          <t>2026-03-30</t>
        </is>
      </c>
      <c r="K96" s="33" t="n">
        <v>12.78</v>
      </c>
      <c r="L96" s="63" t="n">
        <v>0.3458728010825441</v>
      </c>
      <c r="M96" s="64" t="n"/>
      <c r="N96" s="32" t="inlineStr">
        <is>
          <t>Inactive</t>
        </is>
      </c>
      <c r="O96" s="32" t="n"/>
      <c r="P96" s="65" t="n"/>
      <c r="Q96" s="64" t="n"/>
      <c r="R96" s="64" t="n"/>
      <c r="S96" s="64" t="n"/>
      <c r="T96" s="32" t="n"/>
    </row>
    <row r="97" ht="62" customHeight="1">
      <c r="A97" s="10">
        <f>_xlfn.IMAGE("https://m.media-amazon.com/images/I/81c0TeFW0bL.jpg")</f>
        <v/>
      </c>
      <c r="B97" s="32" t="inlineStr">
        <is>
          <t>B0DDR7G7Z8</t>
        </is>
      </c>
      <c r="C97" s="32" t="inlineStr">
        <is>
          <t>SS-SATIN-STRIPED-GOLD-FULL-4PCS</t>
        </is>
      </c>
      <c r="D97" s="32" t="inlineStr">
        <is>
          <t>SLEEP SANCTUARY Satin Sheets Full Size – 4 Piece Luxury Silky Bed Set, Softer Than Silk, 15" Deep Pocket, Cooling &amp; Wrinkle-Free, Moisture-Wicking &amp; Breathable for Hair &amp; Skin (Striped Gold)</t>
        </is>
      </c>
      <c r="E97" s="32" t="inlineStr">
        <is>
          <t>Full</t>
        </is>
      </c>
      <c r="F97" s="32" t="inlineStr">
        <is>
          <t>Striped Gold</t>
        </is>
      </c>
      <c r="G97" s="60" t="n">
        <v>39.95</v>
      </c>
      <c r="H97" s="32" t="inlineStr">
        <is>
          <t>Helium 10 Xray, 2026-10-13</t>
        </is>
      </c>
      <c r="I97" s="61" t="n">
        <v>37.95</v>
      </c>
      <c r="J97" s="62" t="inlineStr">
        <is>
          <t>2026-03-30</t>
        </is>
      </c>
      <c r="K97" s="33" t="n">
        <v>15.78000000000001</v>
      </c>
      <c r="L97" s="63" t="n">
        <v>0.415810276679842</v>
      </c>
      <c r="M97" s="64" t="n">
        <v>0</v>
      </c>
      <c r="N97" s="32" t="inlineStr">
        <is>
          <t>Active</t>
        </is>
      </c>
      <c r="O97" s="32" t="n"/>
      <c r="P97" s="65" t="n">
        <v>4.4</v>
      </c>
      <c r="Q97" s="64" t="n">
        <v>1080</v>
      </c>
      <c r="R97" s="64" t="n">
        <v>28101</v>
      </c>
      <c r="S97" s="64" t="n">
        <v>1</v>
      </c>
      <c r="T97" s="32" t="n"/>
    </row>
    <row r="98" ht="62" customHeight="1">
      <c r="A98" s="10">
        <f>_xlfn.IMAGE("https://m.media-amazon.com/images/I/81umFKx0vnL.jpg")</f>
        <v/>
      </c>
      <c r="B98" s="32" t="inlineStr">
        <is>
          <t>B0DDR72BDZ</t>
        </is>
      </c>
      <c r="C98" s="32" t="inlineStr">
        <is>
          <t>SS-SATIN-STRIPED-WHITE-FULL-4PCS</t>
        </is>
      </c>
      <c r="D98" s="32" t="inlineStr">
        <is>
          <t>SLEEP SANCTUARY Satin Sheets Full Size – 4 Piece Luxury Silky Bed Set, Softer Than Silk, 15" Deep Pocket, Cooling &amp; Wrinkle-Free, Moisture-Wicking &amp; Breathable for Hair &amp; Skin (Striped White)</t>
        </is>
      </c>
      <c r="E98" s="32" t="inlineStr">
        <is>
          <t>Full</t>
        </is>
      </c>
      <c r="F98" s="32" t="inlineStr">
        <is>
          <t>Striped White</t>
        </is>
      </c>
      <c r="G98" s="60" t="n">
        <v>26.95</v>
      </c>
      <c r="H98" s="32" t="inlineStr">
        <is>
          <t>SellerBoard listing price, 2026-10-14</t>
        </is>
      </c>
      <c r="I98" s="33" t="n"/>
      <c r="J98" s="32" t="n"/>
      <c r="K98" s="33" t="n"/>
      <c r="L98" s="63" t="n"/>
      <c r="M98" s="64" t="n"/>
      <c r="N98" s="32" t="inlineStr">
        <is>
          <t>Inactive</t>
        </is>
      </c>
      <c r="O98" s="32" t="n"/>
      <c r="P98" s="65" t="n"/>
      <c r="Q98" s="64" t="n"/>
      <c r="R98" s="64" t="n"/>
      <c r="S98" s="64" t="n"/>
      <c r="T98" s="32" t="n"/>
    </row>
    <row r="99" ht="62" customHeight="1">
      <c r="A99" s="10">
        <f>_xlfn.IMAGE("https://m.media-amazon.com/images/I/81bZ3S4CehL.jpg")</f>
        <v/>
      </c>
      <c r="B99" s="32" t="inlineStr">
        <is>
          <t>B0DDR6G4WJ</t>
        </is>
      </c>
      <c r="C99" s="32" t="inlineStr">
        <is>
          <t>SS-SATIN-TAUPE-FULL-4PCS</t>
        </is>
      </c>
      <c r="D99" s="32" t="inlineStr">
        <is>
          <t>SLEEP SANCTUARY Satin Sheets Full Size – 4 Piece Luxury Silky Bed Set, Softer Than Silk, 15" Deep Pocket, Cooling &amp; Wrinkle-Free, Moisture-Wicking &amp; Breathable for Hair &amp; Skin (Taupe)</t>
        </is>
      </c>
      <c r="E99" s="32" t="inlineStr">
        <is>
          <t>Full</t>
        </is>
      </c>
      <c r="F99" s="32" t="inlineStr">
        <is>
          <t>Taupe</t>
        </is>
      </c>
      <c r="G99" s="60" t="n">
        <v>29.95</v>
      </c>
      <c r="H99" s="32" t="inlineStr">
        <is>
          <t>Helium 10 Xray, 2026-10-13</t>
        </is>
      </c>
      <c r="I99" s="61" t="n">
        <v>36.95</v>
      </c>
      <c r="J99" s="62" t="inlineStr">
        <is>
          <t>2026-03-30</t>
        </is>
      </c>
      <c r="K99" s="33" t="n">
        <v>14.63</v>
      </c>
      <c r="L99" s="63" t="n">
        <v>0.3959404600811909</v>
      </c>
      <c r="M99" s="64" t="n">
        <v>0</v>
      </c>
      <c r="N99" s="32" t="inlineStr">
        <is>
          <t>Active</t>
        </is>
      </c>
      <c r="O99" s="32" t="n"/>
      <c r="P99" s="65" t="n">
        <v>4.4</v>
      </c>
      <c r="Q99" s="64" t="n">
        <v>1080</v>
      </c>
      <c r="R99" s="64" t="n">
        <v>28101</v>
      </c>
      <c r="S99" s="64" t="n">
        <v>7</v>
      </c>
      <c r="T99" s="32" t="n"/>
    </row>
    <row r="100" ht="62" customHeight="1">
      <c r="A100" s="10">
        <f>_xlfn.IMAGE("https://m.media-amazon.com/images/I/818RX-kt6VL.jpg")</f>
        <v/>
      </c>
      <c r="B100" s="32" t="inlineStr">
        <is>
          <t>B0DDRH7S7L</t>
        </is>
      </c>
      <c r="C100" s="32" t="inlineStr">
        <is>
          <t>SS-SATIN-WHITE-FULL-4PCS</t>
        </is>
      </c>
      <c r="D100" s="32" t="inlineStr">
        <is>
          <t>SLEEP SANCTUARY Satin Sheets Full Size – 4 Piece Luxury Silky Bed Set, Softer Than Silk, 15" Deep Pocket, Cooling &amp; Wrinkle-Free, Moisture-Wicking &amp; Breathable for Hair &amp; Skin (White)</t>
        </is>
      </c>
      <c r="E100" s="32" t="inlineStr">
        <is>
          <t>Full</t>
        </is>
      </c>
      <c r="F100" s="32" t="inlineStr">
        <is>
          <t>White</t>
        </is>
      </c>
      <c r="G100" s="60" t="n">
        <v>29.95</v>
      </c>
      <c r="H100" s="32" t="inlineStr">
        <is>
          <t>SellerBoard listing price, 2026-10-14</t>
        </is>
      </c>
      <c r="I100" s="61" t="n">
        <v>37.95</v>
      </c>
      <c r="J100" s="62" t="inlineStr">
        <is>
          <t>2026-03-30</t>
        </is>
      </c>
      <c r="K100" s="33" t="n">
        <v>16.38</v>
      </c>
      <c r="L100" s="63" t="n">
        <v>0.4316205533596838</v>
      </c>
      <c r="M100" s="64" t="n">
        <v>0</v>
      </c>
      <c r="N100" s="32" t="inlineStr">
        <is>
          <t>Inactive</t>
        </is>
      </c>
      <c r="O100" s="32" t="n"/>
      <c r="P100" s="65" t="n"/>
      <c r="Q100" s="64" t="n"/>
      <c r="R100" s="64" t="n"/>
      <c r="S100" s="64" t="n"/>
      <c r="T100" s="32" t="n"/>
    </row>
    <row r="101" ht="62" customHeight="1">
      <c r="A101" s="10">
        <f>_xlfn.IMAGE("https://m.media-amazon.com/images/I/81i0u4Y+8uL.jpg")</f>
        <v/>
      </c>
      <c r="B101" s="32" t="inlineStr">
        <is>
          <t>B0DDRFDBSP</t>
        </is>
      </c>
      <c r="C101" s="32" t="inlineStr">
        <is>
          <t>SS-SATIN-SAGE-GREEN-KING-4PCS</t>
        </is>
      </c>
      <c r="D101" s="32" t="inlineStr">
        <is>
          <t>SLEEP SANCTUARY Satin Sheets King Size – 4 Piece Luxury Silky Bed Set, Softer Than Silk, 15" Deep Pocket, Cooling &amp; Wrinkle-Free, Moisture-Wicking &amp; Breathable for Hair &amp; Skin (Sage Green)</t>
        </is>
      </c>
      <c r="E101" s="32" t="inlineStr">
        <is>
          <t>King</t>
        </is>
      </c>
      <c r="F101" s="32" t="inlineStr">
        <is>
          <t>Sage Green</t>
        </is>
      </c>
      <c r="G101" s="60" t="n">
        <v>33.95</v>
      </c>
      <c r="H101" s="32" t="inlineStr">
        <is>
          <t>SellerBoard listing price, 2026-10-14</t>
        </is>
      </c>
      <c r="I101" s="61" t="n">
        <v>35.95</v>
      </c>
      <c r="J101" s="62" t="inlineStr">
        <is>
          <t>2026-03-30</t>
        </is>
      </c>
      <c r="K101" s="33" t="n">
        <v>11.47</v>
      </c>
      <c r="L101" s="63" t="n">
        <v>0.3190542420027817</v>
      </c>
      <c r="M101" s="64" t="n">
        <v>0</v>
      </c>
      <c r="N101" s="32" t="inlineStr">
        <is>
          <t>Inactive</t>
        </is>
      </c>
      <c r="O101" s="32" t="n"/>
      <c r="P101" s="65" t="n"/>
      <c r="Q101" s="64" t="n"/>
      <c r="R101" s="64" t="n"/>
      <c r="S101" s="64" t="n"/>
      <c r="T101" s="32" t="n"/>
    </row>
    <row r="102" ht="62" customHeight="1">
      <c r="A102" s="10">
        <f>_xlfn.IMAGE("https://m.media-amazon.com/images/I/81qEq06R1GL.jpg")</f>
        <v/>
      </c>
      <c r="B102" s="32" t="inlineStr">
        <is>
          <t>B0DDR9FXWM</t>
        </is>
      </c>
      <c r="C102" s="32" t="inlineStr">
        <is>
          <t>SS-SATIN-STRIPED-BLACK-KING-4PCS</t>
        </is>
      </c>
      <c r="D102" s="32" t="inlineStr">
        <is>
          <t>SLEEP SANCTUARY Satin Sheets King Size – 4 Piece Luxury Silky Bed Set, Softer Than Silk, 15" Deep Pocket, Cooling &amp; Wrinkle-Free, Moisture-Wicking &amp; Breathable for Hair &amp; Skin (Striped Black)</t>
        </is>
      </c>
      <c r="E102" s="32" t="inlineStr">
        <is>
          <t>King</t>
        </is>
      </c>
      <c r="F102" s="32" t="inlineStr">
        <is>
          <t>Striped Black</t>
        </is>
      </c>
      <c r="G102" s="60" t="n">
        <v>35.95</v>
      </c>
      <c r="H102" s="32" t="inlineStr">
        <is>
          <t>SellerBoard listing price, 2026-10-14</t>
        </is>
      </c>
      <c r="I102" s="61" t="n">
        <v>35.95</v>
      </c>
      <c r="J102" s="62" t="inlineStr">
        <is>
          <t>2026-03-30</t>
        </is>
      </c>
      <c r="K102" s="33" t="n">
        <v>10.56</v>
      </c>
      <c r="L102" s="63" t="n">
        <v>0.2937413073713491</v>
      </c>
      <c r="M102" s="64" t="n"/>
      <c r="N102" s="32" t="inlineStr">
        <is>
          <t>Inactive</t>
        </is>
      </c>
      <c r="O102" s="32" t="n"/>
      <c r="P102" s="65" t="n"/>
      <c r="Q102" s="64" t="n"/>
      <c r="R102" s="64" t="n"/>
      <c r="S102" s="64" t="n"/>
      <c r="T102" s="32" t="n"/>
    </row>
    <row r="103" ht="62" customHeight="1">
      <c r="A103" s="10">
        <f>_xlfn.IMAGE("https://m.media-amazon.com/images/I/81IuYnZdF7L.jpg")</f>
        <v/>
      </c>
      <c r="B103" s="32" t="inlineStr">
        <is>
          <t>B0DDRKSQT2</t>
        </is>
      </c>
      <c r="C103" s="32" t="inlineStr">
        <is>
          <t>SS-SATIN-STRIPED-BLUE-KING-4PCS</t>
        </is>
      </c>
      <c r="D103" s="32" t="inlineStr">
        <is>
          <t>SLEEP SANCTUARY Satin Sheets King Size – 4 Piece Luxury Silky Bed Set, Softer Than Silk, 15" Deep Pocket, Cooling &amp; Wrinkle-Free, Moisture-Wicking &amp; Breathable for Hair &amp; Skin (Striped Blue)</t>
        </is>
      </c>
      <c r="E103" s="32" t="inlineStr">
        <is>
          <t>King</t>
        </is>
      </c>
      <c r="F103" s="32" t="inlineStr">
        <is>
          <t>Striped Blue</t>
        </is>
      </c>
      <c r="G103" s="60" t="n">
        <v>35.95</v>
      </c>
      <c r="H103" s="32" t="inlineStr">
        <is>
          <t>SellerBoard listing price, 2026-10-14</t>
        </is>
      </c>
      <c r="I103" s="61" t="n">
        <v>35.95</v>
      </c>
      <c r="J103" s="62" t="inlineStr">
        <is>
          <t>2026-03-16</t>
        </is>
      </c>
      <c r="K103" s="33" t="n">
        <v>10.61</v>
      </c>
      <c r="L103" s="63" t="n">
        <v>0.2951321279554938</v>
      </c>
      <c r="M103" s="64" t="n"/>
      <c r="N103" s="32" t="inlineStr">
        <is>
          <t>Inactive</t>
        </is>
      </c>
      <c r="O103" s="32" t="n"/>
      <c r="P103" s="65" t="n"/>
      <c r="Q103" s="64" t="n"/>
      <c r="R103" s="64" t="n"/>
      <c r="S103" s="64" t="n"/>
      <c r="T103" s="32" t="n"/>
    </row>
    <row r="104" ht="62" customHeight="1">
      <c r="A104" s="10">
        <f>_xlfn.IMAGE("https://m.media-amazon.com/images/I/81VzFs1NSBL.jpg")</f>
        <v/>
      </c>
      <c r="B104" s="32" t="inlineStr">
        <is>
          <t>B0DDRKQYDW</t>
        </is>
      </c>
      <c r="C104" s="32" t="inlineStr">
        <is>
          <t>SS-SATIN-STRIPED-PINK-KING-4PCS</t>
        </is>
      </c>
      <c r="D104" s="32" t="inlineStr">
        <is>
          <t>SLEEP SANCTUARY Satin Sheets King Size – 4 Piece Luxury Silky Bed Set, Softer Than Silk, 15" Deep Pocket, Cooling &amp; Wrinkle-Free, Moisture-Wicking &amp; Breathable for Hair &amp; Skin (Striped Pink)</t>
        </is>
      </c>
      <c r="E104" s="32" t="inlineStr">
        <is>
          <t>King</t>
        </is>
      </c>
      <c r="F104" s="32" t="inlineStr">
        <is>
          <t>Striped Pink</t>
        </is>
      </c>
      <c r="G104" s="60" t="n">
        <v>39.95</v>
      </c>
      <c r="H104" s="32" t="inlineStr">
        <is>
          <t>SellerBoard listing price, 2026-10-14</t>
        </is>
      </c>
      <c r="I104" s="61" t="n">
        <v>35.95</v>
      </c>
      <c r="J104" s="62" t="inlineStr">
        <is>
          <t>2026-03-30</t>
        </is>
      </c>
      <c r="K104" s="33" t="n">
        <v>10.14</v>
      </c>
      <c r="L104" s="63" t="n">
        <v>0.2820584144645341</v>
      </c>
      <c r="M104" s="64" t="n"/>
      <c r="N104" s="32" t="inlineStr">
        <is>
          <t>Inactive</t>
        </is>
      </c>
      <c r="O104" s="32" t="n"/>
      <c r="P104" s="65" t="n"/>
      <c r="Q104" s="64" t="n"/>
      <c r="R104" s="64" t="n"/>
      <c r="S104" s="64" t="n"/>
      <c r="T104" s="32" t="n"/>
    </row>
    <row r="105" ht="62" customHeight="1">
      <c r="A105" s="10">
        <f>_xlfn.IMAGE("https://m.media-amazon.com/images/I/81qxRfk+zkL.jpg")</f>
        <v/>
      </c>
      <c r="B105" s="32" t="inlineStr">
        <is>
          <t>B0DDRDBWCG</t>
        </is>
      </c>
      <c r="C105" s="32" t="inlineStr">
        <is>
          <t>SS-SATIN-STRIPED-PURPLE-KING-4PCS</t>
        </is>
      </c>
      <c r="D105" s="32" t="inlineStr">
        <is>
          <t>SLEEP SANCTUARY Satin Sheets King Size – 4 Piece Luxury Silky Bed Set, Softer Than Silk, 15" Deep Pocket, Cooling &amp; Wrinkle-Free, Moisture-Wicking &amp; Breathable for Hair &amp; Skin (Striped Purple)</t>
        </is>
      </c>
      <c r="E105" s="32" t="inlineStr">
        <is>
          <t>King</t>
        </is>
      </c>
      <c r="F105" s="32" t="inlineStr">
        <is>
          <t>Striped Purple</t>
        </is>
      </c>
      <c r="G105" s="60" t="n">
        <v>37.95</v>
      </c>
      <c r="H105" s="32" t="inlineStr">
        <is>
          <t>SellerBoard listing price, 2026-10-14</t>
        </is>
      </c>
      <c r="I105" s="61" t="n">
        <v>37.95</v>
      </c>
      <c r="J105" s="62" t="inlineStr">
        <is>
          <t>2026-02-28</t>
        </is>
      </c>
      <c r="K105" s="33" t="n">
        <v>12.31</v>
      </c>
      <c r="L105" s="63" t="n">
        <v>0.3243741765480897</v>
      </c>
      <c r="M105" s="64" t="n"/>
      <c r="N105" s="32" t="inlineStr">
        <is>
          <t>Inactive</t>
        </is>
      </c>
      <c r="O105" s="32" t="n"/>
      <c r="P105" s="65" t="n"/>
      <c r="Q105" s="64" t="n"/>
      <c r="R105" s="64" t="n"/>
      <c r="S105" s="64" t="n"/>
      <c r="T105" s="32" t="n"/>
    </row>
    <row r="106" ht="62" customHeight="1">
      <c r="A106" s="10">
        <f>_xlfn.IMAGE("https://m.media-amazon.com/images/I/81umFKx0vnL.jpg")</f>
        <v/>
      </c>
      <c r="B106" s="32" t="inlineStr">
        <is>
          <t>B0DDR4D9HP</t>
        </is>
      </c>
      <c r="C106" s="32" t="inlineStr">
        <is>
          <t>SS-SATIN-STRIPED-WHITE-KING-4PCS</t>
        </is>
      </c>
      <c r="D106" s="32" t="inlineStr">
        <is>
          <t>SLEEP SANCTUARY Satin Sheets King Size – 4 Piece Luxury Silky Bed Set, Softer Than Silk, 15" Deep Pocket, Cooling &amp; Wrinkle-Free, Moisture-Wicking &amp; Breathable for Hair &amp; Skin (Striped White)</t>
        </is>
      </c>
      <c r="E106" s="32" t="inlineStr">
        <is>
          <t>King</t>
        </is>
      </c>
      <c r="F106" s="32" t="inlineStr">
        <is>
          <t>Striped White</t>
        </is>
      </c>
      <c r="G106" s="60" t="n">
        <v>35.95</v>
      </c>
      <c r="H106" s="32" t="inlineStr">
        <is>
          <t>SellerBoard listing price, 2026-10-14</t>
        </is>
      </c>
      <c r="I106" s="61" t="n">
        <v>35.95</v>
      </c>
      <c r="J106" s="62" t="inlineStr">
        <is>
          <t>2026-03-30</t>
        </is>
      </c>
      <c r="K106" s="33" t="n">
        <v>10.98</v>
      </c>
      <c r="L106" s="63" t="n">
        <v>0.3054242002781641</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B0DDRFM554</t>
        </is>
      </c>
      <c r="C107" s="32" t="inlineStr">
        <is>
          <t>SS-SATIN-BABY-BLUE-QUEEN-4PCS</t>
        </is>
      </c>
      <c r="D107" s="32" t="inlineStr">
        <is>
          <t>SLEEP SANCTUARY Satin Sheets Queen Size – 4 Piece Luxury Silky Bed Set, Softer Than Silk, 15" Deep Pocket, Cooling &amp; Wrinkle-Free, Moisture-Wicking &amp; Breathable for Hair &amp; Skin (Baby Blue)</t>
        </is>
      </c>
      <c r="E107" s="32" t="inlineStr">
        <is>
          <t>Queen</t>
        </is>
      </c>
      <c r="F107" s="32" t="inlineStr">
        <is>
          <t>Baby Blue</t>
        </is>
      </c>
      <c r="G107" s="60" t="n">
        <v>31.95</v>
      </c>
      <c r="H107" s="32" t="inlineStr">
        <is>
          <t>SellerBoard listing price, 2026-10-14</t>
        </is>
      </c>
      <c r="I107" s="61" t="n">
        <v>33.95</v>
      </c>
      <c r="J107" s="62" t="inlineStr">
        <is>
          <t>2026-03-30</t>
        </is>
      </c>
      <c r="K107" s="33" t="n">
        <v>11.81</v>
      </c>
      <c r="L107" s="63" t="n">
        <v>0.3478645066273933</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B0DDR6C74S</t>
        </is>
      </c>
      <c r="C108" s="32" t="inlineStr">
        <is>
          <t>SS-SATIN-BLACK-QUEEN-4PCS</t>
        </is>
      </c>
      <c r="D108" s="32" t="inlineStr">
        <is>
          <t>SLEEP SANCTUARY Satin Sheets Queen Size – 4 Piece Luxury Silky Bed Set, Softer Than Silk, 15" Deep Pocket, Cooling &amp; Wrinkle-Free, Moisture-Wicking &amp; Breathable for Hair &amp; Skin (Black)</t>
        </is>
      </c>
      <c r="E108" s="32" t="inlineStr">
        <is>
          <t>Queen</t>
        </is>
      </c>
      <c r="F108" s="32" t="inlineStr">
        <is>
          <t>Black</t>
        </is>
      </c>
      <c r="G108" s="60" t="n">
        <v>31.95</v>
      </c>
      <c r="H108" s="32" t="inlineStr">
        <is>
          <t>SellerBoard listing price, 2026-10-14</t>
        </is>
      </c>
      <c r="I108" s="61" t="n">
        <v>33.95</v>
      </c>
      <c r="J108" s="62" t="inlineStr">
        <is>
          <t>2026-03-30</t>
        </is>
      </c>
      <c r="K108" s="33" t="n">
        <v>12.7</v>
      </c>
      <c r="L108" s="63" t="n">
        <v>0.3740795287187041</v>
      </c>
      <c r="M108" s="64" t="n"/>
      <c r="N108" s="32" t="inlineStr">
        <is>
          <t>Inactive</t>
        </is>
      </c>
      <c r="O108" s="32" t="n"/>
      <c r="P108" s="65" t="n"/>
      <c r="Q108" s="64" t="n"/>
      <c r="R108" s="64" t="n"/>
      <c r="S108" s="64" t="n"/>
      <c r="T108" s="32" t="n"/>
    </row>
    <row r="109" ht="62" customHeight="1">
      <c r="A109" s="10">
        <f>_xlfn.IMAGE("https://m.media-amazon.com/images/I/81q5RxTETDL.jpg")</f>
        <v/>
      </c>
      <c r="B109" s="32" t="inlineStr">
        <is>
          <t>B0DDRB8PG4</t>
        </is>
      </c>
      <c r="C109" s="32" t="inlineStr">
        <is>
          <t>SS-SATIN-BURNT-ORANGE-QUEEN-4PCS</t>
        </is>
      </c>
      <c r="D109" s="32" t="inlineStr">
        <is>
          <t>SLEEP SANCTUARY Satin Sheets Queen Size – 4 Piece Luxury Silky Bed Set, Softer Than Silk, 15" Deep Pocket, Cooling &amp; Wrinkle-Free, Moisture-Wicking &amp; Breathable for Hair &amp; Skin (Burnt Orange)</t>
        </is>
      </c>
      <c r="E109" s="32" t="inlineStr">
        <is>
          <t>Queen</t>
        </is>
      </c>
      <c r="F109" s="32" t="inlineStr">
        <is>
          <t>Burnt Orange</t>
        </is>
      </c>
      <c r="G109" s="60" t="n">
        <v>31.95</v>
      </c>
      <c r="H109" s="32" t="inlineStr">
        <is>
          <t>SellerBoard listing price, 2026-10-14</t>
        </is>
      </c>
      <c r="I109" s="61" t="n">
        <v>39.95</v>
      </c>
      <c r="J109" s="62" t="inlineStr">
        <is>
          <t>2026-03-30</t>
        </is>
      </c>
      <c r="K109" s="33" t="n">
        <v>15.93</v>
      </c>
      <c r="L109" s="63" t="n">
        <v>0.3987484355444305</v>
      </c>
      <c r="M109" s="64" t="n"/>
      <c r="N109" s="32" t="inlineStr">
        <is>
          <t>Inactive</t>
        </is>
      </c>
      <c r="O109" s="32" t="n"/>
      <c r="P109" s="65" t="n"/>
      <c r="Q109" s="64" t="n"/>
      <c r="R109" s="64" t="n"/>
      <c r="S109" s="64" t="n"/>
      <c r="T109" s="32" t="n"/>
    </row>
    <row r="110" ht="62" customHeight="1">
      <c r="A110" s="10">
        <f>_xlfn.IMAGE("https://m.media-amazon.com/images/I/81J3uOru1eL.jpg")</f>
        <v/>
      </c>
      <c r="B110" s="32" t="inlineStr">
        <is>
          <t>B0DDRGZYZD</t>
        </is>
      </c>
      <c r="C110" s="32" t="inlineStr">
        <is>
          <t>SS-SATIN-DARK-GREEN-QUEEN-4PCS</t>
        </is>
      </c>
      <c r="D110" s="32" t="inlineStr">
        <is>
          <t>SLEEP SANCTUARY Satin Sheets Queen Size – 4 Piece Luxury Silky Bed Set, Softer Than Silk, 15" Deep Pocket, Cooling &amp; Wrinkle-Free, Moisture-Wicking &amp; Breathable for Hair &amp; Skin (Dark Green)</t>
        </is>
      </c>
      <c r="E110" s="32" t="inlineStr">
        <is>
          <t>Queen</t>
        </is>
      </c>
      <c r="F110" s="32" t="inlineStr">
        <is>
          <t>Dark Green</t>
        </is>
      </c>
      <c r="G110" s="60" t="n">
        <v>31.95</v>
      </c>
      <c r="H110" s="32" t="inlineStr">
        <is>
          <t>SellerBoard listing price, 2026-10-14</t>
        </is>
      </c>
      <c r="I110" s="61" t="n">
        <v>33.95</v>
      </c>
      <c r="J110" s="62" t="inlineStr">
        <is>
          <t>2026-03-30</t>
        </is>
      </c>
      <c r="K110" s="33" t="n">
        <v>11.96</v>
      </c>
      <c r="L110" s="63" t="n">
        <v>0.3522827687776142</v>
      </c>
      <c r="M110" s="64" t="n">
        <v>0</v>
      </c>
      <c r="N110" s="32" t="inlineStr">
        <is>
          <t>Inactive</t>
        </is>
      </c>
      <c r="O110" s="32" t="n"/>
      <c r="P110" s="65" t="n"/>
      <c r="Q110" s="64" t="n"/>
      <c r="R110" s="64" t="n"/>
      <c r="S110" s="64" t="n"/>
      <c r="T110" s="32" t="n"/>
    </row>
    <row r="111" ht="62" customHeight="1">
      <c r="A111" s="10">
        <f>_xlfn.IMAGE("https://m.media-amazon.com/images/I/81P2vrHt+-L.jpg")</f>
        <v/>
      </c>
      <c r="B111" s="32" t="inlineStr">
        <is>
          <t>B0DDRF591L</t>
        </is>
      </c>
      <c r="C111" s="32" t="inlineStr">
        <is>
          <t>SS-SATIN-GREY-QUEEN-4PCS</t>
        </is>
      </c>
      <c r="D111" s="32" t="inlineStr">
        <is>
          <t>SLEEP SANCTUARY Satin Sheets Queen Size – 4 Piece Luxury Silky Bed Set, Softer Than Silk, 15" Deep Pocket, Cooling &amp; Wrinkle-Free, Moisture-Wicking &amp; Breathable for Hair &amp; Skin (Grey-01)</t>
        </is>
      </c>
      <c r="E111" s="32" t="inlineStr">
        <is>
          <t>Queen</t>
        </is>
      </c>
      <c r="F111" s="32" t="inlineStr">
        <is>
          <t>Grey</t>
        </is>
      </c>
      <c r="G111" s="60" t="n">
        <v>33.95</v>
      </c>
      <c r="H111" s="32" t="inlineStr">
        <is>
          <t>SellerBoard listing price, 2026-10-14</t>
        </is>
      </c>
      <c r="I111" s="61" t="n">
        <v>33.95</v>
      </c>
      <c r="J111" s="62" t="inlineStr">
        <is>
          <t>2026-03-30</t>
        </is>
      </c>
      <c r="K111" s="33" t="n">
        <v>12.99</v>
      </c>
      <c r="L111" s="63" t="n">
        <v>0.3826215022091312</v>
      </c>
      <c r="M111" s="64" t="n"/>
      <c r="N111" s="32" t="inlineStr">
        <is>
          <t>Inactive</t>
        </is>
      </c>
      <c r="O111" s="32" t="n"/>
      <c r="P111" s="65" t="n"/>
      <c r="Q111" s="64" t="n"/>
      <c r="R111" s="64" t="n"/>
      <c r="S111" s="64" t="n"/>
      <c r="T111" s="32" t="n"/>
    </row>
    <row r="112" ht="62" customHeight="1">
      <c r="A112" s="10">
        <f>_xlfn.IMAGE("https://m.media-amazon.com/images/I/81TG-RmUYiL.jpg")</f>
        <v/>
      </c>
      <c r="B112" s="32" t="inlineStr">
        <is>
          <t>B0HKN7814L</t>
        </is>
      </c>
      <c r="C112" s="32" t="n"/>
      <c r="D112" s="32" t="inlineStr">
        <is>
          <t>SLEEP SANCTUARY Satin Sheets Queen Size – 4 Piece Luxury Silky Bed Set, Softer Than Silk, 15" Deep Pocket, Cooling &amp; Wrinkle-Free, Moisture-Wicking &amp; Breathable for Hair &amp; Skin (Grey)</t>
        </is>
      </c>
      <c r="E112" s="32" t="inlineStr">
        <is>
          <t>Queen</t>
        </is>
      </c>
      <c r="F112" s="32" t="inlineStr">
        <is>
          <t>Grey</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10">
        <f>_xlfn.IMAGE("https://m.media-amazon.com/images/I/81NQCabFrWL.jpg")</f>
        <v/>
      </c>
      <c r="B113" s="32" t="inlineStr">
        <is>
          <t>B0DDRD7JM2</t>
        </is>
      </c>
      <c r="C113" s="32" t="inlineStr">
        <is>
          <t>SS-SATIN-RED-QUEEN-4PCS</t>
        </is>
      </c>
      <c r="D113" s="32" t="inlineStr">
        <is>
          <t>SLEEP SANCTUARY Satin Sheets Queen Size – 4 Piece Luxury Silky Bed Set, Softer Than Silk, 15" Deep Pocket, Cooling &amp; Wrinkle-Free, Moisture-Wicking &amp; Breathable for Hair &amp; Skin (Red)</t>
        </is>
      </c>
      <c r="E113" s="32" t="inlineStr">
        <is>
          <t>Queen</t>
        </is>
      </c>
      <c r="F113" s="32" t="inlineStr">
        <is>
          <t>Red</t>
        </is>
      </c>
      <c r="G113" s="60" t="n">
        <v>30.56</v>
      </c>
      <c r="H113" s="32" t="inlineStr">
        <is>
          <t>SellerBoard listing price, 2026-10-14</t>
        </is>
      </c>
      <c r="I113" s="61" t="n">
        <v>33.95</v>
      </c>
      <c r="J113" s="62" t="inlineStr">
        <is>
          <t>2026-03-30</t>
        </is>
      </c>
      <c r="K113" s="33" t="n">
        <v>12.34</v>
      </c>
      <c r="L113" s="63" t="n">
        <v>0.3634756995581739</v>
      </c>
      <c r="M113" s="64" t="n"/>
      <c r="N113" s="32" t="inlineStr">
        <is>
          <t>Inactive</t>
        </is>
      </c>
      <c r="O113" s="32" t="n"/>
      <c r="P113" s="65" t="n"/>
      <c r="Q113" s="64" t="n"/>
      <c r="R113" s="64" t="n"/>
      <c r="S113" s="64" t="n"/>
      <c r="T113" s="32" t="n"/>
    </row>
    <row r="114" ht="62" customHeight="1">
      <c r="A114" s="10">
        <f>_xlfn.IMAGE("https://m.media-amazon.com/images/I/81vHqIiWdYL.jpg")</f>
        <v/>
      </c>
      <c r="B114" s="32" t="inlineStr">
        <is>
          <t>B0DDR5VW96</t>
        </is>
      </c>
      <c r="C114" s="32" t="inlineStr">
        <is>
          <t>SS-SATIN-ROSEWOOD-QUEEN-4PCS</t>
        </is>
      </c>
      <c r="D114" s="32" t="inlineStr">
        <is>
          <t>SLEEP SANCTUARY Satin Sheets Queen Size – 4 Piece Luxury Silky Bed Set, Softer Than Silk, 15" Deep Pocket, Cooling &amp; Wrinkle-Free, Moisture-Wicking &amp; Breathable for Hair &amp; Skin (Rosewood)</t>
        </is>
      </c>
      <c r="E114" s="32" t="inlineStr">
        <is>
          <t>Queen</t>
        </is>
      </c>
      <c r="F114" s="32" t="inlineStr">
        <is>
          <t>Rosewood</t>
        </is>
      </c>
      <c r="G114" s="60" t="n">
        <v>31.95</v>
      </c>
      <c r="H114" s="32" t="inlineStr">
        <is>
          <t>SellerBoard listing price, 2026-10-14</t>
        </is>
      </c>
      <c r="I114" s="61" t="n">
        <v>33.95</v>
      </c>
      <c r="J114" s="62" t="inlineStr">
        <is>
          <t>2026-03-30</t>
        </is>
      </c>
      <c r="K114" s="33" t="n">
        <v>12.58</v>
      </c>
      <c r="L114" s="63" t="n">
        <v>0.3705449189985273</v>
      </c>
      <c r="M114" s="64" t="n"/>
      <c r="N114" s="32" t="inlineStr">
        <is>
          <t>Inactive</t>
        </is>
      </c>
      <c r="O114" s="32" t="n"/>
      <c r="P114" s="65" t="n"/>
      <c r="Q114" s="64" t="n"/>
      <c r="R114" s="64" t="n"/>
      <c r="S114" s="64" t="n"/>
      <c r="T114" s="32" t="n"/>
    </row>
    <row r="115" ht="62" customHeight="1">
      <c r="A115" s="10">
        <f>_xlfn.IMAGE("https://m.media-amazon.com/images/I/81B6BzVilhL.jpg")</f>
        <v/>
      </c>
      <c r="B115" s="32" t="inlineStr">
        <is>
          <t>B0DDRDPMNM</t>
        </is>
      </c>
      <c r="C115" s="32" t="inlineStr">
        <is>
          <t>SS-SATIN-SEA-TEAL-QUEEN-4PCS</t>
        </is>
      </c>
      <c r="D115" s="32" t="inlineStr">
        <is>
          <t>SLEEP SANCTUARY Satin Sheets Queen Size – 4 Piece Luxury Silky Bed Set, Softer Than Silk, 15" Deep Pocket, Cooling &amp; Wrinkle-Free, Moisture-Wicking &amp; Breathable for Hair &amp; Skin (Sea Teal)</t>
        </is>
      </c>
      <c r="E115" s="32" t="inlineStr">
        <is>
          <t>Queen</t>
        </is>
      </c>
      <c r="F115" s="32" t="inlineStr">
        <is>
          <t>Sea Teal</t>
        </is>
      </c>
      <c r="G115" s="60" t="n">
        <v>33.95</v>
      </c>
      <c r="H115" s="32" t="inlineStr">
        <is>
          <t>SellerBoard listing price, 2026-10-14</t>
        </is>
      </c>
      <c r="I115" s="33" t="n"/>
      <c r="J115" s="32" t="n"/>
      <c r="K115" s="33" t="n"/>
      <c r="L115" s="63" t="n"/>
      <c r="M115" s="64" t="n"/>
      <c r="N115" s="32" t="inlineStr">
        <is>
          <t>Inactive</t>
        </is>
      </c>
      <c r="O115" s="32" t="n"/>
      <c r="P115" s="65" t="n"/>
      <c r="Q115" s="64" t="n"/>
      <c r="R115" s="64" t="n"/>
      <c r="S115" s="64" t="n"/>
      <c r="T115" s="32" t="n"/>
    </row>
    <row r="116" ht="62" customHeight="1">
      <c r="A116" s="10">
        <f>_xlfn.IMAGE("https://m.media-amazon.com/images/I/816iXpTTsDL.jpg")</f>
        <v/>
      </c>
      <c r="B116" s="32" t="inlineStr">
        <is>
          <t>B0DDQX4176</t>
        </is>
      </c>
      <c r="C116" s="32" t="inlineStr">
        <is>
          <t>SS-SATIN-STONE-GREY-QUEEN-4PCS</t>
        </is>
      </c>
      <c r="D116" s="32" t="inlineStr">
        <is>
          <t>SLEEP SANCTUARY Satin Sheets Queen Size – 4 Piece Luxury Silky Bed Set, Softer Than Silk, 15" Deep Pocket, Cooling &amp; Wrinkle-Free, Moisture-Wicking &amp; Breathable for Hair &amp; Skin (Stone Grey)</t>
        </is>
      </c>
      <c r="E116" s="32" t="inlineStr">
        <is>
          <t>Queen</t>
        </is>
      </c>
      <c r="F116" s="32" t="inlineStr">
        <is>
          <t>Stone Grey</t>
        </is>
      </c>
      <c r="G116" s="60" t="n">
        <v>31.95</v>
      </c>
      <c r="H116" s="32" t="inlineStr">
        <is>
          <t>SellerBoard listing price, 2026-10-14</t>
        </is>
      </c>
      <c r="I116" s="61" t="n">
        <v>37.95</v>
      </c>
      <c r="J116" s="62" t="inlineStr">
        <is>
          <t>2026-03-30</t>
        </is>
      </c>
      <c r="K116" s="33" t="n">
        <v>15.12000000000001</v>
      </c>
      <c r="L116" s="63" t="n">
        <v>0.398418972332016</v>
      </c>
      <c r="M116" s="64" t="n"/>
      <c r="N116" s="32" t="inlineStr">
        <is>
          <t>Inactive</t>
        </is>
      </c>
      <c r="O116" s="32" t="n"/>
      <c r="P116" s="65" t="n"/>
      <c r="Q116" s="64" t="n"/>
      <c r="R116" s="64" t="n"/>
      <c r="S116" s="64" t="n"/>
      <c r="T116" s="32" t="n"/>
    </row>
    <row r="117" ht="62" customHeight="1">
      <c r="A117" s="10">
        <f>_xlfn.IMAGE("https://m.media-amazon.com/images/I/81qEq06R1GL.jpg")</f>
        <v/>
      </c>
      <c r="B117" s="32" t="inlineStr">
        <is>
          <t>B0DDQV5F8M</t>
        </is>
      </c>
      <c r="C117" s="32" t="inlineStr">
        <is>
          <t>SS-SATIN-STRIPED-BLACK-QUEEN-4PCS</t>
        </is>
      </c>
      <c r="D117" s="32" t="inlineStr">
        <is>
          <t>SLEEP SANCTUARY Satin Sheets Queen Size – 4 Piece Luxury Silky Bed Set, Softer Than Silk, 15" Deep Pocket, Cooling &amp; Wrinkle-Free, Moisture-Wicking &amp; Breathable for Hair &amp; Skin (Striped Black)</t>
        </is>
      </c>
      <c r="E117" s="32" t="inlineStr">
        <is>
          <t>Queen</t>
        </is>
      </c>
      <c r="F117" s="32" t="inlineStr">
        <is>
          <t>Striped Black</t>
        </is>
      </c>
      <c r="G117" s="60" t="n">
        <v>31.95</v>
      </c>
      <c r="H117" s="32" t="inlineStr">
        <is>
          <t>SellerBoard listing price, 2026-10-14</t>
        </is>
      </c>
      <c r="I117" s="33" t="n"/>
      <c r="J117" s="32" t="n"/>
      <c r="K117" s="33" t="n"/>
      <c r="L117" s="63" t="n"/>
      <c r="M117" s="64" t="n"/>
      <c r="N117" s="32" t="inlineStr">
        <is>
          <t>Inactive</t>
        </is>
      </c>
      <c r="O117" s="32" t="n"/>
      <c r="P117" s="65" t="n"/>
      <c r="Q117" s="64" t="n"/>
      <c r="R117" s="64" t="n"/>
      <c r="S117" s="64" t="n"/>
      <c r="T117" s="32" t="n"/>
    </row>
    <row r="118" ht="62" customHeight="1">
      <c r="A118" s="10">
        <f>_xlfn.IMAGE("https://m.media-amazon.com/images/I/81c0TeFW0bL.jpg")</f>
        <v/>
      </c>
      <c r="B118" s="32" t="inlineStr">
        <is>
          <t>B0DDRB21ZG</t>
        </is>
      </c>
      <c r="C118" s="32" t="inlineStr">
        <is>
          <t>SS-SATIN-STRIPED-GOLD-QUEEN-4PCS</t>
        </is>
      </c>
      <c r="D118" s="32" t="inlineStr">
        <is>
          <t>SLEEP SANCTUARY Satin Sheets Queen Size – 4 Piece Luxury Silky Bed Set, Softer Than Silk, 15" Deep Pocket, Cooling &amp; Wrinkle-Free, Moisture-Wicking &amp; Breathable for Hair &amp; Skin (Striped Gold)</t>
        </is>
      </c>
      <c r="E118" s="32" t="inlineStr">
        <is>
          <t>Queen</t>
        </is>
      </c>
      <c r="F118" s="32" t="inlineStr">
        <is>
          <t>Striped Gold</t>
        </is>
      </c>
      <c r="G118" s="60" t="n">
        <v>33.95</v>
      </c>
      <c r="H118" s="32" t="inlineStr">
        <is>
          <t>Helium 10 Xray, 2026-10-13</t>
        </is>
      </c>
      <c r="I118" s="61" t="n">
        <v>33.95</v>
      </c>
      <c r="J118" s="62" t="inlineStr">
        <is>
          <t>2026-03-30</t>
        </is>
      </c>
      <c r="K118" s="33" t="n">
        <v>10.13</v>
      </c>
      <c r="L118" s="63" t="n">
        <v>0.298379970544919</v>
      </c>
      <c r="M118" s="64" t="n">
        <v>0</v>
      </c>
      <c r="N118" s="32" t="inlineStr">
        <is>
          <t>Active</t>
        </is>
      </c>
      <c r="O118" s="32" t="n"/>
      <c r="P118" s="65" t="n">
        <v>4.4</v>
      </c>
      <c r="Q118" s="64" t="n">
        <v>1080</v>
      </c>
      <c r="R118" s="64" t="n">
        <v>28101</v>
      </c>
      <c r="S118" s="64" t="n">
        <v>0.9351</v>
      </c>
      <c r="T118" s="32" t="n"/>
    </row>
    <row r="119" ht="62" customHeight="1">
      <c r="A119" s="10">
        <f>_xlfn.IMAGE("https://m.media-amazon.com/images/I/81EuG0SlLvL.jpg")</f>
        <v/>
      </c>
      <c r="B119" s="32" t="inlineStr">
        <is>
          <t>B0DDR3NYFT</t>
        </is>
      </c>
      <c r="C119" s="32" t="inlineStr">
        <is>
          <t>SS-SATIN-STRIPED-GREY-QUEEN-4PCS</t>
        </is>
      </c>
      <c r="D119" s="32" t="inlineStr">
        <is>
          <t>SLEEP SANCTUARY Satin Sheets Queen Size – 4 Piece Luxury Silky Bed Set, Softer Than Silk, 15" Deep Pocket, Cooling &amp; Wrinkle-Free, Moisture-Wicking &amp; Breathable for Hair &amp; Skin (Striped Grey)</t>
        </is>
      </c>
      <c r="E119" s="32" t="inlineStr">
        <is>
          <t>Queen</t>
        </is>
      </c>
      <c r="F119" s="32" t="inlineStr">
        <is>
          <t>Striped Grey</t>
        </is>
      </c>
      <c r="G119" s="60" t="n">
        <v>33.95</v>
      </c>
      <c r="H119" s="32" t="inlineStr">
        <is>
          <t>SellerBoard listing price, 2026-10-14</t>
        </is>
      </c>
      <c r="I119" s="61" t="n">
        <v>33.95</v>
      </c>
      <c r="J119" s="62" t="inlineStr">
        <is>
          <t>2026-03-30</t>
        </is>
      </c>
      <c r="K119" s="33" t="n">
        <v>7.850000000000001</v>
      </c>
      <c r="L119" s="63" t="n">
        <v>0.2312223858615611</v>
      </c>
      <c r="M119" s="64" t="n"/>
      <c r="N119" s="32" t="inlineStr">
        <is>
          <t>Inactive</t>
        </is>
      </c>
      <c r="O119" s="32" t="n"/>
      <c r="P119" s="65" t="n"/>
      <c r="Q119" s="64" t="n"/>
      <c r="R119" s="64" t="n"/>
      <c r="S119" s="64" t="n"/>
      <c r="T119" s="32" t="n"/>
    </row>
    <row r="120" ht="62" customHeight="1">
      <c r="A120" s="10">
        <f>_xlfn.IMAGE("https://m.media-amazon.com/images/I/81qxRfk+zkL.jpg")</f>
        <v/>
      </c>
      <c r="B120" s="32" t="inlineStr">
        <is>
          <t>B0DDRC33TZ</t>
        </is>
      </c>
      <c r="C120" s="32" t="inlineStr">
        <is>
          <t>SS-SATIN-STRIPED-PURPLE-QUEEN-4PCS</t>
        </is>
      </c>
      <c r="D120" s="32" t="inlineStr">
        <is>
          <t>SLEEP SANCTUARY Satin Sheets Queen Size – 4 Piece Luxury Silky Bed Set, Softer Than Silk, 15" Deep Pocket, Cooling &amp; Wrinkle-Free, Moisture-Wicking &amp; Breathable for Hair &amp; Skin (Striped Purple)</t>
        </is>
      </c>
      <c r="E120" s="32" t="inlineStr">
        <is>
          <t>Queen</t>
        </is>
      </c>
      <c r="F120" s="32" t="inlineStr">
        <is>
          <t>Striped Purple</t>
        </is>
      </c>
      <c r="G120" s="60" t="n">
        <v>33.95</v>
      </c>
      <c r="H120" s="32" t="inlineStr">
        <is>
          <t>SellerBoard listing price, 2026-10-14</t>
        </is>
      </c>
      <c r="I120" s="61" t="n">
        <v>33.95</v>
      </c>
      <c r="J120" s="62" t="inlineStr">
        <is>
          <t>2026-03-30</t>
        </is>
      </c>
      <c r="K120" s="33" t="n">
        <v>10.47</v>
      </c>
      <c r="L120" s="63" t="n">
        <v>0.3083946980854198</v>
      </c>
      <c r="M120" s="64" t="n"/>
      <c r="N120" s="32" t="inlineStr">
        <is>
          <t>Inactive</t>
        </is>
      </c>
      <c r="O120" s="32" t="n"/>
      <c r="P120" s="65" t="n"/>
      <c r="Q120" s="64" t="n"/>
      <c r="R120" s="64" t="n"/>
      <c r="S120" s="64" t="n"/>
      <c r="T120" s="32" t="n"/>
    </row>
    <row r="121" ht="62" customHeight="1">
      <c r="A121" s="10">
        <f>_xlfn.IMAGE("https://m.media-amazon.com/images/I/81umFKx0vnL.jpg")</f>
        <v/>
      </c>
      <c r="B121" s="32" t="inlineStr">
        <is>
          <t>B0DDR1X5B9</t>
        </is>
      </c>
      <c r="C121" s="32" t="inlineStr">
        <is>
          <t>SS-SATIN-STRIPED-WHITE-QUEEN-4PCS</t>
        </is>
      </c>
      <c r="D121" s="32" t="inlineStr">
        <is>
          <t>SLEEP SANCTUARY Satin Sheets Queen Size – 4 Piece Luxury Silky Bed Set, Softer Than Silk, 15" Deep Pocket, Cooling &amp; Wrinkle-Free, Moisture-Wicking &amp; Breathable for Hair &amp; Skin (Striped White)</t>
        </is>
      </c>
      <c r="E121" s="32" t="inlineStr">
        <is>
          <t>Queen</t>
        </is>
      </c>
      <c r="F121" s="32" t="inlineStr">
        <is>
          <t>Striped White</t>
        </is>
      </c>
      <c r="G121" s="60" t="n">
        <v>31.95</v>
      </c>
      <c r="H121" s="32" t="inlineStr">
        <is>
          <t>SellerBoard listing price, 2026-10-14</t>
        </is>
      </c>
      <c r="I121" s="61" t="n">
        <v>33.95</v>
      </c>
      <c r="J121" s="62" t="inlineStr">
        <is>
          <t>2026-03-30</t>
        </is>
      </c>
      <c r="K121" s="33" t="n">
        <v>9.440000000000001</v>
      </c>
      <c r="L121" s="63" t="n">
        <v>0.2780559646539028</v>
      </c>
      <c r="M121" s="64" t="n"/>
      <c r="N121" s="32" t="inlineStr">
        <is>
          <t>Inactive</t>
        </is>
      </c>
      <c r="O121" s="32" t="n"/>
      <c r="P121" s="65" t="n"/>
      <c r="Q121" s="64" t="n"/>
      <c r="R121" s="64" t="n"/>
      <c r="S121" s="64" t="n"/>
      <c r="T121" s="32" t="n"/>
    </row>
    <row r="122" ht="62" customHeight="1">
      <c r="A122" s="10">
        <f>_xlfn.IMAGE("https://m.media-amazon.com/images/I/818RX-kt6VL.jpg")</f>
        <v/>
      </c>
      <c r="B122" s="32" t="inlineStr">
        <is>
          <t>B0DDR1DYR6</t>
        </is>
      </c>
      <c r="C122" s="32" t="inlineStr">
        <is>
          <t>SS-SATIN-WHITE-QUEEN-4PCS</t>
        </is>
      </c>
      <c r="D122" s="32" t="inlineStr">
        <is>
          <t>SLEEP SANCTUARY Satin Sheets Queen Size – 4 Piece Luxury Silky Bed Set, Softer Than Silk, 15" Deep Pocket, Cooling &amp; Wrinkle-Free, Moisture-Wicking &amp; Breathable for Hair &amp; Skin (White)</t>
        </is>
      </c>
      <c r="E122" s="32" t="inlineStr">
        <is>
          <t>Queen</t>
        </is>
      </c>
      <c r="F122" s="32" t="inlineStr">
        <is>
          <t>White</t>
        </is>
      </c>
      <c r="G122" s="60" t="n">
        <v>45.95</v>
      </c>
      <c r="H122" s="32" t="inlineStr">
        <is>
          <t>SellerBoard listing price, 2026-10-14</t>
        </is>
      </c>
      <c r="I122" s="61" t="n">
        <v>33.95</v>
      </c>
      <c r="J122" s="62" t="inlineStr">
        <is>
          <t>2026-03-30</t>
        </is>
      </c>
      <c r="K122" s="33" t="n">
        <v>12.57</v>
      </c>
      <c r="L122" s="63" t="n">
        <v>0.3702503681885125</v>
      </c>
      <c r="M122" s="64" t="n"/>
      <c r="N122" s="32" t="inlineStr">
        <is>
          <t>Inactive</t>
        </is>
      </c>
      <c r="O122" s="32" t="n"/>
      <c r="P122" s="65" t="n"/>
      <c r="Q122" s="64" t="n"/>
      <c r="R122" s="64" t="n"/>
      <c r="S122" s="64" t="n"/>
      <c r="T122" s="32" t="n"/>
    </row>
    <row r="123" ht="62" customHeight="1">
      <c r="A123" s="10">
        <f>_xlfn.IMAGE("https://m.media-amazon.com/images/I/81qEq06R1GL.jpg")</f>
        <v/>
      </c>
      <c r="B123" s="32" t="inlineStr">
        <is>
          <t>B0DDR9ZDTW</t>
        </is>
      </c>
      <c r="C123" s="32" t="inlineStr">
        <is>
          <t>SS-SATIN-BABY-BLUE-TWIN-3PCS</t>
        </is>
      </c>
      <c r="D123" s="32" t="inlineStr">
        <is>
          <t>SLEEP SANCTUARY Satin Sheets Twin Size – 3 Piece Luxury Silky Bed Set, Softer Than Silk, 15" Deep Pocket, Cooling &amp; Wrinkle-Free, Moisture-Wicking &amp; Breathable for Hair &amp; Skin (Baby Blue)</t>
        </is>
      </c>
      <c r="E123" s="32" t="inlineStr">
        <is>
          <t>Twin</t>
        </is>
      </c>
      <c r="F123" s="32" t="inlineStr">
        <is>
          <t>Baby Blue</t>
        </is>
      </c>
      <c r="G123" s="60" t="n">
        <v>27.95</v>
      </c>
      <c r="H123" s="32" t="inlineStr">
        <is>
          <t>SellerBoard listing price, 2026-10-14</t>
        </is>
      </c>
      <c r="I123" s="61" t="n">
        <v>29.95</v>
      </c>
      <c r="J123" s="62" t="inlineStr">
        <is>
          <t>2026-03-30</t>
        </is>
      </c>
      <c r="K123" s="33" t="n">
        <v>10.53</v>
      </c>
      <c r="L123" s="63" t="n">
        <v>0.3515859766277128</v>
      </c>
      <c r="M123" s="64" t="n"/>
      <c r="N123" s="32" t="inlineStr">
        <is>
          <t>Inactive</t>
        </is>
      </c>
      <c r="O123" s="32" t="n"/>
      <c r="P123" s="65" t="n"/>
      <c r="Q123" s="64" t="n"/>
      <c r="R123" s="64" t="n"/>
      <c r="S123" s="64" t="n"/>
      <c r="T123" s="32" t="n"/>
    </row>
    <row r="124" ht="62" customHeight="1">
      <c r="A124" s="10">
        <f>_xlfn.IMAGE("https://m.media-amazon.com/images/I/81qEq06R1GL.jpg")</f>
        <v/>
      </c>
      <c r="B124" s="32" t="inlineStr">
        <is>
          <t>B0DDRCSW2N</t>
        </is>
      </c>
      <c r="C124" s="32" t="inlineStr">
        <is>
          <t>SS-SATIN-BLACK-TWIN-3PCS</t>
        </is>
      </c>
      <c r="D124" s="32" t="inlineStr">
        <is>
          <t>SLEEP SANCTUARY Satin Sheets Twin Size – 3 Piece Luxury Silky Bed Set, Softer Than Silk, 15" Deep Pocket, Cooling &amp; Wrinkle-Free, Moisture-Wicking &amp; Breathable for Hair &amp; Skin (Black)</t>
        </is>
      </c>
      <c r="E124" s="32" t="inlineStr">
        <is>
          <t>Twin</t>
        </is>
      </c>
      <c r="F124" s="32" t="inlineStr">
        <is>
          <t>Black</t>
        </is>
      </c>
      <c r="G124" s="60" t="n">
        <v>29.95</v>
      </c>
      <c r="H124" s="32" t="inlineStr">
        <is>
          <t>SellerBoard listing price, 2026-10-14</t>
        </is>
      </c>
      <c r="I124" s="61" t="n">
        <v>35.95</v>
      </c>
      <c r="J124" s="62" t="inlineStr">
        <is>
          <t>2026-03-30</t>
        </is>
      </c>
      <c r="K124" s="33" t="n">
        <v>16.85</v>
      </c>
      <c r="L124" s="63" t="n">
        <v>0.4687065368567455</v>
      </c>
      <c r="M124" s="64" t="n"/>
      <c r="N124" s="32" t="inlineStr">
        <is>
          <t>Inactive</t>
        </is>
      </c>
      <c r="O124" s="32" t="n"/>
      <c r="P124" s="65" t="n"/>
      <c r="Q124" s="64" t="n"/>
      <c r="R124" s="64" t="n"/>
      <c r="S124" s="64" t="n"/>
      <c r="T124" s="32" t="n"/>
    </row>
    <row r="125" ht="62" customHeight="1">
      <c r="A125" s="10">
        <f>_xlfn.IMAGE("https://m.media-amazon.com/images/I/81q5RxTETDL.jpg")</f>
        <v/>
      </c>
      <c r="B125" s="32" t="inlineStr">
        <is>
          <t>B0DDRF485L</t>
        </is>
      </c>
      <c r="C125" s="32" t="inlineStr">
        <is>
          <t>SS-SATIN-BURNT-ORANGE-TWIN-3PCS</t>
        </is>
      </c>
      <c r="D125" s="32" t="inlineStr">
        <is>
          <t>SLEEP SANCTUARY Satin Sheets Twin Size – 3 Piece Luxury Silky Bed Set, Softer Than Silk, 15" Deep Pocket, Cooling &amp; Wrinkle-Free, Moisture-Wicking &amp; Breathable for Hair &amp; Skin (Burnt Orange)</t>
        </is>
      </c>
      <c r="E125" s="32" t="inlineStr">
        <is>
          <t>Twin</t>
        </is>
      </c>
      <c r="F125" s="32" t="inlineStr">
        <is>
          <t>Burnt Orange</t>
        </is>
      </c>
      <c r="G125" s="60" t="n">
        <v>29.95</v>
      </c>
      <c r="H125" s="32" t="inlineStr">
        <is>
          <t>Helium 10 Xray, 2026-10-13</t>
        </is>
      </c>
      <c r="I125" s="61" t="n">
        <v>29.95</v>
      </c>
      <c r="J125" s="62" t="inlineStr">
        <is>
          <t>2026-03-30</t>
        </is>
      </c>
      <c r="K125" s="33" t="n">
        <v>12.26</v>
      </c>
      <c r="L125" s="63" t="n">
        <v>0.4093489148580968</v>
      </c>
      <c r="M125" s="64" t="n">
        <v>0</v>
      </c>
      <c r="N125" s="32" t="inlineStr">
        <is>
          <t>Active</t>
        </is>
      </c>
      <c r="O125" s="32" t="n"/>
      <c r="P125" s="65" t="n">
        <v>4.4</v>
      </c>
      <c r="Q125" s="64" t="n">
        <v>1080</v>
      </c>
      <c r="R125" s="64" t="n">
        <v>28101</v>
      </c>
      <c r="S125" s="64" t="n">
        <v>9</v>
      </c>
      <c r="T125" s="32" t="n"/>
    </row>
    <row r="126" ht="62" customHeight="1">
      <c r="A126" s="10">
        <f>_xlfn.IMAGE("https://m.media-amazon.com/images/I/81dWPG6osuL.jpg")</f>
        <v/>
      </c>
      <c r="B126" s="32" t="inlineStr">
        <is>
          <t>B0DDR96RQ3</t>
        </is>
      </c>
      <c r="C126" s="32" t="inlineStr">
        <is>
          <t>SS-SATIN-CHAMPAGNE-TWIN-3PCS</t>
        </is>
      </c>
      <c r="D126" s="32" t="inlineStr">
        <is>
          <t>SLEEP SANCTUARY Satin Sheets Twin Size – 3 Piece Luxury Silky Bed Set, Softer Than Silk, 15" Deep Pocket, Cooling &amp; Wrinkle-Free, Moisture-Wicking &amp; Breathable for Hair &amp; Skin (Champagne)</t>
        </is>
      </c>
      <c r="E126" s="32" t="inlineStr">
        <is>
          <t>Twin</t>
        </is>
      </c>
      <c r="F126" s="32" t="inlineStr">
        <is>
          <t>Champagne</t>
        </is>
      </c>
      <c r="G126" s="60" t="n">
        <v>36.95</v>
      </c>
      <c r="H126" s="32" t="inlineStr">
        <is>
          <t>Helium 10 Xray, 2026-10-13</t>
        </is>
      </c>
      <c r="I126" s="61" t="n">
        <v>29.95</v>
      </c>
      <c r="J126" s="62" t="inlineStr">
        <is>
          <t>2026-03-30</t>
        </is>
      </c>
      <c r="K126" s="33" t="n">
        <v>11.12</v>
      </c>
      <c r="L126" s="63" t="n">
        <v>0.3712854757929883</v>
      </c>
      <c r="M126" s="64" t="n">
        <v>0</v>
      </c>
      <c r="N126" s="32" t="inlineStr">
        <is>
          <t>Active</t>
        </is>
      </c>
      <c r="O126" s="32" t="n"/>
      <c r="P126" s="65" t="n">
        <v>4.4</v>
      </c>
      <c r="Q126" s="64" t="n">
        <v>1080</v>
      </c>
      <c r="R126" s="64" t="n">
        <v>28101</v>
      </c>
      <c r="S126" s="64" t="n">
        <v>2</v>
      </c>
      <c r="T126" s="32" t="n"/>
    </row>
    <row r="127" ht="62" customHeight="1">
      <c r="A127" s="10">
        <f>_xlfn.IMAGE("https://m.media-amazon.com/images/I/81NQCabFrWL.jpg")</f>
        <v/>
      </c>
      <c r="B127" s="32" t="inlineStr">
        <is>
          <t>B0DDQTZWY6</t>
        </is>
      </c>
      <c r="C127" s="32" t="inlineStr">
        <is>
          <t>SS-SATIN-RED-TWIN-3PCS</t>
        </is>
      </c>
      <c r="D127" s="32" t="inlineStr">
        <is>
          <t>SLEEP SANCTUARY Satin Sheets Twin Size – 3 Piece Luxury Silky Bed Set, Softer Than Silk, 15" Deep Pocket, Cooling &amp; Wrinkle-Free, Moisture-Wicking &amp; Breathable for Hair &amp; Skin (Red)</t>
        </is>
      </c>
      <c r="E127" s="32" t="inlineStr">
        <is>
          <t>Twin</t>
        </is>
      </c>
      <c r="F127" s="32" t="inlineStr">
        <is>
          <t>Red</t>
        </is>
      </c>
      <c r="G127" s="60" t="n">
        <v>29.95</v>
      </c>
      <c r="H127" s="32" t="inlineStr">
        <is>
          <t>Helium 10 Xray, 2026-10-13</t>
        </is>
      </c>
      <c r="I127" s="61" t="n">
        <v>35.95</v>
      </c>
      <c r="J127" s="62" t="inlineStr">
        <is>
          <t>2026-03-30</t>
        </is>
      </c>
      <c r="K127" s="33" t="n">
        <v>16.98</v>
      </c>
      <c r="L127" s="63" t="n">
        <v>0.4723226703755216</v>
      </c>
      <c r="M127" s="64" t="n">
        <v>0</v>
      </c>
      <c r="N127" s="32" t="inlineStr">
        <is>
          <t>Active</t>
        </is>
      </c>
      <c r="O127" s="32" t="n"/>
      <c r="P127" s="65" t="n">
        <v>4.4</v>
      </c>
      <c r="Q127" s="64" t="n">
        <v>1080</v>
      </c>
      <c r="R127" s="64" t="n">
        <v>28101</v>
      </c>
      <c r="S127" s="64" t="n">
        <v>7</v>
      </c>
      <c r="T127" s="32" t="n"/>
    </row>
    <row r="128" ht="62" customHeight="1">
      <c r="A128" s="10">
        <f>_xlfn.IMAGE("https://m.media-amazon.com/images/I/81qEq06R1GL.jpg")</f>
        <v/>
      </c>
      <c r="B128" s="32" t="inlineStr">
        <is>
          <t>B0DDR3RYKF</t>
        </is>
      </c>
      <c r="C128" s="32" t="inlineStr">
        <is>
          <t>SS-SATIN-STRIPED-BLACK-TWIN-3PCS</t>
        </is>
      </c>
      <c r="D128" s="32" t="inlineStr">
        <is>
          <t>SLEEP SANCTUARY Satin Sheets Twin Size – 3 Piece Luxury Silky Bed Set, Softer Than Silk, 15" Deep Pocket, Cooling &amp; Wrinkle-Free, Moisture-Wicking &amp; Breathable for Hair &amp; Skin (Striped Black)</t>
        </is>
      </c>
      <c r="E128" s="32" t="inlineStr">
        <is>
          <t>Twin</t>
        </is>
      </c>
      <c r="F128" s="32" t="inlineStr">
        <is>
          <t>Striped Black</t>
        </is>
      </c>
      <c r="G128" s="60" t="n">
        <v>29.95</v>
      </c>
      <c r="H128" s="32" t="inlineStr">
        <is>
          <t>SellerBoard listing price, 2026-10-14</t>
        </is>
      </c>
      <c r="I128" s="61" t="n">
        <v>31.95</v>
      </c>
      <c r="J128" s="62" t="inlineStr">
        <is>
          <t>2026-03-20</t>
        </is>
      </c>
      <c r="K128" s="33" t="n">
        <v>12.3</v>
      </c>
      <c r="L128" s="63" t="n">
        <v>0.3849765258215963</v>
      </c>
      <c r="M128" s="64" t="n"/>
      <c r="N128" s="32" t="inlineStr">
        <is>
          <t>Inactive</t>
        </is>
      </c>
      <c r="O128" s="32" t="n"/>
      <c r="P128" s="65" t="n"/>
      <c r="Q128" s="64" t="n"/>
      <c r="R128" s="64" t="n"/>
      <c r="S128" s="64" t="n"/>
      <c r="T128" s="32" t="n"/>
    </row>
    <row r="129" ht="62" customHeight="1">
      <c r="A129" s="10">
        <f>_xlfn.IMAGE("https://m.media-amazon.com/images/I/81IuYnZdF7L.jpg")</f>
        <v/>
      </c>
      <c r="B129" s="32" t="inlineStr">
        <is>
          <t>B0DDR9XL62</t>
        </is>
      </c>
      <c r="C129" s="32" t="inlineStr">
        <is>
          <t>SS-SATIN-STRIPED-BLUE-TWIN-3PCS</t>
        </is>
      </c>
      <c r="D129" s="32" t="inlineStr">
        <is>
          <t>SLEEP SANCTUARY Satin Sheets Twin Size – 3 Piece Luxury Silky Bed Set, Softer Than Silk, 15" Deep Pocket, Cooling &amp; Wrinkle-Free, Moisture-Wicking &amp; Breathable for Hair &amp; Skin (Striped Blue)</t>
        </is>
      </c>
      <c r="E129" s="32" t="inlineStr">
        <is>
          <t>Twin</t>
        </is>
      </c>
      <c r="F129" s="32" t="inlineStr">
        <is>
          <t>Striped Blue</t>
        </is>
      </c>
      <c r="G129" s="60" t="n">
        <v>29.95</v>
      </c>
      <c r="H129" s="32" t="inlineStr">
        <is>
          <t>Helium 10 Xray, 2026-10-13</t>
        </is>
      </c>
      <c r="I129" s="61" t="n">
        <v>33.95</v>
      </c>
      <c r="J129" s="62" t="inlineStr">
        <is>
          <t>2026-03-30</t>
        </is>
      </c>
      <c r="K129" s="33" t="n">
        <v>12.1</v>
      </c>
      <c r="L129" s="63" t="n">
        <v>0.3564064801178205</v>
      </c>
      <c r="M129" s="64" t="n">
        <v>0</v>
      </c>
      <c r="N129" s="32" t="inlineStr">
        <is>
          <t>Active</t>
        </is>
      </c>
      <c r="O129" s="32" t="n"/>
      <c r="P129" s="65" t="n">
        <v>4.4</v>
      </c>
      <c r="Q129" s="64" t="n">
        <v>1080</v>
      </c>
      <c r="R129" s="64" t="n">
        <v>28101</v>
      </c>
      <c r="S129" s="64" t="n">
        <v>9</v>
      </c>
      <c r="T129" s="32" t="n"/>
    </row>
    <row r="130" ht="62" customHeight="1">
      <c r="A130" s="10">
        <f>_xlfn.IMAGE("https://m.media-amazon.com/images/I/81c0TeFW0bL.jpg")</f>
        <v/>
      </c>
      <c r="B130" s="32" t="inlineStr">
        <is>
          <t>B0DDR85DVM</t>
        </is>
      </c>
      <c r="C130" s="32" t="inlineStr">
        <is>
          <t>SS-SATIN-STRIPED-GOLD-TWIN-3PCS</t>
        </is>
      </c>
      <c r="D130" s="32" t="inlineStr">
        <is>
          <t>SLEEP SANCTUARY Satin Sheets Twin Size – 3 Piece Luxury Silky Bed Set, Softer Than Silk, 15" Deep Pocket, Cooling &amp; Wrinkle-Free, Moisture-Wicking &amp; Breathable for Hair &amp; Skin (Striped Gold)</t>
        </is>
      </c>
      <c r="E130" s="32" t="inlineStr">
        <is>
          <t>Twin</t>
        </is>
      </c>
      <c r="F130" s="32" t="inlineStr">
        <is>
          <t>Striped Gold</t>
        </is>
      </c>
      <c r="G130" s="60" t="n">
        <v>31.95</v>
      </c>
      <c r="H130" s="32" t="inlineStr">
        <is>
          <t>SellerBoard listing price, 2026-10-14</t>
        </is>
      </c>
      <c r="I130" s="61" t="n">
        <v>31.95</v>
      </c>
      <c r="J130" s="62" t="inlineStr">
        <is>
          <t>2026-03-30</t>
        </is>
      </c>
      <c r="K130" s="33" t="n">
        <v>12.3</v>
      </c>
      <c r="L130" s="63" t="n">
        <v>0.3849765258215963</v>
      </c>
      <c r="M130" s="64" t="n">
        <v>0</v>
      </c>
      <c r="N130" s="32" t="inlineStr">
        <is>
          <t>Inactive</t>
        </is>
      </c>
      <c r="O130" s="32" t="n"/>
      <c r="P130" s="65" t="n"/>
      <c r="Q130" s="64" t="n"/>
      <c r="R130" s="64" t="n"/>
      <c r="S130" s="64" t="n"/>
      <c r="T130" s="32" t="n"/>
    </row>
    <row r="131" ht="62" customHeight="1">
      <c r="A131" s="10">
        <f>_xlfn.IMAGE("https://m.media-amazon.com/images/I/81EuG0SlLvL.jpg")</f>
        <v/>
      </c>
      <c r="B131" s="32" t="inlineStr">
        <is>
          <t>B0DDRKHNWQ</t>
        </is>
      </c>
      <c r="C131" s="32" t="inlineStr">
        <is>
          <t>SS-SATIN-STRIPED-GREY-TWIN-3PCS</t>
        </is>
      </c>
      <c r="D131" s="32" t="inlineStr">
        <is>
          <t>SLEEP SANCTUARY Satin Sheets Twin Size – 3 Piece Luxury Silky Bed Set, Softer Than Silk, 15" Deep Pocket, Cooling &amp; Wrinkle-Free, Moisture-Wicking &amp; Breathable for Hair &amp; Skin (Striped Grey)</t>
        </is>
      </c>
      <c r="E131" s="32" t="inlineStr">
        <is>
          <t>Twin</t>
        </is>
      </c>
      <c r="F131" s="32" t="inlineStr">
        <is>
          <t>Striped Grey</t>
        </is>
      </c>
      <c r="G131" s="60" t="n">
        <v>31.95</v>
      </c>
      <c r="H131" s="32" t="inlineStr">
        <is>
          <t>Helium 10 Xray, 2026-10-13</t>
        </is>
      </c>
      <c r="I131" s="61" t="n">
        <v>31.95</v>
      </c>
      <c r="J131" s="62" t="inlineStr">
        <is>
          <t>2026-03-30</t>
        </is>
      </c>
      <c r="K131" s="33" t="n">
        <v>12.3</v>
      </c>
      <c r="L131" s="63" t="n">
        <v>0.3849765258215963</v>
      </c>
      <c r="M131" s="64" t="n">
        <v>0</v>
      </c>
      <c r="N131" s="32" t="inlineStr">
        <is>
          <t>Active</t>
        </is>
      </c>
      <c r="O131" s="32" t="n"/>
      <c r="P131" s="65" t="n">
        <v>4.4</v>
      </c>
      <c r="Q131" s="64" t="n">
        <v>1080</v>
      </c>
      <c r="R131" s="64" t="n">
        <v>28101</v>
      </c>
      <c r="S131" s="64" t="n">
        <v>3</v>
      </c>
      <c r="T131" s="32" t="n"/>
    </row>
    <row r="132" ht="62" customHeight="1">
      <c r="A132" s="10">
        <f>_xlfn.IMAGE("https://m.media-amazon.com/images/I/81qxRfk+zkL.jpg")</f>
        <v/>
      </c>
      <c r="B132" s="32" t="inlineStr">
        <is>
          <t>B0DDR9L9TF</t>
        </is>
      </c>
      <c r="C132" s="32" t="inlineStr">
        <is>
          <t>SS-SATIN-STRIPED-PURPLE-TWIN-3PCS</t>
        </is>
      </c>
      <c r="D132" s="32" t="inlineStr">
        <is>
          <t>SLEEP SANCTUARY Satin Sheets Twin Size – 3 Piece Luxury Silky Bed Set, Softer Than Silk, 15" Deep Pocket, Cooling &amp; Wrinkle-Free, Moisture-Wicking &amp; Breathable for Hair &amp; Skin (Striped Purple)</t>
        </is>
      </c>
      <c r="E132" s="32" t="inlineStr">
        <is>
          <t>Twin</t>
        </is>
      </c>
      <c r="F132" s="32" t="inlineStr">
        <is>
          <t>Striped Purple</t>
        </is>
      </c>
      <c r="G132" s="60" t="n">
        <v>29.95</v>
      </c>
      <c r="H132" s="32" t="inlineStr">
        <is>
          <t>Helium 10 Xray, 2026-10-13</t>
        </is>
      </c>
      <c r="I132" s="61" t="n">
        <v>31.95</v>
      </c>
      <c r="J132" s="62" t="inlineStr">
        <is>
          <t>2026-03-30</t>
        </is>
      </c>
      <c r="K132" s="33" t="n">
        <v>12.3</v>
      </c>
      <c r="L132" s="63" t="n">
        <v>0.3849765258215963</v>
      </c>
      <c r="M132" s="64" t="n">
        <v>0</v>
      </c>
      <c r="N132" s="32" t="inlineStr">
        <is>
          <t>Active</t>
        </is>
      </c>
      <c r="O132" s="32" t="n"/>
      <c r="P132" s="65" t="n">
        <v>4.4</v>
      </c>
      <c r="Q132" s="64" t="n">
        <v>1080</v>
      </c>
      <c r="R132" s="64" t="n">
        <v>28101</v>
      </c>
      <c r="S132" s="64" t="n">
        <v>11</v>
      </c>
      <c r="T132" s="32" t="n"/>
    </row>
    <row r="133" ht="62" customHeight="1">
      <c r="A133" s="10">
        <f>_xlfn.IMAGE("https://m.media-amazon.com/images/I/81Jd40V1dxL.jpg")</f>
        <v/>
      </c>
      <c r="B133" s="32" t="inlineStr">
        <is>
          <t>B0DDR9XL5R</t>
        </is>
      </c>
      <c r="C133" s="32" t="inlineStr">
        <is>
          <t>SS-SATIN-STRIPED-RED-TWIN-3PCS</t>
        </is>
      </c>
      <c r="D133" s="32" t="inlineStr">
        <is>
          <t>SLEEP SANCTUARY Satin Sheets Twin Size – 3 Piece Luxury Silky Bed Set, Softer Than Silk, 15" Deep Pocket, Cooling &amp; Wrinkle-Free, Moisture-Wicking &amp; Breathable for Hair &amp; Skin (Striped Red)</t>
        </is>
      </c>
      <c r="E133" s="32" t="inlineStr">
        <is>
          <t>Twin</t>
        </is>
      </c>
      <c r="F133" s="32" t="inlineStr">
        <is>
          <t>Striped Red</t>
        </is>
      </c>
      <c r="G133" s="60" t="n">
        <v>34.95</v>
      </c>
      <c r="H133" s="32" t="inlineStr">
        <is>
          <t>Helium 10 Xray, 2026-10-13</t>
        </is>
      </c>
      <c r="I133" s="61" t="n">
        <v>34.95</v>
      </c>
      <c r="J133" s="62" t="inlineStr">
        <is>
          <t>2026-03-30</t>
        </is>
      </c>
      <c r="K133" s="33" t="n">
        <v>14.24</v>
      </c>
      <c r="L133" s="63" t="n">
        <v>0.4074391988555078</v>
      </c>
      <c r="M133" s="64" t="n">
        <v>0</v>
      </c>
      <c r="N133" s="32" t="inlineStr">
        <is>
          <t>Active</t>
        </is>
      </c>
      <c r="O133" s="32" t="n"/>
      <c r="P133" s="65" t="n">
        <v>4.4</v>
      </c>
      <c r="Q133" s="64" t="n">
        <v>1080</v>
      </c>
      <c r="R133" s="64" t="n">
        <v>28101</v>
      </c>
      <c r="S133" s="64" t="n">
        <v>2</v>
      </c>
      <c r="T133" s="32" t="n"/>
    </row>
    <row r="134" ht="62" customHeight="1">
      <c r="A134" s="10">
        <f>_xlfn.IMAGE("https://m.media-amazon.com/images/I/81umFKx0vnL.jpg")</f>
        <v/>
      </c>
      <c r="B134" s="32" t="inlineStr">
        <is>
          <t>B0DDR95PQM</t>
        </is>
      </c>
      <c r="C134" s="32" t="inlineStr">
        <is>
          <t>SS-SATIN-STRIPED-WHITE-TWIN-3PCS</t>
        </is>
      </c>
      <c r="D134" s="32" t="inlineStr">
        <is>
          <t>SLEEP SANCTUARY Satin Sheets Twin Size – 3 Piece Luxury Silky Bed Set, Softer Than Silk, 15" Deep Pocket, Cooling &amp; Wrinkle-Free, Moisture-Wicking &amp; Breathable for Hair &amp; Skin (Striped White)</t>
        </is>
      </c>
      <c r="E134" s="32" t="inlineStr">
        <is>
          <t>Twin</t>
        </is>
      </c>
      <c r="F134" s="32" t="inlineStr">
        <is>
          <t>Striped White</t>
        </is>
      </c>
      <c r="G134" s="60" t="n">
        <v>29.95</v>
      </c>
      <c r="H134" s="32" t="inlineStr">
        <is>
          <t>Helium 10 Xray, 2026-10-13</t>
        </is>
      </c>
      <c r="I134" s="61" t="n">
        <v>34.95</v>
      </c>
      <c r="J134" s="62" t="inlineStr">
        <is>
          <t>2026-03-30</t>
        </is>
      </c>
      <c r="K134" s="33" t="n">
        <v>14.24</v>
      </c>
      <c r="L134" s="63" t="n">
        <v>0.4074391988555078</v>
      </c>
      <c r="M134" s="64" t="n">
        <v>0</v>
      </c>
      <c r="N134" s="32" t="inlineStr">
        <is>
          <t>Active</t>
        </is>
      </c>
      <c r="O134" s="32" t="n"/>
      <c r="P134" s="65" t="n">
        <v>4.4</v>
      </c>
      <c r="Q134" s="64" t="n">
        <v>1080</v>
      </c>
      <c r="R134" s="64" t="n">
        <v>28101</v>
      </c>
      <c r="S134" s="64" t="n">
        <v>15</v>
      </c>
      <c r="T134" s="32" t="n"/>
    </row>
    <row r="136" ht="20" customHeight="1">
      <c r="A136" s="54" t="inlineStr">
        <is>
          <t>3 · OUR BFCM 2025 RESULT &amp; EVENT VISIBILITY</t>
        </is>
      </c>
    </row>
    <row r="137">
      <c r="A137" s="67" t="inlineStr">
        <is>
          <t>Window</t>
        </is>
      </c>
      <c r="B137" s="68" t="n"/>
      <c r="C137" s="69" t="n"/>
      <c r="D137" s="67" t="inlineStr">
        <is>
          <t>Ad spend</t>
        </is>
      </c>
      <c r="E137" s="67" t="inlineStr">
        <is>
          <t>Ad sales</t>
        </is>
      </c>
      <c r="F137" s="67" t="inlineStr">
        <is>
          <t>ACoS</t>
        </is>
      </c>
      <c r="G137" s="67" t="inlineStr">
        <is>
          <t>TACoS</t>
        </is>
      </c>
      <c r="H137" s="67" t="inlineStr">
        <is>
          <t>Total sales (derived)</t>
        </is>
      </c>
      <c r="J137" s="67" t="inlineStr">
        <is>
          <t>Ad orders</t>
        </is>
      </c>
      <c r="K137" s="67" t="inlineStr">
        <is>
          <t>CVR</t>
        </is>
      </c>
    </row>
    <row r="138">
      <c r="A138" s="70" t="inlineStr">
        <is>
          <t>Pre-event Oct 21 - Nov 19, 2025 (30d)</t>
        </is>
      </c>
      <c r="B138" s="68" t="n"/>
      <c r="C138" s="69" t="n"/>
      <c r="D138" s="71" t="n">
        <v>6434.679999999999</v>
      </c>
      <c r="E138" s="71" t="n">
        <v>14133.92</v>
      </c>
      <c r="F138" s="72" t="n">
        <v>45.5</v>
      </c>
      <c r="G138" s="72" t="n">
        <v>18.33916168620376</v>
      </c>
      <c r="H138" s="71" t="n">
        <v>35087.1</v>
      </c>
      <c r="J138" s="73" t="n">
        <v>413</v>
      </c>
      <c r="K138" s="74" t="n">
        <v>12.77</v>
      </c>
    </row>
    <row r="139">
      <c r="A139" s="70" t="inlineStr">
        <is>
          <t>BFCM week Nov 20 - Dec 1, 2025 (12d)</t>
        </is>
      </c>
      <c r="B139" s="68" t="n"/>
      <c r="C139" s="69" t="n"/>
      <c r="D139" s="71" t="n">
        <v>5730.2</v>
      </c>
      <c r="E139" s="71" t="n">
        <v>18026.72</v>
      </c>
      <c r="F139" s="72" t="n">
        <v>31.8</v>
      </c>
      <c r="G139" s="72" t="n">
        <v>15.76554888332635</v>
      </c>
      <c r="H139" s="71" t="n">
        <v>36346.34</v>
      </c>
      <c r="J139" s="73" t="n">
        <v>589</v>
      </c>
      <c r="K139" s="74" t="n">
        <v>20.98</v>
      </c>
    </row>
    <row r="140">
      <c r="A140" s="70" t="inlineStr">
        <is>
          <t>December 2 - 31, 2025 (30d)</t>
        </is>
      </c>
      <c r="B140" s="68" t="n"/>
      <c r="C140" s="69" t="n"/>
      <c r="D140" s="71" t="n">
        <v>26758.44</v>
      </c>
      <c r="E140" s="71" t="n">
        <v>74158.53999999999</v>
      </c>
      <c r="F140" s="72" t="n">
        <v>36.1</v>
      </c>
      <c r="G140" s="72" t="n">
        <v>15.22765995950436</v>
      </c>
      <c r="H140" s="71" t="n">
        <v>175722.6</v>
      </c>
      <c r="J140" s="73" t="n">
        <v>2194</v>
      </c>
      <c r="K140" s="74" t="n">
        <v>22.13</v>
      </c>
    </row>
    <row r="142">
      <c r="A142" s="67" t="inlineStr">
        <is>
          <t>Actual sales (SellerBoard)</t>
        </is>
      </c>
      <c r="B142" s="68" t="n"/>
      <c r="C142" s="69" t="n"/>
      <c r="D142" s="67" t="inlineStr">
        <is>
          <t>Sales</t>
        </is>
      </c>
      <c r="E142" s="67" t="inlineStr">
        <is>
          <t>Units</t>
        </is>
      </c>
      <c r="F142" s="67" t="inlineStr">
        <is>
          <t>Organic units</t>
        </is>
      </c>
      <c r="G142" s="67" t="inlineStr">
        <is>
          <t>Ad units</t>
        </is>
      </c>
      <c r="H142" s="67" t="inlineStr">
        <is>
          <t>Ad cost</t>
        </is>
      </c>
      <c r="J142" s="67" t="inlineStr">
        <is>
          <t>TACoS (actual)</t>
        </is>
      </c>
      <c r="K142" s="67" t="inlineStr">
        <is>
          <t>Sessions</t>
        </is>
      </c>
      <c r="L142" s="67" t="inlineStr">
        <is>
          <t>Unit session %</t>
        </is>
      </c>
      <c r="M142" s="67" t="inlineStr">
        <is>
          <t>Avg price</t>
        </is>
      </c>
      <c r="N142" s="67" t="inlineStr">
        <is>
          <t>Refunds</t>
        </is>
      </c>
    </row>
    <row r="143">
      <c r="A143" s="70" t="inlineStr">
        <is>
          <t>Pre-event Oct 21 - Nov 19, 2025 (30d)</t>
        </is>
      </c>
      <c r="B143" s="68" t="n"/>
      <c r="C143" s="69" t="n"/>
      <c r="D143" s="71" t="n">
        <v>35087.1</v>
      </c>
      <c r="E143" s="73" t="n">
        <v>1022</v>
      </c>
      <c r="F143" s="73" t="n">
        <v>893</v>
      </c>
      <c r="G143" s="73" t="n">
        <v>129</v>
      </c>
      <c r="H143" s="71" t="n">
        <v>6436.07</v>
      </c>
      <c r="J143" s="75" t="n">
        <v>0.1834312325612547</v>
      </c>
      <c r="K143" s="73" t="n">
        <v>13752</v>
      </c>
      <c r="L143" s="75" t="n">
        <v>0.07431646305991856</v>
      </c>
      <c r="M143" s="76" t="n">
        <v>34.33180039138943</v>
      </c>
      <c r="N143" s="73" t="n">
        <v>65</v>
      </c>
    </row>
    <row r="144">
      <c r="A144" s="70" t="inlineStr">
        <is>
          <t>BFCM week Nov 20 - Dec 1, 2025 (12d)</t>
        </is>
      </c>
      <c r="B144" s="68" t="n"/>
      <c r="C144" s="69" t="n"/>
      <c r="D144" s="71" t="n">
        <v>36346.34</v>
      </c>
      <c r="E144" s="73" t="n">
        <v>1207</v>
      </c>
      <c r="F144" s="73" t="n">
        <v>1082</v>
      </c>
      <c r="G144" s="73" t="n">
        <v>125</v>
      </c>
      <c r="H144" s="71" t="n">
        <v>5731.36</v>
      </c>
      <c r="J144" s="75" t="n">
        <v>0.1576874040137191</v>
      </c>
      <c r="K144" s="73" t="n">
        <v>14508</v>
      </c>
      <c r="L144" s="75" t="n">
        <v>0.08319547835676869</v>
      </c>
      <c r="M144" s="76" t="n">
        <v>30.11295774647887</v>
      </c>
      <c r="N144" s="73" t="n">
        <v>38</v>
      </c>
    </row>
    <row r="145">
      <c r="A145" s="70" t="inlineStr">
        <is>
          <t>December 2 - 31, 2025 (30d)</t>
        </is>
      </c>
      <c r="B145" s="68" t="n"/>
      <c r="C145" s="69" t="n"/>
      <c r="D145" s="71" t="n">
        <v>175722.6</v>
      </c>
      <c r="E145" s="73" t="n">
        <v>6045</v>
      </c>
      <c r="F145" s="73" t="n">
        <v>5625</v>
      </c>
      <c r="G145" s="73" t="n">
        <v>420</v>
      </c>
      <c r="H145" s="71" t="n">
        <v>26765.42</v>
      </c>
      <c r="J145" s="75" t="n">
        <v>0.1523163212927648</v>
      </c>
      <c r="K145" s="73" t="n">
        <v>225125</v>
      </c>
      <c r="L145" s="75" t="n">
        <v>0.0268517490283176</v>
      </c>
      <c r="M145" s="76" t="n">
        <v>29.06908188585608</v>
      </c>
      <c r="N145" s="73" t="n">
        <v>132</v>
      </c>
    </row>
    <row r="146">
      <c r="A146" s="59" t="inlineStr">
        <is>
          <t>SellerBoard, Ecotero account, Amazon parent B0HFWXSCFP plus any of this product's child ASINs SellerBoard lists on their own, UTC days. Lift above uses these actual sales (2.59x; the ad-spend estimate was 2.59x).</t>
        </is>
      </c>
    </row>
    <row r="147" ht="30" customHeight="1">
      <c r="A147" s="77" t="inlineStr">
        <is>
          <t>Deals we ran or scheduled, Nov 1 - Dec 5, 2025 (DataHub promotions; scheduled deal price not in the feed. Keepa price = lowest Buy Box seen during the deal, an observation for the hero child only, not the scheduled deal price): Lightning Deal 11-09 to 11-10 (cancelled, 112 variations); Lightning Deal 11-14 to 11-15 (cancelled, 112 variations); Best Deal 11-20 to 12-02 (ran, 114 variations, 1,152 units; Keepa lowest Buy Box during it $31.41 on B0DDRH9RD7).</t>
        </is>
      </c>
    </row>
    <row r="148" ht="26" customHeight="1">
      <c r="A148" s="77" t="inlineStr">
        <is>
          <t>Stock in BFCM week 2025 (FBA inventory snapshots, child-ASIN level, revision 2): 1 of 114 variations hit zero FBA stock on at least one observed day; weighted by today's sales mix that is ~0.0% of variation-days lost. Most important: B0DDRH7S7L 3/3 days. Snapshots missing: US Nov 26-27 and Dec 1 (Cyber Monday); CA Nov 24, 29-30.</t>
        </is>
      </c>
    </row>
    <row r="149">
      <c r="A149" s="59" t="inlineStr">
        <is>
          <t>Command Center visibility for our best child B0DDRH9RD7: organic score None before BFCM 2025 → None in BFCM week; Prime Day 2026 12.5 → 11.8; Aug-Sep 2026 22.4.</t>
        </is>
      </c>
    </row>
    <row r="151" ht="20" customHeight="1">
      <c r="A151" s="54" t="inlineStr">
        <is>
          <t>4 · COMPETITOR LANDSCAPE (29 mapped)</t>
        </is>
      </c>
    </row>
    <row r="152">
      <c r="A152" s="59" t="inlineStr">
        <is>
          <t>Sorted by tier, then estimated weekly units. Green = Command Center price/sales; blue = Data Dive listing; purple = Command Center search strategy (ASINsight); yellow = fill from Keepa / page check.</t>
        </is>
      </c>
    </row>
    <row r="153">
      <c r="A153" s="78" t="inlineStr">
        <is>
          <t>COMPETITOR</t>
        </is>
      </c>
      <c r="I153" s="79" t="inlineStr">
        <is>
          <t>LISTING - Data Dive</t>
        </is>
      </c>
      <c r="J153" s="80" t="inlineStr">
        <is>
          <t>SEARCH STRATEGY - Command Center ASINsight</t>
        </is>
      </c>
      <c r="K153" s="81" t="inlineStr">
        <is>
          <t>PRICE &amp; SALES - Command Center snapshot (date per row)</t>
        </is>
      </c>
      <c r="X153" s="79" t="inlineStr">
        <is>
          <t>LISTING - Data Dive</t>
        </is>
      </c>
      <c r="AA153" s="80" t="inlineStr">
        <is>
          <t>SEARCH STRATEGY - Command Center ASINsight</t>
        </is>
      </c>
      <c r="AR153" s="82" t="inlineStr">
        <is>
          <t>STR NOW - Amazon page check (Oct 13, P1 + P2)</t>
        </is>
      </c>
      <c r="AY153" s="83" t="inlineStr">
        <is>
          <t>BFCM 2025 - Keepa (P1 filled; yellow = not pulled yet)</t>
        </is>
      </c>
    </row>
    <row r="154" ht="48" customHeight="1">
      <c r="A154" s="22" t="inlineStr">
        <is>
          <t>Image</t>
        </is>
      </c>
      <c r="B154" s="22" t="inlineStr">
        <is>
          <t>Brand</t>
        </is>
      </c>
      <c r="C154" s="22" t="inlineStr">
        <is>
          <t>Product title</t>
        </is>
      </c>
      <c r="D154" s="22" t="inlineStr">
        <is>
          <t>Tier</t>
        </is>
      </c>
      <c r="E154" s="22" t="inlineStr">
        <is>
          <t>Parent ASIN</t>
        </is>
      </c>
      <c r="F154" s="22" t="inlineStr">
        <is>
          <t>Tracked child ASIN</t>
        </is>
      </c>
      <c r="G154" s="22" t="inlineStr">
        <is>
          <t>Size (title)</t>
        </is>
      </c>
      <c r="H154" s="22" t="inlineStr">
        <is>
          <t>Colour (title)</t>
        </is>
      </c>
      <c r="I154" s="22" t="inlineStr">
        <is>
          <t>Variations</t>
        </is>
      </c>
      <c r="J154" s="22" t="inlineStr">
        <is>
          <t>Hero child ASINs (share of their visibility)</t>
        </is>
      </c>
      <c r="K154" s="22" t="inlineStr">
        <is>
          <t>Price ($)</t>
        </is>
      </c>
      <c r="L154" s="22" t="inlineStr">
        <is>
          <t>List Price ($)</t>
        </is>
      </c>
      <c r="M154" s="22" t="inlineStr">
        <is>
          <t>List Price % over</t>
        </is>
      </c>
      <c r="N154" s="22" t="inlineStr">
        <is>
          <t>STR band</t>
        </is>
      </c>
      <c r="O154" s="22" t="inlineStr">
        <is>
          <t>Our price, same size ($)</t>
        </is>
      </c>
      <c r="P154" s="22" t="inlineStr">
        <is>
          <t>Their price vs ours</t>
        </is>
      </c>
      <c r="Q154" s="22" t="inlineStr">
        <is>
          <t>Comparison basis</t>
        </is>
      </c>
      <c r="R154" s="22" t="inlineStr">
        <is>
          <t>BSR</t>
        </is>
      </c>
      <c r="S154" s="22" t="inlineStr">
        <is>
          <t>Est weekly units</t>
        </is>
      </c>
      <c r="T154" s="22" t="inlineStr">
        <is>
          <t>Est monthly revenue ($)</t>
        </is>
      </c>
      <c r="U154" s="22" t="inlineStr">
        <is>
          <t>Rating</t>
        </is>
      </c>
      <c r="V154" s="22" t="inlineStr">
        <is>
          <t>Reviews</t>
        </is>
      </c>
      <c r="W154" s="22" t="inlineStr">
        <is>
          <t>Snapshot date</t>
        </is>
      </c>
      <c r="X154" s="22" t="inlineStr">
        <is>
          <t>Listed</t>
        </is>
      </c>
      <c r="Y154" s="22" t="inlineStr">
        <is>
          <t>Fulfil.</t>
        </is>
      </c>
      <c r="Z154" s="22" t="inlineStr">
        <is>
          <t>Seller country</t>
        </is>
      </c>
      <c r="AA154" s="22" t="inlineStr">
        <is>
          <t>ASINsight 7d traffic</t>
        </is>
      </c>
      <c r="AB154" s="22" t="inlineStr">
        <is>
          <t>Keywords ranked</t>
        </is>
      </c>
      <c r="AC154" s="22" t="inlineStr">
        <is>
          <t>Organic share of traffic</t>
        </is>
      </c>
      <c r="AD154" s="22" t="inlineStr">
        <is>
          <t>Ad share of traffic</t>
        </is>
      </c>
      <c r="AE154" s="22" t="inlineStr">
        <is>
          <t>Top keyword</t>
        </is>
      </c>
      <c r="AF154" s="22" t="inlineStr">
        <is>
          <t>SP reach</t>
        </is>
      </c>
      <c r="AG154" s="22" t="inlineStr">
        <is>
          <t>SB reach</t>
        </is>
      </c>
      <c r="AH154" s="22" t="inlineStr">
        <is>
          <t>SB video reach</t>
        </is>
      </c>
      <c r="AI154" s="22" t="inlineStr">
        <is>
          <t>Amazon's Choice reach</t>
        </is>
      </c>
      <c r="AJ154" s="22" t="inlineStr">
        <is>
          <t>Shared keywords</t>
        </is>
      </c>
      <c r="AK154" s="22" t="inlineStr">
        <is>
          <t>We win</t>
        </is>
      </c>
      <c r="AL154" s="22" t="inlineStr">
        <is>
          <t>We lose</t>
        </is>
      </c>
      <c r="AM154" s="22" t="inlineStr">
        <is>
          <t>Their keywords we miss</t>
        </is>
      </c>
      <c r="AN154" s="22" t="inlineStr">
        <is>
          <t>KWs they advertise, we don't</t>
        </is>
      </c>
      <c r="AO154" s="22" t="inlineStr">
        <is>
          <t>KWs they out-advertise us</t>
        </is>
      </c>
      <c r="AP154" s="22" t="inlineStr">
        <is>
          <t>Prime Day 2026 organic vis lift</t>
        </is>
      </c>
      <c r="AQ154" s="22" t="inlineStr">
        <is>
          <t>Organic trend (Aug-Sep vs Q2)</t>
        </is>
      </c>
      <c r="AR154" s="22" t="inlineStr">
        <is>
          <t>STR showing now? (Y/N)</t>
        </is>
      </c>
      <c r="AS154" s="22" t="inlineStr">
        <is>
          <t>STR label</t>
        </is>
      </c>
      <c r="AT154" s="22" t="inlineStr">
        <is>
          <t>Strikethrough price ($)</t>
        </is>
      </c>
      <c r="AU154" s="22" t="inlineStr">
        <is>
          <t>Page price at check ($)</t>
        </is>
      </c>
      <c r="AV154" s="22" t="inlineStr">
        <is>
          <t>Deal / coupon now</t>
        </is>
      </c>
      <c r="AW154" s="22" t="inlineStr">
        <is>
          <t>Orderable now (Y/N)</t>
        </is>
      </c>
      <c r="AX154" s="22" t="inlineStr">
        <is>
          <t>Checked (ET)</t>
        </is>
      </c>
      <c r="AY154" s="22" t="inlineStr">
        <is>
          <t>BFCM 2025 deal type</t>
        </is>
      </c>
      <c r="AZ154" s="22" t="inlineStr">
        <is>
          <t>BFCM 2025 deal dates</t>
        </is>
      </c>
      <c r="BA154" s="22" t="inlineStr">
        <is>
          <t>Pre-event price ($)</t>
        </is>
      </c>
      <c r="BB154" s="22" t="inlineStr">
        <is>
          <t>BFCM 2025 low ($)</t>
        </is>
      </c>
      <c r="BC154" s="22" t="inlineStr">
        <is>
          <t>BFCM 2025 discount</t>
        </is>
      </c>
      <c r="BD154" s="22" t="inlineStr">
        <is>
          <t>BSR pre-event</t>
        </is>
      </c>
      <c r="BE154" s="22" t="inlineStr">
        <is>
          <t>BSR BFCM wk</t>
        </is>
      </c>
      <c r="BF154" s="22" t="inlineStr">
        <is>
          <t>BSR lift (x)</t>
        </is>
      </c>
      <c r="BG154" s="22" t="inlineStr">
        <is>
          <t>OOS in BFCM? (Y/N)</t>
        </is>
      </c>
      <c r="BH154" s="22" t="inlineStr">
        <is>
          <t>Notes</t>
        </is>
      </c>
    </row>
    <row r="155" ht="62" customHeight="1">
      <c r="A155" s="10">
        <f>_xlfn.IMAGE("https://images-na.ssl-images-amazon.com/images/I/71ujt2CgaQL.jpg")</f>
        <v/>
      </c>
      <c r="B155" s="84" t="inlineStr">
        <is>
          <t>BEDELITE</t>
        </is>
      </c>
      <c r="C155" s="32" t="inlineStr">
        <is>
          <t>BEDELITE Satin Sheets Queen Size Bed Set, Black, 4 Pieces</t>
        </is>
      </c>
      <c r="D155" s="84" t="inlineStr">
        <is>
          <t>Aspirational</t>
        </is>
      </c>
      <c r="E155" s="84" t="inlineStr">
        <is>
          <t>B0FNMNMZ9T</t>
        </is>
      </c>
      <c r="F155" s="84" t="inlineStr">
        <is>
          <t>B0CSFTRP2X</t>
        </is>
      </c>
      <c r="G155" s="84" t="inlineStr">
        <is>
          <t>Queen</t>
        </is>
      </c>
      <c r="H155" s="84" t="inlineStr">
        <is>
          <t>Black</t>
        </is>
      </c>
      <c r="I155" s="85" t="n">
        <v>141</v>
      </c>
      <c r="J155" s="32" t="inlineStr">
        <is>
          <t>B0CSFTRP2X (57%), B0CSFW9QKP (14%), B0CSFTZ5B9 (14%)</t>
        </is>
      </c>
      <c r="K155" s="86" t="n">
        <v>17.99</v>
      </c>
      <c r="L155" s="86" t="n"/>
      <c r="M155" s="87">
        <f>IF(AND(ISNUMBER(L155),ISNUMBER(K155),N(K155)&gt;0),L155/K155-1,"")</f>
        <v/>
      </c>
      <c r="N155" s="88">
        <f>IF(M155="","No List Price",IF(M155&lt;=0,"At/below price",IF(M155&lt;=0.12,"&lt;=12% STR zone",IF(M155&lt;=0.25,"12-25%","&gt;25% over"))))</f>
        <v/>
      </c>
      <c r="O155" s="86" t="n">
        <v>33.95</v>
      </c>
      <c r="P155" s="89">
        <f>IF(AND(ISNUMBER(K155),ISNUMBER(O155),N(O155)&gt;0),K155/O155-1,"")</f>
        <v/>
      </c>
      <c r="Q155" s="32" t="inlineStr">
        <is>
          <t>Same size (Queen). Ours live: Helium 10 Xray, 2026-10-13; 29 children</t>
        </is>
      </c>
      <c r="R155" s="85" t="n">
        <v>497</v>
      </c>
      <c r="S155" s="85" t="n">
        <v>1963</v>
      </c>
      <c r="T155" s="90">
        <f>IF(AND(ISNUMBER(K155),ISNUMBER(S155)),K155*S155*52/12,"")</f>
        <v/>
      </c>
      <c r="U155" s="91" t="n">
        <v>4.3</v>
      </c>
      <c r="V155" s="85" t="n">
        <v>6297</v>
      </c>
      <c r="W155" s="92" t="n">
        <v>46307</v>
      </c>
      <c r="X155" s="92" t="n">
        <v>45307</v>
      </c>
      <c r="Y155" s="84" t="inlineStr">
        <is>
          <t>FBA</t>
        </is>
      </c>
      <c r="Z155" s="84" t="inlineStr">
        <is>
          <t>CN</t>
        </is>
      </c>
      <c r="AA155" s="85" t="n">
        <v>997443</v>
      </c>
      <c r="AB155" s="85" t="n">
        <v>3432</v>
      </c>
      <c r="AC155" s="93" t="n">
        <v>0.8161266415223724</v>
      </c>
      <c r="AD155" s="93" t="n">
        <v>0.1838733681022371</v>
      </c>
      <c r="AE155" s="32" t="inlineStr">
        <is>
          <t>silk sheets</t>
        </is>
      </c>
      <c r="AF155" s="93" t="n">
        <v>0.7623814092634867</v>
      </c>
      <c r="AG155" s="93" t="n">
        <v>0.2406603685624141</v>
      </c>
      <c r="AH155" s="93" t="n">
        <v>0.1818179083917577</v>
      </c>
      <c r="AI155" s="93" t="n">
        <v>0.3718648584430388</v>
      </c>
      <c r="AJ155" s="85" t="n">
        <v>473</v>
      </c>
      <c r="AK155" s="85" t="n">
        <v>61</v>
      </c>
      <c r="AL155" s="85" t="n">
        <v>385</v>
      </c>
      <c r="AM155" s="85" t="n">
        <v>2959</v>
      </c>
      <c r="AN155" s="85" t="n">
        <v>332</v>
      </c>
      <c r="AO155" s="85" t="n">
        <v>16</v>
      </c>
      <c r="AP155" s="94" t="n">
        <v>1.114785561378903</v>
      </c>
      <c r="AQ155" s="89" t="n">
        <v>0.3117365084274004</v>
      </c>
      <c r="AR155" s="95" t="inlineStr">
        <is>
          <t>Y</t>
        </is>
      </c>
      <c r="AS155" s="95" t="inlineStr">
        <is>
          <t>List Price</t>
        </is>
      </c>
      <c r="AT155" s="96" t="n">
        <v>19.99</v>
      </c>
      <c r="AU155" s="96" t="n">
        <v>17.99</v>
      </c>
      <c r="AV155" s="95" t="inlineStr">
        <is>
          <t>none</t>
        </is>
      </c>
      <c r="AW155" s="95" t="inlineStr">
        <is>
          <t>Y</t>
        </is>
      </c>
      <c r="AX155" s="95" t="inlineStr">
        <is>
          <t>2026-10-13 12:12:27</t>
        </is>
      </c>
      <c r="AY155" s="97" t="inlineStr">
        <is>
          <t>Price cut only</t>
        </is>
      </c>
      <c r="AZ155" s="97" t="inlineStr">
        <is>
          <t>11-20 to 12-01</t>
        </is>
      </c>
      <c r="BA155" s="98" t="n">
        <v>17.99</v>
      </c>
      <c r="BB155" s="98" t="n">
        <v>17.09</v>
      </c>
      <c r="BC155" s="87">
        <f>IF(AND(ISNUMBER(BA155),ISNUMBER(BB155),N(BA155)&gt;0),1-BB155/BA155,"")</f>
        <v/>
      </c>
      <c r="BD155" s="99" t="n">
        <v>714</v>
      </c>
      <c r="BE155" s="99" t="n">
        <v>473</v>
      </c>
      <c r="BF155" s="100">
        <f>IF(AND(ISNUMBER(BD155),ISNUMBER(BE155),N(BE155)&gt;0),BD155/BE155,"")</f>
        <v/>
      </c>
      <c r="BG155" s="97" t="inlineStr">
        <is>
          <t>N</t>
        </is>
      </c>
      <c r="BH155" s="97" t="inlineStr">
        <is>
          <t>Prime Exclusive 11-01 to 12-05; Prime Exclusive already running before BFCM week; List Price $23.99</t>
        </is>
      </c>
    </row>
    <row r="156" ht="62" customHeight="1">
      <c r="A156" s="10">
        <f>_xlfn.IMAGE("https://images-na.ssl-images-amazon.com/images/I/81C-fXI71XL.jpg")</f>
        <v/>
      </c>
      <c r="B156" s="84" t="inlineStr">
        <is>
          <t>Love's cabin</t>
        </is>
      </c>
      <c r="C156" s="32" t="inlineStr">
        <is>
          <t>Love's cabin Satin Queen Sheets Set, 4 Pieces, Pink, 15" Deep Pocket</t>
        </is>
      </c>
      <c r="D156" s="84" t="inlineStr">
        <is>
          <t>Aspirational</t>
        </is>
      </c>
      <c r="E156" s="84" t="inlineStr">
        <is>
          <t>B08DHTB63X</t>
        </is>
      </c>
      <c r="F156" s="84" t="inlineStr">
        <is>
          <t>B0BNMC5G8R</t>
        </is>
      </c>
      <c r="G156" s="84" t="inlineStr">
        <is>
          <t>Queen</t>
        </is>
      </c>
      <c r="H156" s="84" t="inlineStr">
        <is>
          <t>Pink</t>
        </is>
      </c>
      <c r="I156" s="85" t="n">
        <v>128</v>
      </c>
      <c r="J156" s="32" t="inlineStr">
        <is>
          <t>B0BNMC5G8R (45%), B0BNMCRSC6 (13%), B0CM5NFXX1 (9%), B0BNMVM5VM (5%), B0BNMD8S97 (4%)</t>
        </is>
      </c>
      <c r="K156" s="86" t="n">
        <v>16.13</v>
      </c>
      <c r="L156" s="86" t="n">
        <v>19.99</v>
      </c>
      <c r="M156" s="87">
        <f>IF(AND(ISNUMBER(L156),ISNUMBER(K156),N(K156)&gt;0),L156/K156-1,"")</f>
        <v/>
      </c>
      <c r="N156" s="88">
        <f>IF(M156="","No List Price",IF(M156&lt;=0,"At/below price",IF(M156&lt;=0.12,"&lt;=12% STR zone",IF(M156&lt;=0.25,"12-25%","&gt;25% over"))))</f>
        <v/>
      </c>
      <c r="O156" s="86" t="n">
        <v>33.95</v>
      </c>
      <c r="P156" s="89">
        <f>IF(AND(ISNUMBER(K156),ISNUMBER(O156),N(O156)&gt;0),K156/O156-1,"")</f>
        <v/>
      </c>
      <c r="Q156" s="32" t="inlineStr">
        <is>
          <t>Same size (Queen). Ours live: Helium 10 Xray, 2026-10-13; 29 children</t>
        </is>
      </c>
      <c r="R156" s="85" t="n">
        <v>949</v>
      </c>
      <c r="S156" s="85" t="n">
        <v>809</v>
      </c>
      <c r="T156" s="90">
        <f>IF(AND(ISNUMBER(K156),ISNUMBER(S156)),K156*S156*52/12,"")</f>
        <v/>
      </c>
      <c r="U156" s="91" t="n">
        <v>4.5</v>
      </c>
      <c r="V156" s="85" t="n">
        <v>5747</v>
      </c>
      <c r="W156" s="92" t="n">
        <v>46307</v>
      </c>
      <c r="X156" s="92" t="n">
        <v>44895</v>
      </c>
      <c r="Y156" s="84" t="inlineStr">
        <is>
          <t>FBA</t>
        </is>
      </c>
      <c r="Z156" s="84" t="inlineStr">
        <is>
          <t>CN</t>
        </is>
      </c>
      <c r="AA156" s="85" t="n">
        <v>385363</v>
      </c>
      <c r="AB156" s="85" t="n">
        <v>3599</v>
      </c>
      <c r="AC156" s="93" t="n">
        <v>0.8181775938530695</v>
      </c>
      <c r="AD156" s="93" t="n">
        <v>0.1818224144507905</v>
      </c>
      <c r="AE156" s="32" t="inlineStr">
        <is>
          <t>silk sheets</t>
        </is>
      </c>
      <c r="AF156" s="93" t="n">
        <v>0.8853963665427143</v>
      </c>
      <c r="AG156" s="93" t="n">
        <v>0.6095447668821345</v>
      </c>
      <c r="AH156" s="93" t="n">
        <v>0.07642664189348744</v>
      </c>
      <c r="AI156" s="93" t="n">
        <v>0.06371395281851137</v>
      </c>
      <c r="AJ156" s="85" t="n">
        <v>458</v>
      </c>
      <c r="AK156" s="85" t="n">
        <v>68</v>
      </c>
      <c r="AL156" s="85" t="n">
        <v>353</v>
      </c>
      <c r="AM156" s="85" t="n">
        <v>3141</v>
      </c>
      <c r="AN156" s="85" t="n">
        <v>400</v>
      </c>
      <c r="AO156" s="85" t="n">
        <v>20</v>
      </c>
      <c r="AP156" s="94" t="n">
        <v>1.036399938565504</v>
      </c>
      <c r="AQ156" s="89" t="n">
        <v>-0.1336111472848027</v>
      </c>
      <c r="AR156" s="95" t="inlineStr">
        <is>
          <t>Y</t>
        </is>
      </c>
      <c r="AS156" s="95" t="inlineStr">
        <is>
          <t>List Price</t>
        </is>
      </c>
      <c r="AT156" s="96" t="n">
        <v>19.99</v>
      </c>
      <c r="AU156" s="96" t="n">
        <v>16.13</v>
      </c>
      <c r="AV156" s="95" t="inlineStr">
        <is>
          <t>Limited time deal</t>
        </is>
      </c>
      <c r="AW156" s="95" t="inlineStr">
        <is>
          <t>Y</t>
        </is>
      </c>
      <c r="AX156" s="95" t="inlineStr">
        <is>
          <t>2026-10-13 12:13:15</t>
        </is>
      </c>
      <c r="AY156" s="97" t="inlineStr">
        <is>
          <t>Prime Exclusive Discount</t>
        </is>
      </c>
      <c r="AZ156" s="97" t="inlineStr">
        <is>
          <t>11-10 to 12-05</t>
        </is>
      </c>
      <c r="BA156" s="98" t="n">
        <v>17.99</v>
      </c>
      <c r="BB156" s="98" t="n">
        <v>17.99</v>
      </c>
      <c r="BC156" s="87">
        <f>IF(AND(ISNUMBER(BA156),ISNUMBER(BB156),N(BA156)&gt;0),1-BB156/BA156,"")</f>
        <v/>
      </c>
      <c r="BD156" s="99" t="n">
        <v>1276</v>
      </c>
      <c r="BE156" s="99" t="n">
        <v>1515</v>
      </c>
      <c r="BF156" s="100">
        <f>IF(AND(ISNUMBER(BD156),ISNUMBER(BE156),N(BE156)&gt;0),BD156/BE156,"")</f>
        <v/>
      </c>
      <c r="BG156" s="97" t="inlineStr">
        <is>
          <t>N</t>
        </is>
      </c>
      <c r="BH156" s="97" t="inlineStr">
        <is>
          <t>Prime Exclusive already running before BFCM week; List Price $25.99</t>
        </is>
      </c>
    </row>
    <row r="157" ht="62" customHeight="1">
      <c r="A157" s="10">
        <f>_xlfn.IMAGE("https://images-na.ssl-images-amazon.com/images/I/71zGuoeuSrL.jpg")</f>
        <v/>
      </c>
      <c r="B157" s="84" t="inlineStr">
        <is>
          <t>MR&amp;HM</t>
        </is>
      </c>
      <c r="C157" s="32" t="inlineStr">
        <is>
          <t>MR&amp;HM Satin Sheets Queen Size with Elastic Corner Straps, Black</t>
        </is>
      </c>
      <c r="D157" s="84" t="inlineStr">
        <is>
          <t>Aspirational</t>
        </is>
      </c>
      <c r="E157" s="84" t="inlineStr">
        <is>
          <t>B08NQ3W7PG</t>
        </is>
      </c>
      <c r="F157" s="84" t="inlineStr">
        <is>
          <t>B08HM6WT6X</t>
        </is>
      </c>
      <c r="G157" s="84" t="inlineStr">
        <is>
          <t>Queen</t>
        </is>
      </c>
      <c r="H157" s="84" t="inlineStr">
        <is>
          <t>Black</t>
        </is>
      </c>
      <c r="I157" s="85" t="n">
        <v>183</v>
      </c>
      <c r="J157" s="32" t="inlineStr">
        <is>
          <t>B08HM6WT6X (40%), B0D2CQ6VNT (13%), B08PS3HDFL (10%), B08HM65Z68 (8%), B08HLT8R9M (6%)</t>
        </is>
      </c>
      <c r="K157" s="86" t="n">
        <v>19.99</v>
      </c>
      <c r="L157" s="86" t="n"/>
      <c r="M157" s="87">
        <f>IF(AND(ISNUMBER(L157),ISNUMBER(K157),N(K157)&gt;0),L157/K157-1,"")</f>
        <v/>
      </c>
      <c r="N157" s="88">
        <f>IF(M157="","No List Price",IF(M157&lt;=0,"At/below price",IF(M157&lt;=0.12,"&lt;=12% STR zone",IF(M157&lt;=0.25,"12-25%","&gt;25% over"))))</f>
        <v/>
      </c>
      <c r="O157" s="86" t="n">
        <v>33.95</v>
      </c>
      <c r="P157" s="89">
        <f>IF(AND(ISNUMBER(K157),ISNUMBER(O157),N(O157)&gt;0),K157/O157-1,"")</f>
        <v/>
      </c>
      <c r="Q157" s="32" t="inlineStr">
        <is>
          <t>Same size (Queen). Ours live: Helium 10 Xray, 2026-10-13; 29 children</t>
        </is>
      </c>
      <c r="R157" s="85" t="n">
        <v>2025</v>
      </c>
      <c r="S157" s="85" t="n">
        <v>809</v>
      </c>
      <c r="T157" s="90">
        <f>IF(AND(ISNUMBER(K157),ISNUMBER(S157)),K157*S157*52/12,"")</f>
        <v/>
      </c>
      <c r="U157" s="91" t="n">
        <v>4.4</v>
      </c>
      <c r="V157" s="85" t="n">
        <v>17886</v>
      </c>
      <c r="W157" s="92" t="n">
        <v>46307</v>
      </c>
      <c r="X157" s="92" t="n">
        <v>44081</v>
      </c>
      <c r="Y157" s="84" t="inlineStr">
        <is>
          <t>FBA</t>
        </is>
      </c>
      <c r="Z157" s="84" t="inlineStr">
        <is>
          <t>HK</t>
        </is>
      </c>
      <c r="AA157" s="85" t="n">
        <v>356457</v>
      </c>
      <c r="AB157" s="85" t="n">
        <v>3352</v>
      </c>
      <c r="AC157" s="93" t="n">
        <v>0.7964633734223203</v>
      </c>
      <c r="AD157" s="93" t="n">
        <v>0.2035367432817982</v>
      </c>
      <c r="AE157" s="32" t="inlineStr">
        <is>
          <t>silk sheets</t>
        </is>
      </c>
      <c r="AF157" s="93" t="n">
        <v>0.839254103580516</v>
      </c>
      <c r="AG157" s="93" t="n"/>
      <c r="AH157" s="93" t="n"/>
      <c r="AI157" s="93" t="n">
        <v>0.1362268099658584</v>
      </c>
      <c r="AJ157" s="85" t="n">
        <v>457</v>
      </c>
      <c r="AK157" s="85" t="n">
        <v>93</v>
      </c>
      <c r="AL157" s="85" t="n">
        <v>328</v>
      </c>
      <c r="AM157" s="85" t="n">
        <v>2895</v>
      </c>
      <c r="AN157" s="85" t="n">
        <v>363</v>
      </c>
      <c r="AO157" s="85" t="n">
        <v>42</v>
      </c>
      <c r="AP157" s="94" t="n">
        <v>0.9844138242602214</v>
      </c>
      <c r="AQ157" s="89" t="n">
        <v>0.1594370096908169</v>
      </c>
      <c r="AR157" s="95" t="inlineStr">
        <is>
          <t>Y</t>
        </is>
      </c>
      <c r="AS157" s="95" t="inlineStr">
        <is>
          <t>List Price</t>
        </is>
      </c>
      <c r="AT157" s="96" t="n">
        <v>28.99</v>
      </c>
      <c r="AU157" s="96" t="n">
        <v>19.99</v>
      </c>
      <c r="AV157" s="95" t="inlineStr">
        <is>
          <t>none</t>
        </is>
      </c>
      <c r="AW157" s="95" t="inlineStr">
        <is>
          <t>Y</t>
        </is>
      </c>
      <c r="AX157" s="95" t="inlineStr">
        <is>
          <t>2026-10-13 12:13:22</t>
        </is>
      </c>
      <c r="AY157" s="97" t="inlineStr">
        <is>
          <t>None</t>
        </is>
      </c>
      <c r="AZ157" s="102" t="n"/>
      <c r="BA157" s="98" t="n">
        <v>17.99</v>
      </c>
      <c r="BB157" s="98" t="n">
        <v>17.99</v>
      </c>
      <c r="BC157" s="87">
        <f>IF(AND(ISNUMBER(BA157),ISNUMBER(BB157),N(BA157)&gt;0),1-BB157/BA157,"")</f>
        <v/>
      </c>
      <c r="BD157" s="99" t="n">
        <v>1500</v>
      </c>
      <c r="BE157" s="99" t="n">
        <v>1119</v>
      </c>
      <c r="BF157" s="100">
        <f>IF(AND(ISNUMBER(BD157),ISNUMBER(BE157),N(BE157)&gt;0),BD157/BE157,"")</f>
        <v/>
      </c>
      <c r="BG157" s="97" t="inlineStr">
        <is>
          <t>N</t>
        </is>
      </c>
      <c r="BH157" s="97" t="inlineStr">
        <is>
          <t>Prime Exclusive 11-01 to 12-05; Lightning Deal 11-08 to 11-14; Prime Exclusive already running before BFCM week; List Price $28.99</t>
        </is>
      </c>
    </row>
    <row r="158" ht="62" customHeight="1">
      <c r="A158" s="10">
        <f>_xlfn.IMAGE("https://images-na.ssl-images-amazon.com/images/I/71QlFwpmpcL.jpg")</f>
        <v/>
      </c>
      <c r="B158" s="84" t="inlineStr">
        <is>
          <t>CozyLux</t>
        </is>
      </c>
      <c r="C158" s="32" t="inlineStr">
        <is>
          <t>CozyLux Satin Sheets Queen, 4-Piece 14-Inch Deep Pocket Sheet Set</t>
        </is>
      </c>
      <c r="D158" s="84" t="inlineStr">
        <is>
          <t>Aspirational</t>
        </is>
      </c>
      <c r="E158" s="84" t="inlineStr">
        <is>
          <t>B08CQKS3KP</t>
        </is>
      </c>
      <c r="F158" s="84" t="inlineStr">
        <is>
          <t>B08P16XLP2</t>
        </is>
      </c>
      <c r="G158" s="84" t="inlineStr">
        <is>
          <t>Queen</t>
        </is>
      </c>
      <c r="H158" s="84" t="n"/>
      <c r="I158" s="85" t="n">
        <v>115</v>
      </c>
      <c r="J158" s="32" t="inlineStr">
        <is>
          <t>B08P16XLP2 (43%), B08P164867 (8%), B08P17PQ8J (6%), B0CQ8CN4PK (5%), B0BYDSWCJY (4%)</t>
        </is>
      </c>
      <c r="K158" s="86" t="n">
        <v>13.99</v>
      </c>
      <c r="L158" s="86" t="n">
        <v>18.99</v>
      </c>
      <c r="M158" s="87">
        <f>IF(AND(ISNUMBER(L158),ISNUMBER(K158),N(K158)&gt;0),L158/K158-1,"")</f>
        <v/>
      </c>
      <c r="N158" s="88">
        <f>IF(M158="","No List Price",IF(M158&lt;=0,"At/below price",IF(M158&lt;=0.12,"&lt;=12% STR zone",IF(M158&lt;=0.25,"12-25%","&gt;25% over"))))</f>
        <v/>
      </c>
      <c r="O158" s="86" t="n">
        <v>33.95</v>
      </c>
      <c r="P158" s="89">
        <f>IF(AND(ISNUMBER(K158),ISNUMBER(O158),N(O158)&gt;0),K158/O158-1,"")</f>
        <v/>
      </c>
      <c r="Q158" s="32" t="inlineStr">
        <is>
          <t>Same size (Queen). Ours live: Helium 10 Xray, 2026-10-13; 29 children</t>
        </is>
      </c>
      <c r="R158" s="85" t="n">
        <v>3102</v>
      </c>
      <c r="S158" s="85" t="n">
        <v>347</v>
      </c>
      <c r="T158" s="90">
        <f>IF(AND(ISNUMBER(K158),ISNUMBER(S158)),K158*S158*52/12,"")</f>
        <v/>
      </c>
      <c r="U158" s="91" t="n">
        <v>4.3</v>
      </c>
      <c r="V158" s="85" t="n">
        <v>7075</v>
      </c>
      <c r="W158" s="92" t="n">
        <v>46307</v>
      </c>
      <c r="X158" s="92" t="n">
        <v>44158</v>
      </c>
      <c r="Y158" s="84" t="inlineStr">
        <is>
          <t>FBA</t>
        </is>
      </c>
      <c r="Z158" s="84" t="inlineStr">
        <is>
          <t>CN</t>
        </is>
      </c>
      <c r="AA158" s="85" t="n">
        <v>164434</v>
      </c>
      <c r="AB158" s="85" t="n">
        <v>2031</v>
      </c>
      <c r="AC158" s="93" t="n">
        <v>0.724298132381382</v>
      </c>
      <c r="AD158" s="93" t="n">
        <v>0.2757019065400104</v>
      </c>
      <c r="AE158" s="32" t="inlineStr">
        <is>
          <t>silk sheets</t>
        </is>
      </c>
      <c r="AF158" s="93" t="n">
        <v>0.601335490227082</v>
      </c>
      <c r="AG158" s="93" t="n">
        <v>0.5155016602405829</v>
      </c>
      <c r="AH158" s="93" t="n"/>
      <c r="AI158" s="93" t="n">
        <v>0.04596981159614192</v>
      </c>
      <c r="AJ158" s="85" t="n">
        <v>422</v>
      </c>
      <c r="AK158" s="85" t="n">
        <v>113</v>
      </c>
      <c r="AL158" s="85" t="n">
        <v>272</v>
      </c>
      <c r="AM158" s="85" t="n">
        <v>1609</v>
      </c>
      <c r="AN158" s="85" t="n">
        <v>305</v>
      </c>
      <c r="AO158" s="85" t="n">
        <v>30</v>
      </c>
      <c r="AP158" s="94" t="n">
        <v>0.8168981481481481</v>
      </c>
      <c r="AQ158" s="89" t="n">
        <v>-0.1447276536312849</v>
      </c>
      <c r="AR158" s="95" t="inlineStr">
        <is>
          <t>Y</t>
        </is>
      </c>
      <c r="AS158" s="95" t="inlineStr">
        <is>
          <t>List Price</t>
        </is>
      </c>
      <c r="AT158" s="96" t="n">
        <v>18.99</v>
      </c>
      <c r="AU158" s="96" t="n">
        <v>13.99</v>
      </c>
      <c r="AV158" s="95" t="inlineStr">
        <is>
          <t>Limited time deal</t>
        </is>
      </c>
      <c r="AW158" s="95" t="inlineStr">
        <is>
          <t>Y</t>
        </is>
      </c>
      <c r="AX158" s="95" t="inlineStr">
        <is>
          <t>2026-10-13 12:12:43</t>
        </is>
      </c>
      <c r="AY158" s="97" t="inlineStr">
        <is>
          <t>Prime Exclusive Discount</t>
        </is>
      </c>
      <c r="AZ158" s="97" t="inlineStr">
        <is>
          <t>11-01 to 12-05</t>
        </is>
      </c>
      <c r="BA158" s="98" t="n">
        <v>17.99</v>
      </c>
      <c r="BB158" s="98" t="n">
        <v>16.99</v>
      </c>
      <c r="BC158" s="87">
        <f>IF(AND(ISNUMBER(BA158),ISNUMBER(BB158),N(BA158)&gt;0),1-BB158/BA158,"")</f>
        <v/>
      </c>
      <c r="BD158" s="99" t="n">
        <v>1165</v>
      </c>
      <c r="BE158" s="99" t="n">
        <v>1226</v>
      </c>
      <c r="BF158" s="100">
        <f>IF(AND(ISNUMBER(BD158),ISNUMBER(BE158),N(BE158)&gt;0),BD158/BE158,"")</f>
        <v/>
      </c>
      <c r="BG158" s="97" t="inlineStr">
        <is>
          <t>N</t>
        </is>
      </c>
      <c r="BH158" s="97" t="inlineStr">
        <is>
          <t>Lightning Deal 11-09 to 11-16; Prime Exclusive already running before BFCM week; List Price $22.99</t>
        </is>
      </c>
    </row>
    <row r="159" ht="62" customHeight="1">
      <c r="A159" s="10">
        <f>_xlfn.IMAGE("https://images-na.ssl-images-amazon.com/images/I/71Jlvkv3rfL.jpg")</f>
        <v/>
      </c>
      <c r="B159" s="84" t="inlineStr">
        <is>
          <t>BEDELITE</t>
        </is>
      </c>
      <c r="C159" s="32" t="inlineStr">
        <is>
          <t>BEDELITE Satin Queen Fitted Sheet &amp; Pillowcases Set, Black, 3 Pieces</t>
        </is>
      </c>
      <c r="D159" s="84" t="inlineStr">
        <is>
          <t>Aspirational</t>
        </is>
      </c>
      <c r="E159" s="84" t="inlineStr">
        <is>
          <t>B0FPCM7DL3</t>
        </is>
      </c>
      <c r="F159" s="84" t="inlineStr">
        <is>
          <t>B0CSFV4FXW</t>
        </is>
      </c>
      <c r="G159" s="84" t="inlineStr">
        <is>
          <t>Queen</t>
        </is>
      </c>
      <c r="H159" s="84" t="inlineStr">
        <is>
          <t>Black</t>
        </is>
      </c>
      <c r="I159" s="85" t="n">
        <v>107</v>
      </c>
      <c r="J159" s="32" t="inlineStr">
        <is>
          <t>B0CSFV4FXW (48%), B0CSFV69Q1 (13%), B0CSFW55XL (12%), B0CSFWH14D (5%), B0F291FC32 (4%)</t>
        </is>
      </c>
      <c r="K159" s="86" t="n">
        <v>15.98</v>
      </c>
      <c r="L159" s="86" t="n">
        <v>19.99</v>
      </c>
      <c r="M159" s="87">
        <f>IF(AND(ISNUMBER(L159),ISNUMBER(K159),N(K159)&gt;0),L159/K159-1,"")</f>
        <v/>
      </c>
      <c r="N159" s="88">
        <f>IF(M159="","No List Price",IF(M159&lt;=0,"At/below price",IF(M159&lt;=0.12,"&lt;=12% STR zone",IF(M159&lt;=0.25,"12-25%","&gt;25% over"))))</f>
        <v/>
      </c>
      <c r="O159" s="86" t="n">
        <v>33.95</v>
      </c>
      <c r="P159" s="89">
        <f>IF(AND(ISNUMBER(K159),ISNUMBER(O159),N(O159)&gt;0),K159/O159-1,"")</f>
        <v/>
      </c>
      <c r="Q159" s="32" t="inlineStr">
        <is>
          <t>Same size (Queen). Ours live: Helium 10 Xray, 2026-10-13; 29 children</t>
        </is>
      </c>
      <c r="R159" s="85" t="n">
        <v>4306</v>
      </c>
      <c r="S159" s="85" t="n">
        <v>208</v>
      </c>
      <c r="T159" s="90">
        <f>IF(AND(ISNUMBER(K159),ISNUMBER(S159)),K159*S159*52/12,"")</f>
        <v/>
      </c>
      <c r="U159" s="91" t="n">
        <v>4.4</v>
      </c>
      <c r="V159" s="85" t="n">
        <v>1858</v>
      </c>
      <c r="W159" s="92" t="n">
        <v>46307</v>
      </c>
      <c r="X159" s="92" t="n">
        <v>45307</v>
      </c>
      <c r="Y159" s="84" t="inlineStr">
        <is>
          <t>FBA</t>
        </is>
      </c>
      <c r="Z159" s="84" t="inlineStr">
        <is>
          <t>CN</t>
        </is>
      </c>
      <c r="AA159" s="85" t="n">
        <v>179643</v>
      </c>
      <c r="AB159" s="85" t="n">
        <v>2252</v>
      </c>
      <c r="AC159" s="93" t="n">
        <v>0.4557323781054652</v>
      </c>
      <c r="AD159" s="93" t="n">
        <v>0.5442676753338563</v>
      </c>
      <c r="AE159" s="32" t="inlineStr">
        <is>
          <t>shee</t>
        </is>
      </c>
      <c r="AF159" s="93" t="n">
        <v>0.9239714322294773</v>
      </c>
      <c r="AG159" s="93" t="n">
        <v>0.4045968949527675</v>
      </c>
      <c r="AH159" s="93" t="n"/>
      <c r="AI159" s="93" t="n">
        <v>0.02756578324788609</v>
      </c>
      <c r="AJ159" s="85" t="n">
        <v>376</v>
      </c>
      <c r="AK159" s="85" t="n">
        <v>104</v>
      </c>
      <c r="AL159" s="85" t="n">
        <v>235</v>
      </c>
      <c r="AM159" s="85" t="n">
        <v>1876</v>
      </c>
      <c r="AN159" s="85" t="n">
        <v>561</v>
      </c>
      <c r="AO159" s="85" t="n">
        <v>61</v>
      </c>
      <c r="AP159" s="94" t="n">
        <v>1.118721461187214</v>
      </c>
      <c r="AQ159" s="89" t="n">
        <v>0.04072948328267478</v>
      </c>
      <c r="AR159" s="95" t="inlineStr">
        <is>
          <t>Y</t>
        </is>
      </c>
      <c r="AS159" s="95" t="inlineStr">
        <is>
          <t>List Price</t>
        </is>
      </c>
      <c r="AT159" s="96" t="n">
        <v>19.99</v>
      </c>
      <c r="AU159" s="96" t="n">
        <v>15.98</v>
      </c>
      <c r="AV159" s="95" t="inlineStr">
        <is>
          <t>Limited time deal</t>
        </is>
      </c>
      <c r="AW159" s="95" t="inlineStr">
        <is>
          <t>Y</t>
        </is>
      </c>
      <c r="AX159" s="95" t="inlineStr">
        <is>
          <t>2026-10-13 12:12:30</t>
        </is>
      </c>
      <c r="AY159" s="97" t="inlineStr">
        <is>
          <t>Price cut only</t>
        </is>
      </c>
      <c r="AZ159" s="97" t="inlineStr">
        <is>
          <t>11-20 to 12-01</t>
        </is>
      </c>
      <c r="BA159" s="98" t="n">
        <v>15.99</v>
      </c>
      <c r="BB159" s="98" t="n">
        <v>15.18</v>
      </c>
      <c r="BC159" s="87">
        <f>IF(AND(ISNUMBER(BA159),ISNUMBER(BB159),N(BA159)&gt;0),1-BB159/BA159,"")</f>
        <v/>
      </c>
      <c r="BD159" s="99" t="n">
        <v>8356</v>
      </c>
      <c r="BE159" s="99" t="n">
        <v>4609</v>
      </c>
      <c r="BF159" s="100">
        <f>IF(AND(ISNUMBER(BD159),ISNUMBER(BE159),N(BE159)&gt;0),BD159/BE159,"")</f>
        <v/>
      </c>
      <c r="BG159" s="97" t="inlineStr">
        <is>
          <t>N</t>
        </is>
      </c>
      <c r="BH159" s="97" t="inlineStr">
        <is>
          <t>Prime Exclusive 11-01 to 12-05; Lightning Deal 11-09 to 11-09; Prime Exclusive already running before BFCM week; List Price $19.99</t>
        </is>
      </c>
    </row>
    <row r="160" ht="62" customHeight="1">
      <c r="A160" s="10">
        <f>_xlfn.IMAGE("https://images-na.ssl-images-amazon.com/images/I/71PMIXXTc0L.jpg")</f>
        <v/>
      </c>
      <c r="B160" s="84" t="inlineStr">
        <is>
          <t>Lanest Housing</t>
        </is>
      </c>
      <c r="C160" s="32" t="inlineStr">
        <is>
          <t>Lanest Housing Silk Satin Sheets, Queen Size Satin Bed Sheet Set with Deep Pockets, Cooling Soft and Hypoallergenic Satin Sheets Queen - Light Gray</t>
        </is>
      </c>
      <c r="D160" s="84" t="inlineStr">
        <is>
          <t>Beatable</t>
        </is>
      </c>
      <c r="E160" s="84" t="inlineStr">
        <is>
          <t>B0DC3MX1DP</t>
        </is>
      </c>
      <c r="F160" s="84" t="inlineStr">
        <is>
          <t>B082B5CY3D</t>
        </is>
      </c>
      <c r="G160" s="84" t="inlineStr">
        <is>
          <t>Queen</t>
        </is>
      </c>
      <c r="H160" s="84" t="inlineStr">
        <is>
          <t>Gray</t>
        </is>
      </c>
      <c r="I160" s="85" t="n">
        <v>154</v>
      </c>
      <c r="J160" s="32" t="inlineStr">
        <is>
          <t>B082B5CY3D (41%), B07VWFV7MB (21%), B07VTSWJPH (21%)</t>
        </is>
      </c>
      <c r="K160" s="86" t="n">
        <v>22.99</v>
      </c>
      <c r="L160" s="86" t="n"/>
      <c r="M160" s="87">
        <f>IF(AND(ISNUMBER(L160),ISNUMBER(K160),N(K160)&gt;0),L160/K160-1,"")</f>
        <v/>
      </c>
      <c r="N160" s="88">
        <f>IF(M160="","No List Price",IF(M160&lt;=0,"At/below price",IF(M160&lt;=0.12,"&lt;=12% STR zone",IF(M160&lt;=0.25,"12-25%","&gt;25% over"))))</f>
        <v/>
      </c>
      <c r="O160" s="86" t="n">
        <v>33.95</v>
      </c>
      <c r="P160" s="89">
        <f>IF(AND(ISNUMBER(K160),ISNUMBER(O160),N(O160)&gt;0),K160/O160-1,"")</f>
        <v/>
      </c>
      <c r="Q160" s="32" t="inlineStr">
        <is>
          <t>Same size (Queen). Ours live: Helium 10 Xray, 2026-10-13; 29 children</t>
        </is>
      </c>
      <c r="R160" s="85" t="n">
        <v>4671</v>
      </c>
      <c r="S160" s="85" t="n">
        <v>208</v>
      </c>
      <c r="T160" s="90">
        <f>IF(AND(ISNUMBER(K160),ISNUMBER(S160)),K160*S160*52/12,"")</f>
        <v/>
      </c>
      <c r="U160" s="91" t="n">
        <v>4.3</v>
      </c>
      <c r="V160" s="85" t="n">
        <v>5837</v>
      </c>
      <c r="W160" s="92" t="n">
        <v>46307</v>
      </c>
      <c r="X160" s="92" t="n">
        <v>43803</v>
      </c>
      <c r="Y160" s="84" t="inlineStr">
        <is>
          <t>FBA</t>
        </is>
      </c>
      <c r="Z160" s="84" t="inlineStr">
        <is>
          <t>CN</t>
        </is>
      </c>
      <c r="AA160" s="85" t="n">
        <v>163454</v>
      </c>
      <c r="AB160" s="85" t="n">
        <v>1240</v>
      </c>
      <c r="AC160" s="93" t="n">
        <v>0.511816095659941</v>
      </c>
      <c r="AD160" s="93" t="n">
        <v>0.488184002226926</v>
      </c>
      <c r="AE160" s="32" t="inlineStr">
        <is>
          <t>silk sheets</t>
        </is>
      </c>
      <c r="AF160" s="93" t="n">
        <v>0.9357923330111224</v>
      </c>
      <c r="AG160" s="93" t="n">
        <v>0.9225470162859275</v>
      </c>
      <c r="AH160" s="93" t="n"/>
      <c r="AI160" s="93" t="n">
        <v>0.002850955008748639</v>
      </c>
      <c r="AJ160" s="85" t="n">
        <v>367</v>
      </c>
      <c r="AK160" s="85" t="n">
        <v>96</v>
      </c>
      <c r="AL160" s="85" t="n">
        <v>228</v>
      </c>
      <c r="AM160" s="85" t="n">
        <v>873</v>
      </c>
      <c r="AN160" s="85" t="n">
        <v>53</v>
      </c>
      <c r="AO160" s="85" t="n">
        <v>45</v>
      </c>
      <c r="AP160" s="94" t="n">
        <v>0.4183908045977011</v>
      </c>
      <c r="AQ160" s="89" t="n">
        <v>1.815972222222222</v>
      </c>
      <c r="AR160" s="95" t="inlineStr">
        <is>
          <t>N</t>
        </is>
      </c>
      <c r="AS160" s="95" t="inlineStr">
        <is>
          <t>none</t>
        </is>
      </c>
      <c r="AT160" s="101" t="n"/>
      <c r="AU160" s="96" t="n">
        <v>22.99</v>
      </c>
      <c r="AV160" s="95" t="inlineStr">
        <is>
          <t>none</t>
        </is>
      </c>
      <c r="AW160" s="95" t="inlineStr">
        <is>
          <t>Y</t>
        </is>
      </c>
      <c r="AX160" s="95" t="inlineStr">
        <is>
          <t>2026-10-13 12:13:12</t>
        </is>
      </c>
      <c r="AY160" s="97" t="inlineStr">
        <is>
          <t>Prime Exclusive Discount</t>
        </is>
      </c>
      <c r="AZ160" s="97" t="inlineStr">
        <is>
          <t>11-20 to 11-27</t>
        </is>
      </c>
      <c r="BA160" s="98" t="n">
        <v>19.99</v>
      </c>
      <c r="BB160" s="98" t="n">
        <v>17.99</v>
      </c>
      <c r="BC160" s="87">
        <f>IF(AND(ISNUMBER(BA160),ISNUMBER(BB160),N(BA160)&gt;0),1-BB160/BA160,"")</f>
        <v/>
      </c>
      <c r="BD160" s="99" t="n">
        <v>3675</v>
      </c>
      <c r="BE160" s="99" t="n">
        <v>3550</v>
      </c>
      <c r="BF160" s="100">
        <f>IF(AND(ISNUMBER(BD160),ISNUMBER(BE160),N(BE160)&gt;0),BD160/BE160,"")</f>
        <v/>
      </c>
      <c r="BG160" s="97" t="inlineStr">
        <is>
          <t>Y</t>
        </is>
      </c>
      <c r="BH160" s="97" t="inlineStr">
        <is>
          <t>Buy Box RAISED in BFCM week (median $27.79 vs $19.99 before); List Price $37.99</t>
        </is>
      </c>
    </row>
    <row r="161" ht="62" customHeight="1">
      <c r="A161" s="10">
        <f>_xlfn.IMAGE("https://images-na.ssl-images-amazon.com/images/I/81zMSoUAMJL.jpg")</f>
        <v/>
      </c>
      <c r="B161" s="84" t="inlineStr">
        <is>
          <t>Bedsure</t>
        </is>
      </c>
      <c r="C161" s="32" t="inlineStr">
        <is>
          <t>Satin Sheets</t>
        </is>
      </c>
      <c r="D161" s="84" t="inlineStr">
        <is>
          <t>Beatable</t>
        </is>
      </c>
      <c r="E161" s="84" t="inlineStr">
        <is>
          <t>B0DCZYNBYS</t>
        </is>
      </c>
      <c r="F161" s="84" t="inlineStr">
        <is>
          <t>B0CJ8RYNTS</t>
        </is>
      </c>
      <c r="G161" s="84" t="n"/>
      <c r="H161" s="84" t="n"/>
      <c r="I161" s="85" t="n">
        <v>32</v>
      </c>
      <c r="J161" s="32" t="inlineStr">
        <is>
          <t>B0CJ8SSQ6B (37%), B0CJ8RDYQ7 (17%), B0CJ8RYNTS (17%), B0CL4FSC1R (9%), B0CJ8SB44M (7%)</t>
        </is>
      </c>
      <c r="K161" s="86" t="n">
        <v>19.99</v>
      </c>
      <c r="L161" s="86" t="n"/>
      <c r="M161" s="87">
        <f>IF(AND(ISNUMBER(L161),ISNUMBER(K161),N(K161)&gt;0),L161/K161-1,"")</f>
        <v/>
      </c>
      <c r="N161" s="88">
        <f>IF(M161="","No List Price",IF(M161&lt;=0,"At/below price",IF(M161&lt;=0.12,"&lt;=12% STR zone",IF(M161&lt;=0.25,"12-25%","&gt;25% over"))))</f>
        <v/>
      </c>
      <c r="O161" s="86" t="n">
        <v>33.95</v>
      </c>
      <c r="P161" s="89">
        <f>IF(AND(ISNUMBER(K161),ISNUMBER(O161),N(O161)&gt;0),K161/O161-1,"")</f>
        <v/>
      </c>
      <c r="Q161" s="32" t="inlineStr">
        <is>
          <t>Size not stated - vs our Queen. Ours live: Helium 10 Xray, 2026-10-13; 29 children</t>
        </is>
      </c>
      <c r="R161" s="85" t="n">
        <v>22342</v>
      </c>
      <c r="S161" s="85" t="n">
        <v>92</v>
      </c>
      <c r="T161" s="90">
        <f>IF(AND(ISNUMBER(K161),ISNUMBER(S161)),K161*S161*52/12,"")</f>
        <v/>
      </c>
      <c r="U161" s="91" t="n">
        <v>4.3</v>
      </c>
      <c r="V161" s="85" t="n">
        <v>2745</v>
      </c>
      <c r="W161" s="92" t="n">
        <v>46307</v>
      </c>
      <c r="X161" s="92" t="n"/>
      <c r="Y161" s="84" t="n"/>
      <c r="Z161" s="84" t="n"/>
      <c r="AA161" s="85" t="n">
        <v>89691</v>
      </c>
      <c r="AB161" s="85" t="n">
        <v>1094</v>
      </c>
      <c r="AC161" s="93" t="n">
        <v>0.6850140036347012</v>
      </c>
      <c r="AD161" s="93" t="n">
        <v>0.3149859963652986</v>
      </c>
      <c r="AE161" s="32" t="inlineStr">
        <is>
          <t>satin sheets</t>
        </is>
      </c>
      <c r="AF161" s="93" t="n">
        <v>0.7987311993399561</v>
      </c>
      <c r="AG161" s="93" t="n">
        <v>0.4455742493672721</v>
      </c>
      <c r="AH161" s="93" t="n"/>
      <c r="AI161" s="93" t="n">
        <v>0.011428125452944</v>
      </c>
      <c r="AJ161" s="85" t="n">
        <v>315</v>
      </c>
      <c r="AK161" s="85" t="n">
        <v>101</v>
      </c>
      <c r="AL161" s="85" t="n">
        <v>192</v>
      </c>
      <c r="AM161" s="85" t="n">
        <v>779</v>
      </c>
      <c r="AN161" s="85" t="n">
        <v>129</v>
      </c>
      <c r="AO161" s="85" t="n">
        <v>31</v>
      </c>
      <c r="AP161" s="94" t="n">
        <v>1.528846153846154</v>
      </c>
      <c r="AQ161" s="89" t="n">
        <v>0.1557377049180328</v>
      </c>
      <c r="AR161" s="95" t="inlineStr">
        <is>
          <t>N</t>
        </is>
      </c>
      <c r="AS161" s="95" t="inlineStr">
        <is>
          <t>none</t>
        </is>
      </c>
      <c r="AT161" s="101" t="n"/>
      <c r="AU161" s="96" t="n">
        <v>19.99</v>
      </c>
      <c r="AV161" s="95" t="inlineStr">
        <is>
          <t>none</t>
        </is>
      </c>
      <c r="AW161" s="95" t="inlineStr">
        <is>
          <t>Y</t>
        </is>
      </c>
      <c r="AX161" s="95" t="inlineStr">
        <is>
          <t>2026-10-13 12:12:37</t>
        </is>
      </c>
      <c r="AY161" s="97" t="inlineStr">
        <is>
          <t>Prime Exclusive Discount</t>
        </is>
      </c>
      <c r="AZ161" s="97" t="inlineStr">
        <is>
          <t>11-08 to 12-04</t>
        </is>
      </c>
      <c r="BA161" s="98" t="n">
        <v>22.39</v>
      </c>
      <c r="BB161" s="98" t="n">
        <v>20.99</v>
      </c>
      <c r="BC161" s="87">
        <f>IF(AND(ISNUMBER(BA161),ISNUMBER(BB161),N(BA161)&gt;0),1-BB161/BA161,"")</f>
        <v/>
      </c>
      <c r="BD161" s="99" t="n">
        <v>4549</v>
      </c>
      <c r="BE161" s="99" t="n">
        <v>5323</v>
      </c>
      <c r="BF161" s="100">
        <f>IF(AND(ISNUMBER(BD161),ISNUMBER(BE161),N(BE161)&gt;0),BD161/BE161,"")</f>
        <v/>
      </c>
      <c r="BG161" s="97" t="inlineStr">
        <is>
          <t>N</t>
        </is>
      </c>
      <c r="BH161" s="97" t="inlineStr">
        <is>
          <t>Prime Exclusive already running before BFCM week; Buy Box RAISED in BFCM week (median $28.99 vs $24.99 before); List Price $44.99</t>
        </is>
      </c>
    </row>
    <row r="162" ht="62" customHeight="1">
      <c r="A162" s="10">
        <f>_xlfn.IMAGE("https://images-na.ssl-images-amazon.com/images/I/71ZrkfMtWLL.jpg")</f>
        <v/>
      </c>
      <c r="B162" s="84" t="inlineStr">
        <is>
          <t>SiinvdaBZX</t>
        </is>
      </c>
      <c r="C162" s="32" t="inlineStr">
        <is>
          <t>SiinvdaBZX 4Pcs Satin Sheet Set Queen Size 15-Inch Deep Pocket, Beige</t>
        </is>
      </c>
      <c r="D162" s="84" t="inlineStr">
        <is>
          <t>Beatable</t>
        </is>
      </c>
      <c r="E162" s="84" t="inlineStr">
        <is>
          <t>B0DD37S32L</t>
        </is>
      </c>
      <c r="F162" s="84" t="inlineStr">
        <is>
          <t>B08JP9DG5Z</t>
        </is>
      </c>
      <c r="G162" s="84" t="inlineStr">
        <is>
          <t>Queen</t>
        </is>
      </c>
      <c r="H162" s="84" t="inlineStr">
        <is>
          <t>Beige</t>
        </is>
      </c>
      <c r="I162" s="85" t="n">
        <v>96</v>
      </c>
      <c r="J162" s="32" t="inlineStr">
        <is>
          <t>B08JP9DG5Z (57%), B09QPFBSD4 (12%), B09QP9LCFM (7%), B08JPQ3JJK (4%)</t>
        </is>
      </c>
      <c r="K162" s="86" t="n">
        <v>22.99</v>
      </c>
      <c r="L162" s="86" t="n"/>
      <c r="M162" s="87">
        <f>IF(AND(ISNUMBER(L162),ISNUMBER(K162),N(K162)&gt;0),L162/K162-1,"")</f>
        <v/>
      </c>
      <c r="N162" s="88">
        <f>IF(M162="","No List Price",IF(M162&lt;=0,"At/below price",IF(M162&lt;=0.12,"&lt;=12% STR zone",IF(M162&lt;=0.25,"12-25%","&gt;25% over"))))</f>
        <v/>
      </c>
      <c r="O162" s="86" t="n">
        <v>33.95</v>
      </c>
      <c r="P162" s="89">
        <f>IF(AND(ISNUMBER(K162),ISNUMBER(O162),N(O162)&gt;0),K162/O162-1,"")</f>
        <v/>
      </c>
      <c r="Q162" s="32" t="inlineStr">
        <is>
          <t>Same size (Queen). Ours live: Helium 10 Xray, 2026-10-13; 29 children</t>
        </is>
      </c>
      <c r="R162" s="85" t="n">
        <v>23154</v>
      </c>
      <c r="S162" s="85" t="n">
        <v>92</v>
      </c>
      <c r="T162" s="90">
        <f>IF(AND(ISNUMBER(K162),ISNUMBER(S162)),K162*S162*52/12,"")</f>
        <v/>
      </c>
      <c r="U162" s="91" t="n">
        <v>4.4</v>
      </c>
      <c r="V162" s="85" t="n">
        <v>6981</v>
      </c>
      <c r="W162" s="92" t="n">
        <v>46307</v>
      </c>
      <c r="X162" s="92" t="n">
        <v>44096</v>
      </c>
      <c r="Y162" s="84" t="inlineStr">
        <is>
          <t>FBA</t>
        </is>
      </c>
      <c r="Z162" s="84" t="inlineStr">
        <is>
          <t>CN</t>
        </is>
      </c>
      <c r="AA162" s="85" t="n">
        <v>47722</v>
      </c>
      <c r="AB162" s="85" t="n">
        <v>1085</v>
      </c>
      <c r="AC162" s="93" t="n">
        <v>0.8752176061355349</v>
      </c>
      <c r="AD162" s="93" t="n">
        <v>0.1247823938644651</v>
      </c>
      <c r="AE162" s="32" t="inlineStr">
        <is>
          <t>silk sheets</t>
        </is>
      </c>
      <c r="AF162" s="93" t="n">
        <v>0.6122543061900172</v>
      </c>
      <c r="AG162" s="93" t="n">
        <v>0.0001885922635262562</v>
      </c>
      <c r="AH162" s="93" t="n">
        <v>0.01083357780478605</v>
      </c>
      <c r="AI162" s="93" t="n">
        <v>0.004777670675998491</v>
      </c>
      <c r="AJ162" s="85" t="n">
        <v>332</v>
      </c>
      <c r="AK162" s="85" t="n">
        <v>146</v>
      </c>
      <c r="AL162" s="85" t="n">
        <v>159</v>
      </c>
      <c r="AM162" s="85" t="n">
        <v>753</v>
      </c>
      <c r="AN162" s="85" t="n">
        <v>98</v>
      </c>
      <c r="AO162" s="85" t="n">
        <v>7</v>
      </c>
      <c r="AP162" s="94" t="n">
        <v>1.035928143712575</v>
      </c>
      <c r="AQ162" s="89" t="n">
        <v>-0.05882352941176483</v>
      </c>
      <c r="AR162" s="95" t="inlineStr">
        <is>
          <t>N</t>
        </is>
      </c>
      <c r="AS162" s="95" t="inlineStr">
        <is>
          <t>none</t>
        </is>
      </c>
      <c r="AT162" s="101" t="n"/>
      <c r="AU162" s="96" t="n">
        <v>22.99</v>
      </c>
      <c r="AV162" s="95" t="inlineStr">
        <is>
          <t>none</t>
        </is>
      </c>
      <c r="AW162" s="95" t="inlineStr">
        <is>
          <t>Y</t>
        </is>
      </c>
      <c r="AX162" s="95" t="inlineStr">
        <is>
          <t>2026-10-13 12:13:45</t>
        </is>
      </c>
      <c r="AY162" s="97" t="inlineStr">
        <is>
          <t>Prime Exclusive Discount</t>
        </is>
      </c>
      <c r="AZ162" s="97" t="inlineStr">
        <is>
          <t>11-01 to 12-01</t>
        </is>
      </c>
      <c r="BA162" s="98" t="n">
        <v>24.49</v>
      </c>
      <c r="BB162" s="98" t="n">
        <v>21.59</v>
      </c>
      <c r="BC162" s="87">
        <f>IF(AND(ISNUMBER(BA162),ISNUMBER(BB162),N(BA162)&gt;0),1-BB162/BA162,"")</f>
        <v/>
      </c>
      <c r="BD162" s="99" t="n">
        <v>20848</v>
      </c>
      <c r="BE162" s="99" t="n">
        <v>20750</v>
      </c>
      <c r="BF162" s="100">
        <f>IF(AND(ISNUMBER(BD162),ISNUMBER(BE162),N(BE162)&gt;0),BD162/BE162,"")</f>
        <v/>
      </c>
      <c r="BG162" s="97" t="inlineStr">
        <is>
          <t>N</t>
        </is>
      </c>
      <c r="BH162" s="97" t="inlineStr">
        <is>
          <t>Prime Exclusive already running before BFCM week; Buy Box RAISED in BFCM week (median $26.99 vs $24.49 before); List Price $52.59</t>
        </is>
      </c>
    </row>
    <row r="163" ht="62" customHeight="1">
      <c r="A163" s="10">
        <f>_xlfn.IMAGE("https://images-na.ssl-images-amazon.com/images/I/71MADUOjsFL.jpg")</f>
        <v/>
      </c>
      <c r="B163" s="84" t="inlineStr">
        <is>
          <t>Sasttie</t>
        </is>
      </c>
      <c r="C163" s="32" t="inlineStr">
        <is>
          <t>Sasttie Satin Sheets Queen Size - 4 Pieces Luxury Soft Black Silky Bed Sheets Set with Pillowcases - Smooth Silk-Like Satin Fabric, Reinforced 14 Inches Pocket, Oeko-Tex Certified</t>
        </is>
      </c>
      <c r="D163" s="84" t="inlineStr">
        <is>
          <t>Beatable</t>
        </is>
      </c>
      <c r="E163" s="84" t="inlineStr">
        <is>
          <t>B0F2H9HX69</t>
        </is>
      </c>
      <c r="F163" s="84" t="inlineStr">
        <is>
          <t>B0F2H8LPB3</t>
        </is>
      </c>
      <c r="G163" s="84" t="inlineStr">
        <is>
          <t>Queen</t>
        </is>
      </c>
      <c r="H163" s="84" t="inlineStr">
        <is>
          <t>Black</t>
        </is>
      </c>
      <c r="I163" s="85" t="n">
        <v>47</v>
      </c>
      <c r="J163" s="32" t="inlineStr">
        <is>
          <t>B0F2H8LPB3 (57%), B0F2H92RZ5 (13%), B0F2H9HRJJ (11%)</t>
        </is>
      </c>
      <c r="K163" s="86" t="n">
        <v>15.99</v>
      </c>
      <c r="L163" s="86" t="n"/>
      <c r="M163" s="87">
        <f>IF(AND(ISNUMBER(L163),ISNUMBER(K163),N(K163)&gt;0),L163/K163-1,"")</f>
        <v/>
      </c>
      <c r="N163" s="88">
        <f>IF(M163="","No List Price",IF(M163&lt;=0,"At/below price",IF(M163&lt;=0.12,"&lt;=12% STR zone",IF(M163&lt;=0.25,"12-25%","&gt;25% over"))))</f>
        <v/>
      </c>
      <c r="O163" s="86" t="n">
        <v>33.95</v>
      </c>
      <c r="P163" s="89">
        <f>IF(AND(ISNUMBER(K163),ISNUMBER(O163),N(O163)&gt;0),K163/O163-1,"")</f>
        <v/>
      </c>
      <c r="Q163" s="32" t="inlineStr">
        <is>
          <t>Same size (Queen). Ours live: Helium 10 Xray, 2026-10-13; 29 children</t>
        </is>
      </c>
      <c r="R163" s="85" t="n">
        <v>58723</v>
      </c>
      <c r="S163" s="85" t="n">
        <v>35</v>
      </c>
      <c r="T163" s="90">
        <f>IF(AND(ISNUMBER(K163),ISNUMBER(S163)),K163*S163*52/12,"")</f>
        <v/>
      </c>
      <c r="U163" s="91" t="n">
        <v>4.5</v>
      </c>
      <c r="V163" s="85" t="n">
        <v>968</v>
      </c>
      <c r="W163" s="92" t="n">
        <v>46307</v>
      </c>
      <c r="X163" s="92" t="n">
        <v>45742</v>
      </c>
      <c r="Y163" s="84" t="inlineStr">
        <is>
          <t>FBA</t>
        </is>
      </c>
      <c r="Z163" s="84" t="inlineStr">
        <is>
          <t>CN</t>
        </is>
      </c>
      <c r="AA163" s="85" t="n">
        <v>26952</v>
      </c>
      <c r="AB163" s="85" t="n">
        <v>504</v>
      </c>
      <c r="AC163" s="93" t="n">
        <v>0.9879767104482041</v>
      </c>
      <c r="AD163" s="93" t="n">
        <v>0.01202328955179578</v>
      </c>
      <c r="AE163" s="32" t="inlineStr">
        <is>
          <t>satin sheets</t>
        </is>
      </c>
      <c r="AF163" s="93" t="n"/>
      <c r="AG163" s="93" t="n">
        <v>0.004081329771445533</v>
      </c>
      <c r="AH163" s="93" t="n">
        <v>0.1173567824280202</v>
      </c>
      <c r="AI163" s="93" t="n"/>
      <c r="AJ163" s="85" t="n">
        <v>255</v>
      </c>
      <c r="AK163" s="85" t="n">
        <v>132</v>
      </c>
      <c r="AL163" s="85" t="n">
        <v>107</v>
      </c>
      <c r="AM163" s="85" t="n">
        <v>249</v>
      </c>
      <c r="AN163" s="85" t="n">
        <v>13</v>
      </c>
      <c r="AO163" s="85" t="n">
        <v>0</v>
      </c>
      <c r="AP163" s="94" t="n">
        <v>1.063356164383562</v>
      </c>
      <c r="AQ163" s="89" t="n">
        <v>-0.1631084543125534</v>
      </c>
      <c r="AR163" s="95" t="inlineStr">
        <is>
          <t>N</t>
        </is>
      </c>
      <c r="AS163" s="95" t="inlineStr">
        <is>
          <t>none</t>
        </is>
      </c>
      <c r="AT163" s="101" t="n"/>
      <c r="AU163" s="96" t="n">
        <v>15.99</v>
      </c>
      <c r="AV163" s="95" t="inlineStr">
        <is>
          <t>none</t>
        </is>
      </c>
      <c r="AW163" s="95" t="inlineStr">
        <is>
          <t>Y</t>
        </is>
      </c>
      <c r="AX163" s="95" t="inlineStr">
        <is>
          <t>2026-10-13 12:13:42</t>
        </is>
      </c>
      <c r="AY163" s="97" t="inlineStr">
        <is>
          <t>Prime Exclusive Discount</t>
        </is>
      </c>
      <c r="AZ163" s="97" t="inlineStr">
        <is>
          <t>11-08 to 12-05</t>
        </is>
      </c>
      <c r="BA163" s="98" t="n">
        <v>15.99</v>
      </c>
      <c r="BB163" s="98" t="n">
        <v>15.98</v>
      </c>
      <c r="BC163" s="87">
        <f>IF(AND(ISNUMBER(BA163),ISNUMBER(BB163),N(BA163)&gt;0),1-BB163/BA163,"")</f>
        <v/>
      </c>
      <c r="BD163" s="99" t="n">
        <v>71449</v>
      </c>
      <c r="BE163" s="99" t="n">
        <v>98796</v>
      </c>
      <c r="BF163" s="100">
        <f>IF(AND(ISNUMBER(BD163),ISNUMBER(BE163),N(BE163)&gt;0),BD163/BE163,"")</f>
        <v/>
      </c>
      <c r="BG163" s="97" t="inlineStr">
        <is>
          <t>N</t>
        </is>
      </c>
      <c r="BH163" s="97" t="inlineStr">
        <is>
          <t>Prime Exclusive already running before BFCM week; Buy Box RAISED in BFCM week (median $19.99 vs $16.99 before); List Price $19.98</t>
        </is>
      </c>
    </row>
    <row r="164" ht="62" customHeight="1">
      <c r="A164" s="10">
        <f>_xlfn.IMAGE("https://images-na.ssl-images-amazon.com/images/I/71eq-pAu2pL.jpg")</f>
        <v/>
      </c>
      <c r="B164" s="84" t="inlineStr">
        <is>
          <t>LIFCOM</t>
        </is>
      </c>
      <c r="C164" s="32" t="inlineStr">
        <is>
          <t>LIFCOM Satin Sheets Queen,4Pcs Bed Set with 15" Deep Pocket,Brown</t>
        </is>
      </c>
      <c r="D164" s="84" t="inlineStr">
        <is>
          <t>Beatable</t>
        </is>
      </c>
      <c r="E164" s="84" t="inlineStr">
        <is>
          <t>B0DBVYL693</t>
        </is>
      </c>
      <c r="F164" s="84" t="inlineStr">
        <is>
          <t>B0DCC78S4N</t>
        </is>
      </c>
      <c r="G164" s="84" t="inlineStr">
        <is>
          <t>Queen</t>
        </is>
      </c>
      <c r="H164" s="84" t="inlineStr">
        <is>
          <t>Brown</t>
        </is>
      </c>
      <c r="I164" s="85" t="n">
        <v>73</v>
      </c>
      <c r="J164" s="32" t="inlineStr">
        <is>
          <t>B0DCC5ZQNW (21%), B0DCC78S4N (17%), B0DC5L2BHY (9%), B0DCC8MLV5 (8%), B0DCC8WZCH (7%)</t>
        </is>
      </c>
      <c r="K164" s="86" t="n">
        <v>23.99</v>
      </c>
      <c r="L164" s="86" t="n"/>
      <c r="M164" s="87">
        <f>IF(AND(ISNUMBER(L164),ISNUMBER(K164),N(K164)&gt;0),L164/K164-1,"")</f>
        <v/>
      </c>
      <c r="N164" s="88">
        <f>IF(M164="","No List Price",IF(M164&lt;=0,"At/below price",IF(M164&lt;=0.12,"&lt;=12% STR zone",IF(M164&lt;=0.25,"12-25%","&gt;25% over"))))</f>
        <v/>
      </c>
      <c r="O164" s="86" t="n">
        <v>33.95</v>
      </c>
      <c r="P164" s="89">
        <f>IF(AND(ISNUMBER(K164),ISNUMBER(O164),N(O164)&gt;0),K164/O164-1,"")</f>
        <v/>
      </c>
      <c r="Q164" s="32" t="inlineStr">
        <is>
          <t>Same size (Queen). Ours live: Helium 10 Xray, 2026-10-13; 29 children</t>
        </is>
      </c>
      <c r="R164" s="85" t="n">
        <v>96002</v>
      </c>
      <c r="S164" s="85" t="n">
        <v>18</v>
      </c>
      <c r="T164" s="90">
        <f>IF(AND(ISNUMBER(K164),ISNUMBER(S164)),K164*S164*52/12,"")</f>
        <v/>
      </c>
      <c r="U164" s="91" t="n">
        <v>4.2</v>
      </c>
      <c r="V164" s="85" t="n">
        <v>361</v>
      </c>
      <c r="W164" s="92" t="n">
        <v>46307</v>
      </c>
      <c r="X164" s="92" t="n">
        <v>45510</v>
      </c>
      <c r="Y164" s="84" t="inlineStr">
        <is>
          <t>FBA</t>
        </is>
      </c>
      <c r="Z164" s="84" t="inlineStr">
        <is>
          <t>CN</t>
        </is>
      </c>
      <c r="AA164" s="85" t="n">
        <v>23278</v>
      </c>
      <c r="AB164" s="85" t="n">
        <v>634</v>
      </c>
      <c r="AC164" s="93" t="n">
        <v>0.4926462797491192</v>
      </c>
      <c r="AD164" s="93" t="n">
        <v>0.507353720250881</v>
      </c>
      <c r="AE164" s="32" t="inlineStr">
        <is>
          <t>brown sheets</t>
        </is>
      </c>
      <c r="AF164" s="93" t="n">
        <v>0.8651086863132571</v>
      </c>
      <c r="AG164" s="93" t="n"/>
      <c r="AH164" s="93" t="n"/>
      <c r="AI164" s="93" t="n">
        <v>0.1246241086003952</v>
      </c>
      <c r="AJ164" s="85" t="n">
        <v>256</v>
      </c>
      <c r="AK164" s="85" t="n">
        <v>166</v>
      </c>
      <c r="AL164" s="85" t="n">
        <v>64</v>
      </c>
      <c r="AM164" s="85" t="n">
        <v>378</v>
      </c>
      <c r="AN164" s="85" t="n">
        <v>44</v>
      </c>
      <c r="AO164" s="85" t="n">
        <v>41</v>
      </c>
      <c r="AP164" s="94" t="n">
        <v>0.5539772727272727</v>
      </c>
      <c r="AQ164" s="89" t="n">
        <v>-0.4424040066777963</v>
      </c>
      <c r="AR164" s="95" t="inlineStr">
        <is>
          <t>N</t>
        </is>
      </c>
      <c r="AS164" s="95" t="inlineStr">
        <is>
          <t>none</t>
        </is>
      </c>
      <c r="AT164" s="101" t="n"/>
      <c r="AU164" s="96" t="n">
        <v>23.99</v>
      </c>
      <c r="AV164" s="95" t="inlineStr">
        <is>
          <t>none</t>
        </is>
      </c>
      <c r="AW164" s="95" t="inlineStr">
        <is>
          <t>Y</t>
        </is>
      </c>
      <c r="AX164" s="95" t="inlineStr">
        <is>
          <t>2026-10-13 12:13:09</t>
        </is>
      </c>
      <c r="AY164" s="97" t="inlineStr">
        <is>
          <t>Prime Exclusive Discount</t>
        </is>
      </c>
      <c r="AZ164" s="97" t="inlineStr">
        <is>
          <t>11-24 to 12-01</t>
        </is>
      </c>
      <c r="BA164" s="98" t="n">
        <v>22.99</v>
      </c>
      <c r="BB164" s="98" t="n">
        <v>19.27</v>
      </c>
      <c r="BC164" s="87">
        <f>IF(AND(ISNUMBER(BA164),ISNUMBER(BB164),N(BA164)&gt;0),1-BB164/BA164,"")</f>
        <v/>
      </c>
      <c r="BD164" s="99" t="n">
        <v>66815</v>
      </c>
      <c r="BE164" s="99" t="n">
        <v>49602</v>
      </c>
      <c r="BF164" s="100">
        <f>IF(AND(ISNUMBER(BD164),ISNUMBER(BE164),N(BE164)&gt;0),BD164/BE164,"")</f>
        <v/>
      </c>
      <c r="BG164" s="97" t="inlineStr">
        <is>
          <t>N</t>
        </is>
      </c>
      <c r="BH164" s="97" t="inlineStr">
        <is>
          <t>Buy Box RAISED in BFCM week (median $24.39 vs $22.99 before); List Price $31.99</t>
        </is>
      </c>
    </row>
    <row r="165" ht="62" customHeight="1">
      <c r="A165" s="10">
        <f>_xlfn.IMAGE("https://images-na.ssl-images-amazon.com/images/I/81HS7e6wrTL.jpg")</f>
        <v/>
      </c>
      <c r="B165" s="84" t="inlineStr">
        <is>
          <t>Madison Park</t>
        </is>
      </c>
      <c r="C165" s="32" t="inlineStr">
        <is>
          <t>Satin Sheets</t>
        </is>
      </c>
      <c r="D165" s="84" t="inlineStr">
        <is>
          <t>Beatable</t>
        </is>
      </c>
      <c r="E165" s="84" t="inlineStr">
        <is>
          <t>B0DJ2HJ9M4</t>
        </is>
      </c>
      <c r="F165" s="84" t="inlineStr">
        <is>
          <t>B09HVCPNLX</t>
        </is>
      </c>
      <c r="G165" s="84" t="n"/>
      <c r="H165" s="84" t="n"/>
      <c r="I165" s="85" t="n">
        <v>44</v>
      </c>
      <c r="J165" s="32" t="inlineStr">
        <is>
          <t>B0C5CG12M2 (27%), B09HVCPNLX (24%), B0C25NTWCM (18%), B09HVDQ982 (9%), B0DDQ6PNMP (7%)</t>
        </is>
      </c>
      <c r="K165" s="86" t="n">
        <v>26.99</v>
      </c>
      <c r="L165" s="86" t="n"/>
      <c r="M165" s="87">
        <f>IF(AND(ISNUMBER(L165),ISNUMBER(K165),N(K165)&gt;0),L165/K165-1,"")</f>
        <v/>
      </c>
      <c r="N165" s="88">
        <f>IF(M165="","No List Price",IF(M165&lt;=0,"At/below price",IF(M165&lt;=0.12,"&lt;=12% STR zone",IF(M165&lt;=0.25,"12-25%","&gt;25% over"))))</f>
        <v/>
      </c>
      <c r="O165" s="86" t="n">
        <v>33.95</v>
      </c>
      <c r="P165" s="89">
        <f>IF(AND(ISNUMBER(K165),ISNUMBER(O165),N(O165)&gt;0),K165/O165-1,"")</f>
        <v/>
      </c>
      <c r="Q165" s="32" t="inlineStr">
        <is>
          <t>Size not stated - vs our Queen. Ours live: Helium 10 Xray, 2026-10-13; 29 children</t>
        </is>
      </c>
      <c r="R165" s="85" t="n">
        <v>76753</v>
      </c>
      <c r="S165" s="85" t="n">
        <v>18</v>
      </c>
      <c r="T165" s="90">
        <f>IF(AND(ISNUMBER(K165),ISNUMBER(S165)),K165*S165*52/12,"")</f>
        <v/>
      </c>
      <c r="U165" s="91" t="n">
        <v>4.5</v>
      </c>
      <c r="V165" s="85" t="n">
        <v>127</v>
      </c>
      <c r="W165" s="92" t="n">
        <v>46307</v>
      </c>
      <c r="X165" s="92" t="n"/>
      <c r="Y165" s="84" t="n"/>
      <c r="Z165" s="84" t="n"/>
      <c r="AA165" s="85" t="n">
        <v>35631</v>
      </c>
      <c r="AB165" s="85" t="n">
        <v>592</v>
      </c>
      <c r="AC165" s="93" t="n">
        <v>0.9497345738261626</v>
      </c>
      <c r="AD165" s="93" t="n">
        <v>0.05026542617383739</v>
      </c>
      <c r="AE165" s="32" t="inlineStr">
        <is>
          <t>satin sheets</t>
        </is>
      </c>
      <c r="AF165" s="93" t="n">
        <v>0.305408211950268</v>
      </c>
      <c r="AG165" s="93" t="n"/>
      <c r="AH165" s="93" t="n"/>
      <c r="AI165" s="93" t="n">
        <v>0</v>
      </c>
      <c r="AJ165" s="85" t="n">
        <v>251</v>
      </c>
      <c r="AK165" s="85" t="n">
        <v>146</v>
      </c>
      <c r="AL165" s="85" t="n">
        <v>87</v>
      </c>
      <c r="AM165" s="85" t="n">
        <v>341</v>
      </c>
      <c r="AN165" s="85" t="n">
        <v>18</v>
      </c>
      <c r="AO165" s="85" t="n">
        <v>4</v>
      </c>
      <c r="AP165" s="94" t="n">
        <v>0.6901408450704226</v>
      </c>
      <c r="AQ165" s="89" t="n">
        <v>0.1848341232227488</v>
      </c>
      <c r="AR165" s="95" t="inlineStr">
        <is>
          <t>N</t>
        </is>
      </c>
      <c r="AS165" s="95" t="inlineStr">
        <is>
          <t>none</t>
        </is>
      </c>
      <c r="AT165" s="101" t="n"/>
      <c r="AU165" s="96" t="n">
        <v>26.99</v>
      </c>
      <c r="AV165" s="95" t="inlineStr">
        <is>
          <t>none</t>
        </is>
      </c>
      <c r="AW165" s="95" t="inlineStr">
        <is>
          <t>Y</t>
        </is>
      </c>
      <c r="AX165" s="95" t="inlineStr">
        <is>
          <t>2026-10-13 12:13:26</t>
        </is>
      </c>
      <c r="AY165" s="97" t="inlineStr">
        <is>
          <t>None</t>
        </is>
      </c>
      <c r="AZ165" s="102" t="n"/>
      <c r="BA165" s="98" t="n">
        <v>30.99</v>
      </c>
      <c r="BB165" s="98" t="n">
        <v>30.99</v>
      </c>
      <c r="BC165" s="87">
        <f>IF(AND(ISNUMBER(BA165),ISNUMBER(BB165),N(BA165)&gt;0),1-BB165/BA165,"")</f>
        <v/>
      </c>
      <c r="BD165" s="99" t="n">
        <v>38276</v>
      </c>
      <c r="BE165" s="99" t="n">
        <v>39554</v>
      </c>
      <c r="BF165" s="100">
        <f>IF(AND(ISNUMBER(BD165),ISNUMBER(BE165),N(BE165)&gt;0),BD165/BE165,"")</f>
        <v/>
      </c>
      <c r="BG165" s="97" t="inlineStr">
        <is>
          <t>N</t>
        </is>
      </c>
      <c r="BH165" s="97" t="inlineStr">
        <is>
          <t>List Price $35.99</t>
        </is>
      </c>
    </row>
    <row r="166" ht="62" customHeight="1">
      <c r="A166" s="10">
        <f>_xlfn.IMAGE("https://images-na.ssl-images-amazon.com/images/I/71Upo7a638S.jpg")</f>
        <v/>
      </c>
      <c r="B166" s="84" t="inlineStr">
        <is>
          <t>Homiest</t>
        </is>
      </c>
      <c r="C166" s="32" t="inlineStr">
        <is>
          <t>Satin Sheets</t>
        </is>
      </c>
      <c r="D166" s="84" t="inlineStr">
        <is>
          <t>Beatable</t>
        </is>
      </c>
      <c r="E166" s="84" t="inlineStr">
        <is>
          <t>B07XBR22W1</t>
        </is>
      </c>
      <c r="F166" s="84" t="inlineStr">
        <is>
          <t>B0B5Z2B9NN</t>
        </is>
      </c>
      <c r="G166" s="84" t="n"/>
      <c r="H166" s="84" t="n"/>
      <c r="I166" s="85" t="n">
        <v>70</v>
      </c>
      <c r="J166" s="32" t="inlineStr">
        <is>
          <t>B07VTMDK79 (19%), B0C2824DHT (16%), B07XPVHHP9 (9%), B07HN29LH1 (6%), B0B2QZ8NKY (5%)</t>
        </is>
      </c>
      <c r="K166" s="86" t="n">
        <v>21.99</v>
      </c>
      <c r="L166" s="86" t="n">
        <v>25.99</v>
      </c>
      <c r="M166" s="87">
        <f>IF(AND(ISNUMBER(L166),ISNUMBER(K166),N(K166)&gt;0),L166/K166-1,"")</f>
        <v/>
      </c>
      <c r="N166" s="88">
        <f>IF(M166="","No List Price",IF(M166&lt;=0,"At/below price",IF(M166&lt;=0.12,"&lt;=12% STR zone",IF(M166&lt;=0.25,"12-25%","&gt;25% over"))))</f>
        <v/>
      </c>
      <c r="O166" s="86" t="n">
        <v>33.95</v>
      </c>
      <c r="P166" s="89">
        <f>IF(AND(ISNUMBER(K166),ISNUMBER(O166),N(O166)&gt;0),K166/O166-1,"")</f>
        <v/>
      </c>
      <c r="Q166" s="32" t="inlineStr">
        <is>
          <t>Size not stated - vs our Queen. Ours live: Helium 10 Xray, 2026-10-13; 29 children</t>
        </is>
      </c>
      <c r="R166" s="85" t="n">
        <v>28165</v>
      </c>
      <c r="S166" s="85" t="n">
        <v>5</v>
      </c>
      <c r="T166" s="90">
        <f>IF(AND(ISNUMBER(K166),ISNUMBER(S166)),K166*S166*52/12,"")</f>
        <v/>
      </c>
      <c r="U166" s="91" t="n">
        <v>4.4</v>
      </c>
      <c r="V166" s="85" t="n">
        <v>12125</v>
      </c>
      <c r="W166" s="92" t="n">
        <v>46307</v>
      </c>
      <c r="X166" s="92" t="n"/>
      <c r="Y166" s="84" t="n"/>
      <c r="Z166" s="84" t="n"/>
      <c r="AA166" s="85" t="n">
        <v>20002</v>
      </c>
      <c r="AB166" s="85" t="n">
        <v>618</v>
      </c>
      <c r="AC166" s="93" t="n">
        <v>1</v>
      </c>
      <c r="AD166" s="93" t="n">
        <v>0</v>
      </c>
      <c r="AE166" s="32" t="inlineStr">
        <is>
          <t>satin sheets</t>
        </is>
      </c>
      <c r="AF166" s="93" t="n">
        <v>0.08344165583441655</v>
      </c>
      <c r="AG166" s="93" t="n"/>
      <c r="AH166" s="93" t="n"/>
      <c r="AI166" s="93" t="n">
        <v>0.02124787521247875</v>
      </c>
      <c r="AJ166" s="85" t="n">
        <v>302</v>
      </c>
      <c r="AK166" s="85" t="n">
        <v>197</v>
      </c>
      <c r="AL166" s="85" t="n">
        <v>81</v>
      </c>
      <c r="AM166" s="85" t="n">
        <v>316</v>
      </c>
      <c r="AN166" s="85" t="n">
        <v>0</v>
      </c>
      <c r="AO166" s="85" t="n">
        <v>0</v>
      </c>
      <c r="AP166" s="94" t="n"/>
      <c r="AQ166" s="89" t="n"/>
      <c r="AR166" s="95" t="inlineStr">
        <is>
          <t>Y</t>
        </is>
      </c>
      <c r="AS166" s="95" t="inlineStr">
        <is>
          <t>Typical price</t>
        </is>
      </c>
      <c r="AT166" s="96" t="n">
        <v>25.99</v>
      </c>
      <c r="AU166" s="96" t="n">
        <v>23.99</v>
      </c>
      <c r="AV166" s="95" t="inlineStr">
        <is>
          <t>none</t>
        </is>
      </c>
      <c r="AW166" s="95" t="inlineStr">
        <is>
          <t>Y</t>
        </is>
      </c>
      <c r="AX166" s="95" t="inlineStr">
        <is>
          <t>2026-10-13 12:12:56</t>
        </is>
      </c>
      <c r="AY166" s="97" t="inlineStr">
        <is>
          <t>Prime Exclusive Discount</t>
        </is>
      </c>
      <c r="AZ166" s="97" t="inlineStr">
        <is>
          <t>11-04 to 12-05</t>
        </is>
      </c>
      <c r="BA166" s="98" t="n">
        <v>23.39</v>
      </c>
      <c r="BB166" s="98" t="n">
        <v>21.32</v>
      </c>
      <c r="BC166" s="87">
        <f>IF(AND(ISNUMBER(BA166),ISNUMBER(BB166),N(BA166)&gt;0),1-BB166/BA166,"")</f>
        <v/>
      </c>
      <c r="BD166" s="99" t="n">
        <v>20924</v>
      </c>
      <c r="BE166" s="99" t="n">
        <v>20898</v>
      </c>
      <c r="BF166" s="100">
        <f>IF(AND(ISNUMBER(BD166),ISNUMBER(BE166),N(BE166)&gt;0),BD166/BE166,"")</f>
        <v/>
      </c>
      <c r="BG166" s="97" t="inlineStr">
        <is>
          <t>N</t>
        </is>
      </c>
      <c r="BH166" s="97" t="inlineStr">
        <is>
          <t>Prime Exclusive already running before BFCM week; List Price $52.78</t>
        </is>
      </c>
    </row>
    <row r="167" ht="62" customHeight="1">
      <c r="A167" s="10">
        <f>_xlfn.IMAGE("https://images-na.ssl-images-amazon.com/images/I/81M3kmoCTLL.jpg")</f>
        <v/>
      </c>
      <c r="B167" s="84" t="inlineStr"/>
      <c r="C167" s="32" t="inlineStr">
        <is>
          <t>Juicy Couture Queen Size Satin Bed Sheet Set, Deep Pocket Silky Satin Queen Shee</t>
        </is>
      </c>
      <c r="D167" s="84" t="inlineStr">
        <is>
          <t>Beatable</t>
        </is>
      </c>
      <c r="E167" s="84" t="inlineStr">
        <is>
          <t>B0FB47M9WR</t>
        </is>
      </c>
      <c r="F167" s="84" t="inlineStr">
        <is>
          <t>B0BK1WH383</t>
        </is>
      </c>
      <c r="G167" s="84" t="inlineStr">
        <is>
          <t>Queen</t>
        </is>
      </c>
      <c r="H167" s="84" t="n"/>
      <c r="I167" s="85" t="n">
        <v>58</v>
      </c>
      <c r="J167" s="32" t="inlineStr">
        <is>
          <t>B09NP86NP2 (22%), B0DKYVPBLR (21%), B0BK1WRYR5 (11%), B09NP9WVDR (11%), B0F3KT7FWM (8%)</t>
        </is>
      </c>
      <c r="K167" s="86" t="n">
        <v>5.93</v>
      </c>
      <c r="L167" s="86" t="n"/>
      <c r="M167" s="87">
        <f>IF(AND(ISNUMBER(L167),ISNUMBER(K167),N(K167)&gt;0),L167/K167-1,"")</f>
        <v/>
      </c>
      <c r="N167" s="88">
        <f>IF(M167="","No List Price",IF(M167&lt;=0,"At/below price",IF(M167&lt;=0.12,"&lt;=12% STR zone",IF(M167&lt;=0.25,"12-25%","&gt;25% over"))))</f>
        <v/>
      </c>
      <c r="O167" s="86" t="n">
        <v>33.95</v>
      </c>
      <c r="P167" s="89">
        <f>IF(AND(ISNUMBER(K167),ISNUMBER(O167),N(O167)&gt;0),K167/O167-1,"")</f>
        <v/>
      </c>
      <c r="Q167" s="32" t="inlineStr">
        <is>
          <t>Same size (Queen). Ours live: Helium 10 Xray, 2026-10-13; 29 children</t>
        </is>
      </c>
      <c r="R167" s="85" t="n">
        <v>80060</v>
      </c>
      <c r="S167" s="85" t="n">
        <v>5</v>
      </c>
      <c r="T167" s="90">
        <f>IF(AND(ISNUMBER(K167),ISNUMBER(S167)),K167*S167*52/12,"")</f>
        <v/>
      </c>
      <c r="U167" s="91" t="n">
        <v>4.6</v>
      </c>
      <c r="V167" s="85" t="n">
        <v>46</v>
      </c>
      <c r="W167" s="92" t="n">
        <v>46307</v>
      </c>
      <c r="X167" s="92" t="n"/>
      <c r="Y167" s="84" t="n"/>
      <c r="Z167" s="84" t="n"/>
      <c r="AA167" s="85" t="n">
        <v>41904</v>
      </c>
      <c r="AB167" s="85" t="n">
        <v>827</v>
      </c>
      <c r="AC167" s="93" t="n">
        <v>0.8273237471363115</v>
      </c>
      <c r="AD167" s="93" t="n">
        <v>0.1726766346888126</v>
      </c>
      <c r="AE167" s="32" t="inlineStr">
        <is>
          <t>juicy couture</t>
        </is>
      </c>
      <c r="AF167" s="93" t="n">
        <v>0.1212533409698358</v>
      </c>
      <c r="AG167" s="93" t="n">
        <v>0.1026870943108057</v>
      </c>
      <c r="AH167" s="93" t="n">
        <v>0.5394234440626193</v>
      </c>
      <c r="AI167" s="93" t="n">
        <v>0.09507445589919816</v>
      </c>
      <c r="AJ167" s="85" t="n">
        <v>243</v>
      </c>
      <c r="AK167" s="85" t="n">
        <v>156</v>
      </c>
      <c r="AL167" s="85" t="n">
        <v>71</v>
      </c>
      <c r="AM167" s="85" t="n">
        <v>584</v>
      </c>
      <c r="AN167" s="85" t="n">
        <v>112</v>
      </c>
      <c r="AO167" s="85" t="n">
        <v>17</v>
      </c>
      <c r="AP167" s="94" t="n"/>
      <c r="AQ167" s="89" t="n"/>
      <c r="AR167" s="95" t="inlineStr">
        <is>
          <t>N</t>
        </is>
      </c>
      <c r="AS167" s="95" t="inlineStr">
        <is>
          <t>none</t>
        </is>
      </c>
      <c r="AT167" s="101" t="n"/>
      <c r="AU167" s="101" t="n"/>
      <c r="AV167" s="95" t="inlineStr">
        <is>
          <t>none</t>
        </is>
      </c>
      <c r="AW167" s="95" t="inlineStr">
        <is>
          <t>N</t>
        </is>
      </c>
      <c r="AX167" s="95" t="inlineStr">
        <is>
          <t>2026-10-13 12:12:23</t>
        </is>
      </c>
      <c r="AY167" s="102" t="n"/>
      <c r="AZ167" s="102" t="n"/>
      <c r="BA167" s="101" t="n"/>
      <c r="BB167" s="101" t="n"/>
      <c r="BC167" s="87">
        <f>IF(AND(ISNUMBER(BA167),ISNUMBER(BB167),N(BA167)&gt;0),1-BB167/BA167,"")</f>
        <v/>
      </c>
      <c r="BD167" s="99" t="n">
        <v>54981</v>
      </c>
      <c r="BE167" s="99" t="n">
        <v>50922</v>
      </c>
      <c r="BF167" s="100">
        <f>IF(AND(ISNUMBER(BD167),ISNUMBER(BE167),N(BE167)&gt;0),BD167/BE167,"")</f>
        <v/>
      </c>
      <c r="BG167" s="97" t="inlineStr">
        <is>
          <t>Y</t>
        </is>
      </c>
      <c r="BH167" s="97" t="inlineStr">
        <is>
          <t>No Buy Box history in Keepa for BFCM 2025; List Price $19.99</t>
        </is>
      </c>
    </row>
    <row r="168" ht="62" customHeight="1">
      <c r="A168" s="10">
        <f>_xlfn.IMAGE("https://images-na.ssl-images-amazon.com/images/I/810d6GzTlfL.jpg")</f>
        <v/>
      </c>
      <c r="B168" s="84" t="inlineStr">
        <is>
          <t>FreshCulture</t>
        </is>
      </c>
      <c r="C168" s="32" t="inlineStr">
        <is>
          <t>Satin Sheets</t>
        </is>
      </c>
      <c r="D168" s="84" t="inlineStr">
        <is>
          <t>Poor</t>
        </is>
      </c>
      <c r="E168" s="84" t="inlineStr">
        <is>
          <t>B0D9B18P6N</t>
        </is>
      </c>
      <c r="F168" s="84" t="inlineStr">
        <is>
          <t>B0D9BD63QH</t>
        </is>
      </c>
      <c r="G168" s="84" t="n"/>
      <c r="H168" s="84" t="n"/>
      <c r="I168" s="85" t="n">
        <v>54</v>
      </c>
      <c r="J168" s="32" t="inlineStr">
        <is>
          <t>B0D9BD63QH (41%), B0D9BCKF76 (23%), B0D9BBSLJ5 (8%), B0D9BFR53D (6%), B0D9B9HFLQ (5%)</t>
        </is>
      </c>
      <c r="K168" s="86" t="n">
        <v>23.99</v>
      </c>
      <c r="L168" s="86" t="n"/>
      <c r="M168" s="87">
        <f>IF(AND(ISNUMBER(L168),ISNUMBER(K168),N(K168)&gt;0),L168/K168-1,"")</f>
        <v/>
      </c>
      <c r="N168" s="88">
        <f>IF(M168="","No List Price",IF(M168&lt;=0,"At/below price",IF(M168&lt;=0.12,"&lt;=12% STR zone",IF(M168&lt;=0.25,"12-25%","&gt;25% over"))))</f>
        <v/>
      </c>
      <c r="O168" s="86" t="n">
        <v>33.95</v>
      </c>
      <c r="P168" s="89">
        <f>IF(AND(ISNUMBER(K168),ISNUMBER(O168),N(O168)&gt;0),K168/O168-1,"")</f>
        <v/>
      </c>
      <c r="Q168" s="32" t="inlineStr">
        <is>
          <t>Size not stated - vs our Queen. Ours live: Helium 10 Xray, 2026-10-13; 29 children</t>
        </is>
      </c>
      <c r="R168" s="85" t="n">
        <v>17918</v>
      </c>
      <c r="S168" s="85" t="n">
        <v>104</v>
      </c>
      <c r="T168" s="90">
        <f>IF(AND(ISNUMBER(K168),ISNUMBER(S168)),K168*S168*52/12,"")</f>
        <v/>
      </c>
      <c r="U168" s="91" t="n">
        <v>4.4</v>
      </c>
      <c r="V168" s="85" t="n">
        <v>780</v>
      </c>
      <c r="W168" s="92" t="n">
        <v>46307</v>
      </c>
      <c r="X168" s="92" t="n"/>
      <c r="Y168" s="84" t="n"/>
      <c r="Z168" s="84" t="n"/>
      <c r="AA168" s="85" t="n">
        <v>99046</v>
      </c>
      <c r="AB168" s="85" t="n">
        <v>1117</v>
      </c>
      <c r="AC168" s="93" t="n">
        <v>0.9634387880378817</v>
      </c>
      <c r="AD168" s="93" t="n">
        <v>0.0365612119621186</v>
      </c>
      <c r="AE168" s="32" t="inlineStr">
        <is>
          <t>silk sheets</t>
        </is>
      </c>
      <c r="AF168" s="93" t="n">
        <v>0.6526159562223613</v>
      </c>
      <c r="AG168" s="93" t="n"/>
      <c r="AH168" s="93" t="n"/>
      <c r="AI168" s="93" t="n">
        <v>0.05489368576217112</v>
      </c>
      <c r="AJ168" s="85" t="n">
        <v>319</v>
      </c>
      <c r="AK168" s="85" t="n">
        <v>85</v>
      </c>
      <c r="AL168" s="85" t="n">
        <v>205</v>
      </c>
      <c r="AM168" s="85" t="n">
        <v>798</v>
      </c>
      <c r="AN168" s="85" t="n">
        <v>19</v>
      </c>
      <c r="AO168" s="85" t="n">
        <v>4</v>
      </c>
      <c r="AP168" s="94" t="n"/>
      <c r="AQ168" s="89" t="n"/>
      <c r="AR168" s="95" t="inlineStr">
        <is>
          <t>N</t>
        </is>
      </c>
      <c r="AS168" s="95" t="inlineStr">
        <is>
          <t>none</t>
        </is>
      </c>
      <c r="AT168" s="101" t="n"/>
      <c r="AU168" s="96" t="n">
        <v>23.99</v>
      </c>
      <c r="AV168" s="95" t="inlineStr">
        <is>
          <t>none</t>
        </is>
      </c>
      <c r="AW168" s="95" t="inlineStr">
        <is>
          <t>Y</t>
        </is>
      </c>
      <c r="AX168" s="95" t="inlineStr">
        <is>
          <t>2026-10-13 12:12:46</t>
        </is>
      </c>
      <c r="AY168" s="97" t="inlineStr">
        <is>
          <t>Prime Exclusive Discount</t>
        </is>
      </c>
      <c r="AZ168" s="97" t="inlineStr">
        <is>
          <t>11-24 to 11-24</t>
        </is>
      </c>
      <c r="BA168" s="98" t="n">
        <v>23.99</v>
      </c>
      <c r="BB168" s="98" t="n">
        <v>18.69</v>
      </c>
      <c r="BC168" s="87">
        <f>IF(AND(ISNUMBER(BA168),ISNUMBER(BB168),N(BA168)&gt;0),1-BB168/BA168,"")</f>
        <v/>
      </c>
      <c r="BD168" s="99" t="n">
        <v>37399</v>
      </c>
      <c r="BE168" s="99" t="n">
        <v>26864</v>
      </c>
      <c r="BF168" s="100">
        <f>IF(AND(ISNUMBER(BD168),ISNUMBER(BE168),N(BE168)&gt;0),BD168/BE168,"")</f>
        <v/>
      </c>
      <c r="BG168" s="97" t="inlineStr">
        <is>
          <t>Y</t>
        </is>
      </c>
      <c r="BH168" s="97" t="inlineStr">
        <is>
          <t>List Price $34.99</t>
        </is>
      </c>
    </row>
    <row r="169" ht="62" customHeight="1">
      <c r="A169" s="10">
        <f>_xlfn.IMAGE("https://images-na.ssl-images-amazon.com/images/I/71TbH0l5XfL.jpg")</f>
        <v/>
      </c>
      <c r="B169" s="84" t="inlineStr">
        <is>
          <t>P Pothuiny</t>
        </is>
      </c>
      <c r="C169" s="32" t="inlineStr">
        <is>
          <t>P Pothuiny 6-Piece Queen Satin Sheet Set Burgundy Silky Sheets</t>
        </is>
      </c>
      <c r="D169" s="84" t="inlineStr">
        <is>
          <t>Poor</t>
        </is>
      </c>
      <c r="E169" s="84" t="inlineStr">
        <is>
          <t>B096P2MYZQ</t>
        </is>
      </c>
      <c r="F169" s="84" t="inlineStr">
        <is>
          <t>B08QMF6D5W</t>
        </is>
      </c>
      <c r="G169" s="84" t="inlineStr">
        <is>
          <t>Queen</t>
        </is>
      </c>
      <c r="H169" s="84" t="inlineStr">
        <is>
          <t>Burgundy</t>
        </is>
      </c>
      <c r="I169" s="85" t="n">
        <v>47</v>
      </c>
      <c r="J169" s="32" t="inlineStr">
        <is>
          <t>B08QMF6D5W (52%), B08QMSJFYZ (19%), B08QMYV2YR (10%)</t>
        </is>
      </c>
      <c r="K169" s="86" t="n">
        <v>26.99</v>
      </c>
      <c r="L169" s="86" t="n"/>
      <c r="M169" s="87">
        <f>IF(AND(ISNUMBER(L169),ISNUMBER(K169),N(K169)&gt;0),L169/K169-1,"")</f>
        <v/>
      </c>
      <c r="N169" s="88">
        <f>IF(M169="","No List Price",IF(M169&lt;=0,"At/below price",IF(M169&lt;=0.12,"&lt;=12% STR zone",IF(M169&lt;=0.25,"12-25%","&gt;25% over"))))</f>
        <v/>
      </c>
      <c r="O169" s="86" t="n">
        <v>33.95</v>
      </c>
      <c r="P169" s="89">
        <f>IF(AND(ISNUMBER(K169),ISNUMBER(O169),N(O169)&gt;0),K169/O169-1,"")</f>
        <v/>
      </c>
      <c r="Q169" s="32" t="inlineStr">
        <is>
          <t>Same size (Queen). Ours live: Helium 10 Xray, 2026-10-13; 29 children</t>
        </is>
      </c>
      <c r="R169" s="85" t="n">
        <v>20031</v>
      </c>
      <c r="S169" s="85" t="n">
        <v>104</v>
      </c>
      <c r="T169" s="90">
        <f>IF(AND(ISNUMBER(K169),ISNUMBER(S169)),K169*S169*52/12,"")</f>
        <v/>
      </c>
      <c r="U169" s="91" t="n">
        <v>4.4</v>
      </c>
      <c r="V169" s="85" t="n">
        <v>4031</v>
      </c>
      <c r="W169" s="92" t="n">
        <v>46307</v>
      </c>
      <c r="X169" s="92" t="n">
        <v>44180</v>
      </c>
      <c r="Y169" s="84" t="inlineStr">
        <is>
          <t>FBA</t>
        </is>
      </c>
      <c r="Z169" s="84" t="inlineStr">
        <is>
          <t>CN</t>
        </is>
      </c>
      <c r="AA169" s="85" t="n">
        <v>66544</v>
      </c>
      <c r="AB169" s="85" t="n">
        <v>832</v>
      </c>
      <c r="AC169" s="93" t="n">
        <v>0.9166959214955518</v>
      </c>
      <c r="AD169" s="93" t="n">
        <v>0.08330407850444821</v>
      </c>
      <c r="AE169" s="32" t="inlineStr">
        <is>
          <t>silk sheets</t>
        </is>
      </c>
      <c r="AF169" s="93" t="n">
        <v>0.1859972349122385</v>
      </c>
      <c r="AG169" s="93" t="n">
        <v>0.5380349843712431</v>
      </c>
      <c r="AH169" s="93" t="n"/>
      <c r="AI169" s="93" t="n">
        <v>0.01920533782159173</v>
      </c>
      <c r="AJ169" s="85" t="n">
        <v>319</v>
      </c>
      <c r="AK169" s="85" t="n">
        <v>115</v>
      </c>
      <c r="AL169" s="85" t="n">
        <v>172</v>
      </c>
      <c r="AM169" s="85" t="n">
        <v>513</v>
      </c>
      <c r="AN169" s="85" t="n">
        <v>39</v>
      </c>
      <c r="AO169" s="85" t="n">
        <v>5</v>
      </c>
      <c r="AP169" s="94" t="n">
        <v>1.171497584541063</v>
      </c>
      <c r="AQ169" s="89" t="n">
        <v>0.608009708737864</v>
      </c>
      <c r="AR169" s="95" t="inlineStr">
        <is>
          <t>N</t>
        </is>
      </c>
      <c r="AS169" s="95" t="inlineStr">
        <is>
          <t>none</t>
        </is>
      </c>
      <c r="AT169" s="101" t="n"/>
      <c r="AU169" s="96" t="n">
        <v>26.99</v>
      </c>
      <c r="AV169" s="95" t="inlineStr">
        <is>
          <t>none</t>
        </is>
      </c>
      <c r="AW169" s="95" t="inlineStr">
        <is>
          <t>Y</t>
        </is>
      </c>
      <c r="AX169" s="95" t="inlineStr">
        <is>
          <t>2026-10-13 12:13:35</t>
        </is>
      </c>
      <c r="AY169" s="97" t="inlineStr">
        <is>
          <t>Prime Exclusive Discount</t>
        </is>
      </c>
      <c r="AZ169" s="97" t="inlineStr">
        <is>
          <t>11-01 to 12-01</t>
        </is>
      </c>
      <c r="BA169" s="98" t="n">
        <v>29.99</v>
      </c>
      <c r="BB169" s="98" t="n">
        <v>24.95</v>
      </c>
      <c r="BC169" s="87">
        <f>IF(AND(ISNUMBER(BA169),ISNUMBER(BB169),N(BA169)&gt;0),1-BB169/BA169,"")</f>
        <v/>
      </c>
      <c r="BD169" s="99" t="n">
        <v>19773</v>
      </c>
      <c r="BE169" s="99" t="n">
        <v>19113</v>
      </c>
      <c r="BF169" s="100">
        <f>IF(AND(ISNUMBER(BD169),ISNUMBER(BE169),N(BE169)&gt;0),BD169/BE169,"")</f>
        <v/>
      </c>
      <c r="BG169" s="97" t="inlineStr">
        <is>
          <t>N</t>
        </is>
      </c>
      <c r="BH169" s="97" t="inlineStr">
        <is>
          <t>Prime Exclusive already running before BFCM week; Buy Box RAISED in BFCM week (median $31.99 vs $29.99 before); List Price $48.99</t>
        </is>
      </c>
    </row>
    <row r="170" ht="62" customHeight="1">
      <c r="A170" s="10">
        <f>_xlfn.IMAGE("https://images-na.ssl-images-amazon.com/images/I/81zLU1W0e8L.jpg")</f>
        <v/>
      </c>
      <c r="B170" s="84" t="inlineStr">
        <is>
          <t>Pure Bedding</t>
        </is>
      </c>
      <c r="C170" s="32" t="inlineStr">
        <is>
          <t>Pure Bedding Satin Sheets Queen [4-Piece, Black] Hotel Luxury Silky Bed Sheets - Extra Soft 1800 Microfiber Sheet Set, Wrinkle, Fade, Deep Pocket Fitted Sheet, Flat Sheet, Pillow Cases</t>
        </is>
      </c>
      <c r="D170" s="84" t="inlineStr">
        <is>
          <t>Poor</t>
        </is>
      </c>
      <c r="E170" s="84" t="inlineStr">
        <is>
          <t>B0FMPQYB2J</t>
        </is>
      </c>
      <c r="F170" s="84" t="inlineStr">
        <is>
          <t>B083G81VSH</t>
        </is>
      </c>
      <c r="G170" s="84" t="inlineStr">
        <is>
          <t>Queen</t>
        </is>
      </c>
      <c r="H170" s="84" t="inlineStr">
        <is>
          <t>Black</t>
        </is>
      </c>
      <c r="I170" s="85" t="n">
        <v>146</v>
      </c>
      <c r="J170" s="32" t="inlineStr">
        <is>
          <t>B083G81VSH (53%), B07QVMQHD8 (25%), B0FMZWLSSM (4%)</t>
        </is>
      </c>
      <c r="K170" s="86" t="n">
        <v>20.99</v>
      </c>
      <c r="L170" s="86" t="n"/>
      <c r="M170" s="87">
        <f>IF(AND(ISNUMBER(L170),ISNUMBER(K170),N(K170)&gt;0),L170/K170-1,"")</f>
        <v/>
      </c>
      <c r="N170" s="88">
        <f>IF(M170="","No List Price",IF(M170&lt;=0,"At/below price",IF(M170&lt;=0.12,"&lt;=12% STR zone",IF(M170&lt;=0.25,"12-25%","&gt;25% over"))))</f>
        <v/>
      </c>
      <c r="O170" s="86" t="n">
        <v>33.95</v>
      </c>
      <c r="P170" s="89">
        <f>IF(AND(ISNUMBER(K170),ISNUMBER(O170),N(O170)&gt;0),K170/O170-1,"")</f>
        <v/>
      </c>
      <c r="Q170" s="32" t="inlineStr">
        <is>
          <t>Same size (Queen). Ours live: Helium 10 Xray, 2026-10-13; 29 children</t>
        </is>
      </c>
      <c r="R170" s="85" t="n">
        <v>30991</v>
      </c>
      <c r="S170" s="85" t="n">
        <v>92</v>
      </c>
      <c r="T170" s="90">
        <f>IF(AND(ISNUMBER(K170),ISNUMBER(S170)),K170*S170*52/12,"")</f>
        <v/>
      </c>
      <c r="U170" s="91" t="n">
        <v>4.4</v>
      </c>
      <c r="V170" s="85" t="n">
        <v>9828</v>
      </c>
      <c r="W170" s="92" t="n">
        <v>46307</v>
      </c>
      <c r="X170" s="92" t="n">
        <v>43833</v>
      </c>
      <c r="Y170" s="84" t="inlineStr">
        <is>
          <t>AMZ</t>
        </is>
      </c>
      <c r="Z170" s="84" t="inlineStr">
        <is>
          <t>(Amazon)</t>
        </is>
      </c>
      <c r="AA170" s="85" t="n">
        <v>119531</v>
      </c>
      <c r="AB170" s="85" t="n">
        <v>1524</v>
      </c>
      <c r="AC170" s="93" t="n">
        <v>0.6204180681162206</v>
      </c>
      <c r="AD170" s="93" t="n">
        <v>0.3795819318837791</v>
      </c>
      <c r="AE170" s="32" t="inlineStr">
        <is>
          <t>satin sheets</t>
        </is>
      </c>
      <c r="AF170" s="93" t="n">
        <v>0.7968142155591437</v>
      </c>
      <c r="AG170" s="93" t="n"/>
      <c r="AH170" s="93" t="n"/>
      <c r="AI170" s="93" t="n">
        <v>0.001480787410797199</v>
      </c>
      <c r="AJ170" s="85" t="n">
        <v>325</v>
      </c>
      <c r="AK170" s="85" t="n">
        <v>123</v>
      </c>
      <c r="AL170" s="85" t="n">
        <v>173</v>
      </c>
      <c r="AM170" s="85" t="n">
        <v>1199</v>
      </c>
      <c r="AN170" s="85" t="n">
        <v>211</v>
      </c>
      <c r="AO170" s="85" t="n">
        <v>29</v>
      </c>
      <c r="AP170" s="94" t="n">
        <v>0.7574960547080484</v>
      </c>
      <c r="AQ170" s="89" t="n">
        <v>-0.08414376321353068</v>
      </c>
      <c r="AR170" s="95" t="inlineStr">
        <is>
          <t>N</t>
        </is>
      </c>
      <c r="AS170" s="95" t="inlineStr">
        <is>
          <t>none</t>
        </is>
      </c>
      <c r="AT170" s="101" t="n"/>
      <c r="AU170" s="96" t="n">
        <v>20.99</v>
      </c>
      <c r="AV170" s="95" t="inlineStr">
        <is>
          <t>none</t>
        </is>
      </c>
      <c r="AW170" s="95" t="inlineStr">
        <is>
          <t>Y</t>
        </is>
      </c>
      <c r="AX170" s="95" t="inlineStr">
        <is>
          <t>2026-10-13 12:13:39</t>
        </is>
      </c>
      <c r="AY170" s="97" t="inlineStr">
        <is>
          <t>Price cut only</t>
        </is>
      </c>
      <c r="AZ170" s="97" t="inlineStr">
        <is>
          <t>11-26 to 12-01</t>
        </is>
      </c>
      <c r="BA170" s="98" t="n">
        <v>18.99</v>
      </c>
      <c r="BB170" s="98" t="n">
        <v>17.54</v>
      </c>
      <c r="BC170" s="87">
        <f>IF(AND(ISNUMBER(BA170),ISNUMBER(BB170),N(BA170)&gt;0),1-BB170/BA170,"")</f>
        <v/>
      </c>
      <c r="BD170" s="99" t="n">
        <v>18619</v>
      </c>
      <c r="BE170" s="99" t="n">
        <v>22404</v>
      </c>
      <c r="BF170" s="100">
        <f>IF(AND(ISNUMBER(BD170),ISNUMBER(BE170),N(BE170)&gt;0),BD170/BE170,"")</f>
        <v/>
      </c>
      <c r="BG170" s="97" t="inlineStr">
        <is>
          <t>N</t>
        </is>
      </c>
      <c r="BH170" s="97" t="inlineStr">
        <is>
          <t>Buy Box RAISED in BFCM week (median $20.02 vs $18.99 before); List Price $32.99</t>
        </is>
      </c>
    </row>
    <row r="171" ht="62" customHeight="1">
      <c r="A171" s="10">
        <f>_xlfn.IMAGE("https://images-na.ssl-images-amazon.com/images/I/71d2-R2XfJL.jpg")</f>
        <v/>
      </c>
      <c r="B171" s="84" t="inlineStr">
        <is>
          <t>VACVELT</t>
        </is>
      </c>
      <c r="C171" s="32" t="inlineStr">
        <is>
          <t>VACVELT 3pcs Queen Black Extra Deep Pocket Satin Fitted Sheet Set</t>
        </is>
      </c>
      <c r="D171" s="84" t="inlineStr">
        <is>
          <t>Poor</t>
        </is>
      </c>
      <c r="E171" s="84" t="inlineStr">
        <is>
          <t>B0BWJ4PYLN</t>
        </is>
      </c>
      <c r="F171" s="84" t="inlineStr">
        <is>
          <t>B0BWJ4MLLZ</t>
        </is>
      </c>
      <c r="G171" s="84" t="inlineStr">
        <is>
          <t>Queen</t>
        </is>
      </c>
      <c r="H171" s="84" t="inlineStr">
        <is>
          <t>Black</t>
        </is>
      </c>
      <c r="I171" s="85" t="n">
        <v>40</v>
      </c>
      <c r="J171" s="32" t="inlineStr">
        <is>
          <t>B0BWJ4MLLZ (83%)</t>
        </is>
      </c>
      <c r="K171" s="86" t="n">
        <v>18.99</v>
      </c>
      <c r="L171" s="86" t="n"/>
      <c r="M171" s="87">
        <f>IF(AND(ISNUMBER(L171),ISNUMBER(K171),N(K171)&gt;0),L171/K171-1,"")</f>
        <v/>
      </c>
      <c r="N171" s="88">
        <f>IF(M171="","No List Price",IF(M171&lt;=0,"At/below price",IF(M171&lt;=0.12,"&lt;=12% STR zone",IF(M171&lt;=0.25,"12-25%","&gt;25% over"))))</f>
        <v/>
      </c>
      <c r="O171" s="86" t="n">
        <v>33.95</v>
      </c>
      <c r="P171" s="89">
        <f>IF(AND(ISNUMBER(K171),ISNUMBER(O171),N(O171)&gt;0),K171/O171-1,"")</f>
        <v/>
      </c>
      <c r="Q171" s="32" t="inlineStr">
        <is>
          <t>Same size (Queen). Ours live: Helium 10 Xray, 2026-10-13; 29 children</t>
        </is>
      </c>
      <c r="R171" s="85" t="n">
        <v>49291</v>
      </c>
      <c r="S171" s="85" t="n">
        <v>92</v>
      </c>
      <c r="T171" s="90">
        <f>IF(AND(ISNUMBER(K171),ISNUMBER(S171)),K171*S171*52/12,"")</f>
        <v/>
      </c>
      <c r="U171" s="91" t="n">
        <v>4.2</v>
      </c>
      <c r="V171" s="85" t="n">
        <v>747</v>
      </c>
      <c r="W171" s="92" t="n">
        <v>46307</v>
      </c>
      <c r="X171" s="92" t="n">
        <v>44979</v>
      </c>
      <c r="Y171" s="84" t="inlineStr">
        <is>
          <t>FBA</t>
        </is>
      </c>
      <c r="Z171" s="84" t="inlineStr">
        <is>
          <t>CN</t>
        </is>
      </c>
      <c r="AA171" s="85" t="n">
        <v>25451</v>
      </c>
      <c r="AB171" s="85" t="n">
        <v>677</v>
      </c>
      <c r="AC171" s="93" t="n">
        <v>0.9999606773800636</v>
      </c>
      <c r="AD171" s="93" t="n">
        <v>3.932261993634828e-05</v>
      </c>
      <c r="AE171" s="32" t="inlineStr">
        <is>
          <t>satin sheets</t>
        </is>
      </c>
      <c r="AF171" s="93" t="n">
        <v>0.175985226513693</v>
      </c>
      <c r="AG171" s="93" t="n"/>
      <c r="AH171" s="93" t="n"/>
      <c r="AI171" s="93" t="n">
        <v>0</v>
      </c>
      <c r="AJ171" s="85" t="n">
        <v>243</v>
      </c>
      <c r="AK171" s="85" t="n">
        <v>147</v>
      </c>
      <c r="AL171" s="85" t="n">
        <v>79</v>
      </c>
      <c r="AM171" s="85" t="n">
        <v>434</v>
      </c>
      <c r="AN171" s="85" t="n">
        <v>1</v>
      </c>
      <c r="AO171" s="85" t="n">
        <v>0</v>
      </c>
      <c r="AP171" s="94" t="n">
        <v>1.145341614906832</v>
      </c>
      <c r="AQ171" s="89" t="n">
        <v>0.1112500000000001</v>
      </c>
      <c r="AR171" s="95" t="inlineStr">
        <is>
          <t>N</t>
        </is>
      </c>
      <c r="AS171" s="95" t="inlineStr">
        <is>
          <t>none</t>
        </is>
      </c>
      <c r="AT171" s="101" t="n"/>
      <c r="AU171" s="96" t="n">
        <v>18.99</v>
      </c>
      <c r="AV171" s="95" t="inlineStr">
        <is>
          <t>none</t>
        </is>
      </c>
      <c r="AW171" s="95" t="inlineStr">
        <is>
          <t>Y</t>
        </is>
      </c>
      <c r="AX171" s="95" t="inlineStr">
        <is>
          <t>2026-10-13 12:13:51</t>
        </is>
      </c>
      <c r="AY171" s="97" t="inlineStr">
        <is>
          <t>Prime Exclusive Discount</t>
        </is>
      </c>
      <c r="AZ171" s="97" t="inlineStr">
        <is>
          <t>11-01 to 12-01</t>
        </is>
      </c>
      <c r="BA171" s="98" t="n">
        <v>25.99</v>
      </c>
      <c r="BB171" s="98" t="n">
        <v>17.15</v>
      </c>
      <c r="BC171" s="87">
        <f>IF(AND(ISNUMBER(BA171),ISNUMBER(BB171),N(BA171)&gt;0),1-BB171/BA171,"")</f>
        <v/>
      </c>
      <c r="BD171" s="99" t="n">
        <v>56482</v>
      </c>
      <c r="BE171" s="99" t="n">
        <v>55960</v>
      </c>
      <c r="BF171" s="100">
        <f>IF(AND(ISNUMBER(BD171),ISNUMBER(BE171),N(BE171)&gt;0),BD171/BE171,"")</f>
        <v/>
      </c>
      <c r="BG171" s="97" t="inlineStr">
        <is>
          <t>N</t>
        </is>
      </c>
      <c r="BH171" s="97" t="inlineStr">
        <is>
          <t>Prime Exclusive already running before BFCM week; List Price $47.98</t>
        </is>
      </c>
    </row>
    <row r="172" ht="62" customHeight="1">
      <c r="A172" s="10">
        <f>_xlfn.IMAGE("https://images-na.ssl-images-amazon.com/images/I/71r48b+Sh9L.jpg")</f>
        <v/>
      </c>
      <c r="B172" s="84" t="inlineStr">
        <is>
          <t>GOLAL</t>
        </is>
      </c>
      <c r="C172" s="32" t="inlineStr">
        <is>
          <t>GOLAL Satin Sheets Full Size - 4 Pieces Luxury Silky Soft Bed Sheets, Wrinkle-Free Black Satin Silk Sheet Set with 1 Deep Pocket Fitted Sheet, 1 Flat Sheet, 2 Pillow Cases</t>
        </is>
      </c>
      <c r="D172" s="84" t="inlineStr">
        <is>
          <t>Poor</t>
        </is>
      </c>
      <c r="E172" s="84" t="inlineStr">
        <is>
          <t>B0B1Q2JG5X</t>
        </is>
      </c>
      <c r="F172" s="84" t="inlineStr">
        <is>
          <t>B09G17SQXF</t>
        </is>
      </c>
      <c r="G172" s="84" t="inlineStr">
        <is>
          <t>Full</t>
        </is>
      </c>
      <c r="H172" s="84" t="inlineStr">
        <is>
          <t>Black</t>
        </is>
      </c>
      <c r="I172" s="85" t="n">
        <v>94</v>
      </c>
      <c r="J172" s="32" t="inlineStr">
        <is>
          <t>B09G17XZC5 (35%), B09G17SQXF (27%), B09G18ZJ9S (10%), B09G18GFJL (10%)</t>
        </is>
      </c>
      <c r="K172" s="86" t="n">
        <v>21.99</v>
      </c>
      <c r="L172" s="86" t="n"/>
      <c r="M172" s="87">
        <f>IF(AND(ISNUMBER(L172),ISNUMBER(K172),N(K172)&gt;0),L172/K172-1,"")</f>
        <v/>
      </c>
      <c r="N172" s="88">
        <f>IF(M172="","No List Price",IF(M172&lt;=0,"At/below price",IF(M172&lt;=0.12,"&lt;=12% STR zone",IF(M172&lt;=0.25,"12-25%","&gt;25% over"))))</f>
        <v/>
      </c>
      <c r="O172" s="86" t="n">
        <v>31.95</v>
      </c>
      <c r="P172" s="89">
        <f>IF(AND(ISNUMBER(K172),ISNUMBER(O172),N(O172)&gt;0),K172/O172-1,"")</f>
        <v/>
      </c>
      <c r="Q172" s="32" t="inlineStr">
        <is>
          <t>Same size (Full). Ours live: Helium 10 Xray, 2026-10-13; 29 children</t>
        </is>
      </c>
      <c r="R172" s="85" t="n">
        <v>132024</v>
      </c>
      <c r="S172" s="85" t="n">
        <v>81</v>
      </c>
      <c r="T172" s="90">
        <f>IF(AND(ISNUMBER(K172),ISNUMBER(S172)),K172*S172*52/12,"")</f>
        <v/>
      </c>
      <c r="U172" s="91" t="n">
        <v>4.4</v>
      </c>
      <c r="V172" s="85" t="n">
        <v>3943</v>
      </c>
      <c r="W172" s="92" t="n">
        <v>46307</v>
      </c>
      <c r="X172" s="92" t="n">
        <v>44451</v>
      </c>
      <c r="Y172" s="84" t="inlineStr">
        <is>
          <t>FBA</t>
        </is>
      </c>
      <c r="Z172" s="84" t="inlineStr">
        <is>
          <t>CN</t>
        </is>
      </c>
      <c r="AA172" s="85" t="n">
        <v>48561</v>
      </c>
      <c r="AB172" s="85" t="n">
        <v>615</v>
      </c>
      <c r="AC172" s="93" t="n">
        <v>0.6641788183933609</v>
      </c>
      <c r="AD172" s="93" t="n">
        <v>0.3358211816066392</v>
      </c>
      <c r="AE172" s="32" t="inlineStr">
        <is>
          <t>satin sheets queen size</t>
        </is>
      </c>
      <c r="AF172" s="93" t="n">
        <v>0.6905747410473425</v>
      </c>
      <c r="AG172" s="93" t="n">
        <v>0.432960606247812</v>
      </c>
      <c r="AH172" s="93" t="n"/>
      <c r="AI172" s="93" t="n">
        <v>0.005930685117687033</v>
      </c>
      <c r="AJ172" s="85" t="n">
        <v>284</v>
      </c>
      <c r="AK172" s="85" t="n">
        <v>118</v>
      </c>
      <c r="AL172" s="85" t="n">
        <v>146</v>
      </c>
      <c r="AM172" s="85" t="n">
        <v>331</v>
      </c>
      <c r="AN172" s="85" t="n">
        <v>31</v>
      </c>
      <c r="AO172" s="85" t="n">
        <v>31</v>
      </c>
      <c r="AP172" s="94" t="n">
        <v>0.8779220779220779</v>
      </c>
      <c r="AQ172" s="89" t="n">
        <v>0.803921568627451</v>
      </c>
      <c r="AR172" s="95" t="inlineStr">
        <is>
          <t>N</t>
        </is>
      </c>
      <c r="AS172" s="95" t="inlineStr">
        <is>
          <t>none</t>
        </is>
      </c>
      <c r="AT172" s="101" t="n"/>
      <c r="AU172" s="96" t="n">
        <v>21.99</v>
      </c>
      <c r="AV172" s="95" t="inlineStr">
        <is>
          <t>none</t>
        </is>
      </c>
      <c r="AW172" s="95" t="inlineStr">
        <is>
          <t>Y</t>
        </is>
      </c>
      <c r="AX172" s="95" t="inlineStr">
        <is>
          <t>2026-10-13 12:12:50</t>
        </is>
      </c>
      <c r="AY172" s="97" t="inlineStr">
        <is>
          <t>Prime Exclusive Discount</t>
        </is>
      </c>
      <c r="AZ172" s="97" t="inlineStr">
        <is>
          <t>11-27 to 11-27</t>
        </is>
      </c>
      <c r="BA172" s="98" t="n">
        <v>16.05</v>
      </c>
      <c r="BB172" s="98" t="n">
        <v>17.59</v>
      </c>
      <c r="BC172" s="87">
        <f>IF(AND(ISNUMBER(BA172),ISNUMBER(BB172),N(BA172)&gt;0),1-BB172/BA172,"")</f>
        <v/>
      </c>
      <c r="BD172" s="99" t="n">
        <v>5577</v>
      </c>
      <c r="BE172" s="99" t="n">
        <v>12758</v>
      </c>
      <c r="BF172" s="100">
        <f>IF(AND(ISNUMBER(BD172),ISNUMBER(BE172),N(BE172)&gt;0),BD172/BE172,"")</f>
        <v/>
      </c>
      <c r="BG172" s="97" t="inlineStr">
        <is>
          <t>N</t>
        </is>
      </c>
      <c r="BH172" s="97" t="inlineStr">
        <is>
          <t>Coupon 10%, 5% (11-01 to 12-05); Buy Box RAISED in BFCM week (median $21.99 vs $16.05 before); List Price $24.99</t>
        </is>
      </c>
    </row>
    <row r="173" ht="62" customHeight="1">
      <c r="A173" s="10">
        <f>_xlfn.IMAGE("https://images-na.ssl-images-amazon.com/images/I/61QL2B3WPsL.jpg")</f>
        <v/>
      </c>
      <c r="B173" s="84" t="inlineStr">
        <is>
          <t>Cobedzy</t>
        </is>
      </c>
      <c r="C173" s="32" t="inlineStr">
        <is>
          <t>Satin Sheets</t>
        </is>
      </c>
      <c r="D173" s="84" t="inlineStr">
        <is>
          <t>Poor</t>
        </is>
      </c>
      <c r="E173" s="84" t="inlineStr">
        <is>
          <t>B099PPQ7T3</t>
        </is>
      </c>
      <c r="F173" s="84" t="inlineStr">
        <is>
          <t>B087CSRQQ4</t>
        </is>
      </c>
      <c r="G173" s="84" t="n"/>
      <c r="H173" s="84" t="n"/>
      <c r="I173" s="85" t="n">
        <v>18</v>
      </c>
      <c r="J173" s="32" t="inlineStr">
        <is>
          <t>B087CSJ1FV (44%), B087CSRQQ4 (26%), B087CSNV9S (8%), B088CX6RW8 (4%)</t>
        </is>
      </c>
      <c r="K173" s="86" t="n">
        <v>27.99</v>
      </c>
      <c r="L173" s="86" t="n"/>
      <c r="M173" s="87">
        <f>IF(AND(ISNUMBER(L173),ISNUMBER(K173),N(K173)&gt;0),L173/K173-1,"")</f>
        <v/>
      </c>
      <c r="N173" s="88">
        <f>IF(M173="","No List Price",IF(M173&lt;=0,"At/below price",IF(M173&lt;=0.12,"&lt;=12% STR zone",IF(M173&lt;=0.25,"12-25%","&gt;25% over"))))</f>
        <v/>
      </c>
      <c r="O173" s="86" t="n">
        <v>33.95</v>
      </c>
      <c r="P173" s="89">
        <f>IF(AND(ISNUMBER(K173),ISNUMBER(O173),N(O173)&gt;0),K173/O173-1,"")</f>
        <v/>
      </c>
      <c r="Q173" s="32" t="inlineStr">
        <is>
          <t>Size not stated - vs our Queen. Ours live: Helium 10 Xray, 2026-10-13; 29 children</t>
        </is>
      </c>
      <c r="R173" s="85" t="n">
        <v>68667</v>
      </c>
      <c r="S173" s="85" t="n">
        <v>35</v>
      </c>
      <c r="T173" s="90">
        <f>IF(AND(ISNUMBER(K173),ISNUMBER(S173)),K173*S173*52/12,"")</f>
        <v/>
      </c>
      <c r="U173" s="91" t="n">
        <v>4.4</v>
      </c>
      <c r="V173" s="85" t="n">
        <v>2838</v>
      </c>
      <c r="W173" s="92" t="n">
        <v>46307</v>
      </c>
      <c r="X173" s="92" t="n"/>
      <c r="Y173" s="84" t="n"/>
      <c r="Z173" s="84" t="n"/>
      <c r="AA173" s="85" t="n">
        <v>21925</v>
      </c>
      <c r="AB173" s="85" t="n">
        <v>461</v>
      </c>
      <c r="AC173" s="93" t="n">
        <v>0.9295306681870016</v>
      </c>
      <c r="AD173" s="93" t="n">
        <v>0.07046991562143676</v>
      </c>
      <c r="AE173" s="32" t="inlineStr">
        <is>
          <t>satin sheets</t>
        </is>
      </c>
      <c r="AF173" s="93" t="n">
        <v>0.3978563283922463</v>
      </c>
      <c r="AG173" s="93" t="n"/>
      <c r="AH173" s="93" t="n"/>
      <c r="AI173" s="93" t="n">
        <v>0.01299885974914481</v>
      </c>
      <c r="AJ173" s="85" t="n">
        <v>246</v>
      </c>
      <c r="AK173" s="85" t="n">
        <v>154</v>
      </c>
      <c r="AL173" s="85" t="n">
        <v>80</v>
      </c>
      <c r="AM173" s="85" t="n">
        <v>215</v>
      </c>
      <c r="AN173" s="85" t="n">
        <v>39</v>
      </c>
      <c r="AO173" s="85" t="n">
        <v>10</v>
      </c>
      <c r="AP173" s="94" t="n">
        <v>0.8934169278996865</v>
      </c>
      <c r="AQ173" s="89" t="n">
        <v>-0.4259740259740259</v>
      </c>
      <c r="AR173" s="95" t="inlineStr">
        <is>
          <t>Y</t>
        </is>
      </c>
      <c r="AS173" s="95" t="inlineStr">
        <is>
          <t>Typical price</t>
        </is>
      </c>
      <c r="AT173" s="96" t="n">
        <v>26.99</v>
      </c>
      <c r="AU173" s="96" t="n">
        <v>24.99</v>
      </c>
      <c r="AV173" s="95" t="inlineStr">
        <is>
          <t>none</t>
        </is>
      </c>
      <c r="AW173" s="95" t="inlineStr">
        <is>
          <t>Y</t>
        </is>
      </c>
      <c r="AX173" s="95" t="inlineStr">
        <is>
          <t>2026-10-13 12:12:40</t>
        </is>
      </c>
      <c r="AY173" s="97" t="inlineStr">
        <is>
          <t>Price cut only</t>
        </is>
      </c>
      <c r="AZ173" s="97" t="inlineStr">
        <is>
          <t>11-20 to 12-01</t>
        </is>
      </c>
      <c r="BA173" s="98" t="n">
        <v>27.99</v>
      </c>
      <c r="BB173" s="98" t="n">
        <v>22.39</v>
      </c>
      <c r="BC173" s="87">
        <f>IF(AND(ISNUMBER(BA173),ISNUMBER(BB173),N(BA173)&gt;0),1-BB173/BA173,"")</f>
        <v/>
      </c>
      <c r="BD173" s="99" t="n">
        <v>39293</v>
      </c>
      <c r="BE173" s="99" t="n">
        <v>27923</v>
      </c>
      <c r="BF173" s="100">
        <f>IF(AND(ISNUMBER(BD173),ISNUMBER(BE173),N(BE173)&gt;0),BD173/BE173,"")</f>
        <v/>
      </c>
      <c r="BG173" s="97" t="inlineStr">
        <is>
          <t>N</t>
        </is>
      </c>
      <c r="BH173" s="97" t="inlineStr">
        <is>
          <t>List Price $38.99</t>
        </is>
      </c>
    </row>
    <row r="174" ht="62" customHeight="1">
      <c r="A174" s="10">
        <f>_xlfn.IMAGE("https://images-na.ssl-images-amazon.com/images/I/813TGJ9FKjL.jpg")</f>
        <v/>
      </c>
      <c r="B174" s="84" t="inlineStr">
        <is>
          <t>Horbaunal</t>
        </is>
      </c>
      <c r="C174" s="32" t="inlineStr">
        <is>
          <t>Horbaunal 6 Piece Satin Sheet Set Queen, Emerald Green Queen Bed Sheets</t>
        </is>
      </c>
      <c r="D174" s="84" t="inlineStr">
        <is>
          <t>Poor</t>
        </is>
      </c>
      <c r="E174" s="84" t="inlineStr">
        <is>
          <t>B0B4MQCT87</t>
        </is>
      </c>
      <c r="F174" s="84" t="inlineStr">
        <is>
          <t>B0B4MQ1PP1</t>
        </is>
      </c>
      <c r="G174" s="84" t="inlineStr">
        <is>
          <t>Queen</t>
        </is>
      </c>
      <c r="H174" s="84" t="inlineStr">
        <is>
          <t>Green</t>
        </is>
      </c>
      <c r="I174" s="85" t="n">
        <v>23</v>
      </c>
      <c r="J174" s="32" t="inlineStr"/>
      <c r="K174" s="86" t="n">
        <v>28.99</v>
      </c>
      <c r="L174" s="86" t="n"/>
      <c r="M174" s="87">
        <f>IF(AND(ISNUMBER(L174),ISNUMBER(K174),N(K174)&gt;0),L174/K174-1,"")</f>
        <v/>
      </c>
      <c r="N174" s="88">
        <f>IF(M174="","No List Price",IF(M174&lt;=0,"At/below price",IF(M174&lt;=0.12,"&lt;=12% STR zone",IF(M174&lt;=0.25,"12-25%","&gt;25% over"))))</f>
        <v/>
      </c>
      <c r="O174" s="86" t="n">
        <v>33.95</v>
      </c>
      <c r="P174" s="89">
        <f>IF(AND(ISNUMBER(K174),ISNUMBER(O174),N(O174)&gt;0),K174/O174-1,"")</f>
        <v/>
      </c>
      <c r="Q174" s="32" t="inlineStr">
        <is>
          <t>Same size (Queen). Ours live: Helium 10 Xray, 2026-10-13; 29 children</t>
        </is>
      </c>
      <c r="R174" s="85" t="n">
        <v>110638</v>
      </c>
      <c r="S174" s="85" t="n">
        <v>35</v>
      </c>
      <c r="T174" s="90">
        <f>IF(AND(ISNUMBER(K174),ISNUMBER(S174)),K174*S174*52/12,"")</f>
        <v/>
      </c>
      <c r="U174" s="91" t="n">
        <v>4.4</v>
      </c>
      <c r="V174" s="85" t="n">
        <v>772</v>
      </c>
      <c r="W174" s="92" t="n">
        <v>46307</v>
      </c>
      <c r="X174" s="92" t="n">
        <v>44733</v>
      </c>
      <c r="Y174" s="84" t="inlineStr">
        <is>
          <t>FBA</t>
        </is>
      </c>
      <c r="Z174" s="84" t="inlineStr">
        <is>
          <t>CN</t>
        </is>
      </c>
      <c r="AA174" s="85" t="n"/>
      <c r="AB174" s="85" t="n"/>
      <c r="AC174" s="93" t="n"/>
      <c r="AD174" s="93" t="n"/>
      <c r="AE174" s="32" t="n"/>
      <c r="AF174" s="93" t="n"/>
      <c r="AG174" s="93" t="n"/>
      <c r="AH174" s="93" t="n"/>
      <c r="AI174" s="93" t="n"/>
      <c r="AJ174" s="85" t="n"/>
      <c r="AK174" s="85" t="n"/>
      <c r="AL174" s="85" t="n"/>
      <c r="AM174" s="85" t="n"/>
      <c r="AN174" s="85" t="n"/>
      <c r="AO174" s="85" t="n"/>
      <c r="AP174" s="94" t="n"/>
      <c r="AQ174" s="89" t="n"/>
      <c r="AR174" s="95" t="inlineStr">
        <is>
          <t>N</t>
        </is>
      </c>
      <c r="AS174" s="95" t="inlineStr">
        <is>
          <t>none</t>
        </is>
      </c>
      <c r="AT174" s="101" t="n"/>
      <c r="AU174" s="96" t="n">
        <v>28.99</v>
      </c>
      <c r="AV174" s="95" t="inlineStr">
        <is>
          <t>none</t>
        </is>
      </c>
      <c r="AW174" s="95" t="inlineStr">
        <is>
          <t>Y</t>
        </is>
      </c>
      <c r="AX174" s="95" t="inlineStr">
        <is>
          <t>2026-10-13 12:13:05</t>
        </is>
      </c>
      <c r="AY174" s="97" t="inlineStr">
        <is>
          <t>Prime Exclusive Discount</t>
        </is>
      </c>
      <c r="AZ174" s="97" t="inlineStr">
        <is>
          <t>11-01 to 12-01</t>
        </is>
      </c>
      <c r="BA174" s="98" t="n">
        <v>33.43</v>
      </c>
      <c r="BB174" s="98" t="n">
        <v>28.87</v>
      </c>
      <c r="BC174" s="87">
        <f>IF(AND(ISNUMBER(BA174),ISNUMBER(BB174),N(BA174)&gt;0),1-BB174/BA174,"")</f>
        <v/>
      </c>
      <c r="BD174" s="99" t="n">
        <v>93675</v>
      </c>
      <c r="BE174" s="99" t="n">
        <v>83926</v>
      </c>
      <c r="BF174" s="100">
        <f>IF(AND(ISNUMBER(BD174),ISNUMBER(BE174),N(BE174)&gt;0),BD174/BE174,"")</f>
        <v/>
      </c>
      <c r="BG174" s="97" t="inlineStr">
        <is>
          <t>N</t>
        </is>
      </c>
      <c r="BH174" s="97" t="inlineStr">
        <is>
          <t>Prime Exclusive already running before BFCM week; Buy Box RAISED in BFCM week (median $37.99 vs $33.43 before); List Price $45.49</t>
        </is>
      </c>
    </row>
    <row r="175" ht="62" customHeight="1">
      <c r="A175" s="39" t="inlineStr">
        <is>
          <t>IMAGE MISSING</t>
        </is>
      </c>
      <c r="B175" s="84" t="inlineStr">
        <is>
          <t>VACVELT</t>
        </is>
      </c>
      <c r="C175" s="32" t="inlineStr">
        <is>
          <t>Satin Sheets</t>
        </is>
      </c>
      <c r="D175" s="84" t="inlineStr">
        <is>
          <t>Poor</t>
        </is>
      </c>
      <c r="E175" s="84" t="inlineStr">
        <is>
          <t>B0C9T1VY8J</t>
        </is>
      </c>
      <c r="F175" s="84" t="inlineStr">
        <is>
          <t>B0C1GJZB6F</t>
        </is>
      </c>
      <c r="G175" s="84" t="n"/>
      <c r="H175" s="84" t="n"/>
      <c r="I175" s="85" t="n">
        <v>35</v>
      </c>
      <c r="J175" s="32" t="inlineStr">
        <is>
          <t>B0C1GN34VQ (59%), B0C1GJZB6F (15%), B0C1GN34VL (8%)</t>
        </is>
      </c>
      <c r="K175" s="86" t="n">
        <v>21.99</v>
      </c>
      <c r="L175" s="86" t="n"/>
      <c r="M175" s="87">
        <f>IF(AND(ISNUMBER(L175),ISNUMBER(K175),N(K175)&gt;0),L175/K175-1,"")</f>
        <v/>
      </c>
      <c r="N175" s="88">
        <f>IF(M175="","No List Price",IF(M175&lt;=0,"At/below price",IF(M175&lt;=0.12,"&lt;=12% STR zone",IF(M175&lt;=0.25,"12-25%","&gt;25% over"))))</f>
        <v/>
      </c>
      <c r="O175" s="86" t="n">
        <v>33.95</v>
      </c>
      <c r="P175" s="89">
        <f>IF(AND(ISNUMBER(K175),ISNUMBER(O175),N(O175)&gt;0),K175/O175-1,"")</f>
        <v/>
      </c>
      <c r="Q175" s="32" t="inlineStr">
        <is>
          <t>Size not stated - vs our Queen. Ours live: Helium 10 Xray, 2026-10-13; 29 children</t>
        </is>
      </c>
      <c r="R175" s="85" t="n">
        <v>57010</v>
      </c>
      <c r="S175" s="85" t="n">
        <v>35</v>
      </c>
      <c r="T175" s="90">
        <f>IF(AND(ISNUMBER(K175),ISNUMBER(S175)),K175*S175*52/12,"")</f>
        <v/>
      </c>
      <c r="U175" s="91" t="n">
        <v>4.5</v>
      </c>
      <c r="V175" s="85" t="n">
        <v>1017</v>
      </c>
      <c r="W175" s="92" t="n">
        <v>46307</v>
      </c>
      <c r="X175" s="92" t="n"/>
      <c r="Y175" s="84" t="n"/>
      <c r="Z175" s="84" t="n"/>
      <c r="AA175" s="85" t="n">
        <v>23621</v>
      </c>
      <c r="AB175" s="85" t="n">
        <v>569</v>
      </c>
      <c r="AC175" s="93" t="n">
        <v>0.9628617755387157</v>
      </c>
      <c r="AD175" s="93" t="n">
        <v>0.03713822446128445</v>
      </c>
      <c r="AE175" s="32" t="inlineStr">
        <is>
          <t>satin sheets</t>
        </is>
      </c>
      <c r="AF175" s="93" t="n">
        <v>0.08949663435078956</v>
      </c>
      <c r="AG175" s="93" t="n"/>
      <c r="AH175" s="93" t="n"/>
      <c r="AI175" s="93" t="n">
        <v>0.02341137123745819</v>
      </c>
      <c r="AJ175" s="85" t="n">
        <v>285</v>
      </c>
      <c r="AK175" s="85" t="n">
        <v>181</v>
      </c>
      <c r="AL175" s="85" t="n">
        <v>82</v>
      </c>
      <c r="AM175" s="85" t="n">
        <v>284</v>
      </c>
      <c r="AN175" s="85" t="n">
        <v>15</v>
      </c>
      <c r="AO175" s="85" t="n">
        <v>3</v>
      </c>
      <c r="AP175" s="94" t="n">
        <v>1</v>
      </c>
      <c r="AQ175" s="89" t="n">
        <v>0.2448979591836733</v>
      </c>
      <c r="AR175" s="95" t="inlineStr">
        <is>
          <t>N</t>
        </is>
      </c>
      <c r="AS175" s="95" t="inlineStr">
        <is>
          <t>none</t>
        </is>
      </c>
      <c r="AT175" s="101" t="n"/>
      <c r="AU175" s="96" t="n">
        <v>21.99</v>
      </c>
      <c r="AV175" s="95" t="inlineStr">
        <is>
          <t>none</t>
        </is>
      </c>
      <c r="AW175" s="95" t="inlineStr">
        <is>
          <t>Y</t>
        </is>
      </c>
      <c r="AX175" s="95" t="inlineStr">
        <is>
          <t>2026-10-13 12:13:48</t>
        </is>
      </c>
      <c r="AY175" s="97" t="inlineStr">
        <is>
          <t>Prime Exclusive Discount</t>
        </is>
      </c>
      <c r="AZ175" s="97" t="inlineStr">
        <is>
          <t>11-18 to 12-05</t>
        </is>
      </c>
      <c r="BA175" s="98" t="n">
        <v>20.99</v>
      </c>
      <c r="BB175" s="98" t="n">
        <v>17.67</v>
      </c>
      <c r="BC175" s="87">
        <f>IF(AND(ISNUMBER(BA175),ISNUMBER(BB175),N(BA175)&gt;0),1-BB175/BA175,"")</f>
        <v/>
      </c>
      <c r="BD175" s="99" t="n">
        <v>56350</v>
      </c>
      <c r="BE175" s="99" t="n">
        <v>47030</v>
      </c>
      <c r="BF175" s="100">
        <f>IF(AND(ISNUMBER(BD175),ISNUMBER(BE175),N(BE175)&gt;0),BD175/BE175,"")</f>
        <v/>
      </c>
      <c r="BG175" s="97" t="inlineStr">
        <is>
          <t>N</t>
        </is>
      </c>
      <c r="BH175" s="97" t="inlineStr">
        <is>
          <t>Prime Exclusive already running before BFCM week; Buy Box RAISED in BFCM week (median $25.99 vs $20.99 before); List Price $46.38</t>
        </is>
      </c>
    </row>
    <row r="176" ht="62" customHeight="1">
      <c r="A176" s="39" t="inlineStr">
        <is>
          <t>IMAGE MISSING</t>
        </is>
      </c>
      <c r="B176" s="84" t="inlineStr">
        <is>
          <t>Vonty</t>
        </is>
      </c>
      <c r="C176" s="32" t="inlineStr">
        <is>
          <t>Satin Sheets</t>
        </is>
      </c>
      <c r="D176" s="84" t="inlineStr">
        <is>
          <t>Poor</t>
        </is>
      </c>
      <c r="E176" s="84" t="inlineStr">
        <is>
          <t>B0BDDJM9RW</t>
        </is>
      </c>
      <c r="F176" s="84" t="inlineStr">
        <is>
          <t>B0BDDGJ38X</t>
        </is>
      </c>
      <c r="G176" s="84" t="n"/>
      <c r="H176" s="84" t="n"/>
      <c r="I176" s="85" t="n">
        <v>22</v>
      </c>
      <c r="J176" s="32" t="inlineStr">
        <is>
          <t>B0BDDGJ38X (81%)</t>
        </is>
      </c>
      <c r="K176" s="86" t="n">
        <v>30.99</v>
      </c>
      <c r="L176" s="86" t="n"/>
      <c r="M176" s="87">
        <f>IF(AND(ISNUMBER(L176),ISNUMBER(K176),N(K176)&gt;0),L176/K176-1,"")</f>
        <v/>
      </c>
      <c r="N176" s="88">
        <f>IF(M176="","No List Price",IF(M176&lt;=0,"At/below price",IF(M176&lt;=0.12,"&lt;=12% STR zone",IF(M176&lt;=0.25,"12-25%","&gt;25% over"))))</f>
        <v/>
      </c>
      <c r="O176" s="86" t="n">
        <v>33.95</v>
      </c>
      <c r="P176" s="89">
        <f>IF(AND(ISNUMBER(K176),ISNUMBER(O176),N(O176)&gt;0),K176/O176-1,"")</f>
        <v/>
      </c>
      <c r="Q176" s="32" t="inlineStr">
        <is>
          <t>Size not stated - vs our Queen. Ours live: Helium 10 Xray, 2026-10-13; 29 children</t>
        </is>
      </c>
      <c r="R176" s="85" t="n">
        <v>83620</v>
      </c>
      <c r="S176" s="85" t="n">
        <v>35</v>
      </c>
      <c r="T176" s="90">
        <f>IF(AND(ISNUMBER(K176),ISNUMBER(S176)),K176*S176*52/12,"")</f>
        <v/>
      </c>
      <c r="U176" s="91" t="n">
        <v>4.2</v>
      </c>
      <c r="V176" s="85" t="n">
        <v>909</v>
      </c>
      <c r="W176" s="92" t="n">
        <v>46307</v>
      </c>
      <c r="X176" s="92" t="n"/>
      <c r="Y176" s="84" t="n"/>
      <c r="Z176" s="84" t="n"/>
      <c r="AA176" s="85" t="n">
        <v>11441</v>
      </c>
      <c r="AB176" s="85" t="n">
        <v>382</v>
      </c>
      <c r="AC176" s="93" t="n">
        <v>0.9484301110042829</v>
      </c>
      <c r="AD176" s="93" t="n">
        <v>0.05156988899571716</v>
      </c>
      <c r="AE176" s="32" t="inlineStr">
        <is>
          <t>silk sheets</t>
        </is>
      </c>
      <c r="AF176" s="93" t="n">
        <v>0.06502928065728521</v>
      </c>
      <c r="AG176" s="93" t="n"/>
      <c r="AH176" s="93" t="n"/>
      <c r="AI176" s="93" t="n"/>
      <c r="AJ176" s="85" t="n">
        <v>202</v>
      </c>
      <c r="AK176" s="85" t="n">
        <v>143</v>
      </c>
      <c r="AL176" s="85" t="n">
        <v>45</v>
      </c>
      <c r="AM176" s="85" t="n">
        <v>180</v>
      </c>
      <c r="AN176" s="85" t="n">
        <v>15</v>
      </c>
      <c r="AO176" s="85" t="n">
        <v>1</v>
      </c>
      <c r="AP176" s="94" t="n">
        <v>0.9861111111111112</v>
      </c>
      <c r="AQ176" s="89" t="n">
        <v>0.4680851063829787</v>
      </c>
      <c r="AR176" s="95" t="inlineStr">
        <is>
          <t>N</t>
        </is>
      </c>
      <c r="AS176" s="95" t="inlineStr">
        <is>
          <t>none</t>
        </is>
      </c>
      <c r="AT176" s="101" t="n"/>
      <c r="AU176" s="96" t="n">
        <v>30.99</v>
      </c>
      <c r="AV176" s="95" t="inlineStr">
        <is>
          <t>none</t>
        </is>
      </c>
      <c r="AW176" s="95" t="inlineStr">
        <is>
          <t>Y</t>
        </is>
      </c>
      <c r="AX176" s="95" t="inlineStr">
        <is>
          <t>2026-10-13 23:44:43</t>
        </is>
      </c>
      <c r="AY176" s="102" t="n"/>
      <c r="AZ176" s="102" t="n"/>
      <c r="BA176" s="101" t="n"/>
      <c r="BB176" s="101" t="n"/>
      <c r="BC176" s="87">
        <f>IF(AND(ISNUMBER(BA176),ISNUMBER(BB176),N(BA176)&gt;0),1-BB176/BA176,"")</f>
        <v/>
      </c>
      <c r="BD176" s="103" t="n"/>
      <c r="BE176" s="103" t="n"/>
      <c r="BF176" s="100">
        <f>IF(AND(ISNUMBER(BD176),ISNUMBER(BE176),N(BE176)&gt;0),BD176/BE176,"")</f>
        <v/>
      </c>
      <c r="BG176" s="102" t="n"/>
      <c r="BH176" s="102" t="n"/>
    </row>
    <row r="177" ht="62" customHeight="1">
      <c r="A177" s="39" t="inlineStr">
        <is>
          <t>IMAGE MISSING</t>
        </is>
      </c>
      <c r="B177" s="84" t="inlineStr">
        <is>
          <t>Homiest</t>
        </is>
      </c>
      <c r="C177" s="32" t="inlineStr">
        <is>
          <t>Satin Sheets</t>
        </is>
      </c>
      <c r="D177" s="84" t="inlineStr">
        <is>
          <t>Poor</t>
        </is>
      </c>
      <c r="E177" s="84" t="inlineStr">
        <is>
          <t>B0DYJKM99H</t>
        </is>
      </c>
      <c r="F177" s="84" t="inlineStr">
        <is>
          <t>B0DYJHHJQL</t>
        </is>
      </c>
      <c r="G177" s="84" t="n"/>
      <c r="H177" s="84" t="n"/>
      <c r="I177" s="85" t="n"/>
      <c r="J177" s="32" t="inlineStr"/>
      <c r="K177" s="86" t="n">
        <v>27.99</v>
      </c>
      <c r="L177" s="86" t="n"/>
      <c r="M177" s="87">
        <f>IF(AND(ISNUMBER(L177),ISNUMBER(K177),N(K177)&gt;0),L177/K177-1,"")</f>
        <v/>
      </c>
      <c r="N177" s="88">
        <f>IF(M177="","No List Price",IF(M177&lt;=0,"At/below price",IF(M177&lt;=0.12,"&lt;=12% STR zone",IF(M177&lt;=0.25,"12-25%","&gt;25% over"))))</f>
        <v/>
      </c>
      <c r="O177" s="86" t="n">
        <v>33.95</v>
      </c>
      <c r="P177" s="89">
        <f>IF(AND(ISNUMBER(K177),ISNUMBER(O177),N(O177)&gt;0),K177/O177-1,"")</f>
        <v/>
      </c>
      <c r="Q177" s="32" t="inlineStr">
        <is>
          <t>Size not stated - vs our Queen. Ours live: Helium 10 Xray, 2026-10-13; 29 children</t>
        </is>
      </c>
      <c r="R177" s="85" t="n">
        <v>89437</v>
      </c>
      <c r="S177" s="85" t="n">
        <v>18</v>
      </c>
      <c r="T177" s="90">
        <f>IF(AND(ISNUMBER(K177),ISNUMBER(S177)),K177*S177*52/12,"")</f>
        <v/>
      </c>
      <c r="U177" s="91" t="n">
        <v>4.5</v>
      </c>
      <c r="V177" s="85" t="n">
        <v>205</v>
      </c>
      <c r="W177" s="92" t="n">
        <v>46307</v>
      </c>
      <c r="X177" s="92" t="n"/>
      <c r="Y177" s="84" t="n"/>
      <c r="Z177" s="84" t="n"/>
      <c r="AA177" s="85" t="n"/>
      <c r="AB177" s="85" t="n"/>
      <c r="AC177" s="93" t="n"/>
      <c r="AD177" s="93" t="n"/>
      <c r="AE177" s="32" t="n"/>
      <c r="AF177" s="93" t="n"/>
      <c r="AG177" s="93" t="n"/>
      <c r="AH177" s="93" t="n"/>
      <c r="AI177" s="93" t="n"/>
      <c r="AJ177" s="85" t="n"/>
      <c r="AK177" s="85" t="n"/>
      <c r="AL177" s="85" t="n"/>
      <c r="AM177" s="85" t="n"/>
      <c r="AN177" s="85" t="n"/>
      <c r="AO177" s="85" t="n"/>
      <c r="AP177" s="94" t="n"/>
      <c r="AQ177" s="89" t="n"/>
      <c r="AR177" s="95" t="inlineStr">
        <is>
          <t>N</t>
        </is>
      </c>
      <c r="AS177" s="95" t="inlineStr">
        <is>
          <t>none</t>
        </is>
      </c>
      <c r="AT177" s="101" t="n"/>
      <c r="AU177" s="96" t="n">
        <v>27.99</v>
      </c>
      <c r="AV177" s="95" t="inlineStr">
        <is>
          <t>none</t>
        </is>
      </c>
      <c r="AW177" s="95" t="inlineStr">
        <is>
          <t>Y</t>
        </is>
      </c>
      <c r="AX177" s="95" t="inlineStr">
        <is>
          <t>2026-10-13 12:12:53</t>
        </is>
      </c>
      <c r="AY177" s="97" t="inlineStr">
        <is>
          <t>None</t>
        </is>
      </c>
      <c r="AZ177" s="102" t="n"/>
      <c r="BA177" s="98" t="n">
        <v>28.99</v>
      </c>
      <c r="BB177" s="98" t="n">
        <v>28.99</v>
      </c>
      <c r="BC177" s="87">
        <f>IF(AND(ISNUMBER(BA177),ISNUMBER(BB177),N(BA177)&gt;0),1-BB177/BA177,"")</f>
        <v/>
      </c>
      <c r="BD177" s="99" t="n">
        <v>63419</v>
      </c>
      <c r="BE177" s="99" t="n">
        <v>61469</v>
      </c>
      <c r="BF177" s="100">
        <f>IF(AND(ISNUMBER(BD177),ISNUMBER(BE177),N(BE177)&gt;0),BD177/BE177,"")</f>
        <v/>
      </c>
      <c r="BG177" s="97" t="inlineStr">
        <is>
          <t>N</t>
        </is>
      </c>
      <c r="BH177" s="97" t="inlineStr">
        <is>
          <t>List Price $34.99</t>
        </is>
      </c>
    </row>
    <row r="178" ht="62" customHeight="1">
      <c r="A178" s="39" t="inlineStr">
        <is>
          <t>IMAGE MISSING</t>
        </is>
      </c>
      <c r="B178" s="84" t="inlineStr">
        <is>
          <t>HommxJF</t>
        </is>
      </c>
      <c r="C178" s="32" t="inlineStr">
        <is>
          <t>Satin Sheets</t>
        </is>
      </c>
      <c r="D178" s="84" t="inlineStr">
        <is>
          <t>Poor</t>
        </is>
      </c>
      <c r="E178" s="84" t="inlineStr">
        <is>
          <t>B0BJZT93SL</t>
        </is>
      </c>
      <c r="F178" s="84" t="inlineStr">
        <is>
          <t>B09V52BVJB</t>
        </is>
      </c>
      <c r="G178" s="84" t="n"/>
      <c r="H178" s="84" t="n"/>
      <c r="I178" s="85" t="n">
        <v>32</v>
      </c>
      <c r="J178" s="32" t="inlineStr">
        <is>
          <t>B09V52BVJB (55%), B0BCKD5X64 (25%), B09V52C9M9 (10%)</t>
        </is>
      </c>
      <c r="K178" s="86" t="n">
        <v>24.99</v>
      </c>
      <c r="L178" s="86" t="n"/>
      <c r="M178" s="87">
        <f>IF(AND(ISNUMBER(L178),ISNUMBER(K178),N(K178)&gt;0),L178/K178-1,"")</f>
        <v/>
      </c>
      <c r="N178" s="88">
        <f>IF(M178="","No List Price",IF(M178&lt;=0,"At/below price",IF(M178&lt;=0.12,"&lt;=12% STR zone",IF(M178&lt;=0.25,"12-25%","&gt;25% over"))))</f>
        <v/>
      </c>
      <c r="O178" s="86" t="n">
        <v>33.95</v>
      </c>
      <c r="P178" s="89">
        <f>IF(AND(ISNUMBER(K178),ISNUMBER(O178),N(O178)&gt;0),K178/O178-1,"")</f>
        <v/>
      </c>
      <c r="Q178" s="32" t="inlineStr">
        <is>
          <t>Size not stated - vs our Queen. Ours live: Helium 10 Xray, 2026-10-13; 29 children</t>
        </is>
      </c>
      <c r="R178" s="85" t="n">
        <v>180867</v>
      </c>
      <c r="S178" s="85" t="n">
        <v>18</v>
      </c>
      <c r="T178" s="90">
        <f>IF(AND(ISNUMBER(K178),ISNUMBER(S178)),K178*S178*52/12,"")</f>
        <v/>
      </c>
      <c r="U178" s="91" t="n">
        <v>4.3</v>
      </c>
      <c r="V178" s="85" t="n">
        <v>1032</v>
      </c>
      <c r="W178" s="92" t="n">
        <v>46307</v>
      </c>
      <c r="X178" s="92" t="n"/>
      <c r="Y178" s="84" t="n"/>
      <c r="Z178" s="84" t="n"/>
      <c r="AA178" s="85" t="n">
        <v>16567</v>
      </c>
      <c r="AB178" s="85" t="n">
        <v>357</v>
      </c>
      <c r="AC178" s="93" t="n">
        <v>0.8554338745699279</v>
      </c>
      <c r="AD178" s="93" t="n">
        <v>0.1445661254300719</v>
      </c>
      <c r="AE178" s="32" t="inlineStr">
        <is>
          <t>satin sheets</t>
        </is>
      </c>
      <c r="AF178" s="93" t="n">
        <v>0.2936560632582845</v>
      </c>
      <c r="AG178" s="93" t="n">
        <v>0.02323896903482827</v>
      </c>
      <c r="AH178" s="93" t="n"/>
      <c r="AI178" s="93" t="n"/>
      <c r="AJ178" s="85" t="n">
        <v>247</v>
      </c>
      <c r="AK178" s="85" t="n">
        <v>164</v>
      </c>
      <c r="AL178" s="85" t="n">
        <v>68</v>
      </c>
      <c r="AM178" s="85" t="n">
        <v>110</v>
      </c>
      <c r="AN178" s="85" t="n">
        <v>33</v>
      </c>
      <c r="AO178" s="85" t="n">
        <v>28</v>
      </c>
      <c r="AP178" s="94" t="n">
        <v>1.017857142857143</v>
      </c>
      <c r="AQ178" s="89" t="n">
        <v>0.4723247232472323</v>
      </c>
      <c r="AR178" s="95" t="inlineStr">
        <is>
          <t>N</t>
        </is>
      </c>
      <c r="AS178" s="95" t="inlineStr">
        <is>
          <t>none</t>
        </is>
      </c>
      <c r="AT178" s="101" t="n"/>
      <c r="AU178" s="96" t="n">
        <v>24.99</v>
      </c>
      <c r="AV178" s="95" t="inlineStr">
        <is>
          <t>none</t>
        </is>
      </c>
      <c r="AW178" s="95" t="inlineStr">
        <is>
          <t>Y</t>
        </is>
      </c>
      <c r="AX178" s="95" t="inlineStr">
        <is>
          <t>2026-10-13 12:13:02</t>
        </is>
      </c>
      <c r="AY178" s="97" t="inlineStr">
        <is>
          <t>None</t>
        </is>
      </c>
      <c r="AZ178" s="102" t="n"/>
      <c r="BA178" s="98" t="n">
        <v>24.99</v>
      </c>
      <c r="BB178" s="98" t="n">
        <v>24.99</v>
      </c>
      <c r="BC178" s="87">
        <f>IF(AND(ISNUMBER(BA178),ISNUMBER(BB178),N(BA178)&gt;0),1-BB178/BA178,"")</f>
        <v/>
      </c>
      <c r="BD178" s="99" t="n">
        <v>107701</v>
      </c>
      <c r="BE178" s="99" t="n">
        <v>90023</v>
      </c>
      <c r="BF178" s="100">
        <f>IF(AND(ISNUMBER(BD178),ISNUMBER(BE178),N(BE178)&gt;0),BD178/BE178,"")</f>
        <v/>
      </c>
      <c r="BG178" s="97" t="inlineStr">
        <is>
          <t>N</t>
        </is>
      </c>
      <c r="BH178" s="97" t="inlineStr">
        <is>
          <t>List Price $26.99</t>
        </is>
      </c>
    </row>
    <row r="179" ht="62" customHeight="1">
      <c r="A179" s="39" t="inlineStr">
        <is>
          <t>IMAGE MISSING</t>
        </is>
      </c>
      <c r="B179" s="84" t="inlineStr">
        <is>
          <t>MK Home</t>
        </is>
      </c>
      <c r="C179" s="32" t="inlineStr">
        <is>
          <t>Satin Sheets</t>
        </is>
      </c>
      <c r="D179" s="84" t="inlineStr">
        <is>
          <t>Poor</t>
        </is>
      </c>
      <c r="E179" s="84" t="inlineStr">
        <is>
          <t>B07H522QXD</t>
        </is>
      </c>
      <c r="F179" s="84" t="inlineStr">
        <is>
          <t>B07FGFRZ94</t>
        </is>
      </c>
      <c r="G179" s="84" t="n"/>
      <c r="H179" s="84" t="n"/>
      <c r="I179" s="85" t="n"/>
      <c r="J179" s="32" t="inlineStr"/>
      <c r="K179" s="86" t="n">
        <v>18.99</v>
      </c>
      <c r="L179" s="86" t="n"/>
      <c r="M179" s="87">
        <f>IF(AND(ISNUMBER(L179),ISNUMBER(K179),N(K179)&gt;0),L179/K179-1,"")</f>
        <v/>
      </c>
      <c r="N179" s="88">
        <f>IF(M179="","No List Price",IF(M179&lt;=0,"At/below price",IF(M179&lt;=0.12,"&lt;=12% STR zone",IF(M179&lt;=0.25,"12-25%","&gt;25% over"))))</f>
        <v/>
      </c>
      <c r="O179" s="86" t="n">
        <v>33.95</v>
      </c>
      <c r="P179" s="89">
        <f>IF(AND(ISNUMBER(K179),ISNUMBER(O179),N(O179)&gt;0),K179/O179-1,"")</f>
        <v/>
      </c>
      <c r="Q179" s="32" t="inlineStr">
        <is>
          <t>Size not stated - vs our Queen. Ours live: Helium 10 Xray, 2026-10-13; 29 children</t>
        </is>
      </c>
      <c r="R179" s="85" t="n">
        <v>59039</v>
      </c>
      <c r="S179" s="85" t="n">
        <v>18</v>
      </c>
      <c r="T179" s="90">
        <f>IF(AND(ISNUMBER(K179),ISNUMBER(S179)),K179*S179*52/12,"")</f>
        <v/>
      </c>
      <c r="U179" s="91" t="n">
        <v>4.3</v>
      </c>
      <c r="V179" s="85" t="n">
        <v>10761</v>
      </c>
      <c r="W179" s="92" t="n">
        <v>46307</v>
      </c>
      <c r="X179" s="92" t="n"/>
      <c r="Y179" s="84" t="n"/>
      <c r="Z179" s="84" t="n"/>
      <c r="AA179" s="85" t="n"/>
      <c r="AB179" s="85" t="n"/>
      <c r="AC179" s="93" t="n"/>
      <c r="AD179" s="93" t="n"/>
      <c r="AE179" s="32" t="n"/>
      <c r="AF179" s="93" t="n"/>
      <c r="AG179" s="93" t="n"/>
      <c r="AH179" s="93" t="n"/>
      <c r="AI179" s="93" t="n"/>
      <c r="AJ179" s="85" t="n"/>
      <c r="AK179" s="85" t="n"/>
      <c r="AL179" s="85" t="n"/>
      <c r="AM179" s="85" t="n"/>
      <c r="AN179" s="85" t="n"/>
      <c r="AO179" s="85" t="n"/>
      <c r="AP179" s="94" t="n"/>
      <c r="AQ179" s="89" t="n"/>
      <c r="AR179" s="95" t="inlineStr">
        <is>
          <t>N</t>
        </is>
      </c>
      <c r="AS179" s="95" t="inlineStr">
        <is>
          <t>none</t>
        </is>
      </c>
      <c r="AT179" s="101" t="n"/>
      <c r="AU179" s="96" t="n">
        <v>18.99</v>
      </c>
      <c r="AV179" s="95" t="inlineStr">
        <is>
          <t>none</t>
        </is>
      </c>
      <c r="AW179" s="95" t="inlineStr">
        <is>
          <t>Y</t>
        </is>
      </c>
      <c r="AX179" s="95" t="inlineStr">
        <is>
          <t>2026-10-13 12:13:19</t>
        </is>
      </c>
      <c r="AY179" s="97" t="inlineStr">
        <is>
          <t>None</t>
        </is>
      </c>
      <c r="AZ179" s="102" t="n"/>
      <c r="BA179" s="98" t="n">
        <v>28.99</v>
      </c>
      <c r="BB179" s="98" t="n">
        <v>28.99</v>
      </c>
      <c r="BC179" s="87">
        <f>IF(AND(ISNUMBER(BA179),ISNUMBER(BB179),N(BA179)&gt;0),1-BB179/BA179,"")</f>
        <v/>
      </c>
      <c r="BD179" s="99" t="n">
        <v>72573</v>
      </c>
      <c r="BE179" s="99" t="n">
        <v>103377</v>
      </c>
      <c r="BF179" s="100">
        <f>IF(AND(ISNUMBER(BD179),ISNUMBER(BE179),N(BE179)&gt;0),BD179/BE179,"")</f>
        <v/>
      </c>
      <c r="BG179" s="97" t="inlineStr">
        <is>
          <t>N</t>
        </is>
      </c>
      <c r="BH179" s="97" t="inlineStr">
        <is>
          <t>List Price $59.99</t>
        </is>
      </c>
    </row>
    <row r="180" ht="62" customHeight="1">
      <c r="A180" s="39" t="inlineStr">
        <is>
          <t>IMAGE MISSING</t>
        </is>
      </c>
      <c r="B180" s="84" t="inlineStr">
        <is>
          <t>VACVELT</t>
        </is>
      </c>
      <c r="C180" s="32" t="inlineStr">
        <is>
          <t>Satin Sheets</t>
        </is>
      </c>
      <c r="D180" s="84" t="inlineStr">
        <is>
          <t>Poor</t>
        </is>
      </c>
      <c r="E180" s="84" t="inlineStr">
        <is>
          <t>B0F7XQDVJY</t>
        </is>
      </c>
      <c r="F180" s="84" t="inlineStr">
        <is>
          <t>B0F7XRNKQY</t>
        </is>
      </c>
      <c r="G180" s="84" t="n"/>
      <c r="H180" s="84" t="n"/>
      <c r="I180" s="85" t="n">
        <v>31</v>
      </c>
      <c r="J180" s="32" t="inlineStr">
        <is>
          <t>B0F7XRNKQY (46%), B0F7XR7CJX (14%), B0F7XQPKCG (8%), B0F7XQLX2P (6%), B0F7XR8JYF (4%)</t>
        </is>
      </c>
      <c r="K180" s="86" t="n">
        <v>17.99</v>
      </c>
      <c r="L180" s="86" t="n"/>
      <c r="M180" s="87">
        <f>IF(AND(ISNUMBER(L180),ISNUMBER(K180),N(K180)&gt;0),L180/K180-1,"")</f>
        <v/>
      </c>
      <c r="N180" s="88">
        <f>IF(M180="","No List Price",IF(M180&lt;=0,"At/below price",IF(M180&lt;=0.12,"&lt;=12% STR zone",IF(M180&lt;=0.25,"12-25%","&gt;25% over"))))</f>
        <v/>
      </c>
      <c r="O180" s="86" t="n">
        <v>33.95</v>
      </c>
      <c r="P180" s="89">
        <f>IF(AND(ISNUMBER(K180),ISNUMBER(O180),N(O180)&gt;0),K180/O180-1,"")</f>
        <v/>
      </c>
      <c r="Q180" s="32" t="inlineStr">
        <is>
          <t>Size not stated - vs our Queen. Ours live: Helium 10 Xray, 2026-10-13; 29 children</t>
        </is>
      </c>
      <c r="R180" s="85" t="n">
        <v>79028</v>
      </c>
      <c r="S180" s="85" t="n">
        <v>18</v>
      </c>
      <c r="T180" s="90">
        <f>IF(AND(ISNUMBER(K180),ISNUMBER(S180)),K180*S180*52/12,"")</f>
        <v/>
      </c>
      <c r="U180" s="91" t="n">
        <v>4.4</v>
      </c>
      <c r="V180" s="85" t="n">
        <v>209</v>
      </c>
      <c r="W180" s="92" t="n">
        <v>46307</v>
      </c>
      <c r="X180" s="92" t="n"/>
      <c r="Y180" s="84" t="n"/>
      <c r="Z180" s="84" t="n"/>
      <c r="AA180" s="85" t="n">
        <v>21912</v>
      </c>
      <c r="AB180" s="85" t="n">
        <v>632</v>
      </c>
      <c r="AC180" s="93" t="n">
        <v>0.9845742834976268</v>
      </c>
      <c r="AD180" s="93" t="n">
        <v>0.01542586254107338</v>
      </c>
      <c r="AE180" s="32" t="inlineStr">
        <is>
          <t>silk sheets</t>
        </is>
      </c>
      <c r="AF180" s="93" t="n">
        <v>0.004518072289156626</v>
      </c>
      <c r="AG180" s="93" t="n"/>
      <c r="AH180" s="93" t="n"/>
      <c r="AI180" s="93" t="n"/>
      <c r="AJ180" s="85" t="n">
        <v>266</v>
      </c>
      <c r="AK180" s="85" t="n">
        <v>166</v>
      </c>
      <c r="AL180" s="85" t="n">
        <v>84</v>
      </c>
      <c r="AM180" s="85" t="n">
        <v>366</v>
      </c>
      <c r="AN180" s="85" t="n">
        <v>10</v>
      </c>
      <c r="AO180" s="85" t="n">
        <v>4</v>
      </c>
      <c r="AP180" s="94" t="n">
        <v>1.707818930041152</v>
      </c>
      <c r="AQ180" s="89" t="n">
        <v>1.91358024691358</v>
      </c>
      <c r="AR180" s="95" t="inlineStr">
        <is>
          <t>N</t>
        </is>
      </c>
      <c r="AS180" s="95" t="inlineStr">
        <is>
          <t>none</t>
        </is>
      </c>
      <c r="AT180" s="101" t="n"/>
      <c r="AU180" s="96" t="n">
        <v>17.99</v>
      </c>
      <c r="AV180" s="95" t="inlineStr">
        <is>
          <t>none</t>
        </is>
      </c>
      <c r="AW180" s="95" t="inlineStr">
        <is>
          <t>Y</t>
        </is>
      </c>
      <c r="AX180" s="95" t="inlineStr">
        <is>
          <t>2026-10-13 12:13:54</t>
        </is>
      </c>
      <c r="AY180" s="97" t="inlineStr">
        <is>
          <t>None</t>
        </is>
      </c>
      <c r="AZ180" s="102" t="n"/>
      <c r="BA180" s="98" t="n">
        <v>20.99</v>
      </c>
      <c r="BB180" s="98" t="n">
        <v>19.99</v>
      </c>
      <c r="BC180" s="87">
        <f>IF(AND(ISNUMBER(BA180),ISNUMBER(BB180),N(BA180)&gt;0),1-BB180/BA180,"")</f>
        <v/>
      </c>
      <c r="BD180" s="99" t="n">
        <v>110546</v>
      </c>
      <c r="BE180" s="99" t="n">
        <v>96255</v>
      </c>
      <c r="BF180" s="100">
        <f>IF(AND(ISNUMBER(BD180),ISNUMBER(BE180),N(BE180)&gt;0),BD180/BE180,"")</f>
        <v/>
      </c>
      <c r="BG180" s="97" t="inlineStr">
        <is>
          <t>N</t>
        </is>
      </c>
      <c r="BH180" s="97" t="inlineStr">
        <is>
          <t>List Price $19.99</t>
        </is>
      </c>
    </row>
    <row r="181" ht="62" customHeight="1">
      <c r="A181" s="39" t="inlineStr">
        <is>
          <t>IMAGE MISSING</t>
        </is>
      </c>
      <c r="B181" s="84" t="inlineStr">
        <is>
          <t>Candoury</t>
        </is>
      </c>
      <c r="C181" s="32" t="inlineStr">
        <is>
          <t>Satin Sheets</t>
        </is>
      </c>
      <c r="D181" s="84" t="inlineStr">
        <is>
          <t>Poor</t>
        </is>
      </c>
      <c r="E181" s="84" t="inlineStr">
        <is>
          <t>B08RHZ9TMQ</t>
        </is>
      </c>
      <c r="F181" s="84" t="inlineStr">
        <is>
          <t>B08JKWGXZ9</t>
        </is>
      </c>
      <c r="G181" s="84" t="n"/>
      <c r="H181" s="84" t="n"/>
      <c r="I181" s="85" t="n"/>
      <c r="J181" s="32" t="inlineStr"/>
      <c r="K181" s="86" t="n">
        <v>15.99</v>
      </c>
      <c r="L181" s="86" t="n"/>
      <c r="M181" s="87">
        <f>IF(AND(ISNUMBER(L181),ISNUMBER(K181),N(K181)&gt;0),L181/K181-1,"")</f>
        <v/>
      </c>
      <c r="N181" s="88">
        <f>IF(M181="","No List Price",IF(M181&lt;=0,"At/below price",IF(M181&lt;=0.12,"&lt;=12% STR zone",IF(M181&lt;=0.25,"12-25%","&gt;25% over"))))</f>
        <v/>
      </c>
      <c r="O181" s="86" t="n">
        <v>33.95</v>
      </c>
      <c r="P181" s="89">
        <f>IF(AND(ISNUMBER(K181),ISNUMBER(O181),N(O181)&gt;0),K181/O181-1,"")</f>
        <v/>
      </c>
      <c r="Q181" s="32" t="inlineStr">
        <is>
          <t>Size not stated - vs our Queen. Ours live: Helium 10 Xray, 2026-10-13; 29 children</t>
        </is>
      </c>
      <c r="R181" s="85" t="n">
        <v>420044</v>
      </c>
      <c r="S181" s="85" t="n">
        <v>5</v>
      </c>
      <c r="T181" s="90">
        <f>IF(AND(ISNUMBER(K181),ISNUMBER(S181)),K181*S181*52/12,"")</f>
        <v/>
      </c>
      <c r="U181" s="91" t="n">
        <v>4.3</v>
      </c>
      <c r="V181" s="85" t="n">
        <v>5277</v>
      </c>
      <c r="W181" s="92" t="n">
        <v>46279</v>
      </c>
      <c r="X181" s="92" t="n"/>
      <c r="Y181" s="84" t="n"/>
      <c r="Z181" s="84" t="n"/>
      <c r="AA181" s="85" t="n"/>
      <c r="AB181" s="85" t="n"/>
      <c r="AC181" s="93" t="n"/>
      <c r="AD181" s="93" t="n"/>
      <c r="AE181" s="32" t="n"/>
      <c r="AF181" s="93" t="n"/>
      <c r="AG181" s="93" t="n"/>
      <c r="AH181" s="93" t="n"/>
      <c r="AI181" s="93" t="n"/>
      <c r="AJ181" s="85" t="n"/>
      <c r="AK181" s="85" t="n"/>
      <c r="AL181" s="85" t="n"/>
      <c r="AM181" s="85" t="n"/>
      <c r="AN181" s="85" t="n"/>
      <c r="AO181" s="85" t="n"/>
      <c r="AP181" s="94" t="n"/>
      <c r="AQ181" s="89" t="n"/>
      <c r="AR181" s="95" t="inlineStr">
        <is>
          <t>N</t>
        </is>
      </c>
      <c r="AS181" s="95" t="inlineStr">
        <is>
          <t>none</t>
        </is>
      </c>
      <c r="AT181" s="101" t="n"/>
      <c r="AU181" s="101" t="n"/>
      <c r="AV181" s="95" t="inlineStr">
        <is>
          <t>none</t>
        </is>
      </c>
      <c r="AW181" s="95" t="inlineStr">
        <is>
          <t>N</t>
        </is>
      </c>
      <c r="AX181" s="95" t="inlineStr">
        <is>
          <t>2026-10-13 23:44:25</t>
        </is>
      </c>
      <c r="AY181" s="102" t="n"/>
      <c r="AZ181" s="102" t="n"/>
      <c r="BA181" s="101" t="n"/>
      <c r="BB181" s="101" t="n"/>
      <c r="BC181" s="87">
        <f>IF(AND(ISNUMBER(BA181),ISNUMBER(BB181),N(BA181)&gt;0),1-BB181/BA181,"")</f>
        <v/>
      </c>
      <c r="BD181" s="103" t="n"/>
      <c r="BE181" s="103" t="n"/>
      <c r="BF181" s="100">
        <f>IF(AND(ISNUMBER(BD181),ISNUMBER(BE181),N(BE181)&gt;0),BD181/BE181,"")</f>
        <v/>
      </c>
      <c r="BG181" s="102" t="n"/>
      <c r="BH181" s="102" t="n"/>
    </row>
    <row r="182" ht="62" customHeight="1">
      <c r="A182" s="39" t="inlineStr">
        <is>
          <t>IMAGE MISSING</t>
        </is>
      </c>
      <c r="B182" s="84" t="inlineStr">
        <is>
          <t>Manyshofu</t>
        </is>
      </c>
      <c r="C182" s="32" t="inlineStr">
        <is>
          <t>Satin Sheets</t>
        </is>
      </c>
      <c r="D182" s="84" t="inlineStr">
        <is>
          <t>Poor</t>
        </is>
      </c>
      <c r="E182" s="84" t="inlineStr">
        <is>
          <t>B09YQW7HBK</t>
        </is>
      </c>
      <c r="F182" s="84" t="inlineStr">
        <is>
          <t>B09S5RNLN9</t>
        </is>
      </c>
      <c r="G182" s="84" t="n"/>
      <c r="H182" s="84" t="n"/>
      <c r="I182" s="85" t="n"/>
      <c r="J182" s="32" t="inlineStr"/>
      <c r="K182" s="86" t="n">
        <v>28.99</v>
      </c>
      <c r="L182" s="86" t="n"/>
      <c r="M182" s="87">
        <f>IF(AND(ISNUMBER(L182),ISNUMBER(K182),N(K182)&gt;0),L182/K182-1,"")</f>
        <v/>
      </c>
      <c r="N182" s="88">
        <f>IF(M182="","No List Price",IF(M182&lt;=0,"At/below price",IF(M182&lt;=0.12,"&lt;=12% STR zone",IF(M182&lt;=0.25,"12-25%","&gt;25% over"))))</f>
        <v/>
      </c>
      <c r="O182" s="86" t="n">
        <v>33.95</v>
      </c>
      <c r="P182" s="89">
        <f>IF(AND(ISNUMBER(K182),ISNUMBER(O182),N(O182)&gt;0),K182/O182-1,"")</f>
        <v/>
      </c>
      <c r="Q182" s="32" t="inlineStr">
        <is>
          <t>Size not stated - vs our Queen. Ours live: Helium 10 Xray, 2026-10-13; 29 children</t>
        </is>
      </c>
      <c r="R182" s="85" t="n">
        <v>300374</v>
      </c>
      <c r="S182" s="85" t="n">
        <v>5</v>
      </c>
      <c r="T182" s="90">
        <f>IF(AND(ISNUMBER(K182),ISNUMBER(S182)),K182*S182*52/12,"")</f>
        <v/>
      </c>
      <c r="U182" s="91" t="n">
        <v>4.3</v>
      </c>
      <c r="V182" s="85" t="n">
        <v>907</v>
      </c>
      <c r="W182" s="92" t="n">
        <v>46307</v>
      </c>
      <c r="X182" s="92" t="n"/>
      <c r="Y182" s="84" t="n"/>
      <c r="Z182" s="84" t="n"/>
      <c r="AA182" s="85" t="n"/>
      <c r="AB182" s="85" t="n"/>
      <c r="AC182" s="93" t="n"/>
      <c r="AD182" s="93" t="n"/>
      <c r="AE182" s="32" t="n"/>
      <c r="AF182" s="93" t="n"/>
      <c r="AG182" s="93" t="n"/>
      <c r="AH182" s="93" t="n"/>
      <c r="AI182" s="93" t="n"/>
      <c r="AJ182" s="85" t="n"/>
      <c r="AK182" s="85" t="n"/>
      <c r="AL182" s="85" t="n"/>
      <c r="AM182" s="85" t="n"/>
      <c r="AN182" s="85" t="n"/>
      <c r="AO182" s="85" t="n"/>
      <c r="AP182" s="94" t="n"/>
      <c r="AQ182" s="89" t="n"/>
      <c r="AR182" s="95" t="inlineStr">
        <is>
          <t>N</t>
        </is>
      </c>
      <c r="AS182" s="95" t="inlineStr">
        <is>
          <t>none</t>
        </is>
      </c>
      <c r="AT182" s="101" t="n"/>
      <c r="AU182" s="96" t="n">
        <v>28.99</v>
      </c>
      <c r="AV182" s="95" t="inlineStr">
        <is>
          <t>none</t>
        </is>
      </c>
      <c r="AW182" s="95" t="inlineStr">
        <is>
          <t>Y</t>
        </is>
      </c>
      <c r="AX182" s="95" t="inlineStr">
        <is>
          <t>2026-10-13 12:13:29</t>
        </is>
      </c>
      <c r="AY182" s="97" t="inlineStr">
        <is>
          <t>None</t>
        </is>
      </c>
      <c r="AZ182" s="102" t="n"/>
      <c r="BA182" s="98" t="n">
        <v>35.99</v>
      </c>
      <c r="BB182" s="98" t="n">
        <v>43.99</v>
      </c>
      <c r="BC182" s="87">
        <f>IF(AND(ISNUMBER(BA182),ISNUMBER(BB182),N(BA182)&gt;0),1-BB182/BA182,"")</f>
        <v/>
      </c>
      <c r="BD182" s="99" t="n">
        <v>162880</v>
      </c>
      <c r="BE182" s="99" t="n">
        <v>197382</v>
      </c>
      <c r="BF182" s="100">
        <f>IF(AND(ISNUMBER(BD182),ISNUMBER(BE182),N(BE182)&gt;0),BD182/BE182,"")</f>
        <v/>
      </c>
      <c r="BG182" s="97" t="inlineStr">
        <is>
          <t>Y</t>
        </is>
      </c>
      <c r="BH182" s="97" t="inlineStr">
        <is>
          <t>Buy Box RAISED in BFCM week (median $43.99 vs $35.99 before); List Price $46.99</t>
        </is>
      </c>
    </row>
    <row r="183" ht="62" customHeight="1">
      <c r="A183" s="39" t="inlineStr">
        <is>
          <t>IMAGE MISSING</t>
        </is>
      </c>
      <c r="B183" s="84" t="inlineStr">
        <is>
          <t>Martex</t>
        </is>
      </c>
      <c r="C183" s="32" t="inlineStr">
        <is>
          <t>Satin Sheets</t>
        </is>
      </c>
      <c r="D183" s="84" t="inlineStr">
        <is>
          <t>Poor</t>
        </is>
      </c>
      <c r="E183" s="84" t="inlineStr">
        <is>
          <t>B0DLGX8P9D</t>
        </is>
      </c>
      <c r="F183" s="84" t="inlineStr">
        <is>
          <t>B07X49LFDC</t>
        </is>
      </c>
      <c r="G183" s="84" t="n"/>
      <c r="H183" s="84" t="n"/>
      <c r="I183" s="85" t="n"/>
      <c r="J183" s="32" t="inlineStr"/>
      <c r="K183" s="86" t="n">
        <v>25.99</v>
      </c>
      <c r="L183" s="86" t="n"/>
      <c r="M183" s="87">
        <f>IF(AND(ISNUMBER(L183),ISNUMBER(K183),N(K183)&gt;0),L183/K183-1,"")</f>
        <v/>
      </c>
      <c r="N183" s="88">
        <f>IF(M183="","No List Price",IF(M183&lt;=0,"At/below price",IF(M183&lt;=0.12,"&lt;=12% STR zone",IF(M183&lt;=0.25,"12-25%","&gt;25% over"))))</f>
        <v/>
      </c>
      <c r="O183" s="86" t="n">
        <v>33.95</v>
      </c>
      <c r="P183" s="89">
        <f>IF(AND(ISNUMBER(K183),ISNUMBER(O183),N(O183)&gt;0),K183/O183-1,"")</f>
        <v/>
      </c>
      <c r="Q183" s="32" t="inlineStr">
        <is>
          <t>Size not stated - vs our Queen. Ours live: Helium 10 Xray, 2026-10-13; 29 children</t>
        </is>
      </c>
      <c r="R183" s="85" t="n">
        <v>52458</v>
      </c>
      <c r="S183" s="85" t="n">
        <v>5</v>
      </c>
      <c r="T183" s="90">
        <f>IF(AND(ISNUMBER(K183),ISNUMBER(S183)),K183*S183*52/12,"")</f>
        <v/>
      </c>
      <c r="U183" s="91" t="n">
        <v>4.3</v>
      </c>
      <c r="V183" s="85" t="n">
        <v>2260</v>
      </c>
      <c r="W183" s="92" t="n">
        <v>46307</v>
      </c>
      <c r="X183" s="92" t="n"/>
      <c r="Y183" s="84" t="n"/>
      <c r="Z183" s="84" t="n"/>
      <c r="AA183" s="85" t="n"/>
      <c r="AB183" s="85" t="n"/>
      <c r="AC183" s="93" t="n"/>
      <c r="AD183" s="93" t="n"/>
      <c r="AE183" s="32" t="n"/>
      <c r="AF183" s="93" t="n"/>
      <c r="AG183" s="93" t="n"/>
      <c r="AH183" s="93" t="n"/>
      <c r="AI183" s="93" t="n"/>
      <c r="AJ183" s="85" t="n"/>
      <c r="AK183" s="85" t="n"/>
      <c r="AL183" s="85" t="n"/>
      <c r="AM183" s="85" t="n"/>
      <c r="AN183" s="85" t="n"/>
      <c r="AO183" s="85" t="n"/>
      <c r="AP183" s="94" t="n"/>
      <c r="AQ183" s="89" t="n"/>
      <c r="AR183" s="95" t="inlineStr">
        <is>
          <t>Y</t>
        </is>
      </c>
      <c r="AS183" s="95" t="inlineStr">
        <is>
          <t>Typical price</t>
        </is>
      </c>
      <c r="AT183" s="96" t="n">
        <v>26.99</v>
      </c>
      <c r="AU183" s="96" t="n">
        <v>22.99</v>
      </c>
      <c r="AV183" s="95" t="inlineStr">
        <is>
          <t>none</t>
        </is>
      </c>
      <c r="AW183" s="95" t="inlineStr">
        <is>
          <t>Y</t>
        </is>
      </c>
      <c r="AX183" s="95" t="inlineStr">
        <is>
          <t>2026-10-13 12:13:32</t>
        </is>
      </c>
      <c r="AY183" s="97" t="inlineStr">
        <is>
          <t>None</t>
        </is>
      </c>
      <c r="AZ183" s="102" t="n"/>
      <c r="BA183" s="98" t="n">
        <v>23.21</v>
      </c>
      <c r="BB183" s="98" t="n">
        <v>26.99</v>
      </c>
      <c r="BC183" s="87">
        <f>IF(AND(ISNUMBER(BA183),ISNUMBER(BB183),N(BA183)&gt;0),1-BB183/BA183,"")</f>
        <v/>
      </c>
      <c r="BD183" s="99" t="n">
        <v>29868</v>
      </c>
      <c r="BE183" s="99" t="n">
        <v>28928</v>
      </c>
      <c r="BF183" s="100">
        <f>IF(AND(ISNUMBER(BD183),ISNUMBER(BE183),N(BE183)&gt;0),BD183/BE183,"")</f>
        <v/>
      </c>
      <c r="BG183" s="97" t="inlineStr">
        <is>
          <t>N</t>
        </is>
      </c>
      <c r="BH183" s="97" t="inlineStr">
        <is>
          <t>Buy Box RAISED in BFCM week (median $26.99 vs $23.21 before); List Price $34.99</t>
        </is>
      </c>
    </row>
    <row r="185" ht="20" customHeight="1">
      <c r="A185" s="54" t="inlineStr">
        <is>
          <t>5 · WHAT THIS MEANS FOR BFCM</t>
        </is>
      </c>
    </row>
    <row r="186" ht="30" customHeight="1">
      <c r="A186" s="104" t="inlineStr">
        <is>
          <t>•  Who sells most: BEDELITE ~1,963/wk at $17.99; Love's cabin ~809/wk at $16.13 (List $19.99, +24%); MR&amp;HM ~809/wk at $19.99; CozyLux ~347/wk at $13.99 (List $18.99, +36%); BEDELITE ~208/wk at $15.98 (List $19.99, +25%). Tracked rivals ~5,309 units/wk; we sell ~175/wk (3.2% of the tracked set).</t>
        </is>
      </c>
    </row>
    <row r="187" ht="18" customHeight="1">
      <c r="A187" s="104" t="inlineStr">
        <is>
          <t>•  Strikethrough: 4 of 29 rivals set a List Price above price; 0 within 12%.</t>
        </is>
      </c>
    </row>
    <row r="188" ht="18" customHeight="1">
      <c r="A188" s="104" t="inlineStr">
        <is>
          <t>•  Price: 29 of 29 rivals sit below our price today (same size where the title states one). Cheapest strong rivals:  $5.93, CozyLux $13.99, BEDELITE $15.98, Sasttie $15.99.</t>
        </is>
      </c>
    </row>
    <row r="189" ht="30" customHeight="1">
      <c r="A189" s="104" t="inlineStr">
        <is>
          <t>•  Strikethrough on the page today (Oct 13 check): 8 of 29 checked rivals show one: BEDELITE List Price $19.99 vs $17.99 (+11%), Love's cabin List Price $19.99 vs $16.13 (+24%) with deal, MR&amp;HM List Price $28.99 vs $19.99 (+45%), CozyLux List Price $18.99 vs $13.99 (+36%) with deal, BEDELITE List Price $19.99 vs $15.98 (+25%) with deal, Homiest Typical price $25.99 vs $23.99 (+8%).</t>
        </is>
      </c>
    </row>
    <row r="190" ht="30" customHeight="1">
      <c r="A190" s="104" t="inlineStr">
        <is>
          <t>•  Search: we lose most shared keywords to BEDELITE (we win 61, lose 385), Love's cabin (we win 68, lose 353), MR&amp;HM (we win 93, lose 328). Biggest ad gaps (they advertise where we don't or harder): BEDELITE 332 + 16 KWs, BEDELITE 561 + 61 KWs, Lanest Housing 53 + 45 KWs.</t>
        </is>
      </c>
    </row>
    <row r="191" ht="30" customHeight="1">
      <c r="A191" s="104" t="inlineStr">
        <is>
          <t>•  Brand ads: Love's cabin (SB 61%, SBV 8%), CozyLux (SB 52%, SBV 0%), Lanest Housing (SB 92%, SBV 0%),  (SB 10%, SBV 54%), P Pothuiny (SB 54%, SBV 0%) hold Sponsored Brands / video on most of their traffic - the plan has our SB, SBV and display live by Nov 1.</t>
        </is>
      </c>
    </row>
    <row r="192" ht="18" customHeight="1">
      <c r="A192" s="104" t="inlineStr">
        <is>
          <t>•  Our BFCM 2025: 2.59x daily sales in BFCM week vs the 30 days before; TACoS 15.8% vs 18.3% before; December 5.01x.</t>
        </is>
      </c>
    </row>
    <row r="193" ht="18" customHeight="1">
      <c r="A193" s="104" t="inlineStr">
        <is>
          <t>•  Prime Day 2026: our organic visibility 0.94x vs rivals' median 1.01x (n=20) - rivals gained more event visibility than we did.</t>
        </is>
      </c>
    </row>
    <row r="194" ht="30" customHeight="1">
      <c r="A194" s="104" t="inlineStr">
        <is>
          <t>•  BFCM 2025, 26 rivals with Keepa history: Prime Exclusive Discount 14, None 8, Price cut only 4. Median depth vs their Nov 1-19 price 5%; median BSR lift 1.03x. 12 raised their Buy Box in BFCM week, so their deal looked deeper than it was.</t>
        </is>
      </c>
    </row>
    <row r="195" ht="18" customHeight="1">
      <c r="A195" s="104" t="inlineStr">
        <is>
          <t>•  3 rivals not in the Keepa pulls yet (yellow BFCM 2025 columns) - remaining P2 batches, AGENT_PROMPTS Prompt 2.</t>
        </is>
      </c>
    </row>
  </sheetData>
  <autoFilter ref="B154:BH183"/>
  <mergeCells count="72">
    <mergeCell ref="A137:C137"/>
    <mergeCell ref="A15:BH15"/>
    <mergeCell ref="A148:BH148"/>
    <mergeCell ref="A186:BH186"/>
    <mergeCell ref="L5:Q5"/>
    <mergeCell ref="A191:BH191"/>
    <mergeCell ref="A1:BH1"/>
    <mergeCell ref="A145:C145"/>
    <mergeCell ref="AA153:AQ153"/>
    <mergeCell ref="Q11:T11"/>
    <mergeCell ref="A139:C139"/>
    <mergeCell ref="L8:Q8"/>
    <mergeCell ref="AY153:BH153"/>
    <mergeCell ref="A146:BH146"/>
    <mergeCell ref="L4:Q4"/>
    <mergeCell ref="D7:I7"/>
    <mergeCell ref="A13:D13"/>
    <mergeCell ref="AR153:AX153"/>
    <mergeCell ref="I13:L13"/>
    <mergeCell ref="A153:H153"/>
    <mergeCell ref="A16:BH16"/>
    <mergeCell ref="A187:BH187"/>
    <mergeCell ref="D4:I4"/>
    <mergeCell ref="L10:Q10"/>
    <mergeCell ref="E12:H12"/>
    <mergeCell ref="Q13:T13"/>
    <mergeCell ref="A193:BH193"/>
    <mergeCell ref="D9:I9"/>
    <mergeCell ref="U12:X12"/>
    <mergeCell ref="L9:Q9"/>
    <mergeCell ref="Q12:T12"/>
    <mergeCell ref="A140:C140"/>
    <mergeCell ref="A11:D11"/>
    <mergeCell ref="A144:C144"/>
    <mergeCell ref="A149:BH149"/>
    <mergeCell ref="X153:Z153"/>
    <mergeCell ref="I11:L11"/>
    <mergeCell ref="A189:BH189"/>
    <mergeCell ref="A3:BH3"/>
    <mergeCell ref="L6:Q6"/>
    <mergeCell ref="D8:I8"/>
    <mergeCell ref="A4:B9"/>
    <mergeCell ref="A136:BH136"/>
    <mergeCell ref="T6:Y6"/>
    <mergeCell ref="A192:BH192"/>
    <mergeCell ref="A195:BH195"/>
    <mergeCell ref="D5:I5"/>
    <mergeCell ref="A151:BH151"/>
    <mergeCell ref="A185:BH185"/>
    <mergeCell ref="M11:P11"/>
    <mergeCell ref="A143:C143"/>
    <mergeCell ref="A188:BH188"/>
    <mergeCell ref="A194:BH194"/>
    <mergeCell ref="U11:X11"/>
    <mergeCell ref="K153:W153"/>
    <mergeCell ref="E13:H13"/>
    <mergeCell ref="A147:BH147"/>
    <mergeCell ref="D10:I10"/>
    <mergeCell ref="L7:Q7"/>
    <mergeCell ref="T5:Y5"/>
    <mergeCell ref="A138:C138"/>
    <mergeCell ref="A142:C142"/>
    <mergeCell ref="A152:BH152"/>
    <mergeCell ref="A190:BH190"/>
    <mergeCell ref="A12:D12"/>
    <mergeCell ref="M13:P13"/>
    <mergeCell ref="I12:L12"/>
    <mergeCell ref="U13:X13"/>
    <mergeCell ref="M12:P12"/>
    <mergeCell ref="T4:Y4"/>
    <mergeCell ref="D6:I6"/>
    <mergeCell ref="E11:H11"/>
  </mergeCells>
  <conditionalFormatting sqref="N155:N183">
    <cfRule type="expression" priority="1" dxfId="1">
      <formula>N155="&lt;=12% STR zone"</formula>
    </cfRule>
  </conditionalFormatting>
  <conditionalFormatting sqref="W155:W183">
    <cfRule type="expression" priority="2" dxfId="0">
      <formula>AND(ISNUMBER(W155),W155&lt;DATE(2026,10,6))</formula>
    </cfRule>
  </conditionalFormatting>
  <conditionalFormatting sqref="Q155:Q183">
    <cfRule type="expression" priority="3" dxfId="0">
      <formula>ISNUMBER(SEARCH("STALE",Q155))</formula>
    </cfRule>
  </conditionalFormatting>
  <conditionalFormatting sqref="P155:P183">
    <cfRule type="expression" priority="4" dxfId="0">
      <formula>AND(ISNUMBER(P155),P155&lt;0)</formula>
    </cfRule>
  </conditionalFormatting>
  <dataValidations count="3">
    <dataValidation sqref="AR155:AR183 BG155:BG183" showDropDown="0" showInputMessage="0" showErrorMessage="0" allowBlank="1" type="list">
      <formula1>"Y,N"</formula1>
    </dataValidation>
    <dataValidation sqref="AS155:AS183" showDropDown="0" showInputMessage="0" showErrorMessage="0" allowBlank="1" type="list">
      <formula1>"List Price,Typical price,Was price,None"</formula1>
    </dataValidation>
    <dataValidation sqref="AY155:AY18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BH17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4 Piece  ·  Amazon.ca (CA)  ·  Satin  ·  BFCM role: Clearance with margin  ·  Scope: Core</t>
        </is>
      </c>
    </row>
    <row r="2">
      <c r="A2" s="53" t="inlineStr">
        <is>
          <t>← Dashboard</t>
        </is>
      </c>
    </row>
    <row r="3" ht="20" customHeight="1">
      <c r="A3" s="54" t="inlineStr">
        <is>
          <t>1 · OUR PRODUCT</t>
        </is>
      </c>
    </row>
    <row r="4" ht="34" customHeight="1">
      <c r="A4" s="10">
        <f>_xlfn.IMAGE("https://m.media-amazon.com/images/I/816QTAjFcGL._AC_SL1500_.jpg")</f>
        <v/>
      </c>
      <c r="C4" s="11" t="inlineStr">
        <is>
          <t>Title</t>
        </is>
      </c>
      <c r="D4" s="12" t="inlineStr">
        <is>
          <t>Sleep Sanctuary Satin Sheets King Size – 4 Piece Luxury Silky Bed Set, Softer Than Silk, 15" Deep Pocket, Cooling &amp; Wrinkle-Free, Moisture-Wicking &amp; Breathable for Hair &amp; Skin (Stone Grey)</t>
        </is>
      </c>
      <c r="K4" s="11" t="inlineStr">
        <is>
          <t>Sizes</t>
        </is>
      </c>
      <c r="L4" s="55" t="inlineStr">
        <is>
          <t>Full, King, Queen, Twin</t>
        </is>
      </c>
      <c r="S4" s="11" t="inlineStr">
        <is>
          <t>Break-even ACoS</t>
        </is>
      </c>
      <c r="T4" s="55" t="inlineStr">
        <is>
          <t>42%</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31</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B0DDR4HJCS (one of our child ASINs, not the Amazon parent)</t>
        </is>
      </c>
    </row>
    <row r="7" ht="22" customHeight="1">
      <c r="C7" s="11" t="inlineStr">
        <is>
          <t>Parent ASIN (Amazon)</t>
        </is>
      </c>
      <c r="D7" s="55" t="inlineStr">
        <is>
          <t>B0F2Z7C4ST</t>
        </is>
      </c>
      <c r="K7" s="11" t="inlineStr">
        <is>
          <t>Rating / reviews now</t>
        </is>
      </c>
      <c r="L7" s="55" t="inlineStr">
        <is>
          <t>Not checked yet</t>
        </is>
      </c>
    </row>
    <row r="8" ht="22" customHeight="1">
      <c r="C8" s="11" t="inlineStr">
        <is>
          <t>Best-selling child ASIN</t>
        </is>
      </c>
      <c r="D8" s="55" t="inlineStr">
        <is>
          <t>B0DDR1ZPRZ</t>
        </is>
      </c>
      <c r="K8" s="11" t="inlineStr">
        <is>
          <t>Live prices held</t>
        </is>
      </c>
      <c r="L8" s="55" t="inlineStr">
        <is>
          <t>0 of 116 variations</t>
        </is>
      </c>
    </row>
    <row r="9" ht="22" customHeight="1">
      <c r="C9" s="11" t="inlineStr">
        <is>
          <t>Stage</t>
        </is>
      </c>
      <c r="D9" s="55" t="inlineStr">
        <is>
          <t>Maintenance</t>
        </is>
      </c>
      <c r="K9" s="11" t="inlineStr">
        <is>
          <t>Blended price (Command Center)</t>
        </is>
      </c>
      <c r="L9" s="55" t="inlineStr">
        <is>
          <t>$49.47 - fee feed as of 2026-03-30, STALE</t>
        </is>
      </c>
    </row>
    <row r="10">
      <c r="C10" s="11" t="inlineStr">
        <is>
          <t>Total variations (SKUs)</t>
        </is>
      </c>
      <c r="D10" s="55" t="n">
        <v>116</v>
      </c>
      <c r="K10" s="11" t="inlineStr">
        <is>
          <t>Contribution / unit</t>
        </is>
      </c>
      <c r="L10" s="55" t="inlineStr">
        <is>
          <t>$20.75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1.52x</t>
        </is>
      </c>
      <c r="E12" s="57" t="inlineStr">
        <is>
          <t>0.0%</t>
        </is>
      </c>
      <c r="I12" s="57" t="inlineStr">
        <is>
          <t>3.72x</t>
        </is>
      </c>
      <c r="M12" s="57" t="inlineStr">
        <is>
          <t>15</t>
        </is>
      </c>
      <c r="Q12" s="57" t="inlineStr">
        <is>
          <t>10</t>
        </is>
      </c>
      <c r="U12" s="57" t="inlineStr">
        <is>
          <t>6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_xlfn.IMAGE("https://m.media-amazon.com/images/I/81+cpLtli8L.jpg")</f>
        <v/>
      </c>
      <c r="B18" s="32" t="inlineStr">
        <is>
          <t>B0DDRKVH9Q</t>
        </is>
      </c>
      <c r="C18" s="32" t="inlineStr">
        <is>
          <t>SS-SATIN-BLACK-KING-4PCS</t>
        </is>
      </c>
      <c r="D18" s="32" t="inlineStr">
        <is>
          <t>Sleep Sanctuary Satin Sheets King Size – 4 Piece Luxury Silky Bed Set, Softer Than Silk, 15" Deep Pocket, Cooling &amp; Wrinkle-Free, Moisture-Wicking &amp; Breathable for Hair &amp; Skin (Black)</t>
        </is>
      </c>
      <c r="E18" s="32" t="inlineStr">
        <is>
          <t>King</t>
        </is>
      </c>
      <c r="F18" s="32" t="inlineStr">
        <is>
          <t>Black</t>
        </is>
      </c>
      <c r="G18" s="33" t="n"/>
      <c r="H18" s="32" t="n"/>
      <c r="I18" s="61" t="n">
        <v>49.95</v>
      </c>
      <c r="J18" s="62" t="inlineStr">
        <is>
          <t>2026-03-30</t>
        </is>
      </c>
      <c r="K18" s="33" t="n">
        <v>21.37</v>
      </c>
      <c r="L18" s="63" t="n">
        <v>0.4278278278278277</v>
      </c>
      <c r="M18" s="64" t="n">
        <v>3</v>
      </c>
      <c r="N18" s="32" t="inlineStr">
        <is>
          <t>Active</t>
        </is>
      </c>
      <c r="O18" s="32" t="n"/>
      <c r="P18" s="65" t="n"/>
      <c r="Q18" s="64" t="n"/>
      <c r="R18" s="64" t="n"/>
      <c r="S18" s="64" t="n"/>
      <c r="T18" s="32" t="n"/>
    </row>
    <row r="19" ht="62" customHeight="1">
      <c r="A19" s="10">
        <f>_xlfn.IMAGE("https://m.media-amazon.com/images/I/81BW8ryqp0L.jpg")</f>
        <v/>
      </c>
      <c r="B19" s="32" t="inlineStr">
        <is>
          <t>B0DDQZ6VT4</t>
        </is>
      </c>
      <c r="C19" s="32" t="inlineStr">
        <is>
          <t>SS-SATIN-WHITE-KING-4PCS</t>
        </is>
      </c>
      <c r="D19" s="32" t="inlineStr">
        <is>
          <t>Sleep Sanctuary Satin Sheets King Size – 4 Piece Luxury Silky Bed Set, Softer Than Silk, 15" Deep Pocket, Cooling &amp; Wrinkle-Free, Moisture-Wicking &amp; Breathable for Hair &amp; Skin (White)</t>
        </is>
      </c>
      <c r="E19" s="32" t="inlineStr">
        <is>
          <t>King</t>
        </is>
      </c>
      <c r="F19" s="32" t="inlineStr">
        <is>
          <t>White</t>
        </is>
      </c>
      <c r="G19" s="33" t="n"/>
      <c r="H19" s="32" t="n"/>
      <c r="I19" s="61" t="n">
        <v>49.95</v>
      </c>
      <c r="J19" s="62" t="inlineStr">
        <is>
          <t>2026-03-30</t>
        </is>
      </c>
      <c r="K19" s="33" t="n">
        <v>21.21</v>
      </c>
      <c r="L19" s="63" t="n">
        <v>0.4246246246246246</v>
      </c>
      <c r="M19" s="64" t="n">
        <v>3</v>
      </c>
      <c r="N19" s="32" t="inlineStr">
        <is>
          <t>Active</t>
        </is>
      </c>
      <c r="O19" s="32" t="n"/>
      <c r="P19" s="65" t="n"/>
      <c r="Q19" s="64" t="n"/>
      <c r="R19" s="64" t="n"/>
      <c r="S19" s="64" t="n"/>
      <c r="T19" s="32" t="n"/>
    </row>
    <row r="20" ht="62" customHeight="1">
      <c r="A20" s="10">
        <f>_xlfn.IMAGE("https://m.media-amazon.com/images/I/81qEq06R1GL.jpg")</f>
        <v/>
      </c>
      <c r="B20" s="32" t="inlineStr">
        <is>
          <t>B0DDR6MK7V</t>
        </is>
      </c>
      <c r="C20" s="32" t="inlineStr">
        <is>
          <t>SS-SATIN-BABY-BLUE-KING-4PCS</t>
        </is>
      </c>
      <c r="D20" s="32" t="inlineStr">
        <is>
          <t>Sleep Sanctuary Satin Sheets King Size – 4 Piece Luxury Silky Bed Set, Softer Than Silk, 15" Deep Pocket, Cooling &amp; Wrinkle-Free, Moisture-Wicking &amp; Breathable for Hair &amp; Skin (Baby Blue)</t>
        </is>
      </c>
      <c r="E20" s="32" t="inlineStr">
        <is>
          <t>King</t>
        </is>
      </c>
      <c r="F20" s="32" t="inlineStr">
        <is>
          <t>Baby Blue</t>
        </is>
      </c>
      <c r="G20" s="33" t="n"/>
      <c r="H20" s="32" t="n"/>
      <c r="I20" s="61" t="n">
        <v>49.95</v>
      </c>
      <c r="J20" s="62" t="inlineStr">
        <is>
          <t>2026-03-30</t>
        </is>
      </c>
      <c r="K20" s="33" t="n">
        <v>21.12</v>
      </c>
      <c r="L20" s="63" t="n">
        <v>0.4228228228228227</v>
      </c>
      <c r="M20" s="64" t="n">
        <v>2</v>
      </c>
      <c r="N20" s="32" t="inlineStr">
        <is>
          <t>Active</t>
        </is>
      </c>
      <c r="O20" s="32" t="n"/>
      <c r="P20" s="65" t="n"/>
      <c r="Q20" s="64" t="n"/>
      <c r="R20" s="64" t="n"/>
      <c r="S20" s="64" t="n"/>
      <c r="T20" s="32" t="n"/>
    </row>
    <row r="21" ht="62" customHeight="1">
      <c r="A21" s="10">
        <f>_xlfn.IMAGE("https://m.media-amazon.com/images/I/817pb6oL4YL.jpg")</f>
        <v/>
      </c>
      <c r="B21" s="32" t="inlineStr">
        <is>
          <t>B0DDRB7NTZ</t>
        </is>
      </c>
      <c r="C21" s="32" t="inlineStr">
        <is>
          <t>SS-SATIN-CHAMPAGNE-KING-4PCS</t>
        </is>
      </c>
      <c r="D21" s="32" t="inlineStr">
        <is>
          <t>Sleep Sanctuary Satin Sheets King Size – 4 Piece Luxury Silky Bed Set, Softer Than Silk, 15" Deep Pocket, Cooling &amp; Wrinkle-Free, Moisture-Wicking &amp; Breathable for Hair &amp; Skin (Champagne)</t>
        </is>
      </c>
      <c r="E21" s="32" t="inlineStr">
        <is>
          <t>King</t>
        </is>
      </c>
      <c r="F21" s="32" t="inlineStr">
        <is>
          <t>Champagne</t>
        </is>
      </c>
      <c r="G21" s="33" t="n"/>
      <c r="H21" s="32" t="n"/>
      <c r="I21" s="61" t="n">
        <v>49.95</v>
      </c>
      <c r="J21" s="62" t="inlineStr">
        <is>
          <t>2026-03-30</t>
        </is>
      </c>
      <c r="K21" s="33" t="n">
        <v>20.79</v>
      </c>
      <c r="L21" s="63" t="n">
        <v>0.4162162162162162</v>
      </c>
      <c r="M21" s="64" t="n">
        <v>2</v>
      </c>
      <c r="N21" s="32" t="inlineStr">
        <is>
          <t>Active</t>
        </is>
      </c>
      <c r="O21" s="32" t="n"/>
      <c r="P21" s="65" t="n"/>
      <c r="Q21" s="64" t="n"/>
      <c r="R21" s="64" t="n"/>
      <c r="S21" s="64" t="n"/>
      <c r="T21" s="32" t="n"/>
    </row>
    <row r="22" ht="62" customHeight="1">
      <c r="A22" s="10">
        <f>_xlfn.IMAGE("https://m.media-amazon.com/images/I/81UEky8B2XL.jpg")</f>
        <v/>
      </c>
      <c r="B22" s="32" t="inlineStr">
        <is>
          <t>B0DDQXM4RF</t>
        </is>
      </c>
      <c r="C22" s="32" t="inlineStr">
        <is>
          <t>SS-SATIN-GREY-KING-4PCS</t>
        </is>
      </c>
      <c r="D22" s="32" t="inlineStr">
        <is>
          <t>Sleep Sanctuary Satin Sheets King Size – 4 Piece Luxury Silky Bed Set, Softer Than Silk, 15" Deep Pocket, Cooling &amp; Wrinkle-Free, Moisture-Wicking &amp; Breathable for Hair &amp; Skin (Grey)</t>
        </is>
      </c>
      <c r="E22" s="32" t="inlineStr">
        <is>
          <t>King</t>
        </is>
      </c>
      <c r="F22" s="32" t="inlineStr">
        <is>
          <t>Grey</t>
        </is>
      </c>
      <c r="G22" s="33" t="n"/>
      <c r="H22" s="32" t="n"/>
      <c r="I22" s="61" t="n">
        <v>49.95</v>
      </c>
      <c r="J22" s="62" t="inlineStr">
        <is>
          <t>2026-03-30</t>
        </is>
      </c>
      <c r="K22" s="33" t="n">
        <v>21.21</v>
      </c>
      <c r="L22" s="63" t="n">
        <v>0.4246246246246246</v>
      </c>
      <c r="M22" s="64" t="n">
        <v>2</v>
      </c>
      <c r="N22" s="32" t="inlineStr">
        <is>
          <t>Active</t>
        </is>
      </c>
      <c r="O22" s="32" t="n"/>
      <c r="P22" s="65" t="n"/>
      <c r="Q22" s="64" t="n"/>
      <c r="R22" s="64" t="n"/>
      <c r="S22" s="64" t="n"/>
      <c r="T22" s="32" t="n"/>
    </row>
    <row r="23" ht="62" customHeight="1">
      <c r="A23" s="10">
        <f>_xlfn.IMAGE("https://m.media-amazon.com/images/I/81GoZ+gTjbL.jpg")</f>
        <v/>
      </c>
      <c r="B23" s="32" t="inlineStr">
        <is>
          <t>B0DDR5K4JT</t>
        </is>
      </c>
      <c r="C23" s="32" t="inlineStr">
        <is>
          <t>SS-SATIN-NAVY-BLUE-KING-4PCS</t>
        </is>
      </c>
      <c r="D23" s="32" t="inlineStr">
        <is>
          <t>Sleep Sanctuary Satin Sheets King Size – 4 Piece Luxury Silky Bed Set, Softer Than Silk, 15" Deep Pocket, Cooling &amp; Wrinkle-Free, Moisture-Wicking &amp; Breathable for Hair &amp; Skin (Navy Blue)</t>
        </is>
      </c>
      <c r="E23" s="32" t="inlineStr">
        <is>
          <t>King</t>
        </is>
      </c>
      <c r="F23" s="32" t="inlineStr">
        <is>
          <t>Navy Blue</t>
        </is>
      </c>
      <c r="G23" s="33" t="n"/>
      <c r="H23" s="32" t="n"/>
      <c r="I23" s="61" t="n">
        <v>49.95</v>
      </c>
      <c r="J23" s="62" t="inlineStr">
        <is>
          <t>2026-03-30</t>
        </is>
      </c>
      <c r="K23" s="33" t="n">
        <v>20.89</v>
      </c>
      <c r="L23" s="63" t="n">
        <v>0.4182182182182182</v>
      </c>
      <c r="M23" s="64" t="n">
        <v>2</v>
      </c>
      <c r="N23" s="32" t="inlineStr">
        <is>
          <t>Active</t>
        </is>
      </c>
      <c r="O23" s="32" t="n"/>
      <c r="P23" s="65" t="n"/>
      <c r="Q23" s="64" t="n"/>
      <c r="R23" s="64" t="n"/>
      <c r="S23" s="64" t="n"/>
      <c r="T23" s="32" t="n"/>
    </row>
    <row r="24" ht="62" customHeight="1">
      <c r="A24" s="10">
        <f>_xlfn.IMAGE("https://m.media-amazon.com/images/I/81nw4rg0gcL.jpg")</f>
        <v/>
      </c>
      <c r="B24" s="32" t="inlineStr">
        <is>
          <t>B0DDRCQZ7G</t>
        </is>
      </c>
      <c r="C24" s="32" t="inlineStr">
        <is>
          <t>SS-SATIN-PURPLE-KING-4PCS</t>
        </is>
      </c>
      <c r="D24" s="32" t="inlineStr">
        <is>
          <t>Sleep Sanctuary Satin Sheets King Size – 4 Piece Luxury Silky Bed Set, Softer Than Silk, 15" Deep Pocket, Cooling &amp; Wrinkle-Free, Moisture-Wicking &amp; Breathable for Hair &amp; Skin (Purple)</t>
        </is>
      </c>
      <c r="E24" s="32" t="inlineStr">
        <is>
          <t>King</t>
        </is>
      </c>
      <c r="F24" s="32" t="inlineStr">
        <is>
          <t>Purple</t>
        </is>
      </c>
      <c r="G24" s="33" t="n"/>
      <c r="H24" s="32" t="n"/>
      <c r="I24" s="61" t="n">
        <v>49.95</v>
      </c>
      <c r="J24" s="62" t="inlineStr">
        <is>
          <t>2026-03-30</t>
        </is>
      </c>
      <c r="K24" s="33" t="n">
        <v>20.98</v>
      </c>
      <c r="L24" s="63" t="n">
        <v>0.42002002002002</v>
      </c>
      <c r="M24" s="64" t="n">
        <v>2</v>
      </c>
      <c r="N24" s="32" t="inlineStr">
        <is>
          <t>Active</t>
        </is>
      </c>
      <c r="O24" s="32" t="n"/>
      <c r="P24" s="65" t="n"/>
      <c r="Q24" s="64" t="n"/>
      <c r="R24" s="64" t="n"/>
      <c r="S24" s="64" t="n"/>
      <c r="T24" s="32" t="n"/>
    </row>
    <row r="25" ht="62" customHeight="1">
      <c r="A25" s="10">
        <f>_xlfn.IMAGE("https://m.media-amazon.com/images/I/81T7uFbjFiL.jpg")</f>
        <v/>
      </c>
      <c r="B25" s="32" t="inlineStr">
        <is>
          <t>B0DDRL7H2W</t>
        </is>
      </c>
      <c r="C25" s="32" t="inlineStr">
        <is>
          <t>SS-SATIN-SEA-TEAL-KING-4PCS</t>
        </is>
      </c>
      <c r="D25" s="32" t="inlineStr">
        <is>
          <t>Sleep Sanctuary Satin Sheets King Size – 4 Piece Luxury Silky Bed Set, Softer Than Silk, 15" Deep Pocket, Cooling &amp; Wrinkle-Free, Moisture-Wicking &amp; Breathable for Hair &amp; Skin (Sea Teal)</t>
        </is>
      </c>
      <c r="E25" s="32" t="inlineStr">
        <is>
          <t>King</t>
        </is>
      </c>
      <c r="F25" s="32" t="inlineStr">
        <is>
          <t>Sea Teal</t>
        </is>
      </c>
      <c r="G25" s="33" t="n"/>
      <c r="H25" s="32" t="n"/>
      <c r="I25" s="61" t="n">
        <v>49.95</v>
      </c>
      <c r="J25" s="62" t="inlineStr">
        <is>
          <t>2026-03-30</t>
        </is>
      </c>
      <c r="K25" s="33" t="n">
        <v>20.79</v>
      </c>
      <c r="L25" s="63" t="n">
        <v>0.4162162162162162</v>
      </c>
      <c r="M25" s="64" t="n">
        <v>2</v>
      </c>
      <c r="N25" s="32" t="inlineStr">
        <is>
          <t>Active</t>
        </is>
      </c>
      <c r="O25" s="32" t="n"/>
      <c r="P25" s="65" t="n"/>
      <c r="Q25" s="64" t="n"/>
      <c r="R25" s="64" t="n"/>
      <c r="S25" s="64" t="n"/>
      <c r="T25" s="32" t="n"/>
    </row>
    <row r="26" ht="62" customHeight="1">
      <c r="A26" s="10">
        <f>_xlfn.IMAGE("https://m.media-amazon.com/images/I/816QTAjFcGL.jpg")</f>
        <v/>
      </c>
      <c r="B26" s="32" t="inlineStr">
        <is>
          <t>B0DDR1ZPRZ</t>
        </is>
      </c>
      <c r="C26" s="32" t="inlineStr">
        <is>
          <t>SS-SATIN-STONE-GREY-KING-4PCS</t>
        </is>
      </c>
      <c r="D26" s="32" t="inlineStr">
        <is>
          <t>Sleep Sanctuary Satin Sheets King Size – 4 Piece Luxury Silky Bed Set, Softer Than Silk, 15" Deep Pocket, Cooling &amp; Wrinkle-Free, Moisture-Wicking &amp; Breathable for Hair &amp; Skin (Stone Grey)</t>
        </is>
      </c>
      <c r="E26" s="32" t="inlineStr">
        <is>
          <t>King</t>
        </is>
      </c>
      <c r="F26" s="32" t="inlineStr">
        <is>
          <t>Stone Grey</t>
        </is>
      </c>
      <c r="G26" s="33" t="n"/>
      <c r="H26" s="32" t="n"/>
      <c r="I26" s="61" t="n">
        <v>49.95</v>
      </c>
      <c r="J26" s="62" t="inlineStr">
        <is>
          <t>2026-03-30</t>
        </is>
      </c>
      <c r="K26" s="33" t="n">
        <v>20.79</v>
      </c>
      <c r="L26" s="63" t="n">
        <v>0.4162162162162162</v>
      </c>
      <c r="M26" s="64" t="n">
        <v>2</v>
      </c>
      <c r="N26" s="32" t="inlineStr">
        <is>
          <t>Active</t>
        </is>
      </c>
      <c r="O26" s="32" t="n"/>
      <c r="P26" s="65" t="n"/>
      <c r="Q26" s="64" t="n"/>
      <c r="R26" s="64" t="n"/>
      <c r="S26" s="64" t="n"/>
      <c r="T26" s="32" t="n"/>
    </row>
    <row r="27" ht="62" customHeight="1">
      <c r="A27" s="10">
        <f>_xlfn.IMAGE("https://m.media-amazon.com/images/I/816QTAjFcGL.jpg")</f>
        <v/>
      </c>
      <c r="B27" s="32" t="inlineStr">
        <is>
          <t>B0DDQX4176</t>
        </is>
      </c>
      <c r="C27" s="32" t="inlineStr">
        <is>
          <t>SS-SATIN-STONE-GREY-QUEEN-4PCS</t>
        </is>
      </c>
      <c r="D27" s="32" t="inlineStr">
        <is>
          <t>Sleep Sanctuary Satin Sheets Queen Size – 4 Piece Luxury Silky Bed Set, Softer Than Silk, 15" Deep Pocket, Cooling &amp; Wrinkle-Free, Moisture-Wicking &amp; Breathable for Hair &amp; Skin (Stone Grey)</t>
        </is>
      </c>
      <c r="E27" s="32" t="inlineStr">
        <is>
          <t>Queen</t>
        </is>
      </c>
      <c r="F27" s="32" t="inlineStr">
        <is>
          <t>Stone Grey</t>
        </is>
      </c>
      <c r="G27" s="33" t="n"/>
      <c r="H27" s="32" t="n"/>
      <c r="I27" s="61" t="n">
        <v>46.95</v>
      </c>
      <c r="J27" s="62" t="inlineStr">
        <is>
          <t>2026-03-30</t>
        </is>
      </c>
      <c r="K27" s="33" t="n">
        <v>19.49</v>
      </c>
      <c r="L27" s="63" t="n">
        <v>0.415122470713525</v>
      </c>
      <c r="M27" s="64" t="n">
        <v>2</v>
      </c>
      <c r="N27" s="32" t="inlineStr">
        <is>
          <t>Active</t>
        </is>
      </c>
      <c r="O27" s="32" t="n"/>
      <c r="P27" s="65" t="n"/>
      <c r="Q27" s="64" t="n"/>
      <c r="R27" s="64" t="n"/>
      <c r="S27" s="64" t="n"/>
      <c r="T27" s="32" t="n"/>
    </row>
    <row r="28" ht="62" customHeight="1">
      <c r="A28" s="10">
        <f>_xlfn.IMAGE("https://m.media-amazon.com/images/I/81UIBGaUe6L.jpg")</f>
        <v/>
      </c>
      <c r="B28" s="32" t="inlineStr">
        <is>
          <t>B0DDR28N8X</t>
        </is>
      </c>
      <c r="C28" s="32" t="inlineStr">
        <is>
          <t>SS-SATIN-BLUE-FULL-4PCS</t>
        </is>
      </c>
      <c r="D28" s="32" t="inlineStr">
        <is>
          <t>Sleep Sanctuary Satin Sheets Full Size – 4 Piece Luxury Silky Bed Set, Softer Than Silk, 15" Deep Pocket, Cooling &amp; Wrinkle-Free, Moisture-Wicking &amp; Breathable for Hair &amp; Skin (Blue)</t>
        </is>
      </c>
      <c r="E28" s="32" t="inlineStr">
        <is>
          <t>Full</t>
        </is>
      </c>
      <c r="F28" s="32" t="inlineStr">
        <is>
          <t>Blue</t>
        </is>
      </c>
      <c r="G28" s="33" t="n"/>
      <c r="H28" s="32" t="n"/>
      <c r="I28" s="61" t="n">
        <v>54.82</v>
      </c>
      <c r="J28" s="62" t="inlineStr">
        <is>
          <t>2026-03-30</t>
        </is>
      </c>
      <c r="K28" s="33" t="n">
        <v>21.33000000000001</v>
      </c>
      <c r="L28" s="63" t="n">
        <v>0.3890915724188254</v>
      </c>
      <c r="M28" s="64" t="n">
        <v>1</v>
      </c>
      <c r="N28" s="32" t="inlineStr">
        <is>
          <t>Active</t>
        </is>
      </c>
      <c r="O28" s="32" t="n"/>
      <c r="P28" s="65" t="n"/>
      <c r="Q28" s="64" t="n"/>
      <c r="R28" s="64" t="n"/>
      <c r="S28" s="64" t="n"/>
      <c r="T28" s="32" t="n"/>
    </row>
    <row r="29" ht="62" customHeight="1">
      <c r="A29" s="10">
        <f>_xlfn.IMAGE("https://m.media-amazon.com/images/I/81UIBGaUe6L.jpg")</f>
        <v/>
      </c>
      <c r="B29" s="32" t="inlineStr">
        <is>
          <t>B0DDRBX7CN</t>
        </is>
      </c>
      <c r="C29" s="32" t="inlineStr">
        <is>
          <t>SS-SATIN-BLUE-KING-4PCS</t>
        </is>
      </c>
      <c r="D29" s="32" t="inlineStr">
        <is>
          <t>Sleep Sanctuary Satin Sheets King Size – 4 Piece Luxury Silky Bed Set, Softer Than Silk, 15" Deep Pocket, Cooling &amp; Wrinkle-Free, Moisture-Wicking &amp; Breathable for Hair &amp; Skin (Blue)</t>
        </is>
      </c>
      <c r="E29" s="32" t="inlineStr">
        <is>
          <t>King</t>
        </is>
      </c>
      <c r="F29" s="32" t="inlineStr">
        <is>
          <t>Blue</t>
        </is>
      </c>
      <c r="G29" s="33" t="n"/>
      <c r="H29" s="32" t="n"/>
      <c r="I29" s="61" t="n">
        <v>49.95</v>
      </c>
      <c r="J29" s="62" t="inlineStr">
        <is>
          <t>2026-03-30</t>
        </is>
      </c>
      <c r="K29" s="33" t="n">
        <v>20.88</v>
      </c>
      <c r="L29" s="63" t="n">
        <v>0.418018018018018</v>
      </c>
      <c r="M29" s="64" t="n">
        <v>1</v>
      </c>
      <c r="N29" s="32" t="inlineStr">
        <is>
          <t>Active</t>
        </is>
      </c>
      <c r="O29" s="32" t="n"/>
      <c r="P29" s="65" t="n"/>
      <c r="Q29" s="64" t="n"/>
      <c r="R29" s="64" t="n"/>
      <c r="S29" s="64" t="n"/>
      <c r="T29" s="32" t="n"/>
    </row>
    <row r="30" ht="62" customHeight="1">
      <c r="A30" s="10">
        <f>_xlfn.IMAGE("https://m.media-amazon.com/images/I/81aclCTpoYL.jpg")</f>
        <v/>
      </c>
      <c r="B30" s="32" t="inlineStr">
        <is>
          <t>B0DDR6921L</t>
        </is>
      </c>
      <c r="C30" s="32" t="inlineStr">
        <is>
          <t>SS-SATIN-DARK-GREEN-KING-4PCS</t>
        </is>
      </c>
      <c r="D30" s="32" t="inlineStr">
        <is>
          <t>Sleep Sanctuary Satin Sheets King Size – 4 Piece Luxury Silky Bed Set, Softer Than Silk, 15" Deep Pocket, Cooling &amp; Wrinkle-Free, Moisture-Wicking &amp; Breathable for Hair &amp; Skin (Dark Green)</t>
        </is>
      </c>
      <c r="E30" s="32" t="inlineStr">
        <is>
          <t>King</t>
        </is>
      </c>
      <c r="F30" s="32" t="inlineStr">
        <is>
          <t>Dark Green</t>
        </is>
      </c>
      <c r="G30" s="33" t="n"/>
      <c r="H30" s="32" t="n"/>
      <c r="I30" s="61" t="n">
        <v>49.95</v>
      </c>
      <c r="J30" s="62" t="inlineStr">
        <is>
          <t>2026-03-30</t>
        </is>
      </c>
      <c r="K30" s="33" t="n">
        <v>20.79</v>
      </c>
      <c r="L30" s="63" t="n">
        <v>0.4162162162162162</v>
      </c>
      <c r="M30" s="64" t="n">
        <v>1</v>
      </c>
      <c r="N30" s="32" t="inlineStr">
        <is>
          <t>Active</t>
        </is>
      </c>
      <c r="O30" s="32" t="n"/>
      <c r="P30" s="65" t="n"/>
      <c r="Q30" s="64" t="n"/>
      <c r="R30" s="64" t="n"/>
      <c r="S30" s="64" t="n"/>
      <c r="T30" s="32" t="n"/>
    </row>
    <row r="31" ht="62" customHeight="1">
      <c r="A31" s="10">
        <f>_xlfn.IMAGE("https://m.media-amazon.com/images/I/81umFKx0vnL.jpg")</f>
        <v/>
      </c>
      <c r="B31" s="32" t="inlineStr">
        <is>
          <t>B0DDR4D9HP</t>
        </is>
      </c>
      <c r="C31" s="32" t="inlineStr">
        <is>
          <t>SS-SATIN-STRIPED-WHITE-KING-4PCS</t>
        </is>
      </c>
      <c r="D31" s="32" t="inlineStr">
        <is>
          <t>SLEEP SANCTUARY Satin Sheets King Size – 4 Piece Luxury Silky Bed Set, Softer Than Silk, 15" Deep Pocket, Cooling &amp; Wrinkle-Free, Moisture-Wicking &amp; Breathable for Hair &amp; Skin (Striped White)</t>
        </is>
      </c>
      <c r="E31" s="32" t="inlineStr">
        <is>
          <t>King</t>
        </is>
      </c>
      <c r="F31" s="32" t="inlineStr">
        <is>
          <t>Striped White</t>
        </is>
      </c>
      <c r="G31" s="33" t="n"/>
      <c r="H31" s="32" t="n"/>
      <c r="I31" s="61" t="n">
        <v>61.07</v>
      </c>
      <c r="J31" s="62" t="inlineStr">
        <is>
          <t>2026-03-30</t>
        </is>
      </c>
      <c r="K31" s="33" t="n">
        <v>22.68</v>
      </c>
      <c r="L31" s="63" t="n">
        <v>0.37137710823645</v>
      </c>
      <c r="M31" s="64" t="n">
        <v>1</v>
      </c>
      <c r="N31" s="32" t="inlineStr">
        <is>
          <t>Inactive</t>
        </is>
      </c>
      <c r="O31" s="32" t="n"/>
      <c r="P31" s="65" t="n"/>
      <c r="Q31" s="64" t="n"/>
      <c r="R31" s="64" t="n"/>
      <c r="S31" s="64" t="n"/>
      <c r="T31" s="32" t="n"/>
    </row>
    <row r="32" ht="62" customHeight="1">
      <c r="A32" s="10">
        <f>_xlfn.IMAGE("https://m.media-amazon.com/images/I/81GoZ+gTjbL.jpg")</f>
        <v/>
      </c>
      <c r="B32" s="32" t="inlineStr">
        <is>
          <t>B0DDRH9RD7</t>
        </is>
      </c>
      <c r="C32" s="32" t="inlineStr">
        <is>
          <t>SS-SATIN-NAVY-BLUE-QUEEN-4PCS</t>
        </is>
      </c>
      <c r="D32" s="32" t="inlineStr">
        <is>
          <t>Sleep Sanctuary Satin Sheets Queen Size – 4 Piece Luxury Silky Bed Set, Softer Than Silk, 15" Deep Pocket, Cooling &amp; Wrinkle-Free, Moisture-Wicking &amp; Breathable for Hair &amp; Skin (Navy Blue)</t>
        </is>
      </c>
      <c r="E32" s="32" t="inlineStr">
        <is>
          <t>Queen</t>
        </is>
      </c>
      <c r="F32" s="32" t="inlineStr">
        <is>
          <t>Navy Blue</t>
        </is>
      </c>
      <c r="G32" s="33" t="n"/>
      <c r="H32" s="32" t="n"/>
      <c r="I32" s="61" t="n">
        <v>46.95</v>
      </c>
      <c r="J32" s="62" t="inlineStr">
        <is>
          <t>2026-03-30</t>
        </is>
      </c>
      <c r="K32" s="33" t="n">
        <v>20.31000000000001</v>
      </c>
      <c r="L32" s="63" t="n">
        <v>0.4325878594249202</v>
      </c>
      <c r="M32" s="64" t="n">
        <v>1</v>
      </c>
      <c r="N32" s="32" t="inlineStr">
        <is>
          <t>Active</t>
        </is>
      </c>
      <c r="O32" s="32" t="n"/>
      <c r="P32" s="65" t="n"/>
      <c r="Q32" s="64" t="n"/>
      <c r="R32" s="64" t="n"/>
      <c r="S32" s="64" t="n"/>
      <c r="T32" s="32" t="n"/>
    </row>
    <row r="33" ht="62" customHeight="1">
      <c r="A33" s="10">
        <f>_xlfn.IMAGE("https://m.media-amazon.com/images/I/811f9U2X++L.jpg")</f>
        <v/>
      </c>
      <c r="B33" s="32" t="inlineStr">
        <is>
          <t>B0DDRBTG9J</t>
        </is>
      </c>
      <c r="C33" s="32" t="inlineStr">
        <is>
          <t>SS-SATIN-PINK-QUEEN-4PCS</t>
        </is>
      </c>
      <c r="D33" s="32" t="inlineStr">
        <is>
          <t>Sleep Sanctuary Satin Sheets Queen Size – 4 Piece Luxury Silky Bed Set, Softer Than Silk, 15" Deep Pocket, Cooling &amp; Wrinkle-Free, Moisture-Wicking &amp; Breathable for Hair &amp; Skin (Pink)</t>
        </is>
      </c>
      <c r="E33" s="32" t="inlineStr">
        <is>
          <t>Queen</t>
        </is>
      </c>
      <c r="F33" s="32" t="inlineStr">
        <is>
          <t>Pink</t>
        </is>
      </c>
      <c r="G33" s="33" t="n"/>
      <c r="H33" s="32" t="n"/>
      <c r="I33" s="61" t="n">
        <v>46.95</v>
      </c>
      <c r="J33" s="62" t="inlineStr">
        <is>
          <t>2026-03-30</t>
        </is>
      </c>
      <c r="K33" s="33" t="n">
        <v>20.21000000000001</v>
      </c>
      <c r="L33" s="63" t="n">
        <v>0.4304579339723111</v>
      </c>
      <c r="M33" s="64" t="n">
        <v>1</v>
      </c>
      <c r="N33" s="32" t="inlineStr">
        <is>
          <t>Active</t>
        </is>
      </c>
      <c r="O33" s="32" t="n"/>
      <c r="P33" s="65" t="n"/>
      <c r="Q33" s="64" t="n"/>
      <c r="R33" s="64" t="n"/>
      <c r="S33" s="64" t="n"/>
      <c r="T33" s="32" t="n"/>
    </row>
    <row r="34" ht="62" customHeight="1">
      <c r="A34" s="10">
        <f>_xlfn.IMAGE("https://m.media-amazon.com/images/I/81nw4rg0gcL.jpg")</f>
        <v/>
      </c>
      <c r="B34" s="32" t="inlineStr">
        <is>
          <t>B0DDR4FVH1</t>
        </is>
      </c>
      <c r="C34" s="32" t="inlineStr">
        <is>
          <t>SS-SATIN-PURPLE-QUEEN-4PCS</t>
        </is>
      </c>
      <c r="D34" s="32" t="inlineStr">
        <is>
          <t>Sleep Sanctuary Satin Sheets Queen Size – 4 Piece Luxury Silky Bed Set, Softer Than Silk, 15" Deep Pocket, Cooling &amp; Wrinkle-Free, Moisture-Wicking &amp; Breathable for Hair &amp; Skin (Purple)</t>
        </is>
      </c>
      <c r="E34" s="32" t="inlineStr">
        <is>
          <t>Queen</t>
        </is>
      </c>
      <c r="F34" s="32" t="inlineStr">
        <is>
          <t>Purple</t>
        </is>
      </c>
      <c r="G34" s="33" t="n"/>
      <c r="H34" s="32" t="n"/>
      <c r="I34" s="61" t="n">
        <v>46.95</v>
      </c>
      <c r="J34" s="62" t="inlineStr">
        <is>
          <t>2026-03-30</t>
        </is>
      </c>
      <c r="K34" s="33" t="n">
        <v>20.31000000000001</v>
      </c>
      <c r="L34" s="63" t="n">
        <v>0.4325878594249202</v>
      </c>
      <c r="M34" s="64" t="n">
        <v>1</v>
      </c>
      <c r="N34" s="32" t="inlineStr">
        <is>
          <t>Active</t>
        </is>
      </c>
      <c r="O34" s="32" t="n"/>
      <c r="P34" s="65" t="n"/>
      <c r="Q34" s="64" t="n"/>
      <c r="R34" s="64" t="n"/>
      <c r="S34" s="64" t="n"/>
      <c r="T34" s="32" t="n"/>
    </row>
    <row r="35" ht="62" customHeight="1">
      <c r="A35" s="10">
        <f>_xlfn.IMAGE("https://m.media-amazon.com/images/I/81kpdyyPYWL.jpg")</f>
        <v/>
      </c>
      <c r="B35" s="32" t="inlineStr">
        <is>
          <t>B0DDR3SX2D</t>
        </is>
      </c>
      <c r="C35" s="32" t="inlineStr">
        <is>
          <t>SS-SATIN-LAVENDER-TWIN-3PCS</t>
        </is>
      </c>
      <c r="D35" s="32" t="inlineStr">
        <is>
          <t>Sleep Sanctuary Satin Sheets Twin Size – 3 Piece Luxury Silky Bed Set, Softer Than Silk, 15" Deep Pocket, Cooling &amp; Wrinkle-Free, Moisture-Wicking &amp; Breathable for Hair &amp; Skin (Lavender)</t>
        </is>
      </c>
      <c r="E35" s="32" t="inlineStr">
        <is>
          <t>Twin</t>
        </is>
      </c>
      <c r="F35" s="32" t="inlineStr">
        <is>
          <t>Lavender</t>
        </is>
      </c>
      <c r="G35" s="33" t="n"/>
      <c r="H35" s="32" t="n"/>
      <c r="I35" s="61" t="n">
        <v>41.95</v>
      </c>
      <c r="J35" s="62" t="inlineStr">
        <is>
          <t>2026-03-30</t>
        </is>
      </c>
      <c r="K35" s="33" t="n">
        <v>18.84</v>
      </c>
      <c r="L35" s="63" t="n">
        <v>0.4491060786650775</v>
      </c>
      <c r="M35" s="64" t="n">
        <v>1</v>
      </c>
      <c r="N35" s="32" t="inlineStr">
        <is>
          <t>Active</t>
        </is>
      </c>
      <c r="O35" s="32" t="n"/>
      <c r="P35" s="65" t="n"/>
      <c r="Q35" s="64" t="n"/>
      <c r="R35" s="64" t="n"/>
      <c r="S35" s="64" t="n"/>
      <c r="T35" s="32" t="n"/>
    </row>
    <row r="36" ht="62" customHeight="1">
      <c r="A36" s="10">
        <f>_xlfn.IMAGE("https://m.media-amazon.com/images/I/81f-0l1G1jL.jpg")</f>
        <v/>
      </c>
      <c r="B36" s="32" t="inlineStr">
        <is>
          <t>B0DDR95C35</t>
        </is>
      </c>
      <c r="C36" s="32" t="inlineStr">
        <is>
          <t>SS-SATIN-NAVY-BLUE-TWIN-3PCS</t>
        </is>
      </c>
      <c r="D36" s="32" t="inlineStr">
        <is>
          <t>Sleep Sanctuary Satin Sheets Twin Size – 3 Piece Luxury Silky Bed Set, Softer Than Silk, 15" Deep Pocket, Cooling &amp; Wrinkle-Free, Moisture-Wicking &amp; Breathable for Hair &amp; Skin (Navy Blue)</t>
        </is>
      </c>
      <c r="E36" s="32" t="inlineStr">
        <is>
          <t>Twin</t>
        </is>
      </c>
      <c r="F36" s="32" t="inlineStr">
        <is>
          <t>Navy Blue</t>
        </is>
      </c>
      <c r="G36" s="33" t="n"/>
      <c r="H36" s="32" t="n"/>
      <c r="I36" s="61" t="n">
        <v>41.95</v>
      </c>
      <c r="J36" s="62" t="inlineStr">
        <is>
          <t>2026-03-30</t>
        </is>
      </c>
      <c r="K36" s="33" t="n">
        <v>18.13</v>
      </c>
      <c r="L36" s="63" t="n">
        <v>0.432181168057211</v>
      </c>
      <c r="M36" s="64" t="n">
        <v>1</v>
      </c>
      <c r="N36" s="32" t="inlineStr">
        <is>
          <t>Active</t>
        </is>
      </c>
      <c r="O36" s="32" t="n"/>
      <c r="P36" s="65" t="n"/>
      <c r="Q36" s="64" t="n"/>
      <c r="R36" s="64" t="n"/>
      <c r="S36" s="64" t="n"/>
      <c r="T36" s="32" t="n"/>
    </row>
    <row r="37" ht="62" customHeight="1">
      <c r="A37" s="10">
        <f>_xlfn.IMAGE("https://m.media-amazon.com/images/I/81qEq06R1GL.jpg")</f>
        <v/>
      </c>
      <c r="B37" s="32" t="inlineStr">
        <is>
          <t>B0DDR4HJCS</t>
        </is>
      </c>
      <c r="C37" s="32" t="inlineStr">
        <is>
          <t>SS-SATIN-BABY-BLUE-FULL-4PCS</t>
        </is>
      </c>
      <c r="D37" s="32" t="inlineStr">
        <is>
          <t>Sleep Sanctuary Satin Sheets Full Size – 4 Piece Luxury Silky Bed Set, Softer Than Silk, 15" Deep Pocket, Cooling &amp; Wrinkle-Free, Moisture-Wicking &amp; Breathable for Hair &amp; Skin (Baby Blue)</t>
        </is>
      </c>
      <c r="E37" s="32" t="inlineStr">
        <is>
          <t>Full</t>
        </is>
      </c>
      <c r="F37" s="32" t="inlineStr">
        <is>
          <t>Baby Blue</t>
        </is>
      </c>
      <c r="G37" s="33" t="n"/>
      <c r="H37" s="32" t="n"/>
      <c r="I37" s="61" t="n">
        <v>44.95</v>
      </c>
      <c r="J37" s="62" t="inlineStr">
        <is>
          <t>2026-03-30</t>
        </is>
      </c>
      <c r="K37" s="33" t="n">
        <v>19.42</v>
      </c>
      <c r="L37" s="63" t="n">
        <v>0.432035595105673</v>
      </c>
      <c r="M37" s="64" t="n"/>
      <c r="N37" s="32" t="inlineStr">
        <is>
          <t>Active</t>
        </is>
      </c>
      <c r="O37" s="32" t="n"/>
      <c r="P37" s="65" t="n"/>
      <c r="Q37" s="64" t="n"/>
      <c r="R37" s="64" t="n"/>
      <c r="S37" s="64" t="n"/>
      <c r="T37" s="32" t="n"/>
    </row>
    <row r="38" ht="62" customHeight="1">
      <c r="A38" s="10">
        <f>_xlfn.IMAGE("https://m.media-amazon.com/images/I/81qEq06R1GL.jpg")</f>
        <v/>
      </c>
      <c r="B38" s="32" t="inlineStr">
        <is>
          <t>B0DDQX824T</t>
        </is>
      </c>
      <c r="C38" s="32" t="inlineStr">
        <is>
          <t>SS-SATIN-BLACK-FULL-4PCS</t>
        </is>
      </c>
      <c r="D38" s="32" t="inlineStr">
        <is>
          <t>SLEEP SANCTUARY Satin Sheets Full Size – 4 Piece Luxury Silky Bed Set, Softer Than Silk, 15" Deep Pocket, Cooling &amp; Wrinkle-Free, Moisture-Wicking &amp; Breathable for Hair &amp; Skin (Black)</t>
        </is>
      </c>
      <c r="E38" s="32" t="inlineStr">
        <is>
          <t>Full</t>
        </is>
      </c>
      <c r="F38" s="32" t="inlineStr">
        <is>
          <t>Black</t>
        </is>
      </c>
      <c r="G38" s="33" t="n"/>
      <c r="H38" s="32" t="n"/>
      <c r="I38" s="61" t="n">
        <v>44.95</v>
      </c>
      <c r="J38" s="62" t="inlineStr">
        <is>
          <t>2026-03-30</t>
        </is>
      </c>
      <c r="K38" s="33" t="n">
        <v>19.42</v>
      </c>
      <c r="L38" s="63" t="n">
        <v>0.432035595105673</v>
      </c>
      <c r="M38" s="64" t="n"/>
      <c r="N38" s="32" t="inlineStr">
        <is>
          <t>Inactive</t>
        </is>
      </c>
      <c r="O38" s="32" t="n"/>
      <c r="P38" s="65" t="n"/>
      <c r="Q38" s="64" t="n"/>
      <c r="R38" s="64" t="n"/>
      <c r="S38" s="64" t="n"/>
      <c r="T38" s="32" t="n"/>
    </row>
    <row r="39" ht="62" customHeight="1">
      <c r="A39" s="10">
        <f>_xlfn.IMAGE("https://m.media-amazon.com/images/I/81-8fCPCUcL.jpg")</f>
        <v/>
      </c>
      <c r="B39" s="32" t="inlineStr">
        <is>
          <t>B0DDR6TLF6</t>
        </is>
      </c>
      <c r="C39" s="32" t="inlineStr">
        <is>
          <t>SS-SATIN-BLUSH-PINK-FULL-4PCS</t>
        </is>
      </c>
      <c r="D39" s="32" t="inlineStr">
        <is>
          <t>Sleep Sanctuary Satin Sheets Full Size – 4 Piece Luxury Silky Bed Set, Softer Than Silk, 15" Deep Pocket, Cooling &amp; Wrinkle-Free, Moisture-Wicking &amp; Breathable for Hair &amp; Skin (Blush Pink)</t>
        </is>
      </c>
      <c r="E39" s="32" t="inlineStr">
        <is>
          <t>Full</t>
        </is>
      </c>
      <c r="F39" s="32" t="inlineStr">
        <is>
          <t>Blush Pink</t>
        </is>
      </c>
      <c r="G39" s="33" t="n"/>
      <c r="H39" s="32" t="n"/>
      <c r="I39" s="61" t="n">
        <v>55</v>
      </c>
      <c r="J39" s="62" t="inlineStr">
        <is>
          <t>2026-03-30</t>
        </is>
      </c>
      <c r="K39" s="33" t="n">
        <v>21.01</v>
      </c>
      <c r="L39" s="63" t="n">
        <v>0.382</v>
      </c>
      <c r="M39" s="64" t="n">
        <v>0</v>
      </c>
      <c r="N39" s="32" t="inlineStr">
        <is>
          <t>Active</t>
        </is>
      </c>
      <c r="O39" s="32" t="n"/>
      <c r="P39" s="65" t="n"/>
      <c r="Q39" s="64" t="n"/>
      <c r="R39" s="64" t="n"/>
      <c r="S39" s="64" t="n"/>
      <c r="T39" s="32" t="n"/>
    </row>
    <row r="40" ht="62" customHeight="1">
      <c r="A40" s="10">
        <f>_xlfn.IMAGE("https://m.media-amazon.com/images/I/81cPOSHJh1L.jpg")</f>
        <v/>
      </c>
      <c r="B40" s="32" t="inlineStr">
        <is>
          <t>B0DDQQ83Y4</t>
        </is>
      </c>
      <c r="C40" s="32" t="inlineStr">
        <is>
          <t>SS-SATIN-BURNT-ORANGE-FULL-4PCS</t>
        </is>
      </c>
      <c r="D40" s="32" t="inlineStr">
        <is>
          <t>Sleep Sanctuary Satin Sheets Full Size – 4 Piece Luxury Silky Bed Set, Softer Than Silk, 15" Deep Pocket, Cooling &amp; Wrinkle-Free, Moisture-Wicking &amp; Breathable for Hair &amp; Skin (Burnt Orange)</t>
        </is>
      </c>
      <c r="E40" s="32" t="inlineStr">
        <is>
          <t>Full</t>
        </is>
      </c>
      <c r="F40" s="32" t="inlineStr">
        <is>
          <t>Burnt Orange</t>
        </is>
      </c>
      <c r="G40" s="33" t="n"/>
      <c r="H40" s="32" t="n"/>
      <c r="I40" s="61" t="n">
        <v>44.95</v>
      </c>
      <c r="J40" s="62" t="inlineStr">
        <is>
          <t>2026-03-30</t>
        </is>
      </c>
      <c r="K40" s="33" t="n">
        <v>18.59</v>
      </c>
      <c r="L40" s="63" t="n">
        <v>0.4135706340378199</v>
      </c>
      <c r="M40" s="64" t="n"/>
      <c r="N40" s="32" t="inlineStr">
        <is>
          <t>Active</t>
        </is>
      </c>
      <c r="O40" s="32" t="n"/>
      <c r="P40" s="65" t="n"/>
      <c r="Q40" s="64" t="n"/>
      <c r="R40" s="64" t="n"/>
      <c r="S40" s="64" t="n"/>
      <c r="T40" s="32" t="n"/>
    </row>
    <row r="41" ht="62" customHeight="1">
      <c r="A41" s="10">
        <f>_xlfn.IMAGE("https://m.media-amazon.com/images/I/817pb6oL4YL.jpg")</f>
        <v/>
      </c>
      <c r="B41" s="32" t="inlineStr">
        <is>
          <t>B0DDR5CHW7</t>
        </is>
      </c>
      <c r="C41" s="32" t="inlineStr">
        <is>
          <t>SS-SATIN-CHAMPAGNE-FULL-4PCS</t>
        </is>
      </c>
      <c r="D41" s="32" t="inlineStr">
        <is>
          <t>Sleep Sanctuary Satin Sheets Full Size – 4 Piece Luxury Silky Bed Set, Softer Than Silk, 15" Deep Pocket, Cooling &amp; Wrinkle-Free, Moisture-Wicking &amp; Breathable for Hair &amp; Skin (Champagne)</t>
        </is>
      </c>
      <c r="E41" s="32" t="inlineStr">
        <is>
          <t>Full</t>
        </is>
      </c>
      <c r="F41" s="32" t="inlineStr">
        <is>
          <t>Champagne</t>
        </is>
      </c>
      <c r="G41" s="33" t="n"/>
      <c r="H41" s="32" t="n"/>
      <c r="I41" s="61" t="n">
        <v>54.99</v>
      </c>
      <c r="J41" s="62" t="inlineStr">
        <is>
          <t>2026-03-30</t>
        </is>
      </c>
      <c r="K41" s="33" t="n">
        <v>20.89</v>
      </c>
      <c r="L41" s="63" t="n">
        <v>0.3798872522276778</v>
      </c>
      <c r="M41" s="64" t="n">
        <v>0</v>
      </c>
      <c r="N41" s="32" t="inlineStr">
        <is>
          <t>Active</t>
        </is>
      </c>
      <c r="O41" s="32" t="n"/>
      <c r="P41" s="65" t="n"/>
      <c r="Q41" s="64" t="n"/>
      <c r="R41" s="64" t="n"/>
      <c r="S41" s="64" t="n"/>
      <c r="T41" s="32" t="n"/>
    </row>
    <row r="42" ht="62" customHeight="1">
      <c r="A42" s="10">
        <f>_xlfn.IMAGE("https://m.media-amazon.com/images/I/81aclCTpoYL.jpg")</f>
        <v/>
      </c>
      <c r="B42" s="32" t="inlineStr">
        <is>
          <t>B0DDRD3S48</t>
        </is>
      </c>
      <c r="C42" s="32" t="inlineStr">
        <is>
          <t>SS-SATIN-DARK-GREEN-FULL-4PCS</t>
        </is>
      </c>
      <c r="D42" s="32" t="inlineStr">
        <is>
          <t>Sleep Sanctuary Satin Sheets Full Size – 4 Piece Luxury Silky Bed Set, Softer Than Silk, 15" Deep Pocket, Cooling &amp; Wrinkle-Free, Moisture-Wicking &amp; Breathable for Hair &amp; Skin (Dark Green)</t>
        </is>
      </c>
      <c r="E42" s="32" t="inlineStr">
        <is>
          <t>Full</t>
        </is>
      </c>
      <c r="F42" s="32" t="inlineStr">
        <is>
          <t>Dark Green</t>
        </is>
      </c>
      <c r="G42" s="33" t="n"/>
      <c r="H42" s="32" t="n"/>
      <c r="I42" s="61" t="n">
        <v>55</v>
      </c>
      <c r="J42" s="62" t="inlineStr">
        <is>
          <t>2026-03-30</t>
        </is>
      </c>
      <c r="K42" s="33" t="n">
        <v>21.38</v>
      </c>
      <c r="L42" s="63" t="n">
        <v>0.3887272727272728</v>
      </c>
      <c r="M42" s="64" t="n">
        <v>0</v>
      </c>
      <c r="N42" s="32" t="inlineStr">
        <is>
          <t>Active</t>
        </is>
      </c>
      <c r="O42" s="32" t="n"/>
      <c r="P42" s="65" t="n"/>
      <c r="Q42" s="64" t="n"/>
      <c r="R42" s="64" t="n"/>
      <c r="S42" s="64" t="n"/>
      <c r="T42" s="32" t="n"/>
    </row>
    <row r="43" ht="62" customHeight="1">
      <c r="A43" s="10">
        <f>_xlfn.IMAGE("https://m.media-amazon.com/images/I/81AE8h7l4-L.jpg")</f>
        <v/>
      </c>
      <c r="B43" s="32" t="inlineStr">
        <is>
          <t>B0DDR6LYLX</t>
        </is>
      </c>
      <c r="C43" s="32" t="inlineStr">
        <is>
          <t>SS-SATIN-GOLD-FULL-4PCS</t>
        </is>
      </c>
      <c r="D43" s="32" t="inlineStr">
        <is>
          <t>Sleep Sanctuary Satin Sheets Full Size – 4 Piece Luxury Silky Bed Set, Softer Than Silk, 15" Deep Pocket, Cooling &amp; Wrinkle-Free, Moisture-Wicking &amp; Breathable for Hair &amp; Skin (Gold)</t>
        </is>
      </c>
      <c r="E43" s="32" t="inlineStr">
        <is>
          <t>Full</t>
        </is>
      </c>
      <c r="F43" s="32" t="inlineStr">
        <is>
          <t>Gold</t>
        </is>
      </c>
      <c r="G43" s="33" t="n"/>
      <c r="H43" s="32" t="n"/>
      <c r="I43" s="61" t="n">
        <v>55.12</v>
      </c>
      <c r="J43" s="62" t="inlineStr">
        <is>
          <t>2026-03-30</t>
        </is>
      </c>
      <c r="K43" s="33" t="n">
        <v>21.48</v>
      </c>
      <c r="L43" s="63" t="n">
        <v>0.3896952104499274</v>
      </c>
      <c r="M43" s="64" t="n"/>
      <c r="N43" s="32" t="inlineStr">
        <is>
          <t>Active</t>
        </is>
      </c>
      <c r="O43" s="32" t="n"/>
      <c r="P43" s="65" t="n"/>
      <c r="Q43" s="64" t="n"/>
      <c r="R43" s="64" t="n"/>
      <c r="S43" s="64" t="n"/>
      <c r="T43" s="32" t="n"/>
    </row>
    <row r="44" ht="62" customHeight="1">
      <c r="A44" s="10">
        <f>_xlfn.IMAGE("https://m.media-amazon.com/images/I/81UEky8B2XL.jpg")</f>
        <v/>
      </c>
      <c r="B44" s="32" t="inlineStr">
        <is>
          <t>B0DDQX793B</t>
        </is>
      </c>
      <c r="C44" s="32" t="inlineStr">
        <is>
          <t>SS-SATIN-GREY-FULL-4PCS</t>
        </is>
      </c>
      <c r="D44" s="32" t="inlineStr">
        <is>
          <t>Sleep Sanctuary Satin Sheets Full Size – 4 Piece Luxury Silky Bed Set, Softer Than Silk, 15" Deep Pocket, Cooling &amp; Wrinkle-Free, Moisture-Wicking &amp; Breathable for Hair &amp; Skin (Grey)</t>
        </is>
      </c>
      <c r="E44" s="32" t="inlineStr">
        <is>
          <t>Full</t>
        </is>
      </c>
      <c r="F44" s="32" t="inlineStr">
        <is>
          <t>Grey</t>
        </is>
      </c>
      <c r="G44" s="33" t="n"/>
      <c r="H44" s="32" t="n"/>
      <c r="I44" s="61" t="n">
        <v>44.95</v>
      </c>
      <c r="J44" s="62" t="inlineStr">
        <is>
          <t>2026-03-30</t>
        </is>
      </c>
      <c r="K44" s="33" t="n">
        <v>19.42</v>
      </c>
      <c r="L44" s="63" t="n">
        <v>0.432035595105673</v>
      </c>
      <c r="M44" s="64" t="n">
        <v>0</v>
      </c>
      <c r="N44" s="32" t="inlineStr">
        <is>
          <t>Active</t>
        </is>
      </c>
      <c r="O44" s="32" t="n"/>
      <c r="P44" s="65" t="n"/>
      <c r="Q44" s="64" t="n"/>
      <c r="R44" s="64" t="n"/>
      <c r="S44" s="64" t="n"/>
      <c r="T44" s="32" t="n"/>
    </row>
    <row r="45" ht="62" customHeight="1">
      <c r="A45" s="10">
        <f>_xlfn.IMAGE("https://m.media-amazon.com/images/I/81eHsiCwxyL.jpg")</f>
        <v/>
      </c>
      <c r="B45" s="32" t="inlineStr">
        <is>
          <t>B0DDRNZ8YM</t>
        </is>
      </c>
      <c r="C45" s="32" t="inlineStr">
        <is>
          <t>SS-SATIN-IVORY-FULL-4PCS</t>
        </is>
      </c>
      <c r="D45" s="32" t="inlineStr">
        <is>
          <t>Sleep Sanctuary Satin Sheets Full Size – 4 Piece Luxury Silky Bed Set, Softer Than Silk, 15" Deep Pocket, Cooling &amp; Wrinkle-Free, Moisture-Wicking &amp; Breathable for Hair &amp; Skin (Ivory)</t>
        </is>
      </c>
      <c r="E45" s="32" t="inlineStr">
        <is>
          <t>Full</t>
        </is>
      </c>
      <c r="F45" s="32" t="inlineStr">
        <is>
          <t>Ivory</t>
        </is>
      </c>
      <c r="G45" s="33" t="n"/>
      <c r="H45" s="32" t="n"/>
      <c r="I45" s="61" t="n">
        <v>55</v>
      </c>
      <c r="J45" s="62" t="inlineStr">
        <is>
          <t>2026-03-30</t>
        </is>
      </c>
      <c r="K45" s="33" t="n">
        <v>21.27</v>
      </c>
      <c r="L45" s="63" t="n">
        <v>0.3867272727272728</v>
      </c>
      <c r="M45" s="64" t="n"/>
      <c r="N45" s="32" t="inlineStr">
        <is>
          <t>Active</t>
        </is>
      </c>
      <c r="O45" s="32" t="n"/>
      <c r="P45" s="65" t="n"/>
      <c r="Q45" s="64" t="n"/>
      <c r="R45" s="64" t="n"/>
      <c r="S45" s="64" t="n"/>
      <c r="T45" s="32" t="n"/>
    </row>
    <row r="46" ht="62" customHeight="1">
      <c r="A46" s="10">
        <f>_xlfn.IMAGE("https://m.media-amazon.com/images/I/81ttAeO-RjL.jpg")</f>
        <v/>
      </c>
      <c r="B46" s="32" t="inlineStr">
        <is>
          <t>B0DDRFR2FS</t>
        </is>
      </c>
      <c r="C46" s="32" t="inlineStr">
        <is>
          <t>SS-SATIN-LAVENDER-FULL-4PCS</t>
        </is>
      </c>
      <c r="D46" s="32" t="inlineStr">
        <is>
          <t>Sleep Sanctuary Satin Sheets Full Size – 4 Piece Luxury Silky Bed Set, Softer Than Silk, 15" Deep Pocket, Cooling &amp; Wrinkle-Free, Moisture-Wicking &amp; Breathable for Hair &amp; Skin (Lavender)</t>
        </is>
      </c>
      <c r="E46" s="32" t="inlineStr">
        <is>
          <t>Full</t>
        </is>
      </c>
      <c r="F46" s="32" t="inlineStr">
        <is>
          <t>Lavender</t>
        </is>
      </c>
      <c r="G46" s="33" t="n"/>
      <c r="H46" s="32" t="n"/>
      <c r="I46" s="61" t="n">
        <v>44.95</v>
      </c>
      <c r="J46" s="62" t="inlineStr">
        <is>
          <t>2026-03-30</t>
        </is>
      </c>
      <c r="K46" s="33" t="n">
        <v>19.09</v>
      </c>
      <c r="L46" s="63" t="n">
        <v>0.4246941045606229</v>
      </c>
      <c r="M46" s="64" t="n">
        <v>0</v>
      </c>
      <c r="N46" s="32" t="inlineStr">
        <is>
          <t>Active</t>
        </is>
      </c>
      <c r="O46" s="32" t="n"/>
      <c r="P46" s="65" t="n"/>
      <c r="Q46" s="64" t="n"/>
      <c r="R46" s="64" t="n"/>
      <c r="S46" s="64" t="n"/>
      <c r="T46" s="32" t="n"/>
    </row>
    <row r="47" ht="62" customHeight="1">
      <c r="A47" s="10">
        <f>_xlfn.IMAGE("https://m.media-amazon.com/images/I/81GoZ+gTjbL.jpg")</f>
        <v/>
      </c>
      <c r="B47" s="32" t="inlineStr">
        <is>
          <t>B0DDRF88H4</t>
        </is>
      </c>
      <c r="C47" s="32" t="inlineStr">
        <is>
          <t>SS-SATIN-NAVY-BLUE-FULL-4PCS</t>
        </is>
      </c>
      <c r="D47" s="32" t="inlineStr">
        <is>
          <t>Sleep Sanctuary Satin Sheets Full Size – 4 Piece Luxury Silky Bed Set, Softer Than Silk, 15" Deep Pocket, Cooling &amp; Wrinkle-Free, Moisture-Wicking &amp; Breathable for Hair &amp; Skin (Navy Blue)</t>
        </is>
      </c>
      <c r="E47" s="32" t="inlineStr">
        <is>
          <t>Full</t>
        </is>
      </c>
      <c r="F47" s="32" t="inlineStr">
        <is>
          <t>Navy Blue</t>
        </is>
      </c>
      <c r="G47" s="33" t="n"/>
      <c r="H47" s="32" t="n"/>
      <c r="I47" s="61" t="n">
        <v>55.11</v>
      </c>
      <c r="J47" s="62" t="inlineStr">
        <is>
          <t>2026-03-30</t>
        </is>
      </c>
      <c r="K47" s="33" t="n">
        <v>21.57000000000001</v>
      </c>
      <c r="L47" s="63" t="n">
        <v>0.3913990201415353</v>
      </c>
      <c r="M47" s="64" t="n">
        <v>0</v>
      </c>
      <c r="N47" s="32" t="inlineStr">
        <is>
          <t>Active</t>
        </is>
      </c>
      <c r="O47" s="32" t="n"/>
      <c r="P47" s="65" t="n"/>
      <c r="Q47" s="64" t="n"/>
      <c r="R47" s="64" t="n"/>
      <c r="S47" s="64" t="n"/>
      <c r="T47" s="32" t="n"/>
    </row>
    <row r="48" ht="62" customHeight="1">
      <c r="A48" s="10">
        <f>_xlfn.IMAGE("https://m.media-amazon.com/images/I/811f9U2X++L.jpg")</f>
        <v/>
      </c>
      <c r="B48" s="32" t="inlineStr">
        <is>
          <t>B0DDQZG4MQ</t>
        </is>
      </c>
      <c r="C48" s="32" t="inlineStr">
        <is>
          <t>SS-SATIN-PINK-FULL-4PCS</t>
        </is>
      </c>
      <c r="D48" s="32" t="inlineStr">
        <is>
          <t>Sleep Sanctuary Satin Sheets Full Size – 4 Piece Luxury Silky Bed Set, Softer Than Silk, 15" Deep Pocket, Cooling &amp; Wrinkle-Free, Moisture-Wicking &amp; Breathable for Hair &amp; Skin (Pink)</t>
        </is>
      </c>
      <c r="E48" s="32" t="inlineStr">
        <is>
          <t>Full</t>
        </is>
      </c>
      <c r="F48" s="32" t="inlineStr">
        <is>
          <t>Pink</t>
        </is>
      </c>
      <c r="G48" s="33" t="n"/>
      <c r="H48" s="32" t="n"/>
      <c r="I48" s="61" t="n">
        <v>44.95</v>
      </c>
      <c r="J48" s="62" t="inlineStr">
        <is>
          <t>2026-03-30</t>
        </is>
      </c>
      <c r="K48" s="33" t="n">
        <v>19.19</v>
      </c>
      <c r="L48" s="63" t="n">
        <v>0.4269187986651836</v>
      </c>
      <c r="M48" s="64" t="n">
        <v>0</v>
      </c>
      <c r="N48" s="32" t="inlineStr">
        <is>
          <t>Active</t>
        </is>
      </c>
      <c r="O48" s="32" t="n"/>
      <c r="P48" s="65" t="n"/>
      <c r="Q48" s="64" t="n"/>
      <c r="R48" s="64" t="n"/>
      <c r="S48" s="64" t="n"/>
      <c r="T48" s="32" t="n"/>
    </row>
    <row r="49" ht="62" customHeight="1">
      <c r="A49" s="10">
        <f>_xlfn.IMAGE("https://m.media-amazon.com/images/I/81nw4rg0gcL.jpg")</f>
        <v/>
      </c>
      <c r="B49" s="32" t="inlineStr">
        <is>
          <t>B0DDRB21Z6</t>
        </is>
      </c>
      <c r="C49" s="32" t="inlineStr">
        <is>
          <t>SS-SATIN-PURPLE-FULL-4PCS</t>
        </is>
      </c>
      <c r="D49" s="32" t="inlineStr">
        <is>
          <t>Sleep Sanctuary Satin Sheets Full Size – 4 Piece Luxury Silky Bed Set, Softer Than Silk, 15" Deep Pocket, Cooling &amp; Wrinkle-Free, Moisture-Wicking &amp; Breathable for Hair &amp; Skin (Purple)</t>
        </is>
      </c>
      <c r="E49" s="32" t="inlineStr">
        <is>
          <t>Full</t>
        </is>
      </c>
      <c r="F49" s="32" t="inlineStr">
        <is>
          <t>Purple</t>
        </is>
      </c>
      <c r="G49" s="33" t="n"/>
      <c r="H49" s="32" t="n"/>
      <c r="I49" s="61" t="n">
        <v>55.09</v>
      </c>
      <c r="J49" s="62" t="inlineStr">
        <is>
          <t>2026-03-30</t>
        </is>
      </c>
      <c r="K49" s="33" t="n">
        <v>21.56000000000001</v>
      </c>
      <c r="L49" s="63" t="n">
        <v>0.3913595933926304</v>
      </c>
      <c r="M49" s="64" t="n">
        <v>0</v>
      </c>
      <c r="N49" s="32" t="inlineStr">
        <is>
          <t>Active</t>
        </is>
      </c>
      <c r="O49" s="32" t="n"/>
      <c r="P49" s="65" t="n"/>
      <c r="Q49" s="64" t="n"/>
      <c r="R49" s="64" t="n"/>
      <c r="S49" s="64" t="n"/>
      <c r="T49" s="32" t="n"/>
    </row>
    <row r="50" ht="62" customHeight="1">
      <c r="A50" s="10">
        <f>_xlfn.IMAGE("https://m.media-amazon.com/images/I/81n6eJJsrGL.jpg")</f>
        <v/>
      </c>
      <c r="B50" s="32" t="inlineStr">
        <is>
          <t>B0DDRCZN9J</t>
        </is>
      </c>
      <c r="C50" s="32" t="inlineStr">
        <is>
          <t>SS-SATIN-RED-FULL-4PCS</t>
        </is>
      </c>
      <c r="D50" s="32" t="inlineStr">
        <is>
          <t>Sleep Sanctuary Satin Sheets Full Size – 4 Piece Luxury Silky Bed Set, Softer Than Silk, 15" Deep Pocket, Cooling &amp; Wrinkle-Free, Moisture-Wicking &amp; Breathable for Hair &amp; Skin (Red)</t>
        </is>
      </c>
      <c r="E50" s="32" t="inlineStr">
        <is>
          <t>Full</t>
        </is>
      </c>
      <c r="F50" s="32" t="inlineStr">
        <is>
          <t>Red</t>
        </is>
      </c>
      <c r="G50" s="33" t="n"/>
      <c r="H50" s="32" t="n"/>
      <c r="I50" s="61" t="n">
        <v>44.95</v>
      </c>
      <c r="J50" s="62" t="inlineStr">
        <is>
          <t>2026-03-30</t>
        </is>
      </c>
      <c r="K50" s="33" t="n">
        <v>19.34</v>
      </c>
      <c r="L50" s="63" t="n">
        <v>0.4302558398220244</v>
      </c>
      <c r="M50" s="64" t="n">
        <v>0</v>
      </c>
      <c r="N50" s="32" t="inlineStr">
        <is>
          <t>Active</t>
        </is>
      </c>
      <c r="O50" s="32" t="n"/>
      <c r="P50" s="65" t="n"/>
      <c r="Q50" s="64" t="n"/>
      <c r="R50" s="64" t="n"/>
      <c r="S50" s="64" t="n"/>
      <c r="T50" s="32" t="n"/>
    </row>
    <row r="51" ht="62" customHeight="1">
      <c r="A51" s="10">
        <f>_xlfn.IMAGE("https://m.media-amazon.com/images/I/81vHqIiWdYL.jpg")</f>
        <v/>
      </c>
      <c r="B51" s="32" t="inlineStr">
        <is>
          <t>B0DDRNYF9Q</t>
        </is>
      </c>
      <c r="C51" s="32" t="inlineStr">
        <is>
          <t>SS-SATIN-ROSEWOOD-FULL-4PCS</t>
        </is>
      </c>
      <c r="D51" s="32" t="inlineStr">
        <is>
          <t>SLEEP SANCTUARY Satin Sheets Full Size – 4 Piece Luxury Silky Bed Set, Softer Than Silk, 15" Deep Pocket, Cooling &amp; Wrinkle-Free, Moisture-Wicking &amp; Breathable for Hair &amp; Skin (Rosewood)</t>
        </is>
      </c>
      <c r="E51" s="32" t="inlineStr">
        <is>
          <t>Full</t>
        </is>
      </c>
      <c r="F51" s="32" t="inlineStr">
        <is>
          <t>Rosewood</t>
        </is>
      </c>
      <c r="G51" s="33" t="n"/>
      <c r="H51" s="32" t="n"/>
      <c r="I51" s="33" t="n"/>
      <c r="J51" s="32" t="n"/>
      <c r="K51" s="33" t="n"/>
      <c r="L51" s="63" t="n"/>
      <c r="M51" s="64" t="n"/>
      <c r="N51" s="32" t="inlineStr">
        <is>
          <t>Inactive</t>
        </is>
      </c>
      <c r="O51" s="32" t="n"/>
      <c r="P51" s="65" t="n"/>
      <c r="Q51" s="64" t="n"/>
      <c r="R51" s="64" t="n"/>
      <c r="S51" s="64" t="n"/>
      <c r="T51" s="32" t="n"/>
    </row>
    <row r="52" ht="62" customHeight="1">
      <c r="A52" s="10">
        <f>_xlfn.IMAGE("https://m.media-amazon.com/images/I/81iohyoFldL.jpg")</f>
        <v/>
      </c>
      <c r="B52" s="32" t="inlineStr">
        <is>
          <t>B0DDRF2M6S</t>
        </is>
      </c>
      <c r="C52" s="32" t="inlineStr">
        <is>
          <t>SS-SATIN-SAGE-GREEN-FULL-4PCS</t>
        </is>
      </c>
      <c r="D52" s="32" t="inlineStr">
        <is>
          <t>Sleep Sanctuary Satin Sheets Full Size – 4 Piece Luxury Silky Bed Set, Softer Than Silk, 15" Deep Pocket, Cooling &amp; Wrinkle-Free, Moisture-Wicking &amp; Breathable for Hair &amp; Skin (Sage Green)</t>
        </is>
      </c>
      <c r="E52" s="32" t="inlineStr">
        <is>
          <t>Full</t>
        </is>
      </c>
      <c r="F52" s="32" t="inlineStr">
        <is>
          <t>Sage Green</t>
        </is>
      </c>
      <c r="G52" s="33" t="n"/>
      <c r="H52" s="32" t="n"/>
      <c r="I52" s="61" t="n">
        <v>44.95</v>
      </c>
      <c r="J52" s="62" t="inlineStr">
        <is>
          <t>2026-03-30</t>
        </is>
      </c>
      <c r="K52" s="33" t="n">
        <v>19.42</v>
      </c>
      <c r="L52" s="63" t="n">
        <v>0.432035595105673</v>
      </c>
      <c r="M52" s="64" t="n">
        <v>0</v>
      </c>
      <c r="N52" s="32" t="inlineStr">
        <is>
          <t>Active</t>
        </is>
      </c>
      <c r="O52" s="32" t="n"/>
      <c r="P52" s="65" t="n"/>
      <c r="Q52" s="64" t="n"/>
      <c r="R52" s="64" t="n"/>
      <c r="S52" s="64" t="n"/>
      <c r="T52" s="32" t="n"/>
    </row>
    <row r="53" ht="62" customHeight="1">
      <c r="A53" s="10">
        <f>_xlfn.IMAGE("https://m.media-amazon.com/images/I/81T7uFbjFiL.jpg")</f>
        <v/>
      </c>
      <c r="B53" s="32" t="inlineStr">
        <is>
          <t>B0DDRDR4F8</t>
        </is>
      </c>
      <c r="C53" s="32" t="inlineStr">
        <is>
          <t>SS-SATIN-SEA-TEAL-FULL-4PCS</t>
        </is>
      </c>
      <c r="D53" s="32" t="inlineStr">
        <is>
          <t>Sleep Sanctuary Satin Sheets Full Size – 4 Piece Luxury Silky Bed Set, Softer Than Silk, 15" Deep Pocket, Cooling &amp; Wrinkle-Free, Moisture-Wicking &amp; Breathable for Hair &amp; Skin (Sea Teal)</t>
        </is>
      </c>
      <c r="E53" s="32" t="inlineStr">
        <is>
          <t>Full</t>
        </is>
      </c>
      <c r="F53" s="32" t="inlineStr">
        <is>
          <t>Sea Teal</t>
        </is>
      </c>
      <c r="G53" s="33" t="n"/>
      <c r="H53" s="32" t="n"/>
      <c r="I53" s="61" t="n">
        <v>55</v>
      </c>
      <c r="J53" s="62" t="inlineStr">
        <is>
          <t>2026-03-30</t>
        </is>
      </c>
      <c r="K53" s="33" t="n">
        <v>21.38</v>
      </c>
      <c r="L53" s="63" t="n">
        <v>0.3887272727272728</v>
      </c>
      <c r="M53" s="64" t="n">
        <v>0</v>
      </c>
      <c r="N53" s="32" t="inlineStr">
        <is>
          <t>Active</t>
        </is>
      </c>
      <c r="O53" s="32" t="n"/>
      <c r="P53" s="65" t="n"/>
      <c r="Q53" s="64" t="n"/>
      <c r="R53" s="64" t="n"/>
      <c r="S53" s="64" t="n"/>
      <c r="T53" s="32" t="n"/>
    </row>
    <row r="54" ht="62" customHeight="1">
      <c r="A54" s="10">
        <f>_xlfn.IMAGE("https://m.media-amazon.com/images/I/816QTAjFcGL.jpg")</f>
        <v/>
      </c>
      <c r="B54" s="32" t="inlineStr">
        <is>
          <t>B0DDR97FTJ</t>
        </is>
      </c>
      <c r="C54" s="32" t="inlineStr">
        <is>
          <t>SS-SATIN-STONE-GREY-FULL-4PCS</t>
        </is>
      </c>
      <c r="D54" s="32" t="inlineStr">
        <is>
          <t>Sleep Sanctuary Satin Sheets Full Size – 4 Piece Luxury Silky Bed Set, Softer Than Silk, 15" Deep Pocket, Cooling &amp; Wrinkle-Free, Moisture-Wicking &amp; Breathable for Hair &amp; Skin (Stone Grey)</t>
        </is>
      </c>
      <c r="E54" s="32" t="inlineStr">
        <is>
          <t>Full</t>
        </is>
      </c>
      <c r="F54" s="32" t="inlineStr">
        <is>
          <t>Stone Grey</t>
        </is>
      </c>
      <c r="G54" s="33" t="n"/>
      <c r="H54" s="32" t="n"/>
      <c r="I54" s="61" t="n">
        <v>44.95</v>
      </c>
      <c r="J54" s="62" t="inlineStr">
        <is>
          <t>2026-03-30</t>
        </is>
      </c>
      <c r="K54" s="33" t="n">
        <v>19.09</v>
      </c>
      <c r="L54" s="63" t="n">
        <v>0.4246941045606229</v>
      </c>
      <c r="M54" s="64" t="n">
        <v>0</v>
      </c>
      <c r="N54" s="32" t="inlineStr">
        <is>
          <t>Active</t>
        </is>
      </c>
      <c r="O54" s="32" t="n"/>
      <c r="P54" s="65" t="n"/>
      <c r="Q54" s="64" t="n"/>
      <c r="R54" s="64" t="n"/>
      <c r="S54" s="64" t="n"/>
      <c r="T54" s="32" t="n"/>
    </row>
    <row r="55" ht="62" customHeight="1">
      <c r="A55" s="10">
        <f>_xlfn.IMAGE("https://m.media-amazon.com/images/I/81qEq06R1GL.jpg")</f>
        <v/>
      </c>
      <c r="B55" s="32" t="inlineStr">
        <is>
          <t>B0DDQQ9LRP</t>
        </is>
      </c>
      <c r="C55" s="32" t="inlineStr">
        <is>
          <t>SS-SATIN-STRIPED-BLACK-FULL-4PCS</t>
        </is>
      </c>
      <c r="D55" s="32" t="inlineStr">
        <is>
          <t>SLEEP SANCTUARY Satin Sheets Full Size – 4 Piece Luxury Silky Bed Set, Softer Than Silk, 15" Deep Pocket, Cooling &amp; Wrinkle-Free, Moisture-Wicking &amp; Breathable for Hair &amp; Skin (Striped Black)</t>
        </is>
      </c>
      <c r="E55" s="32" t="inlineStr">
        <is>
          <t>Full</t>
        </is>
      </c>
      <c r="F55" s="32" t="inlineStr">
        <is>
          <t>Striped Black</t>
        </is>
      </c>
      <c r="G55" s="33" t="n"/>
      <c r="H55" s="32" t="n"/>
      <c r="I55" s="61" t="n">
        <v>53.81</v>
      </c>
      <c r="J55" s="62" t="inlineStr">
        <is>
          <t>2026-03-14</t>
        </is>
      </c>
      <c r="K55" s="33" t="n">
        <v>25.94</v>
      </c>
      <c r="L55" s="63" t="n">
        <v>0.4820665303846869</v>
      </c>
      <c r="M55" s="64" t="n"/>
      <c r="N55" s="32" t="inlineStr">
        <is>
          <t>Inactive</t>
        </is>
      </c>
      <c r="O55" s="32" t="n"/>
      <c r="P55" s="65" t="n"/>
      <c r="Q55" s="64" t="n"/>
      <c r="R55" s="64" t="n"/>
      <c r="S55" s="64" t="n"/>
      <c r="T55" s="32" t="n"/>
    </row>
    <row r="56" ht="62" customHeight="1">
      <c r="A56" s="10">
        <f>_xlfn.IMAGE("https://m.media-amazon.com/images/I/81IuYnZdF7L.jpg")</f>
        <v/>
      </c>
      <c r="B56" s="32" t="inlineStr">
        <is>
          <t>B0DDQX8257</t>
        </is>
      </c>
      <c r="C56" s="32" t="inlineStr">
        <is>
          <t>SS-SATIN-STRIPED-BLUE-FULL-4PCS</t>
        </is>
      </c>
      <c r="D56" s="32" t="inlineStr">
        <is>
          <t>SLEEP SANCTUARY Satin Sheets Full Size – 4 Piece Luxury Silky Bed Set, Softer Than Silk, 15" Deep Pocket, Cooling &amp; Wrinkle-Free, Moisture-Wicking &amp; Breathable for Hair &amp; Skin (Striped Blue)</t>
        </is>
      </c>
      <c r="E56" s="32" t="inlineStr">
        <is>
          <t>Full</t>
        </is>
      </c>
      <c r="F56" s="32" t="inlineStr">
        <is>
          <t>Striped Blue</t>
        </is>
      </c>
      <c r="G56" s="33" t="n"/>
      <c r="H56" s="32" t="n"/>
      <c r="I56" s="61" t="n">
        <v>54.63</v>
      </c>
      <c r="J56" s="62" t="inlineStr">
        <is>
          <t>2026-03-30</t>
        </is>
      </c>
      <c r="K56" s="33" t="n">
        <v>19.65000000000001</v>
      </c>
      <c r="L56" s="63" t="n">
        <v>0.3596924766611753</v>
      </c>
      <c r="M56" s="64" t="n"/>
      <c r="N56" s="32" t="inlineStr">
        <is>
          <t>Inactive</t>
        </is>
      </c>
      <c r="O56" s="32" t="n"/>
      <c r="P56" s="65" t="n"/>
      <c r="Q56" s="64" t="n"/>
      <c r="R56" s="64" t="n"/>
      <c r="S56" s="64" t="n"/>
      <c r="T56" s="32" t="n"/>
    </row>
    <row r="57" ht="62" customHeight="1">
      <c r="A57" s="10">
        <f>_xlfn.IMAGE("https://m.media-amazon.com/images/I/81c0TeFW0bL.jpg")</f>
        <v/>
      </c>
      <c r="B57" s="32" t="inlineStr">
        <is>
          <t>B0DDR7G7Z8</t>
        </is>
      </c>
      <c r="C57" s="32" t="inlineStr">
        <is>
          <t>SS-SATIN-STRIPED-GOLD-FULL-4PCS</t>
        </is>
      </c>
      <c r="D57" s="32" t="inlineStr">
        <is>
          <t>Sleep Sanctuary Satin Sheets Full Size – 4 Piece Luxury Silky Bed Set, Softer Than Silk, 15" Deep Pocket, Cooling &amp; Wrinkle-Free, Moisture-Wicking &amp; Breathable for Hair &amp; Skin (Striped Gold)</t>
        </is>
      </c>
      <c r="E57" s="32" t="inlineStr">
        <is>
          <t>Full</t>
        </is>
      </c>
      <c r="F57" s="32" t="inlineStr">
        <is>
          <t>Striped Gold</t>
        </is>
      </c>
      <c r="G57" s="33" t="n"/>
      <c r="H57" s="32" t="n"/>
      <c r="I57" s="61" t="n">
        <v>53.81</v>
      </c>
      <c r="J57" s="62" t="inlineStr">
        <is>
          <t>2026-03-30</t>
        </is>
      </c>
      <c r="K57" s="33" t="n">
        <v>20.34</v>
      </c>
      <c r="L57" s="63" t="n">
        <v>0.3779966548968594</v>
      </c>
      <c r="M57" s="64" t="n"/>
      <c r="N57" s="32" t="inlineStr">
        <is>
          <t>Active</t>
        </is>
      </c>
      <c r="O57" s="32" t="n"/>
      <c r="P57" s="65" t="n"/>
      <c r="Q57" s="64" t="n"/>
      <c r="R57" s="64" t="n"/>
      <c r="S57" s="64" t="n"/>
      <c r="T57" s="32" t="n"/>
    </row>
    <row r="58" ht="62" customHeight="1">
      <c r="A58" s="10">
        <f>_xlfn.IMAGE("https://m.media-amazon.com/images/I/81EuG0SlLvL.jpg")</f>
        <v/>
      </c>
      <c r="B58" s="32" t="inlineStr">
        <is>
          <t>B0DDRKF8FG</t>
        </is>
      </c>
      <c r="C58" s="32" t="inlineStr">
        <is>
          <t>SS-SATIN-STRIPED-GREY-FULL-4PCS</t>
        </is>
      </c>
      <c r="D58" s="32" t="inlineStr">
        <is>
          <t>SLEEP SANCTUARY Satin Sheets Full Size – 4 Piece Luxury Silky Bed Set, Softer Than Silk, 15" Deep Pocket, Cooling &amp; Wrinkle-Free, Moisture-Wicking &amp; Breathable for Hair &amp; Skin (Striped Grey)</t>
        </is>
      </c>
      <c r="E58" s="32" t="inlineStr">
        <is>
          <t>Full</t>
        </is>
      </c>
      <c r="F58" s="32" t="inlineStr">
        <is>
          <t>Striped Grey</t>
        </is>
      </c>
      <c r="G58" s="33" t="n"/>
      <c r="H58" s="32" t="n"/>
      <c r="I58" s="61" t="n">
        <v>54.6</v>
      </c>
      <c r="J58" s="62" t="inlineStr">
        <is>
          <t>2026-03-30</t>
        </is>
      </c>
      <c r="K58" s="33" t="n">
        <v>19.73</v>
      </c>
      <c r="L58" s="63" t="n">
        <v>0.3613553113553114</v>
      </c>
      <c r="M58" s="64" t="n"/>
      <c r="N58" s="32" t="inlineStr">
        <is>
          <t>Active</t>
        </is>
      </c>
      <c r="O58" s="32" t="n"/>
      <c r="P58" s="65" t="n"/>
      <c r="Q58" s="64" t="n"/>
      <c r="R58" s="64" t="n"/>
      <c r="S58" s="64" t="n"/>
      <c r="T58" s="32" t="n"/>
    </row>
    <row r="59" ht="62" customHeight="1">
      <c r="A59" s="10">
        <f>_xlfn.IMAGE("https://m.media-amazon.com/images/I/81oQ5+OPoZL.jpg")</f>
        <v/>
      </c>
      <c r="B59" s="32" t="inlineStr">
        <is>
          <t>B0DDRKMZ6G</t>
        </is>
      </c>
      <c r="C59" s="32" t="inlineStr">
        <is>
          <t>SS-SATIN-STRIPED-PINK-FULL-4PCS</t>
        </is>
      </c>
      <c r="D59" s="32" t="inlineStr">
        <is>
          <t>Sleep Sanctuary Satin Sheets Full Size – 4 Piece Luxury Silky Bed Set, Softer Than Silk, 15" Deep Pocket, Cooling &amp; Wrinkle-Free, Moisture-Wicking &amp; Breathable for Hair &amp; Skin (Striped Pink)</t>
        </is>
      </c>
      <c r="E59" s="32" t="inlineStr">
        <is>
          <t>Full</t>
        </is>
      </c>
      <c r="F59" s="32" t="inlineStr">
        <is>
          <t>Striped Pink</t>
        </is>
      </c>
      <c r="G59" s="33" t="n"/>
      <c r="H59" s="32" t="n"/>
      <c r="I59" s="61" t="n">
        <v>53.81</v>
      </c>
      <c r="J59" s="62" t="inlineStr">
        <is>
          <t>2026-03-30</t>
        </is>
      </c>
      <c r="K59" s="33" t="n">
        <v>20.34</v>
      </c>
      <c r="L59" s="63" t="n">
        <v>0.3779966548968594</v>
      </c>
      <c r="M59" s="64" t="n"/>
      <c r="N59" s="32" t="inlineStr">
        <is>
          <t>Active</t>
        </is>
      </c>
      <c r="O59" s="32" t="n"/>
      <c r="P59" s="65" t="n"/>
      <c r="Q59" s="64" t="n"/>
      <c r="R59" s="64" t="n"/>
      <c r="S59" s="64" t="n"/>
      <c r="T59" s="32" t="n"/>
    </row>
    <row r="60" ht="62" customHeight="1">
      <c r="A60" s="10">
        <f>_xlfn.IMAGE("https://m.media-amazon.com/images/I/815aPoY4IYL.jpg")</f>
        <v/>
      </c>
      <c r="B60" s="32" t="inlineStr">
        <is>
          <t>B0DDQXMHHQ</t>
        </is>
      </c>
      <c r="C60" s="32" t="inlineStr">
        <is>
          <t>SS-SATIN-STRIPED-PURPLE-FULL-4PCS</t>
        </is>
      </c>
      <c r="D60" s="32" t="inlineStr">
        <is>
          <t>Sleep Sanctuary Satin Sheets Full Size – 4 Piece Luxury Silky Bed Set, Softer Than Silk, 15" Deep Pocket, Cooling &amp; Wrinkle-Free, Moisture-Wicking &amp; Breathable for Hair &amp; Skin (Striped Purple)</t>
        </is>
      </c>
      <c r="E60" s="32" t="inlineStr">
        <is>
          <t>Full</t>
        </is>
      </c>
      <c r="F60" s="32" t="inlineStr">
        <is>
          <t>Striped Purple</t>
        </is>
      </c>
      <c r="G60" s="33" t="n"/>
      <c r="H60" s="32" t="n"/>
      <c r="I60" s="61" t="n">
        <v>62.42</v>
      </c>
      <c r="J60" s="62" t="inlineStr">
        <is>
          <t>2026-03-30</t>
        </is>
      </c>
      <c r="K60" s="33" t="n">
        <v>28.21</v>
      </c>
      <c r="L60" s="63" t="n">
        <v>0.4519384812560078</v>
      </c>
      <c r="M60" s="64" t="n">
        <v>0</v>
      </c>
      <c r="N60" s="32" t="inlineStr">
        <is>
          <t>Active</t>
        </is>
      </c>
      <c r="O60" s="32" t="n"/>
      <c r="P60" s="65" t="n"/>
      <c r="Q60" s="64" t="n"/>
      <c r="R60" s="64" t="n"/>
      <c r="S60" s="64" t="n"/>
      <c r="T60" s="32" t="n"/>
    </row>
    <row r="61" ht="62" customHeight="1">
      <c r="A61" s="10">
        <f>_xlfn.IMAGE("https://m.media-amazon.com/images/I/81P2Ae6R78L.jpg")</f>
        <v/>
      </c>
      <c r="B61" s="32" t="inlineStr">
        <is>
          <t>B0DDR9TM21</t>
        </is>
      </c>
      <c r="C61" s="32" t="inlineStr">
        <is>
          <t>SS-SATIN-STRIPED-RED-FULL-4PCS</t>
        </is>
      </c>
      <c r="D61" s="32" t="inlineStr">
        <is>
          <t>Sleep Sanctuary Satin Sheets Full Size – 4 Piece Luxury Silky Bed Set, Softer Than Silk, 15" Deep Pocket, Cooling &amp; Wrinkle-Free, Moisture-Wicking &amp; Breathable for Hair &amp; Skin (Striped Red)</t>
        </is>
      </c>
      <c r="E61" s="32" t="inlineStr">
        <is>
          <t>Full</t>
        </is>
      </c>
      <c r="F61" s="32" t="inlineStr">
        <is>
          <t>Striped Red</t>
        </is>
      </c>
      <c r="G61" s="33" t="n"/>
      <c r="H61" s="32" t="n"/>
      <c r="I61" s="61" t="n">
        <v>54.67</v>
      </c>
      <c r="J61" s="62" t="inlineStr">
        <is>
          <t>2026-03-30</t>
        </is>
      </c>
      <c r="K61" s="33" t="n">
        <v>19.79</v>
      </c>
      <c r="L61" s="63" t="n">
        <v>0.3619901225535028</v>
      </c>
      <c r="M61" s="64" t="n"/>
      <c r="N61" s="32" t="inlineStr">
        <is>
          <t>Active</t>
        </is>
      </c>
      <c r="O61" s="32" t="n"/>
      <c r="P61" s="65" t="n"/>
      <c r="Q61" s="64" t="n"/>
      <c r="R61" s="64" t="n"/>
      <c r="S61" s="64" t="n"/>
      <c r="T61" s="32" t="n"/>
    </row>
    <row r="62" ht="62" customHeight="1">
      <c r="A62" s="10">
        <f>_xlfn.IMAGE("https://m.media-amazon.com/images/I/81umFKx0vnL.jpg")</f>
        <v/>
      </c>
      <c r="B62" s="32" t="inlineStr">
        <is>
          <t>B0DDR72BDZ</t>
        </is>
      </c>
      <c r="C62" s="32" t="inlineStr">
        <is>
          <t>SS-SATIN-STRIPED-WHITE-FULL-4PCS</t>
        </is>
      </c>
      <c r="D62" s="32" t="inlineStr">
        <is>
          <t>SLEEP SANCTUARY Satin Sheets Full Size – 4 Piece Luxury Silky Bed Set, Softer Than Silk, 15" Deep Pocket, Cooling &amp; Wrinkle-Free, Moisture-Wicking &amp; Breathable for Hair &amp; Skin (Striped White)</t>
        </is>
      </c>
      <c r="E62" s="32" t="inlineStr">
        <is>
          <t>Full</t>
        </is>
      </c>
      <c r="F62" s="32" t="inlineStr">
        <is>
          <t>Striped White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_xlfn.IMAGE("https://m.media-amazon.com/images/I/81bZ3S4CehL.jpg")</f>
        <v/>
      </c>
      <c r="B63" s="32" t="inlineStr">
        <is>
          <t>B0DDR6G4WJ</t>
        </is>
      </c>
      <c r="C63" s="32" t="inlineStr">
        <is>
          <t>SS-SATIN-TAUPE-FULL-4PCS</t>
        </is>
      </c>
      <c r="D63" s="32" t="inlineStr">
        <is>
          <t>Sleep Sanctuary Satin Sheets Full Size – 4 Piece Luxury Silky Bed Set, Softer Than Silk, 15" Deep Pocket, Cooling &amp; Wrinkle-Free, Moisture-Wicking &amp; Breathable for Hair &amp; Skin (Taupe)</t>
        </is>
      </c>
      <c r="E63" s="32" t="inlineStr">
        <is>
          <t>Full</t>
        </is>
      </c>
      <c r="F63" s="32" t="inlineStr">
        <is>
          <t>Taupe</t>
        </is>
      </c>
      <c r="G63" s="33" t="n"/>
      <c r="H63" s="32" t="n"/>
      <c r="I63" s="61" t="n">
        <v>55.03</v>
      </c>
      <c r="J63" s="62" t="inlineStr">
        <is>
          <t>2026-03-30</t>
        </is>
      </c>
      <c r="K63" s="33" t="n">
        <v>21.04</v>
      </c>
      <c r="L63" s="63" t="n">
        <v>0.3823369071415592</v>
      </c>
      <c r="M63" s="64" t="n"/>
      <c r="N63" s="32" t="inlineStr">
        <is>
          <t>Active</t>
        </is>
      </c>
      <c r="O63" s="32" t="n"/>
      <c r="P63" s="65" t="n"/>
      <c r="Q63" s="64" t="n"/>
      <c r="R63" s="64" t="n"/>
      <c r="S63" s="64" t="n"/>
      <c r="T63" s="32" t="n"/>
    </row>
    <row r="64" ht="62" customHeight="1">
      <c r="A64" s="10">
        <f>_xlfn.IMAGE("https://m.media-amazon.com/images/I/818RX-kt6VL.jpg")</f>
        <v/>
      </c>
      <c r="B64" s="32" t="inlineStr">
        <is>
          <t>B0DDRH7S7L</t>
        </is>
      </c>
      <c r="C64" s="32" t="inlineStr">
        <is>
          <t>SS-SATIN-WHITE-FULL-4PCS</t>
        </is>
      </c>
      <c r="D64" s="32" t="inlineStr">
        <is>
          <t>SLEEP SANCTUARY Satin Sheets Full Size – 4 Piece Luxury Silky Bed Set, Softer Than Silk, 15" Deep Pocket, Cooling &amp; Wrinkle-Free, Moisture-Wicking &amp; Breathable for Hair &amp; Skin (White)</t>
        </is>
      </c>
      <c r="E64" s="32" t="inlineStr">
        <is>
          <t>Full</t>
        </is>
      </c>
      <c r="F64" s="32" t="inlineStr">
        <is>
          <t>White</t>
        </is>
      </c>
      <c r="G64" s="33" t="n"/>
      <c r="H64" s="32" t="n"/>
      <c r="I64" s="61" t="n">
        <v>55.19</v>
      </c>
      <c r="J64" s="62" t="inlineStr">
        <is>
          <t>2026-03-30</t>
        </is>
      </c>
      <c r="K64" s="33" t="n">
        <v>21.43</v>
      </c>
      <c r="L64" s="63" t="n">
        <v>0.3882949809748142</v>
      </c>
      <c r="M64" s="64" t="n"/>
      <c r="N64" s="32" t="inlineStr">
        <is>
          <t>Inactive</t>
        </is>
      </c>
      <c r="O64" s="32" t="n"/>
      <c r="P64" s="65" t="n"/>
      <c r="Q64" s="64" t="n"/>
      <c r="R64" s="64" t="n"/>
      <c r="S64" s="64" t="n"/>
      <c r="T64" s="32" t="n"/>
    </row>
    <row r="65" ht="62" customHeight="1">
      <c r="A65" s="10">
        <f>_xlfn.IMAGE("https://m.media-amazon.com/images/I/81-8fCPCUcL.jpg")</f>
        <v/>
      </c>
      <c r="B65" s="32" t="inlineStr">
        <is>
          <t>B0DDR4T2Y6</t>
        </is>
      </c>
      <c r="C65" s="32" t="inlineStr">
        <is>
          <t>SS-SATIN-BLUSH-PINK-KING-4PCS</t>
        </is>
      </c>
      <c r="D65" s="32" t="inlineStr">
        <is>
          <t>Sleep Sanctuary Satin Sheets King Size – 4 Piece Luxury Silky Bed Set, Softer Than Silk, 15" Deep Pocket, Cooling &amp; Wrinkle-Free, Moisture-Wicking &amp; Breathable for Hair &amp; Skin (Blush Pink)</t>
        </is>
      </c>
      <c r="E65" s="32" t="inlineStr">
        <is>
          <t>King</t>
        </is>
      </c>
      <c r="F65" s="32" t="inlineStr">
        <is>
          <t>Blush Pink</t>
        </is>
      </c>
      <c r="G65" s="33" t="n"/>
      <c r="H65" s="32" t="n"/>
      <c r="I65" s="61" t="n">
        <v>49.95</v>
      </c>
      <c r="J65" s="62" t="inlineStr">
        <is>
          <t>2026-03-30</t>
        </is>
      </c>
      <c r="K65" s="33" t="n">
        <v>20.79</v>
      </c>
      <c r="L65" s="63" t="n">
        <v>0.4162162162162162</v>
      </c>
      <c r="M65" s="64" t="n">
        <v>0</v>
      </c>
      <c r="N65" s="32" t="inlineStr">
        <is>
          <t>Active</t>
        </is>
      </c>
      <c r="O65" s="32" t="n"/>
      <c r="P65" s="65" t="n"/>
      <c r="Q65" s="64" t="n"/>
      <c r="R65" s="64" t="n"/>
      <c r="S65" s="64" t="n"/>
      <c r="T65" s="32" t="n"/>
    </row>
    <row r="66" ht="62" customHeight="1">
      <c r="A66" s="10">
        <f>_xlfn.IMAGE("https://m.media-amazon.com/images/I/81cPOSHJh1L.jpg")</f>
        <v/>
      </c>
      <c r="B66" s="32" t="inlineStr">
        <is>
          <t>B0DDRL4WTJ</t>
        </is>
      </c>
      <c r="C66" s="32" t="inlineStr">
        <is>
          <t>SS-SATIN-BURNT-ORANGE-KING-4PCS</t>
        </is>
      </c>
      <c r="D66" s="32" t="inlineStr">
        <is>
          <t>Sleep Sanctuary Satin Sheets King Size – 4 Piece Luxury Silky Bed Set, Softer Than Silk, 15" Deep Pocket, Cooling &amp; Wrinkle-Free, Moisture-Wicking &amp; Breathable for Hair &amp; Skin (Burnt Orange)</t>
        </is>
      </c>
      <c r="E66" s="32" t="inlineStr">
        <is>
          <t>King</t>
        </is>
      </c>
      <c r="F66" s="32" t="inlineStr">
        <is>
          <t>Burnt Orange</t>
        </is>
      </c>
      <c r="G66" s="33" t="n"/>
      <c r="H66" s="32" t="n"/>
      <c r="I66" s="61" t="n">
        <v>49.95</v>
      </c>
      <c r="J66" s="62" t="inlineStr">
        <is>
          <t>2026-03-30</t>
        </is>
      </c>
      <c r="K66" s="33" t="n">
        <v>21.12</v>
      </c>
      <c r="L66" s="63" t="n">
        <v>0.4228228228228227</v>
      </c>
      <c r="M66" s="64" t="n">
        <v>0</v>
      </c>
      <c r="N66" s="32" t="inlineStr">
        <is>
          <t>Active</t>
        </is>
      </c>
      <c r="O66" s="32" t="n"/>
      <c r="P66" s="65" t="n"/>
      <c r="Q66" s="64" t="n"/>
      <c r="R66" s="64" t="n"/>
      <c r="S66" s="64" t="n"/>
      <c r="T66" s="32" t="n"/>
    </row>
    <row r="67" ht="62" customHeight="1">
      <c r="A67" s="10">
        <f>_xlfn.IMAGE("https://m.media-amazon.com/images/I/81AE8h7l4-L.jpg")</f>
        <v/>
      </c>
      <c r="B67" s="32" t="inlineStr">
        <is>
          <t>B0DDR5JMCH</t>
        </is>
      </c>
      <c r="C67" s="32" t="inlineStr">
        <is>
          <t>SS-SATIN-GOLD-KING-4PCS</t>
        </is>
      </c>
      <c r="D67" s="32" t="inlineStr">
        <is>
          <t>Sleep Sanctuary Satin Sheets King Size – 4 Piece Luxury Silky Bed Set, Softer Than Silk, 15" Deep Pocket, Cooling &amp; Wrinkle-Free, Moisture-Wicking &amp; Breathable for Hair &amp; Skin (Gold)</t>
        </is>
      </c>
      <c r="E67" s="32" t="inlineStr">
        <is>
          <t>King</t>
        </is>
      </c>
      <c r="F67" s="32" t="inlineStr">
        <is>
          <t>Gold</t>
        </is>
      </c>
      <c r="G67" s="33" t="n"/>
      <c r="H67" s="32" t="n"/>
      <c r="I67" s="61" t="n">
        <v>49.95</v>
      </c>
      <c r="J67" s="62" t="inlineStr">
        <is>
          <t>2026-03-30</t>
        </is>
      </c>
      <c r="K67" s="33" t="n">
        <v>21.03</v>
      </c>
      <c r="L67" s="63" t="n">
        <v>0.421021021021021</v>
      </c>
      <c r="M67" s="64" t="n">
        <v>0</v>
      </c>
      <c r="N67" s="32" t="inlineStr">
        <is>
          <t>Active</t>
        </is>
      </c>
      <c r="O67" s="32" t="n"/>
      <c r="P67" s="65" t="n"/>
      <c r="Q67" s="64" t="n"/>
      <c r="R67" s="64" t="n"/>
      <c r="S67" s="64" t="n"/>
      <c r="T67" s="32" t="n"/>
    </row>
    <row r="68" ht="62" customHeight="1">
      <c r="A68" s="10">
        <f>_xlfn.IMAGE("https://m.media-amazon.com/images/I/81eHsiCwxyL.jpg")</f>
        <v/>
      </c>
      <c r="B68" s="32" t="inlineStr">
        <is>
          <t>B0DDR5QBGQ</t>
        </is>
      </c>
      <c r="C68" s="32" t="inlineStr">
        <is>
          <t>SS-SATIN-IVORY-KING-4PCS</t>
        </is>
      </c>
      <c r="D68" s="32" t="inlineStr">
        <is>
          <t>Sleep Sanctuary Satin Sheets King Size – 4 Piece Luxury Silky Bed Set, Softer Than Silk, 15" Deep Pocket, Cooling &amp; Wrinkle-Free, Moisture-Wicking &amp; Breathable for Hair &amp; Skin (Ivory)</t>
        </is>
      </c>
      <c r="E68" s="32" t="inlineStr">
        <is>
          <t>King</t>
        </is>
      </c>
      <c r="F68" s="32" t="inlineStr">
        <is>
          <t>Ivory</t>
        </is>
      </c>
      <c r="G68" s="33" t="n"/>
      <c r="H68" s="32" t="n"/>
      <c r="I68" s="61" t="n">
        <v>49.95</v>
      </c>
      <c r="J68" s="62" t="inlineStr">
        <is>
          <t>2026-03-30</t>
        </is>
      </c>
      <c r="K68" s="33" t="n">
        <v>20.79</v>
      </c>
      <c r="L68" s="63" t="n">
        <v>0.4162162162162162</v>
      </c>
      <c r="M68" s="64" t="n">
        <v>0</v>
      </c>
      <c r="N68" s="32" t="inlineStr">
        <is>
          <t>Active</t>
        </is>
      </c>
      <c r="O68" s="32" t="n"/>
      <c r="P68" s="65" t="n"/>
      <c r="Q68" s="64" t="n"/>
      <c r="R68" s="64" t="n"/>
      <c r="S68" s="64" t="n"/>
      <c r="T68" s="32" t="n"/>
    </row>
    <row r="69" ht="62" customHeight="1">
      <c r="A69" s="10">
        <f>_xlfn.IMAGE("https://m.media-amazon.com/images/I/81ttAeO-RjL.jpg")</f>
        <v/>
      </c>
      <c r="B69" s="32" t="inlineStr">
        <is>
          <t>B0DDRFLD2F</t>
        </is>
      </c>
      <c r="C69" s="32" t="inlineStr">
        <is>
          <t>SS-SATIN-LAVENDER-KING-4PCS</t>
        </is>
      </c>
      <c r="D69" s="32" t="inlineStr">
        <is>
          <t>Sleep Sanctuary Satin Sheets King Size – 4 Piece Luxury Silky Bed Set, Softer Than Silk, 15" Deep Pocket, Cooling &amp; Wrinkle-Free, Moisture-Wicking &amp; Breathable for Hair &amp; Skin (Lavender)</t>
        </is>
      </c>
      <c r="E69" s="32" t="inlineStr">
        <is>
          <t>King</t>
        </is>
      </c>
      <c r="F69" s="32" t="inlineStr">
        <is>
          <t>Lavender</t>
        </is>
      </c>
      <c r="G69" s="33" t="n"/>
      <c r="H69" s="32" t="n"/>
      <c r="I69" s="61" t="n">
        <v>49.95</v>
      </c>
      <c r="J69" s="62" t="inlineStr">
        <is>
          <t>2026-03-30</t>
        </is>
      </c>
      <c r="K69" s="33" t="n">
        <v>21.12</v>
      </c>
      <c r="L69" s="63" t="n">
        <v>0.4228228228228227</v>
      </c>
      <c r="M69" s="64" t="n">
        <v>0</v>
      </c>
      <c r="N69" s="32" t="inlineStr">
        <is>
          <t>Active</t>
        </is>
      </c>
      <c r="O69" s="32" t="n"/>
      <c r="P69" s="65" t="n"/>
      <c r="Q69" s="64" t="n"/>
      <c r="R69" s="64" t="n"/>
      <c r="S69" s="64" t="n"/>
      <c r="T69" s="32" t="n"/>
    </row>
    <row r="70" ht="62" customHeight="1">
      <c r="A70" s="10">
        <f>_xlfn.IMAGE("https://m.media-amazon.com/images/I/811f9U2X++L.jpg")</f>
        <v/>
      </c>
      <c r="B70" s="32" t="inlineStr">
        <is>
          <t>B0DDQQB8VY</t>
        </is>
      </c>
      <c r="C70" s="32" t="inlineStr">
        <is>
          <t>SS-SATIN-PINK-KING-4PCS</t>
        </is>
      </c>
      <c r="D70" s="32" t="inlineStr">
        <is>
          <t>Sleep Sanctuary Satin Sheets King Size – 4 Piece Luxury Silky Bed Set, Softer Than Silk, 15" Deep Pocket, Cooling &amp; Wrinkle-Free, Moisture-Wicking &amp; Breathable for Hair &amp; Skin (Pink)</t>
        </is>
      </c>
      <c r="E70" s="32" t="inlineStr">
        <is>
          <t>King</t>
        </is>
      </c>
      <c r="F70" s="32" t="inlineStr">
        <is>
          <t>Pink</t>
        </is>
      </c>
      <c r="G70" s="33" t="n"/>
      <c r="H70" s="32" t="n"/>
      <c r="I70" s="61" t="n">
        <v>61.43</v>
      </c>
      <c r="J70" s="62" t="inlineStr">
        <is>
          <t>2026-03-30</t>
        </is>
      </c>
      <c r="K70" s="33" t="n">
        <v>24.81</v>
      </c>
      <c r="L70" s="63" t="n">
        <v>0.4038743285039883</v>
      </c>
      <c r="M70" s="64" t="n">
        <v>0</v>
      </c>
      <c r="N70" s="32" t="inlineStr">
        <is>
          <t>Active</t>
        </is>
      </c>
      <c r="O70" s="32" t="n"/>
      <c r="P70" s="65" t="n"/>
      <c r="Q70" s="64" t="n"/>
      <c r="R70" s="64" t="n"/>
      <c r="S70" s="64" t="n"/>
      <c r="T70" s="32" t="n"/>
    </row>
    <row r="71" ht="62" customHeight="1">
      <c r="A71" s="10">
        <f>_xlfn.IMAGE("https://m.media-amazon.com/images/I/81n6eJJsrGL.jpg")</f>
        <v/>
      </c>
      <c r="B71" s="32" t="inlineStr">
        <is>
          <t>B0DDRP3R3F</t>
        </is>
      </c>
      <c r="C71" s="32" t="inlineStr">
        <is>
          <t>SS-SATIN-RED-KING-4PCS</t>
        </is>
      </c>
      <c r="D71" s="32" t="inlineStr">
        <is>
          <t>Sleep Sanctuary Satin Sheets King Size – 4 Piece Luxury Silky Bed Set, Softer Than Silk, 15" Deep Pocket, Cooling &amp; Wrinkle-Free, Moisture-Wicking &amp; Breathable for Hair &amp; Skin (Red)</t>
        </is>
      </c>
      <c r="E71" s="32" t="inlineStr">
        <is>
          <t>King</t>
        </is>
      </c>
      <c r="F71" s="32" t="inlineStr">
        <is>
          <t>Red</t>
        </is>
      </c>
      <c r="G71" s="33" t="n"/>
      <c r="H71" s="32" t="n"/>
      <c r="I71" s="61" t="n">
        <v>49.95</v>
      </c>
      <c r="J71" s="62" t="inlineStr">
        <is>
          <t>2026-03-30</t>
        </is>
      </c>
      <c r="K71" s="33" t="n">
        <v>21.46</v>
      </c>
      <c r="L71" s="63" t="n">
        <v>0.4296296296296296</v>
      </c>
      <c r="M71" s="64" t="n">
        <v>0</v>
      </c>
      <c r="N71" s="32" t="inlineStr">
        <is>
          <t>Active</t>
        </is>
      </c>
      <c r="O71" s="32" t="n"/>
      <c r="P71" s="65" t="n"/>
      <c r="Q71" s="64" t="n"/>
      <c r="R71" s="64" t="n"/>
      <c r="S71" s="64" t="n"/>
      <c r="T71" s="32" t="n"/>
    </row>
    <row r="72" ht="62" customHeight="1">
      <c r="A72" s="10">
        <f>_xlfn.IMAGE("https://m.media-amazon.com/images/I/81x+7oMcdCL.jpg")</f>
        <v/>
      </c>
      <c r="B72" s="32" t="inlineStr">
        <is>
          <t>B0DDRM5YW5</t>
        </is>
      </c>
      <c r="C72" s="32" t="inlineStr">
        <is>
          <t>SS-SATIN-ROSEWOOD-KING-4PCS</t>
        </is>
      </c>
      <c r="D72" s="32" t="inlineStr">
        <is>
          <t>Sleep Sanctuary Satin Sheets King Size – 4 Piece Luxury Silky Bed Set, Softer Than Silk, 15" Deep Pocket, Cooling &amp; Wrinkle-Free, Moisture-Wicking &amp; Breathable for Hair &amp; Skin (Rosewood)</t>
        </is>
      </c>
      <c r="E72" s="32" t="inlineStr">
        <is>
          <t>King</t>
        </is>
      </c>
      <c r="F72" s="32" t="inlineStr">
        <is>
          <t>Rosewood</t>
        </is>
      </c>
      <c r="G72" s="33" t="n"/>
      <c r="H72" s="32" t="n"/>
      <c r="I72" s="61" t="n">
        <v>49.95</v>
      </c>
      <c r="J72" s="62" t="inlineStr">
        <is>
          <t>2026-03-30</t>
        </is>
      </c>
      <c r="K72" s="33" t="n">
        <v>21.03</v>
      </c>
      <c r="L72" s="63" t="n">
        <v>0.421021021021021</v>
      </c>
      <c r="M72" s="64" t="n">
        <v>0</v>
      </c>
      <c r="N72" s="32" t="inlineStr">
        <is>
          <t>Active</t>
        </is>
      </c>
      <c r="O72" s="32" t="n"/>
      <c r="P72" s="65" t="n"/>
      <c r="Q72" s="64" t="n"/>
      <c r="R72" s="64" t="n"/>
      <c r="S72" s="64" t="n"/>
      <c r="T72" s="32" t="n"/>
    </row>
    <row r="73" ht="62" customHeight="1">
      <c r="A73" s="10">
        <f>_xlfn.IMAGE("https://m.media-amazon.com/images/I/81i0u4Y+8uL.jpg")</f>
        <v/>
      </c>
      <c r="B73" s="32" t="inlineStr">
        <is>
          <t>B0DDRFDBSP</t>
        </is>
      </c>
      <c r="C73" s="32" t="inlineStr">
        <is>
          <t>SS-SATIN-SAGE-GREEN-KING-4PCS</t>
        </is>
      </c>
      <c r="D73" s="32" t="inlineStr">
        <is>
          <t>SLEEP SANCTUARY Satin Sheets King Size – 4 Piece Luxury Silky Bed Set, Softer Than Silk, 15" Deep Pocket, Cooling &amp; Wrinkle-Free, Moisture-Wicking &amp; Breathable for Hair &amp; Skin (Sage Green)</t>
        </is>
      </c>
      <c r="E73" s="32" t="inlineStr">
        <is>
          <t>King</t>
        </is>
      </c>
      <c r="F73" s="32" t="inlineStr">
        <is>
          <t>Sage Green</t>
        </is>
      </c>
      <c r="G73" s="33" t="n"/>
      <c r="H73" s="32" t="n"/>
      <c r="I73" s="61" t="n">
        <v>61.6</v>
      </c>
      <c r="J73" s="62" t="inlineStr">
        <is>
          <t>2026-03-30</t>
        </is>
      </c>
      <c r="K73" s="33" t="n">
        <v>24.74</v>
      </c>
      <c r="L73" s="63" t="n">
        <v>0.4016233766233766</v>
      </c>
      <c r="M73" s="64" t="n"/>
      <c r="N73" s="32" t="inlineStr">
        <is>
          <t>Inactive</t>
        </is>
      </c>
      <c r="O73" s="32" t="n"/>
      <c r="P73" s="65" t="n"/>
      <c r="Q73" s="64" t="n"/>
      <c r="R73" s="64" t="n"/>
      <c r="S73" s="64" t="n"/>
      <c r="T73" s="32" t="n"/>
    </row>
    <row r="74" ht="62" customHeight="1">
      <c r="A74" s="10">
        <f>_xlfn.IMAGE("https://m.media-amazon.com/images/I/81qEq06R1GL.jpg")</f>
        <v/>
      </c>
      <c r="B74" s="32" t="inlineStr">
        <is>
          <t>B0DDR9FXWM</t>
        </is>
      </c>
      <c r="C74" s="32" t="inlineStr">
        <is>
          <t>SS-SATIN-STRIPED-BLACK-KING-4PCS</t>
        </is>
      </c>
      <c r="D74" s="32" t="inlineStr">
        <is>
          <t>SLEEP SANCTUARY Satin Sheets King Size – 4 Piece Luxury Silky Bed Set, Softer Than Silk, 15" Deep Pocket, Cooling &amp; Wrinkle-Free, Moisture-Wicking &amp; Breathable for Hair &amp; Skin (Striped Black)</t>
        </is>
      </c>
      <c r="E74" s="32" t="inlineStr">
        <is>
          <t>King</t>
        </is>
      </c>
      <c r="F74" s="32" t="inlineStr">
        <is>
          <t>Striped Black</t>
        </is>
      </c>
      <c r="G74" s="33" t="n"/>
      <c r="H74" s="32" t="n"/>
      <c r="I74" s="61" t="n">
        <v>61.16</v>
      </c>
      <c r="J74" s="62" t="inlineStr">
        <is>
          <t>2026-03-30</t>
        </is>
      </c>
      <c r="K74" s="33" t="n">
        <v>22.76</v>
      </c>
      <c r="L74" s="63" t="n">
        <v>0.3721386527141923</v>
      </c>
      <c r="M74" s="64" t="n"/>
      <c r="N74" s="32" t="inlineStr">
        <is>
          <t>Inactive</t>
        </is>
      </c>
      <c r="O74" s="32" t="n"/>
      <c r="P74" s="65" t="n"/>
      <c r="Q74" s="64" t="n"/>
      <c r="R74" s="64" t="n"/>
      <c r="S74" s="64" t="n"/>
      <c r="T74" s="32" t="n"/>
    </row>
    <row r="75" ht="62" customHeight="1">
      <c r="A75" s="10">
        <f>_xlfn.IMAGE("https://m.media-amazon.com/images/I/81IuYnZdF7L.jpg")</f>
        <v/>
      </c>
      <c r="B75" s="32" t="inlineStr">
        <is>
          <t>B0DDRKSQT2</t>
        </is>
      </c>
      <c r="C75" s="32" t="inlineStr">
        <is>
          <t>SS-SATIN-STRIPED-BLUE-KING-4PCS</t>
        </is>
      </c>
      <c r="D75" s="32" t="inlineStr">
        <is>
          <t>SLEEP SANCTUARY Satin Sheets King Size – 4 Piece Luxury Silky Bed Set, Softer Than Silk, 15" Deep Pocket, Cooling &amp; Wrinkle-Free, Moisture-Wicking &amp; Breathable for Hair &amp; Skin (Striped Blue)</t>
        </is>
      </c>
      <c r="E75" s="32" t="inlineStr">
        <is>
          <t>King</t>
        </is>
      </c>
      <c r="F75" s="32" t="inlineStr">
        <is>
          <t>Striped Blue</t>
        </is>
      </c>
      <c r="G75" s="33" t="n"/>
      <c r="H75" s="32" t="n"/>
      <c r="I75" s="61" t="n">
        <v>61.14</v>
      </c>
      <c r="J75" s="62" t="inlineStr">
        <is>
          <t>2026-03-16</t>
        </is>
      </c>
      <c r="K75" s="33" t="n">
        <v>28.22</v>
      </c>
      <c r="L75" s="63" t="n">
        <v>0.4615636244684331</v>
      </c>
      <c r="M75" s="64" t="n"/>
      <c r="N75" s="32" t="inlineStr">
        <is>
          <t>Inactive</t>
        </is>
      </c>
      <c r="O75" s="32" t="n"/>
      <c r="P75" s="65" t="n"/>
      <c r="Q75" s="64" t="n"/>
      <c r="R75" s="64" t="n"/>
      <c r="S75" s="64" t="n"/>
      <c r="T75" s="32" t="n"/>
    </row>
    <row r="76" ht="62" customHeight="1">
      <c r="A76" s="10">
        <f>_xlfn.IMAGE("https://m.media-amazon.com/images/I/81c0TeFW0bL.jpg")</f>
        <v/>
      </c>
      <c r="B76" s="32" t="inlineStr">
        <is>
          <t>B0DDQXKZK7</t>
        </is>
      </c>
      <c r="C76" s="32" t="inlineStr">
        <is>
          <t>SS-SATIN-STRIPED-GOLD-KING-4PCS</t>
        </is>
      </c>
      <c r="D76" s="32" t="inlineStr">
        <is>
          <t>Sleep Sanctuary Satin Sheets King Size – 4 Piece Luxury Silky Bed Set, Softer Than Silk, 15" Deep Pocket, Cooling &amp; Wrinkle-Free, Moisture-Wicking &amp; Breathable for Hair &amp; Skin (Striped Gold)</t>
        </is>
      </c>
      <c r="E76" s="32" t="inlineStr">
        <is>
          <t>King</t>
        </is>
      </c>
      <c r="F76" s="32" t="inlineStr">
        <is>
          <t>Striped Gold</t>
        </is>
      </c>
      <c r="G76" s="33" t="n"/>
      <c r="H76" s="32" t="n"/>
      <c r="I76" s="61" t="n">
        <v>61.14</v>
      </c>
      <c r="J76" s="62" t="inlineStr">
        <is>
          <t>2026-03-30</t>
        </is>
      </c>
      <c r="K76" s="33" t="n">
        <v>22.74</v>
      </c>
      <c r="L76" s="63" t="n">
        <v>0.3719332679097154</v>
      </c>
      <c r="M76" s="64" t="n">
        <v>0</v>
      </c>
      <c r="N76" s="32" t="inlineStr">
        <is>
          <t>Active</t>
        </is>
      </c>
      <c r="O76" s="32" t="n"/>
      <c r="P76" s="65" t="n"/>
      <c r="Q76" s="64" t="n"/>
      <c r="R76" s="64" t="n"/>
      <c r="S76" s="64" t="n"/>
      <c r="T76" s="32" t="n"/>
    </row>
    <row r="77" ht="62" customHeight="1">
      <c r="A77" s="10">
        <f>_xlfn.IMAGE("https://m.media-amazon.com/images/I/81zlU-hzNOL.jpg")</f>
        <v/>
      </c>
      <c r="B77" s="32" t="inlineStr">
        <is>
          <t>B0DDRHYXFM</t>
        </is>
      </c>
      <c r="C77" s="32" t="inlineStr">
        <is>
          <t>SS-SATIN-STRIPED-GREY-KING-4PCS</t>
        </is>
      </c>
      <c r="D77" s="32" t="inlineStr">
        <is>
          <t>Sleep Sanctuary Satin Sheets King Size – 4 Piece Luxury Silky Bed Set, Softer Than Silk, 15" Deep Pocket, Cooling &amp; Wrinkle-Free, Moisture-Wicking &amp; Breathable for Hair &amp; Skin (Striped Grey)</t>
        </is>
      </c>
      <c r="E77" s="32" t="inlineStr">
        <is>
          <t>King</t>
        </is>
      </c>
      <c r="F77" s="32" t="inlineStr">
        <is>
          <t>Striped Grey</t>
        </is>
      </c>
      <c r="G77" s="33" t="n"/>
      <c r="H77" s="32" t="n"/>
      <c r="I77" s="61" t="n">
        <v>49.95</v>
      </c>
      <c r="J77" s="62" t="inlineStr">
        <is>
          <t>2026-03-30</t>
        </is>
      </c>
      <c r="K77" s="33" t="n">
        <v>18.71</v>
      </c>
      <c r="L77" s="63" t="n">
        <v>0.3745745745745745</v>
      </c>
      <c r="M77" s="64" t="n">
        <v>0</v>
      </c>
      <c r="N77" s="32" t="inlineStr">
        <is>
          <t>Active</t>
        </is>
      </c>
      <c r="O77" s="32" t="n"/>
      <c r="P77" s="65" t="n"/>
      <c r="Q77" s="64" t="n"/>
      <c r="R77" s="64" t="n"/>
      <c r="S77" s="64" t="n"/>
      <c r="T77" s="32" t="n"/>
    </row>
    <row r="78" ht="62" customHeight="1">
      <c r="A78" s="10">
        <f>_xlfn.IMAGE("https://m.media-amazon.com/images/I/81VzFs1NSBL.jpg")</f>
        <v/>
      </c>
      <c r="B78" s="32" t="inlineStr">
        <is>
          <t>B0DDRKQYDW</t>
        </is>
      </c>
      <c r="C78" s="32" t="inlineStr">
        <is>
          <t>SS-SATIN-STRIPED-PINK-KING-4PCS</t>
        </is>
      </c>
      <c r="D78" s="32" t="inlineStr">
        <is>
          <t>SLEEP SANCTUARY Satin Sheets King Size – 4 Piece Luxury Silky Bed Set, Softer Than Silk, 15" Deep Pocket, Cooling &amp; Wrinkle-Free, Moisture-Wicking &amp; Breathable for Hair &amp; Skin (Striped Pink)</t>
        </is>
      </c>
      <c r="E78" s="32" t="inlineStr">
        <is>
          <t>King</t>
        </is>
      </c>
      <c r="F78" s="32" t="inlineStr">
        <is>
          <t>Striped Pink</t>
        </is>
      </c>
      <c r="G78" s="33" t="n"/>
      <c r="H78" s="32" t="n"/>
      <c r="I78" s="61" t="n">
        <v>61.01</v>
      </c>
      <c r="J78" s="62" t="inlineStr">
        <is>
          <t>2026-03-30</t>
        </is>
      </c>
      <c r="K78" s="33" t="n">
        <v>22.3</v>
      </c>
      <c r="L78" s="63" t="n">
        <v>0.3655138501884937</v>
      </c>
      <c r="M78" s="64" t="n">
        <v>0</v>
      </c>
      <c r="N78" s="32" t="inlineStr">
        <is>
          <t>Inactive</t>
        </is>
      </c>
      <c r="O78" s="32" t="n"/>
      <c r="P78" s="65" t="n"/>
      <c r="Q78" s="64" t="n"/>
      <c r="R78" s="64" t="n"/>
      <c r="S78" s="64" t="n"/>
      <c r="T78" s="32" t="n"/>
    </row>
    <row r="79" ht="62" customHeight="1">
      <c r="A79" s="10">
        <f>_xlfn.IMAGE("https://m.media-amazon.com/images/I/81qxRfk+zkL.jpg")</f>
        <v/>
      </c>
      <c r="B79" s="32" t="inlineStr">
        <is>
          <t>B0DDRDBWCG</t>
        </is>
      </c>
      <c r="C79" s="32" t="inlineStr">
        <is>
          <t>SS-SATIN-STRIPED-PURPLE-KING-4PCS</t>
        </is>
      </c>
      <c r="D79" s="32" t="inlineStr">
        <is>
          <t>SLEEP SANCTUARY Satin Sheets King Size – 4 Piece Luxury Silky Bed Set, Softer Than Silk, 15" Deep Pocket, Cooling &amp; Wrinkle-Free, Moisture-Wicking &amp; Breathable for Hair &amp; Skin (Striped Purple)</t>
        </is>
      </c>
      <c r="E79" s="32" t="inlineStr">
        <is>
          <t>King</t>
        </is>
      </c>
      <c r="F79" s="32" t="inlineStr">
        <is>
          <t>Striped Purple</t>
        </is>
      </c>
      <c r="G79" s="33" t="n"/>
      <c r="H79" s="32" t="n"/>
      <c r="I79" s="61" t="n">
        <v>61.16</v>
      </c>
      <c r="J79" s="62" t="inlineStr">
        <is>
          <t>2026-02-28</t>
        </is>
      </c>
      <c r="K79" s="33" t="n">
        <v>28.23999999999999</v>
      </c>
      <c r="L79" s="63" t="n">
        <v>0.461739699149771</v>
      </c>
      <c r="M79" s="64" t="n"/>
      <c r="N79" s="32" t="inlineStr">
        <is>
          <t>Inactive</t>
        </is>
      </c>
      <c r="O79" s="32" t="n"/>
      <c r="P79" s="65" t="n"/>
      <c r="Q79" s="64" t="n"/>
      <c r="R79" s="64" t="n"/>
      <c r="S79" s="64" t="n"/>
      <c r="T79" s="32" t="n"/>
    </row>
    <row r="80" ht="62" customHeight="1">
      <c r="A80" s="10">
        <f>_xlfn.IMAGE("https://m.media-amazon.com/images/I/81P2Ae6R78L.jpg")</f>
        <v/>
      </c>
      <c r="B80" s="32" t="inlineStr">
        <is>
          <t>B0DDRDMJCT</t>
        </is>
      </c>
      <c r="C80" s="32" t="inlineStr">
        <is>
          <t>SS-SATIN-STRIPED-RED-KING-4PCS</t>
        </is>
      </c>
      <c r="D80" s="32" t="inlineStr">
        <is>
          <t>Sleep Sanctuary Satin Sheets King Size – 4 Piece Luxury Silky Bed Set, Softer Than Silk, 15" Deep Pocket, Cooling &amp; Wrinkle-Free, Moisture-Wicking &amp; Breathable for Hair &amp; Skin (Striped Red)</t>
        </is>
      </c>
      <c r="E80" s="32" t="inlineStr">
        <is>
          <t>King</t>
        </is>
      </c>
      <c r="F80" s="32" t="inlineStr">
        <is>
          <t>Striped Red</t>
        </is>
      </c>
      <c r="G80" s="33" t="n"/>
      <c r="H80" s="32" t="n"/>
      <c r="I80" s="61" t="n">
        <v>61.1</v>
      </c>
      <c r="J80" s="62" t="inlineStr">
        <is>
          <t>2026-03-30</t>
        </is>
      </c>
      <c r="K80" s="33" t="n">
        <v>22.7</v>
      </c>
      <c r="L80" s="63" t="n">
        <v>0.3715220949263502</v>
      </c>
      <c r="M80" s="64" t="n">
        <v>0</v>
      </c>
      <c r="N80" s="32" t="inlineStr">
        <is>
          <t>Active</t>
        </is>
      </c>
      <c r="O80" s="32" t="n"/>
      <c r="P80" s="65" t="n"/>
      <c r="Q80" s="64" t="n"/>
      <c r="R80" s="64" t="n"/>
      <c r="S80" s="64" t="n"/>
      <c r="T80" s="32" t="n"/>
    </row>
    <row r="81" ht="62" customHeight="1">
      <c r="A81" s="10">
        <f>_xlfn.IMAGE("https://m.media-amazon.com/images/I/81bZ3S4CehL.jpg")</f>
        <v/>
      </c>
      <c r="B81" s="32" t="inlineStr">
        <is>
          <t>B0DDRF1Z4N</t>
        </is>
      </c>
      <c r="C81" s="32" t="inlineStr">
        <is>
          <t>SS-SATIN-TAUPE-KING-4PCS</t>
        </is>
      </c>
      <c r="D81" s="32" t="inlineStr">
        <is>
          <t>Sleep Sanctuary Satin Sheets King Size – 4 Piece Luxury Silky Bed Set, Softer Than Silk, 15" Deep Pocket, Cooling &amp; Wrinkle-Free, Moisture-Wicking &amp; Breathable for Hair &amp; Skin (Taupe)</t>
        </is>
      </c>
      <c r="E81" s="32" t="inlineStr">
        <is>
          <t>King</t>
        </is>
      </c>
      <c r="F81" s="32" t="inlineStr">
        <is>
          <t>Taupe</t>
        </is>
      </c>
      <c r="G81" s="33" t="n"/>
      <c r="H81" s="32" t="n"/>
      <c r="I81" s="61" t="n">
        <v>49.95</v>
      </c>
      <c r="J81" s="62" t="inlineStr">
        <is>
          <t>2026-03-30</t>
        </is>
      </c>
      <c r="K81" s="33" t="n">
        <v>20.79</v>
      </c>
      <c r="L81" s="63" t="n">
        <v>0.4162162162162162</v>
      </c>
      <c r="M81" s="64" t="n">
        <v>0</v>
      </c>
      <c r="N81" s="32" t="inlineStr">
        <is>
          <t>Active</t>
        </is>
      </c>
      <c r="O81" s="32" t="n"/>
      <c r="P81" s="65" t="n"/>
      <c r="Q81" s="64" t="n"/>
      <c r="R81" s="64" t="n"/>
      <c r="S81" s="64" t="n"/>
      <c r="T81" s="32" t="n"/>
    </row>
    <row r="82" ht="62" customHeight="1">
      <c r="A82" s="10">
        <f>_xlfn.IMAGE("https://m.media-amazon.com/images/I/81qEq06R1GL.jpg")</f>
        <v/>
      </c>
      <c r="B82" s="32" t="inlineStr">
        <is>
          <t>B0DDRFM554</t>
        </is>
      </c>
      <c r="C82" s="32" t="inlineStr">
        <is>
          <t>SS-SATIN-BABY-BLUE-QUEEN-4PCS</t>
        </is>
      </c>
      <c r="D82" s="32" t="inlineStr">
        <is>
          <t>Sleep Sanctuary Satin Sheets Queen Size – 4 Piece Luxury Silky Bed Set, Softer Than Silk, 15" Deep Pocket, Cooling &amp; Wrinkle-Free, Moisture-Wicking &amp; Breathable for Hair &amp; Skin (Baby Blue)</t>
        </is>
      </c>
      <c r="E82" s="32" t="inlineStr">
        <is>
          <t>Queen</t>
        </is>
      </c>
      <c r="F82" s="32" t="inlineStr">
        <is>
          <t>Baby Blue</t>
        </is>
      </c>
      <c r="G82" s="33" t="n"/>
      <c r="H82" s="32" t="n"/>
      <c r="I82" s="61" t="n">
        <v>46.95</v>
      </c>
      <c r="J82" s="62" t="inlineStr">
        <is>
          <t>2026-03-30</t>
        </is>
      </c>
      <c r="K82" s="33" t="n">
        <v>20.21000000000001</v>
      </c>
      <c r="L82" s="63" t="n">
        <v>0.4304579339723111</v>
      </c>
      <c r="M82" s="64" t="n">
        <v>0</v>
      </c>
      <c r="N82" s="32" t="inlineStr">
        <is>
          <t>Active</t>
        </is>
      </c>
      <c r="O82" s="32" t="n"/>
      <c r="P82" s="65" t="n"/>
      <c r="Q82" s="64" t="n"/>
      <c r="R82" s="64" t="n"/>
      <c r="S82" s="64" t="n"/>
      <c r="T82" s="32" t="n"/>
    </row>
    <row r="83" ht="62" customHeight="1">
      <c r="A83" s="10">
        <f>_xlfn.IMAGE("https://m.media-amazon.com/images/I/81qEq06R1GL.jpg")</f>
        <v/>
      </c>
      <c r="B83" s="32" t="inlineStr">
        <is>
          <t>B0DDR6C74S</t>
        </is>
      </c>
      <c r="C83" s="32" t="inlineStr">
        <is>
          <t>SS-SATIN-BLACK-QUEEN-4PCS</t>
        </is>
      </c>
      <c r="D83" s="32" t="inlineStr">
        <is>
          <t>SLEEP SANCTUARY Satin Sheets Queen Size – 4 Piece Luxury Silky Bed Set, Softer Than Silk, 15" Deep Pocket, Cooling &amp; Wrinkle-Free, Moisture-Wicking &amp; Breathable for Hair &amp; Skin (Black)</t>
        </is>
      </c>
      <c r="E83" s="32" t="inlineStr">
        <is>
          <t>Queen</t>
        </is>
      </c>
      <c r="F83" s="32" t="inlineStr">
        <is>
          <t>Black</t>
        </is>
      </c>
      <c r="G83" s="33" t="n"/>
      <c r="H83" s="32" t="n"/>
      <c r="I83" s="61" t="n">
        <v>46.95</v>
      </c>
      <c r="J83" s="62" t="inlineStr">
        <is>
          <t>2026-03-30</t>
        </is>
      </c>
      <c r="K83" s="33" t="n">
        <v>19.58000000000001</v>
      </c>
      <c r="L83" s="63" t="n">
        <v>0.4170394036208734</v>
      </c>
      <c r="M83" s="64" t="n"/>
      <c r="N83" s="32" t="inlineStr">
        <is>
          <t>Inactive</t>
        </is>
      </c>
      <c r="O83" s="32" t="n"/>
      <c r="P83" s="65" t="n"/>
      <c r="Q83" s="64" t="n"/>
      <c r="R83" s="64" t="n"/>
      <c r="S83" s="64" t="n"/>
      <c r="T83" s="32" t="n"/>
    </row>
    <row r="84" ht="62" customHeight="1">
      <c r="A84" s="10">
        <f>_xlfn.IMAGE("https://m.media-amazon.com/images/I/81UIBGaUe6L.jpg")</f>
        <v/>
      </c>
      <c r="B84" s="32" t="inlineStr">
        <is>
          <t>B0DDRNW3GF</t>
        </is>
      </c>
      <c r="C84" s="32" t="inlineStr">
        <is>
          <t>SS-SATIN-BLUE-QUEEN-4PCS</t>
        </is>
      </c>
      <c r="D84" s="32" t="inlineStr">
        <is>
          <t>Sleep Sanctuary Satin Sheets Queen Size – 4 Piece Luxury Silky Bed Set, Softer Than Silk, 15" Deep Pocket, Cooling &amp; Wrinkle-Free, Moisture-Wicking &amp; Breathable for Hair &amp; Skin (Blue)</t>
        </is>
      </c>
      <c r="E84" s="32" t="inlineStr">
        <is>
          <t>Queen</t>
        </is>
      </c>
      <c r="F84" s="32" t="inlineStr">
        <is>
          <t>Blue</t>
        </is>
      </c>
      <c r="G84" s="33" t="n"/>
      <c r="H84" s="32" t="n"/>
      <c r="I84" s="61" t="n">
        <v>46.95</v>
      </c>
      <c r="J84" s="62" t="inlineStr">
        <is>
          <t>2026-03-30</t>
        </is>
      </c>
      <c r="K84" s="33" t="n">
        <v>19.97000000000001</v>
      </c>
      <c r="L84" s="63" t="n">
        <v>0.4253461128860491</v>
      </c>
      <c r="M84" s="64" t="n">
        <v>0</v>
      </c>
      <c r="N84" s="32" t="inlineStr">
        <is>
          <t>Active</t>
        </is>
      </c>
      <c r="O84" s="32" t="n"/>
      <c r="P84" s="65" t="n"/>
      <c r="Q84" s="64" t="n"/>
      <c r="R84" s="64" t="n"/>
      <c r="S84" s="64" t="n"/>
      <c r="T84" s="32" t="n"/>
    </row>
    <row r="85" ht="62" customHeight="1">
      <c r="A85" s="10">
        <f>_xlfn.IMAGE("https://m.media-amazon.com/images/I/81-8fCPCUcL.jpg")</f>
        <v/>
      </c>
      <c r="B85" s="32" t="inlineStr">
        <is>
          <t>B0DDR1H4YM</t>
        </is>
      </c>
      <c r="C85" s="32" t="inlineStr">
        <is>
          <t>SS-SATIN-BLUSH-PINK-QUEEN-4PCS</t>
        </is>
      </c>
      <c r="D85" s="32" t="inlineStr">
        <is>
          <t>Sleep Sanctuary Satin Sheets Queen Size – 4 Piece Luxury Silky Bed Set, Softer Than Silk, 15" Deep Pocket, Cooling &amp; Wrinkle-Free, Moisture-Wicking &amp; Breathable for Hair &amp; Skin (Blush Pink)</t>
        </is>
      </c>
      <c r="E85" s="32" t="inlineStr">
        <is>
          <t>Queen</t>
        </is>
      </c>
      <c r="F85" s="32" t="inlineStr">
        <is>
          <t>Blush Pink</t>
        </is>
      </c>
      <c r="G85" s="33" t="n"/>
      <c r="H85" s="32" t="n"/>
      <c r="I85" s="61" t="n">
        <v>46.95</v>
      </c>
      <c r="J85" s="62" t="inlineStr">
        <is>
          <t>2026-03-30</t>
        </is>
      </c>
      <c r="K85" s="33" t="n">
        <v>20.21000000000001</v>
      </c>
      <c r="L85" s="63" t="n">
        <v>0.4304579339723111</v>
      </c>
      <c r="M85" s="64" t="n">
        <v>0</v>
      </c>
      <c r="N85" s="32" t="inlineStr">
        <is>
          <t>Active</t>
        </is>
      </c>
      <c r="O85" s="32" t="n"/>
      <c r="P85" s="65" t="n"/>
      <c r="Q85" s="64" t="n"/>
      <c r="R85" s="64" t="n"/>
      <c r="S85" s="64" t="n"/>
      <c r="T85" s="32" t="n"/>
    </row>
    <row r="86" ht="62" customHeight="1">
      <c r="A86" s="10">
        <f>_xlfn.IMAGE("https://m.media-amazon.com/images/I/81q5RxTETDL.jpg")</f>
        <v/>
      </c>
      <c r="B86" s="32" t="inlineStr">
        <is>
          <t>B0DDRB8PG4</t>
        </is>
      </c>
      <c r="C86" s="32" t="inlineStr">
        <is>
          <t>SS-SATIN-BURNT-ORANGE-QUEEN-4PCS</t>
        </is>
      </c>
      <c r="D86" s="32" t="inlineStr">
        <is>
          <t>SLEEP SANCTUARY Satin Sheets Queen Size – 4 Piece Luxury Silky Bed Set, Softer Than Silk, 15" Deep Pocket, Cooling &amp; Wrinkle-Free, Moisture-Wicking &amp; Breathable for Hair &amp; Skin (Burnt Orange)</t>
        </is>
      </c>
      <c r="E86" s="32" t="inlineStr">
        <is>
          <t>Queen</t>
        </is>
      </c>
      <c r="F86" s="32" t="inlineStr">
        <is>
          <t>Burnt Orange</t>
        </is>
      </c>
      <c r="G86" s="33" t="n"/>
      <c r="H86" s="32" t="n"/>
      <c r="I86" s="61" t="n">
        <v>57.82</v>
      </c>
      <c r="J86" s="62" t="inlineStr">
        <is>
          <t>2026-03-30</t>
        </is>
      </c>
      <c r="K86" s="33" t="n">
        <v>23.02</v>
      </c>
      <c r="L86" s="63" t="n">
        <v>0.398132134209616</v>
      </c>
      <c r="M86" s="64" t="n"/>
      <c r="N86" s="32" t="inlineStr">
        <is>
          <t>Inactive</t>
        </is>
      </c>
      <c r="O86" s="32" t="n"/>
      <c r="P86" s="65" t="n"/>
      <c r="Q86" s="64" t="n"/>
      <c r="R86" s="64" t="n"/>
      <c r="S86" s="64" t="n"/>
      <c r="T86" s="32" t="n"/>
    </row>
    <row r="87" ht="62" customHeight="1">
      <c r="A87" s="10">
        <f>_xlfn.IMAGE("https://m.media-amazon.com/images/I/817pb6oL4YL.jpg")</f>
        <v/>
      </c>
      <c r="B87" s="32" t="inlineStr">
        <is>
          <t>B0DDR1YLCM</t>
        </is>
      </c>
      <c r="C87" s="32" t="inlineStr">
        <is>
          <t>SS-SATIN-CHAMPAGNE-QUEEN-4PCS</t>
        </is>
      </c>
      <c r="D87" s="32" t="inlineStr">
        <is>
          <t>Sleep Sanctuary Satin Sheets Queen Size – 4 Piece Luxury Silky Bed Set, Softer Than Silk, 15" Deep Pocket, Cooling &amp; Wrinkle-Free, Moisture-Wicking &amp; Breathable for Hair &amp; Skin (Champagne)</t>
        </is>
      </c>
      <c r="E87" s="32" t="inlineStr">
        <is>
          <t>Queen</t>
        </is>
      </c>
      <c r="F87" s="32" t="inlineStr">
        <is>
          <t>Champagne</t>
        </is>
      </c>
      <c r="G87" s="33" t="n"/>
      <c r="H87" s="32" t="n"/>
      <c r="I87" s="61" t="n">
        <v>46.95</v>
      </c>
      <c r="J87" s="62" t="inlineStr">
        <is>
          <t>2026-03-30</t>
        </is>
      </c>
      <c r="K87" s="33" t="n">
        <v>20.21000000000001</v>
      </c>
      <c r="L87" s="63" t="n">
        <v>0.4304579339723111</v>
      </c>
      <c r="M87" s="64" t="n">
        <v>0</v>
      </c>
      <c r="N87" s="32" t="inlineStr">
        <is>
          <t>Active</t>
        </is>
      </c>
      <c r="O87" s="32" t="n"/>
      <c r="P87" s="65" t="n"/>
      <c r="Q87" s="64" t="n"/>
      <c r="R87" s="64" t="n"/>
      <c r="S87" s="64" t="n"/>
      <c r="T87" s="32" t="n"/>
    </row>
    <row r="88" ht="62" customHeight="1">
      <c r="A88" s="10">
        <f>_xlfn.IMAGE("https://m.media-amazon.com/images/I/81aclCTpoYL.jpg")</f>
        <v/>
      </c>
      <c r="B88" s="32" t="inlineStr">
        <is>
          <t>B0DDRGZYZD</t>
        </is>
      </c>
      <c r="C88" s="32" t="inlineStr">
        <is>
          <t>SS-SATIN-DARK-GREEN-QUEEN-4PCS</t>
        </is>
      </c>
      <c r="D88" s="32" t="inlineStr">
        <is>
          <t>Sleep Sanctuary Satin Sheets Queen Size – 4 Piece Luxury Silky Bed Set, Softer Than Silk, 15" Deep Pocket, Cooling &amp; Wrinkle-Free, Moisture-Wicking &amp; Breathable for Hair &amp; Skin (Dark Green)</t>
        </is>
      </c>
      <c r="E88" s="32" t="inlineStr">
        <is>
          <t>Queen</t>
        </is>
      </c>
      <c r="F88" s="32" t="inlineStr">
        <is>
          <t>Dark Green</t>
        </is>
      </c>
      <c r="G88" s="33" t="n"/>
      <c r="H88" s="32" t="n"/>
      <c r="I88" s="61" t="n">
        <v>46.95</v>
      </c>
      <c r="J88" s="62" t="inlineStr">
        <is>
          <t>2026-03-30</t>
        </is>
      </c>
      <c r="K88" s="33" t="n">
        <v>20.3</v>
      </c>
      <c r="L88" s="63" t="n">
        <v>0.4323748668796593</v>
      </c>
      <c r="M88" s="64" t="n">
        <v>0</v>
      </c>
      <c r="N88" s="32" t="inlineStr">
        <is>
          <t>Active</t>
        </is>
      </c>
      <c r="O88" s="32" t="n"/>
      <c r="P88" s="65" t="n"/>
      <c r="Q88" s="64" t="n"/>
      <c r="R88" s="64" t="n"/>
      <c r="S88" s="64" t="n"/>
      <c r="T88" s="32" t="n"/>
    </row>
    <row r="89" ht="62" customHeight="1">
      <c r="A89" s="10">
        <f>_xlfn.IMAGE("https://m.media-amazon.com/images/I/81AE8h7l4-L.jpg")</f>
        <v/>
      </c>
      <c r="B89" s="32" t="inlineStr">
        <is>
          <t>B0DDRHPKDV</t>
        </is>
      </c>
      <c r="C89" s="32" t="inlineStr">
        <is>
          <t>SS-SATIN-GOLD-QUEEN-4PCS</t>
        </is>
      </c>
      <c r="D89" s="32" t="inlineStr">
        <is>
          <t>Sleep Sanctuary Satin Sheets Queen Size – 4 Piece Luxury Silky Bed Set, Softer Than Silk, 15" Deep Pocket, Cooling &amp; Wrinkle-Free, Moisture-Wicking &amp; Breathable for Hair &amp; Skin (Gold)</t>
        </is>
      </c>
      <c r="E89" s="32" t="inlineStr">
        <is>
          <t>Queen</t>
        </is>
      </c>
      <c r="F89" s="32" t="inlineStr">
        <is>
          <t>Gold</t>
        </is>
      </c>
      <c r="G89" s="33" t="n"/>
      <c r="H89" s="32" t="n"/>
      <c r="I89" s="61" t="n">
        <v>46.95</v>
      </c>
      <c r="J89" s="62" t="inlineStr">
        <is>
          <t>2026-03-30</t>
        </is>
      </c>
      <c r="K89" s="33" t="n">
        <v>19.97000000000001</v>
      </c>
      <c r="L89" s="63" t="n">
        <v>0.4253461128860491</v>
      </c>
      <c r="M89" s="64" t="n">
        <v>0</v>
      </c>
      <c r="N89" s="32" t="inlineStr">
        <is>
          <t>Active</t>
        </is>
      </c>
      <c r="O89" s="32" t="n"/>
      <c r="P89" s="65" t="n"/>
      <c r="Q89" s="64" t="n"/>
      <c r="R89" s="64" t="n"/>
      <c r="S89" s="64" t="n"/>
      <c r="T89" s="32" t="n"/>
    </row>
    <row r="90" ht="62" customHeight="1">
      <c r="A90" s="10">
        <f>_xlfn.IMAGE("https://m.media-amazon.com/images/I/81P2vrHt+-L.jpg")</f>
        <v/>
      </c>
      <c r="B90" s="32" t="inlineStr">
        <is>
          <t>B0DDRF591L</t>
        </is>
      </c>
      <c r="C90" s="32" t="inlineStr">
        <is>
          <t>SS-SATIN-GREY-QUEEN-4PCS</t>
        </is>
      </c>
      <c r="D90" s="32" t="inlineStr">
        <is>
          <t>SLEEP SANCTUARY Satin Sheets Queen Size – 4 Piece Luxury Silky Bed Set, Softer Than Silk, 15" Deep Pocket, Cooling &amp; Wrinkle-Free, Moisture-Wicking &amp; Breathable for Hair &amp; Skin (Grey-01)</t>
        </is>
      </c>
      <c r="E90" s="32" t="inlineStr">
        <is>
          <t>Queen</t>
        </is>
      </c>
      <c r="F90" s="32" t="inlineStr">
        <is>
          <t>Grey</t>
        </is>
      </c>
      <c r="G90" s="33" t="n"/>
      <c r="H90" s="32" t="n"/>
      <c r="I90" s="61" t="n">
        <v>57.52</v>
      </c>
      <c r="J90" s="62" t="inlineStr">
        <is>
          <t>2026-03-30</t>
        </is>
      </c>
      <c r="K90" s="33" t="n">
        <v>22.87</v>
      </c>
      <c r="L90" s="63" t="n">
        <v>0.3976008344923506</v>
      </c>
      <c r="M90" s="64" t="n"/>
      <c r="N90" s="32" t="inlineStr">
        <is>
          <t>Inactive</t>
        </is>
      </c>
      <c r="O90" s="32" t="n"/>
      <c r="P90" s="65" t="n"/>
      <c r="Q90" s="64" t="n"/>
      <c r="R90" s="64" t="n"/>
      <c r="S90" s="64" t="n"/>
      <c r="T90" s="32" t="n"/>
    </row>
    <row r="91" ht="62" customHeight="1">
      <c r="A91" s="10">
        <f>_xlfn.IMAGE("https://m.media-amazon.com/images/I/81eHsiCwxyL.jpg")</f>
        <v/>
      </c>
      <c r="B91" s="32" t="inlineStr">
        <is>
          <t>B0DDRHN5JH</t>
        </is>
      </c>
      <c r="C91" s="32" t="inlineStr">
        <is>
          <t>SS-SATIN-IVORY-QUEEN-4PCS</t>
        </is>
      </c>
      <c r="D91" s="32" t="inlineStr">
        <is>
          <t>Sleep Sanctuary Satin Sheets Queen Size – 4 Piece Luxury Silky Bed Set, Softer Than Silk, 15" Deep Pocket, Cooling &amp; Wrinkle-Free, Moisture-Wicking &amp; Breathable for Hair &amp; Skin (Ivory)</t>
        </is>
      </c>
      <c r="E91" s="32" t="inlineStr">
        <is>
          <t>Queen</t>
        </is>
      </c>
      <c r="F91" s="32" t="inlineStr">
        <is>
          <t>Ivory</t>
        </is>
      </c>
      <c r="G91" s="33" t="n"/>
      <c r="H91" s="32" t="n"/>
      <c r="I91" s="61" t="n">
        <v>46.95</v>
      </c>
      <c r="J91" s="62" t="inlineStr">
        <is>
          <t>2026-03-30</t>
        </is>
      </c>
      <c r="K91" s="33" t="n">
        <v>20.21000000000001</v>
      </c>
      <c r="L91" s="63" t="n">
        <v>0.4304579339723111</v>
      </c>
      <c r="M91" s="64" t="n">
        <v>0</v>
      </c>
      <c r="N91" s="32" t="inlineStr">
        <is>
          <t>Active</t>
        </is>
      </c>
      <c r="O91" s="32" t="n"/>
      <c r="P91" s="65" t="n"/>
      <c r="Q91" s="64" t="n"/>
      <c r="R91" s="64" t="n"/>
      <c r="S91" s="64" t="n"/>
      <c r="T91" s="32" t="n"/>
    </row>
    <row r="92" ht="62" customHeight="1">
      <c r="A92" s="10">
        <f>_xlfn.IMAGE("https://m.media-amazon.com/images/I/81ttAeO-RjL.jpg")</f>
        <v/>
      </c>
      <c r="B92" s="32" t="inlineStr">
        <is>
          <t>B0DDRHLV1C</t>
        </is>
      </c>
      <c r="C92" s="32" t="inlineStr">
        <is>
          <t>SS-SATIN-LAVENDER-QUEEN-4PCS</t>
        </is>
      </c>
      <c r="D92" s="32" t="inlineStr">
        <is>
          <t>Sleep Sanctuary Satin Sheets Queen Size – 4 Piece Luxury Silky Bed Set, Softer Than Silk, 15" Deep Pocket, Cooling &amp; Wrinkle-Free, Moisture-Wicking &amp; Breathable for Hair &amp; Skin (Lavender)</t>
        </is>
      </c>
      <c r="E92" s="32" t="inlineStr">
        <is>
          <t>Queen</t>
        </is>
      </c>
      <c r="F92" s="32" t="inlineStr">
        <is>
          <t>Lavender</t>
        </is>
      </c>
      <c r="G92" s="33" t="n"/>
      <c r="H92" s="32" t="n"/>
      <c r="I92" s="61" t="n">
        <v>46.95</v>
      </c>
      <c r="J92" s="62" t="inlineStr">
        <is>
          <t>2026-03-30</t>
        </is>
      </c>
      <c r="K92" s="33" t="n">
        <v>20.07</v>
      </c>
      <c r="L92" s="63" t="n">
        <v>0.4274760383386582</v>
      </c>
      <c r="M92" s="64" t="n">
        <v>0</v>
      </c>
      <c r="N92" s="32" t="inlineStr">
        <is>
          <t>Active</t>
        </is>
      </c>
      <c r="O92" s="32" t="n"/>
      <c r="P92" s="65" t="n"/>
      <c r="Q92" s="64" t="n"/>
      <c r="R92" s="64" t="n"/>
      <c r="S92" s="64" t="n"/>
      <c r="T92" s="32" t="n"/>
    </row>
    <row r="93" ht="62" customHeight="1">
      <c r="A93" s="10">
        <f>_xlfn.IMAGE("https://m.media-amazon.com/images/I/81n6eJJsrGL.jpg")</f>
        <v/>
      </c>
      <c r="B93" s="32" t="inlineStr">
        <is>
          <t>B0DDRD7JM2</t>
        </is>
      </c>
      <c r="C93" s="32" t="inlineStr">
        <is>
          <t>SS-SATIN-RED-QUEEN-4PCS</t>
        </is>
      </c>
      <c r="D93" s="32" t="inlineStr">
        <is>
          <t>Sleep Sanctuary Satin Sheets Queen Size – 4 Piece Luxury Silky Bed Set, Softer Than Silk, 15" Deep Pocket, Cooling &amp; Wrinkle-Free, Moisture-Wicking &amp; Breathable for Hair &amp; Skin (Red)</t>
        </is>
      </c>
      <c r="E93" s="32" t="inlineStr">
        <is>
          <t>Queen</t>
        </is>
      </c>
      <c r="F93" s="32" t="inlineStr">
        <is>
          <t>Red</t>
        </is>
      </c>
      <c r="G93" s="33" t="n"/>
      <c r="H93" s="32" t="n"/>
      <c r="I93" s="61" t="n">
        <v>46.95</v>
      </c>
      <c r="J93" s="62" t="inlineStr">
        <is>
          <t>2026-03-30</t>
        </is>
      </c>
      <c r="K93" s="33" t="n">
        <v>20.39000000000001</v>
      </c>
      <c r="L93" s="63" t="n">
        <v>0.4342917997870076</v>
      </c>
      <c r="M93" s="64" t="n">
        <v>0</v>
      </c>
      <c r="N93" s="32" t="inlineStr">
        <is>
          <t>Active</t>
        </is>
      </c>
      <c r="O93" s="32" t="n"/>
      <c r="P93" s="65" t="n"/>
      <c r="Q93" s="64" t="n"/>
      <c r="R93" s="64" t="n"/>
      <c r="S93" s="64" t="n"/>
      <c r="T93" s="32" t="n"/>
    </row>
    <row r="94" ht="62" customHeight="1">
      <c r="A94" s="10">
        <f>_xlfn.IMAGE("https://m.media-amazon.com/images/I/81vHqIiWdYL.jpg")</f>
        <v/>
      </c>
      <c r="B94" s="32" t="inlineStr">
        <is>
          <t>B0DDR5VW96</t>
        </is>
      </c>
      <c r="C94" s="32" t="inlineStr">
        <is>
          <t>SS-SATIN-ROSEWOOD-QUEEN-4PCS</t>
        </is>
      </c>
      <c r="D94" s="32" t="inlineStr">
        <is>
          <t>SLEEP SANCTUARY Satin Sheets Queen Size – 4 Piece Luxury Silky Bed Set, Softer Than Silk, 15" Deep Pocket, Cooling &amp; Wrinkle-Free, Moisture-Wicking &amp; Breathable for Hair &amp; Skin (Rosewood)</t>
        </is>
      </c>
      <c r="E94" s="32" t="inlineStr">
        <is>
          <t>Queen</t>
        </is>
      </c>
      <c r="F94" s="32" t="inlineStr">
        <is>
          <t>Rosewood</t>
        </is>
      </c>
      <c r="G94" s="33" t="n"/>
      <c r="H94" s="32" t="n"/>
      <c r="I94" s="61" t="n">
        <v>46.95</v>
      </c>
      <c r="J94" s="62" t="inlineStr">
        <is>
          <t>2026-03-30</t>
        </is>
      </c>
      <c r="K94" s="33" t="n">
        <v>21.18000000000001</v>
      </c>
      <c r="L94" s="63" t="n">
        <v>0.45111821086262</v>
      </c>
      <c r="M94" s="64" t="n"/>
      <c r="N94" s="32" t="inlineStr">
        <is>
          <t>Inactive</t>
        </is>
      </c>
      <c r="O94" s="32" t="n"/>
      <c r="P94" s="65" t="n"/>
      <c r="Q94" s="64" t="n"/>
      <c r="R94" s="64" t="n"/>
      <c r="S94" s="64" t="n"/>
      <c r="T94" s="32" t="n"/>
    </row>
    <row r="95" ht="62" customHeight="1">
      <c r="A95" s="10">
        <f>_xlfn.IMAGE("https://m.media-amazon.com/images/I/81iohyoFldL.jpg")</f>
        <v/>
      </c>
      <c r="B95" s="32" t="inlineStr">
        <is>
          <t>B0DDR5K4KK</t>
        </is>
      </c>
      <c r="C95" s="32" t="inlineStr">
        <is>
          <t>SS-SATIN-SAGE-GREEN-QUEEN-4PCS</t>
        </is>
      </c>
      <c r="D95" s="32" t="inlineStr">
        <is>
          <t>Sleep Sanctuary Satin Sheets Queen Size – 4 Piece Luxury Silky Bed Set, Softer Than Silk, 15" Deep Pocket, Cooling &amp; Wrinkle-Free, Moisture-Wicking &amp; Breathable for Hair &amp; Skin (Sage Green)</t>
        </is>
      </c>
      <c r="E95" s="32" t="inlineStr">
        <is>
          <t>Queen</t>
        </is>
      </c>
      <c r="F95" s="32" t="inlineStr">
        <is>
          <t>Sage Green</t>
        </is>
      </c>
      <c r="G95" s="33" t="n"/>
      <c r="H95" s="32" t="n"/>
      <c r="I95" s="61" t="n">
        <v>46.95</v>
      </c>
      <c r="J95" s="62" t="inlineStr">
        <is>
          <t>2026-03-30</t>
        </is>
      </c>
      <c r="K95" s="33" t="n">
        <v>19.98</v>
      </c>
      <c r="L95" s="63" t="n">
        <v>0.42555910543131</v>
      </c>
      <c r="M95" s="64" t="n">
        <v>0</v>
      </c>
      <c r="N95" s="32" t="inlineStr">
        <is>
          <t>Active</t>
        </is>
      </c>
      <c r="O95" s="32" t="n"/>
      <c r="P95" s="65" t="n"/>
      <c r="Q95" s="64" t="n"/>
      <c r="R95" s="64" t="n"/>
      <c r="S95" s="64" t="n"/>
      <c r="T95" s="32" t="n"/>
    </row>
    <row r="96" ht="62" customHeight="1">
      <c r="A96" s="10">
        <f>_xlfn.IMAGE("https://m.media-amazon.com/images/I/81B6BzVilhL.jpg")</f>
        <v/>
      </c>
      <c r="B96" s="32" t="inlineStr">
        <is>
          <t>B0DDRDPMNM</t>
        </is>
      </c>
      <c r="C96" s="32" t="inlineStr">
        <is>
          <t>SS-SATIN-SEA-TEAL-QUEEN-4PCS</t>
        </is>
      </c>
      <c r="D96" s="32" t="inlineStr">
        <is>
          <t>SLEEP SANCTUARY Satin Sheets Queen Size – 4 Piece Luxury Silky Bed Set, Softer Than Silk, 15" Deep Pocket, Cooling &amp; Wrinkle-Free, Moisture-Wicking &amp; Breathable for Hair &amp; Skin (Sea Teal)</t>
        </is>
      </c>
      <c r="E96" s="32" t="inlineStr">
        <is>
          <t>Queen</t>
        </is>
      </c>
      <c r="F96" s="32" t="inlineStr">
        <is>
          <t>Sea Teal</t>
        </is>
      </c>
      <c r="G96" s="33" t="n"/>
      <c r="H96" s="32" t="n"/>
      <c r="I96" s="33" t="n"/>
      <c r="J96" s="32" t="n"/>
      <c r="K96" s="33" t="n"/>
      <c r="L96" s="63" t="n"/>
      <c r="M96" s="64" t="n"/>
      <c r="N96" s="32" t="inlineStr">
        <is>
          <t>Inactive</t>
        </is>
      </c>
      <c r="O96" s="32" t="n"/>
      <c r="P96" s="65" t="n"/>
      <c r="Q96" s="64" t="n"/>
      <c r="R96" s="64" t="n"/>
      <c r="S96" s="64" t="n"/>
      <c r="T96" s="32" t="n"/>
    </row>
    <row r="97" ht="62" customHeight="1">
      <c r="A97" s="10">
        <f>_xlfn.IMAGE("https://m.media-amazon.com/images/I/81qEq06R1GL.jpg")</f>
        <v/>
      </c>
      <c r="B97" s="32" t="inlineStr">
        <is>
          <t>B0DDQV5F8M</t>
        </is>
      </c>
      <c r="C97" s="32" t="inlineStr">
        <is>
          <t>SS-SATIN-STRIPED-BLACK-QUEEN-4PCS</t>
        </is>
      </c>
      <c r="D97" s="32" t="inlineStr">
        <is>
          <t>SLEEP SANCTUARY Satin Sheets Queen Size – 4 Piece Luxury Silky Bed Set, Softer Than Silk, 15" Deep Pocket, Cooling &amp; Wrinkle-Free, Moisture-Wicking &amp; Breathable for Hair &amp; Skin (Striped Black)</t>
        </is>
      </c>
      <c r="E97" s="32" t="inlineStr">
        <is>
          <t>Queen</t>
        </is>
      </c>
      <c r="F97" s="32" t="inlineStr">
        <is>
          <t>Striped Black</t>
        </is>
      </c>
      <c r="G97" s="33" t="n"/>
      <c r="H97" s="32" t="n"/>
      <c r="I97" s="33" t="n"/>
      <c r="J97" s="32" t="n"/>
      <c r="K97" s="33" t="n"/>
      <c r="L97" s="63" t="n"/>
      <c r="M97" s="64" t="n"/>
      <c r="N97" s="32" t="inlineStr">
        <is>
          <t>Inactive</t>
        </is>
      </c>
      <c r="O97" s="32" t="n"/>
      <c r="P97" s="65" t="n"/>
      <c r="Q97" s="64" t="n"/>
      <c r="R97" s="64" t="n"/>
      <c r="S97" s="64" t="n"/>
      <c r="T97" s="32" t="n"/>
    </row>
    <row r="98" ht="62" customHeight="1">
      <c r="A98" s="10">
        <f>_xlfn.IMAGE("https://m.media-amazon.com/images/I/81jL7DOnYOL.jpg")</f>
        <v/>
      </c>
      <c r="B98" s="32" t="inlineStr">
        <is>
          <t>B0DDR3M171</t>
        </is>
      </c>
      <c r="C98" s="32" t="inlineStr">
        <is>
          <t>SS-SATIN-STRIPED-BLUE-QUEEN-4PCS</t>
        </is>
      </c>
      <c r="D98" s="32" t="inlineStr">
        <is>
          <t>Sleep Sanctuary Satin Sheets Queen Size – 4 Piece Luxury Silky Bed Set, Softer Than Silk, 15" Deep Pocket, Cooling &amp; Wrinkle-Free, Moisture-Wicking &amp; Breathable for Hair &amp; Skin (Striped Blue)</t>
        </is>
      </c>
      <c r="E98" s="32" t="inlineStr">
        <is>
          <t>Queen</t>
        </is>
      </c>
      <c r="F98" s="32" t="inlineStr">
        <is>
          <t>Striped Blue</t>
        </is>
      </c>
      <c r="G98" s="33" t="n"/>
      <c r="H98" s="32" t="n"/>
      <c r="I98" s="61" t="n">
        <v>57.25</v>
      </c>
      <c r="J98" s="62" t="inlineStr">
        <is>
          <t>2026-03-30</t>
        </is>
      </c>
      <c r="K98" s="33" t="n">
        <v>20.47</v>
      </c>
      <c r="L98" s="63" t="n">
        <v>0.3575545851528384</v>
      </c>
      <c r="M98" s="64" t="n">
        <v>0</v>
      </c>
      <c r="N98" s="32" t="inlineStr">
        <is>
          <t>Active</t>
        </is>
      </c>
      <c r="O98" s="32" t="n"/>
      <c r="P98" s="65" t="n"/>
      <c r="Q98" s="64" t="n"/>
      <c r="R98" s="64" t="n"/>
      <c r="S98" s="64" t="n"/>
      <c r="T98" s="32" t="n"/>
    </row>
    <row r="99" ht="62" customHeight="1">
      <c r="A99" s="10">
        <f>_xlfn.IMAGE("https://m.media-amazon.com/images/I/81c0TeFW0bL.jpg")</f>
        <v/>
      </c>
      <c r="B99" s="32" t="inlineStr">
        <is>
          <t>B0DDRB21ZG</t>
        </is>
      </c>
      <c r="C99" s="32" t="inlineStr">
        <is>
          <t>SS-SATIN-STRIPED-GOLD-QUEEN-4PCS</t>
        </is>
      </c>
      <c r="D99" s="32" t="inlineStr">
        <is>
          <t>Sleep Sanctuary Satin Sheets Queen Size – 4 Piece Luxury Silky Bed Set, Softer Than Silk, 15" Deep Pocket, Cooling &amp; Wrinkle-Free, Moisture-Wicking &amp; Breathable for Hair &amp; Skin (Striped Gold)</t>
        </is>
      </c>
      <c r="E99" s="32" t="inlineStr">
        <is>
          <t>Queen</t>
        </is>
      </c>
      <c r="F99" s="32" t="inlineStr">
        <is>
          <t>Striped Gold</t>
        </is>
      </c>
      <c r="G99" s="33" t="n"/>
      <c r="H99" s="32" t="n"/>
      <c r="I99" s="61" t="n">
        <v>57.22</v>
      </c>
      <c r="J99" s="62" t="inlineStr">
        <is>
          <t>2026-03-30</t>
        </is>
      </c>
      <c r="K99" s="33" t="n">
        <v>20.45</v>
      </c>
      <c r="L99" s="63" t="n">
        <v>0.357392520097868</v>
      </c>
      <c r="M99" s="64" t="n"/>
      <c r="N99" s="32" t="inlineStr">
        <is>
          <t>Active</t>
        </is>
      </c>
      <c r="O99" s="32" t="n"/>
      <c r="P99" s="65" t="n"/>
      <c r="Q99" s="64" t="n"/>
      <c r="R99" s="64" t="n"/>
      <c r="S99" s="64" t="n"/>
      <c r="T99" s="32" t="n"/>
    </row>
    <row r="100" ht="62" customHeight="1">
      <c r="A100" s="10">
        <f>_xlfn.IMAGE("https://m.media-amazon.com/images/I/81EuG0SlLvL.jpg")</f>
        <v/>
      </c>
      <c r="B100" s="32" t="inlineStr">
        <is>
          <t>B0DDR3NYFT</t>
        </is>
      </c>
      <c r="C100" s="32" t="inlineStr">
        <is>
          <t>SS-SATIN-STRIPED-GREY-QUEEN-4PCS</t>
        </is>
      </c>
      <c r="D100" s="32" t="inlineStr">
        <is>
          <t>SLEEP SANCTUARY Satin Sheets Queen Size – 4 Piece Luxury Silky Bed Set, Softer Than Silk, 15" Deep Pocket, Cooling &amp; Wrinkle-Free, Moisture-Wicking &amp; Breathable for Hair &amp; Skin (Striped Grey)</t>
        </is>
      </c>
      <c r="E100" s="32" t="inlineStr">
        <is>
          <t>Queen</t>
        </is>
      </c>
      <c r="F100" s="32" t="inlineStr">
        <is>
          <t>Striped Grey</t>
        </is>
      </c>
      <c r="G100" s="33" t="n"/>
      <c r="H100" s="32" t="n"/>
      <c r="I100" s="61" t="n">
        <v>46.95</v>
      </c>
      <c r="J100" s="62" t="inlineStr">
        <is>
          <t>2026-03-30</t>
        </is>
      </c>
      <c r="K100" s="33" t="n">
        <v>17.25</v>
      </c>
      <c r="L100" s="63" t="n">
        <v>0.36741214057508</v>
      </c>
      <c r="M100" s="64" t="n"/>
      <c r="N100" s="32" t="inlineStr">
        <is>
          <t>Inactive</t>
        </is>
      </c>
      <c r="O100" s="32" t="n"/>
      <c r="P100" s="65" t="n"/>
      <c r="Q100" s="64" t="n"/>
      <c r="R100" s="64" t="n"/>
      <c r="S100" s="64" t="n"/>
      <c r="T100" s="32" t="n"/>
    </row>
    <row r="101" ht="62" customHeight="1">
      <c r="A101" s="10">
        <f>_xlfn.IMAGE("https://m.media-amazon.com/images/I/81oQ5+OPoZL.jpg")</f>
        <v/>
      </c>
      <c r="B101" s="32" t="inlineStr">
        <is>
          <t>B0DDR3WWT1</t>
        </is>
      </c>
      <c r="C101" s="32" t="inlineStr">
        <is>
          <t>SS-SATIN-STRIPED-PINK-QUEEN-4PCS</t>
        </is>
      </c>
      <c r="D101" s="32" t="inlineStr">
        <is>
          <t>Sleep Sanctuary Satin Sheets Queen Size – 4 Piece Luxury Silky Bed Set, Softer Than Silk, 15" Deep Pocket, Cooling &amp; Wrinkle-Free, Moisture-Wicking &amp; Breathable for Hair &amp; Skin (Striped Pink)</t>
        </is>
      </c>
      <c r="E101" s="32" t="inlineStr">
        <is>
          <t>Queen</t>
        </is>
      </c>
      <c r="F101" s="32" t="inlineStr">
        <is>
          <t>Striped Pink</t>
        </is>
      </c>
      <c r="G101" s="33" t="n"/>
      <c r="H101" s="32" t="n"/>
      <c r="I101" s="61" t="n">
        <v>57.06</v>
      </c>
      <c r="J101" s="62" t="inlineStr">
        <is>
          <t>2026-03-30</t>
        </is>
      </c>
      <c r="K101" s="33" t="n">
        <v>20.09</v>
      </c>
      <c r="L101" s="63" t="n">
        <v>0.3520855240098143</v>
      </c>
      <c r="M101" s="64" t="n">
        <v>0</v>
      </c>
      <c r="N101" s="32" t="inlineStr">
        <is>
          <t>Active</t>
        </is>
      </c>
      <c r="O101" s="32" t="n"/>
      <c r="P101" s="65" t="n"/>
      <c r="Q101" s="64" t="n"/>
      <c r="R101" s="64" t="n"/>
      <c r="S101" s="64" t="n"/>
      <c r="T101" s="32" t="n"/>
    </row>
    <row r="102" ht="62" customHeight="1">
      <c r="A102" s="10">
        <f>_xlfn.IMAGE("https://m.media-amazon.com/images/I/81qxRfk+zkL.jpg")</f>
        <v/>
      </c>
      <c r="B102" s="32" t="inlineStr">
        <is>
          <t>B0DDRC33TZ</t>
        </is>
      </c>
      <c r="C102" s="32" t="inlineStr">
        <is>
          <t>SS-SATIN-STRIPED-PURPLE-QUEEN-4PCS</t>
        </is>
      </c>
      <c r="D102" s="32" t="inlineStr">
        <is>
          <t>SLEEP SANCTUARY Satin Sheets Queen Size – 4 Piece Luxury Silky Bed Set, Softer Than Silk, 15" Deep Pocket, Cooling &amp; Wrinkle-Free, Moisture-Wicking &amp; Breathable for Hair &amp; Skin (Striped Purple)</t>
        </is>
      </c>
      <c r="E102" s="32" t="inlineStr">
        <is>
          <t>Queen</t>
        </is>
      </c>
      <c r="F102" s="32" t="inlineStr">
        <is>
          <t>Striped Purple</t>
        </is>
      </c>
      <c r="G102" s="33" t="n"/>
      <c r="H102" s="32" t="n"/>
      <c r="I102" s="61" t="n">
        <v>57.25</v>
      </c>
      <c r="J102" s="62" t="inlineStr">
        <is>
          <t>2026-03-30</t>
        </is>
      </c>
      <c r="K102" s="33" t="n">
        <v>20.36</v>
      </c>
      <c r="L102" s="63" t="n">
        <v>0.3556331877729257</v>
      </c>
      <c r="M102" s="64" t="n"/>
      <c r="N102" s="32" t="inlineStr">
        <is>
          <t>Inactive</t>
        </is>
      </c>
      <c r="O102" s="32" t="n"/>
      <c r="P102" s="65" t="n"/>
      <c r="Q102" s="64" t="n"/>
      <c r="R102" s="64" t="n"/>
      <c r="S102" s="64" t="n"/>
      <c r="T102" s="32" t="n"/>
    </row>
    <row r="103" ht="62" customHeight="1">
      <c r="A103" s="10">
        <f>_xlfn.IMAGE("https://m.media-amazon.com/images/I/81P2Ae6R78L.jpg")</f>
        <v/>
      </c>
      <c r="B103" s="32" t="inlineStr">
        <is>
          <t>B0DDR852CS</t>
        </is>
      </c>
      <c r="C103" s="32" t="inlineStr">
        <is>
          <t>SS-SATIN-STRIPED-RED-QUEEN-4PCS</t>
        </is>
      </c>
      <c r="D103" s="32" t="inlineStr">
        <is>
          <t>Sleep Sanctuary Satin Sheets Queen Size – 4 Piece Luxury Silky Bed Set, Softer Than Silk, 15" Deep Pocket, Cooling &amp; Wrinkle-Free, Moisture-Wicking &amp; Breathable for Hair &amp; Skin (Striped Red)</t>
        </is>
      </c>
      <c r="E103" s="32" t="inlineStr">
        <is>
          <t>Queen</t>
        </is>
      </c>
      <c r="F103" s="32" t="inlineStr">
        <is>
          <t>Striped Red</t>
        </is>
      </c>
      <c r="G103" s="33" t="n"/>
      <c r="H103" s="32" t="n"/>
      <c r="I103" s="61" t="n">
        <v>57.06</v>
      </c>
      <c r="J103" s="62" t="inlineStr">
        <is>
          <t>2026-03-30</t>
        </is>
      </c>
      <c r="K103" s="33" t="n">
        <v>20.31</v>
      </c>
      <c r="L103" s="63" t="n">
        <v>0.3559411146161935</v>
      </c>
      <c r="M103" s="64" t="n">
        <v>0</v>
      </c>
      <c r="N103" s="32" t="inlineStr">
        <is>
          <t>Active</t>
        </is>
      </c>
      <c r="O103" s="32" t="n"/>
      <c r="P103" s="65" t="n"/>
      <c r="Q103" s="64" t="n"/>
      <c r="R103" s="64" t="n"/>
      <c r="S103" s="64" t="n"/>
      <c r="T103" s="32" t="n"/>
    </row>
    <row r="104" ht="62" customHeight="1">
      <c r="A104" s="10">
        <f>_xlfn.IMAGE("https://m.media-amazon.com/images/I/81umFKx0vnL.jpg")</f>
        <v/>
      </c>
      <c r="B104" s="32" t="inlineStr">
        <is>
          <t>B0DDR1X5B9</t>
        </is>
      </c>
      <c r="C104" s="32" t="inlineStr">
        <is>
          <t>SS-SATIN-STRIPED-WHITE-QUEEN-4PCS</t>
        </is>
      </c>
      <c r="D104" s="32" t="inlineStr">
        <is>
          <t>SLEEP SANCTUARY Satin Sheets Queen Size – 4 Piece Luxury Silky Bed Set, Softer Than Silk, 15" Deep Pocket, Cooling &amp; Wrinkle-Free, Moisture-Wicking &amp; Breathable for Hair &amp; Skin (Striped White)</t>
        </is>
      </c>
      <c r="E104" s="32" t="inlineStr">
        <is>
          <t>Queen</t>
        </is>
      </c>
      <c r="F104" s="32" t="inlineStr">
        <is>
          <t>Striped White</t>
        </is>
      </c>
      <c r="G104" s="33" t="n"/>
      <c r="H104" s="32" t="n"/>
      <c r="I104" s="61" t="n">
        <v>57.12</v>
      </c>
      <c r="J104" s="62" t="inlineStr">
        <is>
          <t>2026-03-30</t>
        </is>
      </c>
      <c r="K104" s="33" t="n">
        <v>20.36</v>
      </c>
      <c r="L104" s="63" t="n">
        <v>0.3564425770308123</v>
      </c>
      <c r="M104" s="64" t="n"/>
      <c r="N104" s="32" t="inlineStr">
        <is>
          <t>Inactive</t>
        </is>
      </c>
      <c r="O104" s="32" t="n"/>
      <c r="P104" s="65" t="n"/>
      <c r="Q104" s="64" t="n"/>
      <c r="R104" s="64" t="n"/>
      <c r="S104" s="64" t="n"/>
      <c r="T104" s="32" t="n"/>
    </row>
    <row r="105" ht="62" customHeight="1">
      <c r="A105" s="10">
        <f>_xlfn.IMAGE("https://m.media-amazon.com/images/I/81bZ3S4CehL.jpg")</f>
        <v/>
      </c>
      <c r="B105" s="32" t="inlineStr">
        <is>
          <t>B0DDR4V4XB</t>
        </is>
      </c>
      <c r="C105" s="32" t="inlineStr">
        <is>
          <t>SS-SATIN-TAUPE-QUEEN-4PCS</t>
        </is>
      </c>
      <c r="D105" s="32" t="inlineStr">
        <is>
          <t>Sleep Sanctuary Satin Sheets Queen Size – 4 Piece Luxury Silky Bed Set, Softer Than Silk, 15" Deep Pocket, Cooling &amp; Wrinkle-Free, Moisture-Wicking &amp; Breathable for Hair &amp; Skin (Taupe)</t>
        </is>
      </c>
      <c r="E105" s="32" t="inlineStr">
        <is>
          <t>Queen</t>
        </is>
      </c>
      <c r="F105" s="32" t="inlineStr">
        <is>
          <t>Taupe</t>
        </is>
      </c>
      <c r="G105" s="33" t="n"/>
      <c r="H105" s="32" t="n"/>
      <c r="I105" s="61" t="n">
        <v>46.95</v>
      </c>
      <c r="J105" s="62" t="inlineStr">
        <is>
          <t>2026-03-30</t>
        </is>
      </c>
      <c r="K105" s="33" t="n">
        <v>19.57000000000001</v>
      </c>
      <c r="L105" s="63" t="n">
        <v>0.4168264110756125</v>
      </c>
      <c r="M105" s="64" t="n">
        <v>0</v>
      </c>
      <c r="N105" s="32" t="inlineStr">
        <is>
          <t>Active</t>
        </is>
      </c>
      <c r="O105" s="32" t="n"/>
      <c r="P105" s="65" t="n"/>
      <c r="Q105" s="64" t="n"/>
      <c r="R105" s="64" t="n"/>
      <c r="S105" s="64" t="n"/>
      <c r="T105" s="32" t="n"/>
    </row>
    <row r="106" ht="62" customHeight="1">
      <c r="A106" s="10">
        <f>_xlfn.IMAGE("https://m.media-amazon.com/images/I/818RX-kt6VL.jpg")</f>
        <v/>
      </c>
      <c r="B106" s="32" t="inlineStr">
        <is>
          <t>B0DDR1DYR6</t>
        </is>
      </c>
      <c r="C106" s="32" t="inlineStr">
        <is>
          <t>SS-SATIN-WHITE-QUEEN-4PCS</t>
        </is>
      </c>
      <c r="D106" s="32" t="inlineStr">
        <is>
          <t>SLEEP SANCTUARY Satin Sheets Queen Size – 4 Piece Luxury Silky Bed Set, Softer Than Silk, 15" Deep Pocket, Cooling &amp; Wrinkle-Free, Moisture-Wicking &amp; Breathable for Hair &amp; Skin (White)</t>
        </is>
      </c>
      <c r="E106" s="32" t="inlineStr">
        <is>
          <t>Queen</t>
        </is>
      </c>
      <c r="F106" s="32" t="inlineStr">
        <is>
          <t>White</t>
        </is>
      </c>
      <c r="G106" s="33" t="n"/>
      <c r="H106" s="32" t="n"/>
      <c r="I106" s="61" t="n">
        <v>57.52</v>
      </c>
      <c r="J106" s="62" t="inlineStr">
        <is>
          <t>2026-03-30</t>
        </is>
      </c>
      <c r="K106" s="33" t="n">
        <v>23.12</v>
      </c>
      <c r="L106" s="63" t="n">
        <v>0.4019471488178026</v>
      </c>
      <c r="M106" s="64" t="n">
        <v>0</v>
      </c>
      <c r="N106" s="32" t="inlineStr">
        <is>
          <t>Inactive</t>
        </is>
      </c>
      <c r="O106" s="32" t="n"/>
      <c r="P106" s="65" t="n"/>
      <c r="Q106" s="64" t="n"/>
      <c r="R106" s="64" t="n"/>
      <c r="S106" s="64" t="n"/>
      <c r="T106" s="32" t="n"/>
    </row>
    <row r="107" ht="62" customHeight="1">
      <c r="A107" s="10">
        <f>_xlfn.IMAGE("https://m.media-amazon.com/images/I/81qEq06R1GL.jpg")</f>
        <v/>
      </c>
      <c r="B107" s="32" t="inlineStr">
        <is>
          <t>B0DDR9ZDTW</t>
        </is>
      </c>
      <c r="C107" s="32" t="inlineStr">
        <is>
          <t>SS-SATIN-BABY-BLUE-TWIN-3PCS</t>
        </is>
      </c>
      <c r="D107" s="32" t="inlineStr">
        <is>
          <t>SLEEP SANCTUARY Satin Sheets Twin Size – 3 Piece Luxury Silky Bed Set, Softer Than Silk, 15" Deep Pocket, Cooling &amp; Wrinkle-Free, Moisture-Wicking &amp; Breathable for Hair &amp; Skin (Baby Blue)</t>
        </is>
      </c>
      <c r="E107" s="32" t="inlineStr">
        <is>
          <t>Twin</t>
        </is>
      </c>
      <c r="F107" s="32" t="inlineStr">
        <is>
          <t>Baby Blue</t>
        </is>
      </c>
      <c r="G107" s="33" t="n"/>
      <c r="H107" s="32" t="n"/>
      <c r="I107" s="61" t="n">
        <v>50.07</v>
      </c>
      <c r="J107" s="62" t="inlineStr">
        <is>
          <t>2026-03-30</t>
        </is>
      </c>
      <c r="K107" s="33" t="n">
        <v>19.14</v>
      </c>
      <c r="L107" s="63" t="n">
        <v>0.3822648292390654</v>
      </c>
      <c r="M107" s="64" t="n"/>
      <c r="N107" s="32" t="inlineStr">
        <is>
          <t>Inactive</t>
        </is>
      </c>
      <c r="O107" s="32" t="n"/>
      <c r="P107" s="65" t="n"/>
      <c r="Q107" s="64" t="n"/>
      <c r="R107" s="64" t="n"/>
      <c r="S107" s="64" t="n"/>
      <c r="T107" s="32" t="n"/>
    </row>
    <row r="108" ht="62" customHeight="1">
      <c r="A108" s="10">
        <f>_xlfn.IMAGE("https://m.media-amazon.com/images/I/81qEq06R1GL.jpg")</f>
        <v/>
      </c>
      <c r="B108" s="32" t="inlineStr">
        <is>
          <t>B0DDRCSW2N</t>
        </is>
      </c>
      <c r="C108" s="32" t="inlineStr">
        <is>
          <t>SS-SATIN-BLACK-TWIN-3PCS</t>
        </is>
      </c>
      <c r="D108" s="32" t="inlineStr">
        <is>
          <t>SLEEP SANCTUARY Satin Sheets Twin Size – 3 Piece Luxury Silky Bed Set, Softer Than Silk, 15" Deep Pocket, Cooling &amp; Wrinkle-Free, Moisture-Wicking &amp; Breathable for Hair &amp; Skin (Black)</t>
        </is>
      </c>
      <c r="E108" s="32" t="inlineStr">
        <is>
          <t>Twin</t>
        </is>
      </c>
      <c r="F108" s="32" t="inlineStr">
        <is>
          <t>Black</t>
        </is>
      </c>
      <c r="G108" s="33" t="n"/>
      <c r="H108" s="32" t="n"/>
      <c r="I108" s="61" t="n">
        <v>41.95</v>
      </c>
      <c r="J108" s="62" t="inlineStr">
        <is>
          <t>2026-03-30</t>
        </is>
      </c>
      <c r="K108" s="33" t="n">
        <v>19.59</v>
      </c>
      <c r="L108" s="63" t="n">
        <v>0.466984505363528</v>
      </c>
      <c r="M108" s="64" t="n"/>
      <c r="N108" s="32" t="inlineStr">
        <is>
          <t>Inactive</t>
        </is>
      </c>
      <c r="O108" s="32" t="n"/>
      <c r="P108" s="65" t="n"/>
      <c r="Q108" s="64" t="n"/>
      <c r="R108" s="64" t="n"/>
      <c r="S108" s="64" t="n"/>
      <c r="T108" s="32" t="n"/>
    </row>
    <row r="109" ht="62" customHeight="1">
      <c r="A109" s="10">
        <f>_xlfn.IMAGE("https://m.media-amazon.com/images/I/81eHFzmJ3fL.jpg")</f>
        <v/>
      </c>
      <c r="B109" s="32" t="inlineStr">
        <is>
          <t>B0DDR3QB2L</t>
        </is>
      </c>
      <c r="C109" s="32" t="inlineStr">
        <is>
          <t>SS-SATIN-BLUE-TWIN-3PCS</t>
        </is>
      </c>
      <c r="D109" s="32" t="inlineStr">
        <is>
          <t>Sleep Sanctuary Satin Sheets Twin Size – 3 Piece Luxury Silky Bed Set, Softer Than Silk, 15" Deep Pocket, Cooling &amp; Wrinkle-Free, Moisture-Wicking &amp; Breathable for Hair &amp; Skin (Blue)</t>
        </is>
      </c>
      <c r="E109" s="32" t="inlineStr">
        <is>
          <t>Twin</t>
        </is>
      </c>
      <c r="F109" s="32" t="inlineStr">
        <is>
          <t>Blue</t>
        </is>
      </c>
      <c r="G109" s="33" t="n"/>
      <c r="H109" s="32" t="n"/>
      <c r="I109" s="61" t="n">
        <v>41.95</v>
      </c>
      <c r="J109" s="62" t="inlineStr">
        <is>
          <t>2026-03-30</t>
        </is>
      </c>
      <c r="K109" s="33" t="n">
        <v>18.28</v>
      </c>
      <c r="L109" s="63" t="n">
        <v>0.4357568533969012</v>
      </c>
      <c r="M109" s="64" t="n">
        <v>0</v>
      </c>
      <c r="N109" s="32" t="inlineStr">
        <is>
          <t>Active</t>
        </is>
      </c>
      <c r="O109" s="32" t="n"/>
      <c r="P109" s="65" t="n"/>
      <c r="Q109" s="64" t="n"/>
      <c r="R109" s="64" t="n"/>
      <c r="S109" s="64" t="n"/>
      <c r="T109" s="32" t="n"/>
    </row>
    <row r="110" ht="62" customHeight="1">
      <c r="A110" s="10">
        <f>_xlfn.IMAGE("https://m.media-amazon.com/images/I/81ScJDSQPTL.jpg")</f>
        <v/>
      </c>
      <c r="B110" s="32" t="inlineStr">
        <is>
          <t>B0DDRM24KV</t>
        </is>
      </c>
      <c r="C110" s="32" t="inlineStr">
        <is>
          <t>SS-SATIN-BLUSH-PINK-TWIN-3PCS</t>
        </is>
      </c>
      <c r="D110" s="32" t="inlineStr">
        <is>
          <t>Sleep Sanctuary Satin Sheets Twin Size – 3 Piece Luxury Silky Bed Set, Softer Than Silk, 15" Deep Pocket, Cooling &amp; Wrinkle-Free, Moisture-Wicking &amp; Breathable for Hair &amp; Skin (Blush Pink)</t>
        </is>
      </c>
      <c r="E110" s="32" t="inlineStr">
        <is>
          <t>Twin</t>
        </is>
      </c>
      <c r="F110" s="32" t="inlineStr">
        <is>
          <t>Blush Pink</t>
        </is>
      </c>
      <c r="G110" s="33" t="n"/>
      <c r="H110" s="32" t="n"/>
      <c r="I110" s="61" t="n">
        <v>51.08</v>
      </c>
      <c r="J110" s="62" t="inlineStr">
        <is>
          <t>2026-03-30</t>
        </is>
      </c>
      <c r="K110" s="33" t="n">
        <v>20</v>
      </c>
      <c r="L110" s="63" t="n">
        <v>0.3915426781519187</v>
      </c>
      <c r="M110" s="64" t="n"/>
      <c r="N110" s="32" t="inlineStr">
        <is>
          <t>Active</t>
        </is>
      </c>
      <c r="O110" s="32" t="n"/>
      <c r="P110" s="65" t="n"/>
      <c r="Q110" s="64" t="n"/>
      <c r="R110" s="64" t="n"/>
      <c r="S110" s="64" t="n"/>
      <c r="T110" s="32" t="n"/>
    </row>
    <row r="111" ht="62" customHeight="1">
      <c r="A111" s="10">
        <f>_xlfn.IMAGE("https://m.media-amazon.com/images/I/81q5RxTETDL.jpg")</f>
        <v/>
      </c>
      <c r="B111" s="32" t="inlineStr">
        <is>
          <t>B0DDRF485L</t>
        </is>
      </c>
      <c r="C111" s="32" t="inlineStr">
        <is>
          <t>SS-SATIN-BURNT-ORANGE-TWIN-3PCS</t>
        </is>
      </c>
      <c r="D111" s="32" t="inlineStr">
        <is>
          <t>Sleep Sanctuary Satin Sheets Twin Size – 3 Piece Luxury Silky Bed Set, Softer Than Silk, 15" Deep Pocket, Cooling &amp; Wrinkle-Free, Moisture-Wicking &amp; Breathable for Hair &amp; Skin (Burnt Orange)</t>
        </is>
      </c>
      <c r="E111" s="32" t="inlineStr">
        <is>
          <t>Twin</t>
        </is>
      </c>
      <c r="F111" s="32" t="inlineStr">
        <is>
          <t>Burnt Orange</t>
        </is>
      </c>
      <c r="G111" s="33" t="n"/>
      <c r="H111" s="32" t="n"/>
      <c r="I111" s="61" t="n">
        <v>41.95</v>
      </c>
      <c r="J111" s="62" t="inlineStr">
        <is>
          <t>2026-03-30</t>
        </is>
      </c>
      <c r="K111" s="33" t="n">
        <v>18.83</v>
      </c>
      <c r="L111" s="63" t="n">
        <v>0.4488676996424315</v>
      </c>
      <c r="M111" s="64" t="n"/>
      <c r="N111" s="32" t="inlineStr">
        <is>
          <t>Active</t>
        </is>
      </c>
      <c r="O111" s="32" t="n"/>
      <c r="P111" s="65" t="n"/>
      <c r="Q111" s="64" t="n"/>
      <c r="R111" s="64" t="n"/>
      <c r="S111" s="64" t="n"/>
      <c r="T111" s="32" t="n"/>
    </row>
    <row r="112" ht="62" customHeight="1">
      <c r="A112" s="10">
        <f>_xlfn.IMAGE("https://m.media-amazon.com/images/I/81dWPG6osuL.jpg")</f>
        <v/>
      </c>
      <c r="B112" s="32" t="inlineStr">
        <is>
          <t>B0DDR96RQ3</t>
        </is>
      </c>
      <c r="C112" s="32" t="inlineStr">
        <is>
          <t>SS-SATIN-CHAMPAGNE-TWIN-3PCS</t>
        </is>
      </c>
      <c r="D112" s="32" t="inlineStr">
        <is>
          <t>Sleep Sanctuary Satin Sheets Twin Size – 3 Piece Luxury Silky Bed Set, Softer Than Silk, 15" Deep Pocket, Cooling &amp; Wrinkle-Free, Moisture-Wicking &amp; Breathable for Hair &amp; Skin (Champagne)</t>
        </is>
      </c>
      <c r="E112" s="32" t="inlineStr">
        <is>
          <t>Twin</t>
        </is>
      </c>
      <c r="F112" s="32" t="inlineStr">
        <is>
          <t>Champagne</t>
        </is>
      </c>
      <c r="G112" s="33" t="n"/>
      <c r="H112" s="32" t="n"/>
      <c r="I112" s="61" t="n">
        <v>50.12</v>
      </c>
      <c r="J112" s="62" t="inlineStr">
        <is>
          <t>2026-03-30</t>
        </is>
      </c>
      <c r="K112" s="33" t="n">
        <v>20.41999999999999</v>
      </c>
      <c r="L112" s="63" t="n">
        <v>0.4074221867517956</v>
      </c>
      <c r="M112" s="64" t="n">
        <v>0</v>
      </c>
      <c r="N112" s="32" t="inlineStr">
        <is>
          <t>Active</t>
        </is>
      </c>
      <c r="O112" s="32" t="n"/>
      <c r="P112" s="65" t="n"/>
      <c r="Q112" s="64" t="n"/>
      <c r="R112" s="64" t="n"/>
      <c r="S112" s="64" t="n"/>
      <c r="T112" s="32" t="n"/>
    </row>
    <row r="113" ht="62" customHeight="1">
      <c r="A113" s="10">
        <f>_xlfn.IMAGE("https://m.media-amazon.com/images/I/81J3uOru1eL.jpg")</f>
        <v/>
      </c>
      <c r="B113" s="32" t="inlineStr">
        <is>
          <t>B0DDRDWVK1</t>
        </is>
      </c>
      <c r="C113" s="32" t="inlineStr">
        <is>
          <t>SS-SATIN-DARK-GREEN-TWIN-3PCS</t>
        </is>
      </c>
      <c r="D113" s="32" t="inlineStr">
        <is>
          <t>Sleep Sanctuary Satin Sheets Twin Size – 3 Piece Luxury Silky Bed Set, Softer Than Silk, 15" Deep Pocket, Cooling &amp; Wrinkle-Free, Moisture-Wicking &amp; Breathable for Hair &amp; Skin (Dark Green)</t>
        </is>
      </c>
      <c r="E113" s="32" t="inlineStr">
        <is>
          <t>Twin</t>
        </is>
      </c>
      <c r="F113" s="32" t="inlineStr">
        <is>
          <t>Dark Green</t>
        </is>
      </c>
      <c r="G113" s="33" t="n"/>
      <c r="H113" s="32" t="n"/>
      <c r="I113" s="61" t="n">
        <v>50.18</v>
      </c>
      <c r="J113" s="62" t="inlineStr">
        <is>
          <t>2026-03-30</t>
        </is>
      </c>
      <c r="K113" s="33" t="n">
        <v>20.47</v>
      </c>
      <c r="L113" s="63" t="n">
        <v>0.4079314467915504</v>
      </c>
      <c r="M113" s="64" t="n"/>
      <c r="N113" s="32" t="inlineStr">
        <is>
          <t>Active</t>
        </is>
      </c>
      <c r="O113" s="32" t="n"/>
      <c r="P113" s="65" t="n"/>
      <c r="Q113" s="64" t="n"/>
      <c r="R113" s="64" t="n"/>
      <c r="S113" s="64" t="n"/>
      <c r="T113" s="32" t="n"/>
    </row>
    <row r="114" ht="62" customHeight="1">
      <c r="A114" s="10">
        <f>_xlfn.IMAGE("https://m.media-amazon.com/images/I/81+JI5+UtKL.jpg")</f>
        <v/>
      </c>
      <c r="B114" s="32" t="inlineStr">
        <is>
          <t>B0DDR15FTY</t>
        </is>
      </c>
      <c r="C114" s="32" t="inlineStr">
        <is>
          <t>SS-SATIN-GOLD-TWIN-3PCS</t>
        </is>
      </c>
      <c r="D114" s="32" t="inlineStr">
        <is>
          <t>Sleep Sanctuary Satin Sheets Twin Size – 3 Piece Luxury Silky Bed Set, Softer Than Silk, 15" Deep Pocket, Cooling &amp; Wrinkle-Free, Moisture-Wicking &amp; Breathable for Hair &amp; Skin (Gold)</t>
        </is>
      </c>
      <c r="E114" s="32" t="inlineStr">
        <is>
          <t>Twin</t>
        </is>
      </c>
      <c r="F114" s="32" t="inlineStr">
        <is>
          <t>Gold</t>
        </is>
      </c>
      <c r="G114" s="33" t="n"/>
      <c r="H114" s="32" t="n"/>
      <c r="I114" s="61" t="n">
        <v>50.12</v>
      </c>
      <c r="J114" s="62" t="inlineStr">
        <is>
          <t>2026-03-30</t>
        </is>
      </c>
      <c r="K114" s="33" t="n">
        <v>20.13999999999999</v>
      </c>
      <c r="L114" s="63" t="n">
        <v>0.4018355945730246</v>
      </c>
      <c r="M114" s="64" t="n"/>
      <c r="N114" s="32" t="inlineStr">
        <is>
          <t>Active</t>
        </is>
      </c>
      <c r="O114" s="32" t="n"/>
      <c r="P114" s="65" t="n"/>
      <c r="Q114" s="64" t="n"/>
      <c r="R114" s="64" t="n"/>
      <c r="S114" s="64" t="n"/>
      <c r="T114" s="32" t="n"/>
    </row>
    <row r="115" ht="62" customHeight="1">
      <c r="A115" s="10">
        <f>_xlfn.IMAGE("https://m.media-amazon.com/images/I/81TG-RmUYiL.jpg")</f>
        <v/>
      </c>
      <c r="B115" s="32" t="inlineStr">
        <is>
          <t>B0DDRDYFFX</t>
        </is>
      </c>
      <c r="C115" s="32" t="inlineStr">
        <is>
          <t>SS-SATIN-GREY-TWIN-3PCS</t>
        </is>
      </c>
      <c r="D115" s="32" t="inlineStr">
        <is>
          <t>Sleep Sanctuary Satin Sheets Twin Size – 3 Piece Luxury Silky Bed Set, Softer Than Silk, 15" Deep Pocket, Cooling &amp; Wrinkle-Free, Moisture-Wicking &amp; Breathable for Hair &amp; Skin (Grey)</t>
        </is>
      </c>
      <c r="E115" s="32" t="inlineStr">
        <is>
          <t>Twin</t>
        </is>
      </c>
      <c r="F115" s="32" t="inlineStr">
        <is>
          <t>Grey</t>
        </is>
      </c>
      <c r="G115" s="33" t="n"/>
      <c r="H115" s="32" t="n"/>
      <c r="I115" s="61" t="n">
        <v>41.95</v>
      </c>
      <c r="J115" s="62" t="inlineStr">
        <is>
          <t>2026-03-30</t>
        </is>
      </c>
      <c r="K115" s="33" t="n">
        <v>18.28</v>
      </c>
      <c r="L115" s="63" t="n">
        <v>0.4357568533969012</v>
      </c>
      <c r="M115" s="64" t="n"/>
      <c r="N115" s="32" t="inlineStr">
        <is>
          <t>Active</t>
        </is>
      </c>
      <c r="O115" s="32" t="n"/>
      <c r="P115" s="65" t="n"/>
      <c r="Q115" s="64" t="n"/>
      <c r="R115" s="64" t="n"/>
      <c r="S115" s="64" t="n"/>
      <c r="T115" s="32" t="n"/>
    </row>
    <row r="116" ht="62" customHeight="1">
      <c r="A116" s="10">
        <f>_xlfn.IMAGE("https://m.media-amazon.com/images/I/81ZPG1HQdFL.jpg")</f>
        <v/>
      </c>
      <c r="B116" s="32" t="inlineStr">
        <is>
          <t>B0DDR4QMK1</t>
        </is>
      </c>
      <c r="C116" s="32" t="inlineStr">
        <is>
          <t>SS-SATIN-IVORY-TWIN-3PCS</t>
        </is>
      </c>
      <c r="D116" s="32" t="inlineStr">
        <is>
          <t>Sleep Sanctuary Satin Sheets Twin Size – 3 Piece Luxury Silky Bed Set, Softer Than Silk, 15" Deep Pocket, Cooling &amp; Wrinkle-Free, Moisture-Wicking &amp; Breathable for Hair &amp; Skin (Ivory)</t>
        </is>
      </c>
      <c r="E116" s="32" t="inlineStr">
        <is>
          <t>Twin</t>
        </is>
      </c>
      <c r="F116" s="32" t="inlineStr">
        <is>
          <t>Ivory</t>
        </is>
      </c>
      <c r="G116" s="33" t="n"/>
      <c r="H116" s="32" t="n"/>
      <c r="I116" s="61" t="n">
        <v>41.95</v>
      </c>
      <c r="J116" s="62" t="inlineStr">
        <is>
          <t>2026-03-30</t>
        </is>
      </c>
      <c r="K116" s="33" t="n">
        <v>18.83</v>
      </c>
      <c r="L116" s="63" t="n">
        <v>0.4488676996424315</v>
      </c>
      <c r="M116" s="64" t="n"/>
      <c r="N116" s="32" t="inlineStr">
        <is>
          <t>Active</t>
        </is>
      </c>
      <c r="O116" s="32" t="n"/>
      <c r="P116" s="65" t="n"/>
      <c r="Q116" s="64" t="n"/>
      <c r="R116" s="64" t="n"/>
      <c r="S116" s="64" t="n"/>
      <c r="T116" s="32" t="n"/>
    </row>
    <row r="117" ht="62" customHeight="1">
      <c r="A117" s="10">
        <f>_xlfn.IMAGE("https://m.media-amazon.com/images/I/81XKFWjDgKL.jpg")</f>
        <v/>
      </c>
      <c r="B117" s="32" t="inlineStr">
        <is>
          <t>B0DDRC2CDX</t>
        </is>
      </c>
      <c r="C117" s="32" t="inlineStr">
        <is>
          <t>SS-SATIN-PINK-TWIN-3PCS</t>
        </is>
      </c>
      <c r="D117" s="32" t="inlineStr">
        <is>
          <t>Sleep Sanctuary Satin Sheets Twin Size – 3 Piece Luxury Silky Bed Set, Softer Than Silk, 15" Deep Pocket, Cooling &amp; Wrinkle-Free, Moisture-Wicking &amp; Breathable for Hair &amp; Skin (Pink)</t>
        </is>
      </c>
      <c r="E117" s="32" t="inlineStr">
        <is>
          <t>Twin</t>
        </is>
      </c>
      <c r="F117" s="32" t="inlineStr">
        <is>
          <t>Pink</t>
        </is>
      </c>
      <c r="G117" s="33" t="n"/>
      <c r="H117" s="32" t="n"/>
      <c r="I117" s="61" t="n">
        <v>41.95</v>
      </c>
      <c r="J117" s="62" t="inlineStr">
        <is>
          <t>2026-03-30</t>
        </is>
      </c>
      <c r="K117" s="33" t="n">
        <v>18.03</v>
      </c>
      <c r="L117" s="63" t="n">
        <v>0.429797377830751</v>
      </c>
      <c r="M117" s="64" t="n">
        <v>0</v>
      </c>
      <c r="N117" s="32" t="inlineStr">
        <is>
          <t>Active</t>
        </is>
      </c>
      <c r="O117" s="32" t="n"/>
      <c r="P117" s="65" t="n"/>
      <c r="Q117" s="64" t="n"/>
      <c r="R117" s="64" t="n"/>
      <c r="S117" s="64" t="n"/>
      <c r="T117" s="32" t="n"/>
    </row>
    <row r="118" ht="62" customHeight="1">
      <c r="A118" s="10">
        <f>_xlfn.IMAGE("https://m.media-amazon.com/images/I/81z9M9loqlL.jpg")</f>
        <v/>
      </c>
      <c r="B118" s="32" t="inlineStr">
        <is>
          <t>B0DDRFSGVJ</t>
        </is>
      </c>
      <c r="C118" s="32" t="inlineStr">
        <is>
          <t>SS-SATIN-PURPLE-TWIN-3PCS</t>
        </is>
      </c>
      <c r="D118" s="32" t="inlineStr">
        <is>
          <t>Sleep Sanctuary Satin Sheets Twin Size – 3 Piece Luxury Silky Bed Set, Softer Than Silk, 15" Deep Pocket, Cooling &amp; Wrinkle-Free, Moisture-Wicking &amp; Breathable for Hair &amp; Skin (Purple)</t>
        </is>
      </c>
      <c r="E118" s="32" t="inlineStr">
        <is>
          <t>Twin</t>
        </is>
      </c>
      <c r="F118" s="32" t="inlineStr">
        <is>
          <t>Purple</t>
        </is>
      </c>
      <c r="G118" s="33" t="n"/>
      <c r="H118" s="32" t="n"/>
      <c r="I118" s="61" t="n">
        <v>62.96</v>
      </c>
      <c r="J118" s="62" t="inlineStr">
        <is>
          <t>2026-03-30</t>
        </is>
      </c>
      <c r="K118" s="33" t="n">
        <v>31.34000000000001</v>
      </c>
      <c r="L118" s="63" t="n">
        <v>0.4977763659466328</v>
      </c>
      <c r="M118" s="64" t="n">
        <v>0</v>
      </c>
      <c r="N118" s="32" t="inlineStr">
        <is>
          <t>Active</t>
        </is>
      </c>
      <c r="O118" s="32" t="n"/>
      <c r="P118" s="65" t="n"/>
      <c r="Q118" s="64" t="n"/>
      <c r="R118" s="64" t="n"/>
      <c r="S118" s="64" t="n"/>
      <c r="T118" s="32" t="n"/>
    </row>
    <row r="119" ht="62" customHeight="1">
      <c r="A119" s="10">
        <f>_xlfn.IMAGE("https://m.media-amazon.com/images/I/81NQCabFrWL.jpg")</f>
        <v/>
      </c>
      <c r="B119" s="32" t="inlineStr">
        <is>
          <t>B0DDQTZWY6</t>
        </is>
      </c>
      <c r="C119" s="32" t="inlineStr">
        <is>
          <t>SS-SATIN-RED-TWIN-3PCS</t>
        </is>
      </c>
      <c r="D119" s="32" t="inlineStr">
        <is>
          <t>Sleep Sanctuary Satin Sheets Twin Size – 3 Piece Luxury Silky Bed Set, Softer Than Silk, 15" Deep Pocket, Cooling &amp; Wrinkle-Free, Moisture-Wicking &amp; Breathable for Hair &amp; Skin (Red)</t>
        </is>
      </c>
      <c r="E119" s="32" t="inlineStr">
        <is>
          <t>Twin</t>
        </is>
      </c>
      <c r="F119" s="32" t="inlineStr">
        <is>
          <t>Red</t>
        </is>
      </c>
      <c r="G119" s="33" t="n"/>
      <c r="H119" s="32" t="n"/>
      <c r="I119" s="61" t="n">
        <v>41.95</v>
      </c>
      <c r="J119" s="62" t="inlineStr">
        <is>
          <t>2026-03-30</t>
        </is>
      </c>
      <c r="K119" s="33" t="n">
        <v>18.28</v>
      </c>
      <c r="L119" s="63" t="n">
        <v>0.4357568533969012</v>
      </c>
      <c r="M119" s="64" t="n"/>
      <c r="N119" s="32" t="inlineStr">
        <is>
          <t>Active</t>
        </is>
      </c>
      <c r="O119" s="32" t="n"/>
      <c r="P119" s="65" t="n"/>
      <c r="Q119" s="64" t="n"/>
      <c r="R119" s="64" t="n"/>
      <c r="S119" s="64" t="n"/>
      <c r="T119" s="32" t="n"/>
    </row>
    <row r="120" ht="62" customHeight="1">
      <c r="A120" s="10">
        <f>_xlfn.IMAGE("https://m.media-amazon.com/images/I/81vHqIiWdYL.jpg")</f>
        <v/>
      </c>
      <c r="B120" s="32" t="inlineStr">
        <is>
          <t>B0DDR6TLDV</t>
        </is>
      </c>
      <c r="C120" s="32" t="inlineStr">
        <is>
          <t>SS-SATIN-ROSEWOOD-TWIN-3PCS</t>
        </is>
      </c>
      <c r="D120" s="32" t="inlineStr">
        <is>
          <t>Sleep Sanctuary Satin Sheets Twin Size – 3 Piece Luxury Silky Bed Set, Softer Than Silk, 15" Deep Pocket, Cooling &amp; Wrinkle-Free, Moisture-Wicking &amp; Breathable for Hair &amp; Skin (Rosewood)</t>
        </is>
      </c>
      <c r="E120" s="32" t="inlineStr">
        <is>
          <t>Twin</t>
        </is>
      </c>
      <c r="F120" s="32" t="inlineStr">
        <is>
          <t>Rosewood</t>
        </is>
      </c>
      <c r="G120" s="33" t="n"/>
      <c r="H120" s="32" t="n"/>
      <c r="I120" s="61" t="n">
        <v>41.95</v>
      </c>
      <c r="J120" s="62" t="inlineStr">
        <is>
          <t>2026-03-30</t>
        </is>
      </c>
      <c r="K120" s="33" t="n">
        <v>18.28</v>
      </c>
      <c r="L120" s="63" t="n">
        <v>0.4357568533969012</v>
      </c>
      <c r="M120" s="64" t="n">
        <v>0</v>
      </c>
      <c r="N120" s="32" t="inlineStr">
        <is>
          <t>Active</t>
        </is>
      </c>
      <c r="O120" s="32" t="n"/>
      <c r="P120" s="65" t="n"/>
      <c r="Q120" s="64" t="n"/>
      <c r="R120" s="64" t="n"/>
      <c r="S120" s="64" t="n"/>
      <c r="T120" s="32" t="n"/>
    </row>
    <row r="121" ht="62" customHeight="1">
      <c r="A121" s="10">
        <f>_xlfn.IMAGE("https://m.media-amazon.com/images/I/81i0u4Y+8uL.jpg")</f>
        <v/>
      </c>
      <c r="B121" s="32" t="inlineStr">
        <is>
          <t>B0DDR154D4</t>
        </is>
      </c>
      <c r="C121" s="32" t="inlineStr">
        <is>
          <t>SS-SATIN-SAGE-GREEN-TWIN-3PCS</t>
        </is>
      </c>
      <c r="D121" s="32" t="inlineStr">
        <is>
          <t>Sleep Sanctuary Satin Sheets Twin Size – 3 Piece Luxury Silky Bed Set, Softer Than Silk, 15" Deep Pocket, Cooling &amp; Wrinkle-Free, Moisture-Wicking &amp; Breathable for Hair &amp; Skin (Sage Green)</t>
        </is>
      </c>
      <c r="E121" s="32" t="inlineStr">
        <is>
          <t>Twin</t>
        </is>
      </c>
      <c r="F121" s="32" t="inlineStr">
        <is>
          <t>Sage Green</t>
        </is>
      </c>
      <c r="G121" s="33" t="n"/>
      <c r="H121" s="32" t="n"/>
      <c r="I121" s="61" t="n">
        <v>50.12</v>
      </c>
      <c r="J121" s="62" t="inlineStr">
        <is>
          <t>2026-03-30</t>
        </is>
      </c>
      <c r="K121" s="33" t="n">
        <v>20.52</v>
      </c>
      <c r="L121" s="63" t="n">
        <v>0.4094173982442138</v>
      </c>
      <c r="M121" s="64" t="n"/>
      <c r="N121" s="32" t="inlineStr">
        <is>
          <t>Active</t>
        </is>
      </c>
      <c r="O121" s="32" t="n"/>
      <c r="P121" s="65" t="n"/>
      <c r="Q121" s="64" t="n"/>
      <c r="R121" s="64" t="n"/>
      <c r="S121" s="64" t="n"/>
      <c r="T121" s="32" t="n"/>
    </row>
    <row r="122" ht="62" customHeight="1">
      <c r="A122" s="10">
        <f>_xlfn.IMAGE("https://m.media-amazon.com/images/I/81B6BzVilhL.jpg")</f>
        <v/>
      </c>
      <c r="B122" s="32" t="inlineStr">
        <is>
          <t>B0DDR2CP9X</t>
        </is>
      </c>
      <c r="C122" s="32" t="inlineStr">
        <is>
          <t>SS-SATIN-SEA-TEAL-TWIN-3PCS</t>
        </is>
      </c>
      <c r="D122" s="32" t="inlineStr">
        <is>
          <t>Sleep Sanctuary Satin Sheets Twin Size – 3 Piece Luxury Silky Bed Set, Softer Than Silk, 15" Deep Pocket, Cooling &amp; Wrinkle-Free, Moisture-Wicking &amp; Breathable for Hair &amp; Skin (Sea Teal)</t>
        </is>
      </c>
      <c r="E122" s="32" t="inlineStr">
        <is>
          <t>Twin</t>
        </is>
      </c>
      <c r="F122" s="32" t="inlineStr">
        <is>
          <t>Sea Teal</t>
        </is>
      </c>
      <c r="G122" s="33" t="n"/>
      <c r="H122" s="32" t="n"/>
      <c r="I122" s="61" t="n">
        <v>50.19</v>
      </c>
      <c r="J122" s="62" t="inlineStr">
        <is>
          <t>2026-03-30</t>
        </is>
      </c>
      <c r="K122" s="33" t="n">
        <v>19.24</v>
      </c>
      <c r="L122" s="63" t="n">
        <v>0.3833432954771867</v>
      </c>
      <c r="M122" s="64" t="n">
        <v>0</v>
      </c>
      <c r="N122" s="32" t="inlineStr">
        <is>
          <t>Active</t>
        </is>
      </c>
      <c r="O122" s="32" t="n"/>
      <c r="P122" s="65" t="n"/>
      <c r="Q122" s="64" t="n"/>
      <c r="R122" s="64" t="n"/>
      <c r="S122" s="64" t="n"/>
      <c r="T122" s="32" t="n"/>
    </row>
    <row r="123" ht="62" customHeight="1">
      <c r="A123" s="10">
        <f>_xlfn.IMAGE("https://m.media-amazon.com/images/I/816iXpTTsDL.jpg")</f>
        <v/>
      </c>
      <c r="B123" s="32" t="inlineStr">
        <is>
          <t>B0DDQVBL24</t>
        </is>
      </c>
      <c r="C123" s="32" t="inlineStr">
        <is>
          <t>SS-SATIN-STONE-GREY-TWIN-3PCS</t>
        </is>
      </c>
      <c r="D123" s="32" t="inlineStr">
        <is>
          <t>Sleep Sanctuary Satin Sheets Twin Size – 3 Piece Luxury Silky Bed Set, Softer Than Silk, 15" Deep Pocket, Cooling &amp; Wrinkle-Free, Moisture-Wicking &amp; Breathable for Hair &amp; Skin (Stone Grey)</t>
        </is>
      </c>
      <c r="E123" s="32" t="inlineStr">
        <is>
          <t>Twin</t>
        </is>
      </c>
      <c r="F123" s="32" t="inlineStr">
        <is>
          <t>Stone Grey</t>
        </is>
      </c>
      <c r="G123" s="33" t="n"/>
      <c r="H123" s="32" t="n"/>
      <c r="I123" s="61" t="n">
        <v>41.95</v>
      </c>
      <c r="J123" s="62" t="inlineStr">
        <is>
          <t>2026-03-30</t>
        </is>
      </c>
      <c r="K123" s="33" t="n">
        <v>17.72</v>
      </c>
      <c r="L123" s="63" t="n">
        <v>0.4224076281287247</v>
      </c>
      <c r="M123" s="64" t="n"/>
      <c r="N123" s="32" t="inlineStr">
        <is>
          <t>Active</t>
        </is>
      </c>
      <c r="O123" s="32" t="n"/>
      <c r="P123" s="65" t="n"/>
      <c r="Q123" s="64" t="n"/>
      <c r="R123" s="64" t="n"/>
      <c r="S123" s="64" t="n"/>
      <c r="T123" s="32" t="n"/>
    </row>
    <row r="124" ht="62" customHeight="1">
      <c r="A124" s="10">
        <f>_xlfn.IMAGE("https://m.media-amazon.com/images/I/81qEq06R1GL.jpg")</f>
        <v/>
      </c>
      <c r="B124" s="32" t="inlineStr">
        <is>
          <t>B0DDR3RYKF</t>
        </is>
      </c>
      <c r="C124" s="32" t="inlineStr">
        <is>
          <t>SS-SATIN-STRIPED-BLACK-TWIN-3PCS</t>
        </is>
      </c>
      <c r="D124" s="32" t="inlineStr">
        <is>
          <t>Sleep Sanctuary Satin Sheets Twin Size – 3 Piece Luxury Silky Bed Set, Softer Than Silk, 15" Deep Pocket, Cooling &amp; Wrinkle-Free, Moisture-Wicking &amp; Breathable for Hair &amp; Skin (Striped Black)</t>
        </is>
      </c>
      <c r="E124" s="32" t="inlineStr">
        <is>
          <t>Twin</t>
        </is>
      </c>
      <c r="F124" s="32" t="inlineStr">
        <is>
          <t>Striped Black</t>
        </is>
      </c>
      <c r="G124" s="33" t="n"/>
      <c r="H124" s="32" t="n"/>
      <c r="I124" s="61" t="n">
        <v>50.12</v>
      </c>
      <c r="J124" s="62" t="inlineStr">
        <is>
          <t>2026-03-20</t>
        </is>
      </c>
      <c r="K124" s="33" t="n">
        <v>24.18999999999999</v>
      </c>
      <c r="L124" s="63" t="n">
        <v>0.4826416600159615</v>
      </c>
      <c r="M124" s="64" t="n"/>
      <c r="N124" s="32" t="inlineStr">
        <is>
          <t>Active</t>
        </is>
      </c>
      <c r="O124" s="32" t="n"/>
      <c r="P124" s="65" t="n"/>
      <c r="Q124" s="64" t="n"/>
      <c r="R124" s="64" t="n"/>
      <c r="S124" s="64" t="n"/>
      <c r="T124" s="32" t="n"/>
    </row>
    <row r="125" ht="62" customHeight="1">
      <c r="A125" s="10">
        <f>_xlfn.IMAGE("https://m.media-amazon.com/images/I/81IuYnZdF7L.jpg")</f>
        <v/>
      </c>
      <c r="B125" s="32" t="inlineStr">
        <is>
          <t>B0DDR9XL62</t>
        </is>
      </c>
      <c r="C125" s="32" t="inlineStr">
        <is>
          <t>SS-SATIN-STRIPED-BLUE-TWIN-3PCS</t>
        </is>
      </c>
      <c r="D125" s="32" t="inlineStr">
        <is>
          <t>Sleep Sanctuary Satin Sheets Twin Size – 3 Piece Luxury Silky Bed Set, Softer Than Silk, 15" Deep Pocket, Cooling &amp; Wrinkle-Free, Moisture-Wicking &amp; Breathable for Hair &amp; Skin (Striped Blue)</t>
        </is>
      </c>
      <c r="E125" s="32" t="inlineStr">
        <is>
          <t>Twin</t>
        </is>
      </c>
      <c r="F125" s="32" t="inlineStr">
        <is>
          <t>Striped Blue</t>
        </is>
      </c>
      <c r="G125" s="33" t="n"/>
      <c r="H125" s="32" t="n"/>
      <c r="I125" s="61" t="n">
        <v>50.12</v>
      </c>
      <c r="J125" s="62" t="inlineStr">
        <is>
          <t>2026-03-30</t>
        </is>
      </c>
      <c r="K125" s="33" t="n">
        <v>18.84</v>
      </c>
      <c r="L125" s="63" t="n">
        <v>0.3758978451715881</v>
      </c>
      <c r="M125" s="64" t="n"/>
      <c r="N125" s="32" t="inlineStr">
        <is>
          <t>Active</t>
        </is>
      </c>
      <c r="O125" s="32" t="n"/>
      <c r="P125" s="65" t="n"/>
      <c r="Q125" s="64" t="n"/>
      <c r="R125" s="64" t="n"/>
      <c r="S125" s="64" t="n"/>
      <c r="T125" s="32" t="n"/>
    </row>
    <row r="126" ht="62" customHeight="1">
      <c r="A126" s="10">
        <f>_xlfn.IMAGE("https://m.media-amazon.com/images/I/81c0TeFW0bL.jpg")</f>
        <v/>
      </c>
      <c r="B126" s="32" t="inlineStr">
        <is>
          <t>B0DDR85DVM</t>
        </is>
      </c>
      <c r="C126" s="32" t="inlineStr">
        <is>
          <t>SS-SATIN-STRIPED-GOLD-TWIN-3PCS</t>
        </is>
      </c>
      <c r="D126" s="32" t="inlineStr">
        <is>
          <t>SLEEP SANCTUARY Satin Sheets Twin Size – 3 Piece Luxury Silky Bed Set, Softer Than Silk, 15" Deep Pocket, Cooling &amp; Wrinkle-Free, Moisture-Wicking &amp; Breathable for Hair &amp; Skin (Striped Gold)</t>
        </is>
      </c>
      <c r="E126" s="32" t="inlineStr">
        <is>
          <t>Twin</t>
        </is>
      </c>
      <c r="F126" s="32" t="inlineStr">
        <is>
          <t>Striped Gold</t>
        </is>
      </c>
      <c r="G126" s="33" t="n"/>
      <c r="H126" s="32" t="n"/>
      <c r="I126" s="61" t="n">
        <v>50.12</v>
      </c>
      <c r="J126" s="62" t="inlineStr">
        <is>
          <t>2026-03-30</t>
        </is>
      </c>
      <c r="K126" s="33" t="n">
        <v>18.84</v>
      </c>
      <c r="L126" s="63" t="n">
        <v>0.3758978451715881</v>
      </c>
      <c r="M126" s="64" t="n"/>
      <c r="N126" s="32" t="inlineStr">
        <is>
          <t>Inactive</t>
        </is>
      </c>
      <c r="O126" s="32" t="n"/>
      <c r="P126" s="65" t="n"/>
      <c r="Q126" s="64" t="n"/>
      <c r="R126" s="64" t="n"/>
      <c r="S126" s="64" t="n"/>
      <c r="T126" s="32" t="n"/>
    </row>
    <row r="127" ht="62" customHeight="1">
      <c r="A127" s="10">
        <f>_xlfn.IMAGE("https://m.media-amazon.com/images/I/81EuG0SlLvL.jpg")</f>
        <v/>
      </c>
      <c r="B127" s="32" t="inlineStr">
        <is>
          <t>B0DDRKHNWQ</t>
        </is>
      </c>
      <c r="C127" s="32" t="inlineStr">
        <is>
          <t>SS-SATIN-STRIPED-GREY-TWIN-3PCS</t>
        </is>
      </c>
      <c r="D127" s="32" t="inlineStr">
        <is>
          <t>Sleep Sanctuary Satin Sheets Twin Size – 3 Piece Luxury Silky Bed Set, Softer Than Silk, 15" Deep Pocket, Cooling &amp; Wrinkle-Free, Moisture-Wicking &amp; Breathable for Hair &amp; Skin (Striped Grey)</t>
        </is>
      </c>
      <c r="E127" s="32" t="inlineStr">
        <is>
          <t>Twin</t>
        </is>
      </c>
      <c r="F127" s="32" t="inlineStr">
        <is>
          <t>Striped Grey</t>
        </is>
      </c>
      <c r="G127" s="33" t="n"/>
      <c r="H127" s="32" t="n"/>
      <c r="I127" s="61" t="n">
        <v>50.12</v>
      </c>
      <c r="J127" s="62" t="inlineStr">
        <is>
          <t>2026-03-30</t>
        </is>
      </c>
      <c r="K127" s="33" t="n">
        <v>18.84</v>
      </c>
      <c r="L127" s="63" t="n">
        <v>0.3758978451715881</v>
      </c>
      <c r="M127" s="64" t="n">
        <v>0</v>
      </c>
      <c r="N127" s="32" t="inlineStr">
        <is>
          <t>Active</t>
        </is>
      </c>
      <c r="O127" s="32" t="n"/>
      <c r="P127" s="65" t="n"/>
      <c r="Q127" s="64" t="n"/>
      <c r="R127" s="64" t="n"/>
      <c r="S127" s="64" t="n"/>
      <c r="T127" s="32" t="n"/>
    </row>
    <row r="128" ht="62" customHeight="1">
      <c r="A128" s="10">
        <f>_xlfn.IMAGE("https://m.media-amazon.com/images/I/81VzFs1NSBL.jpg")</f>
        <v/>
      </c>
      <c r="B128" s="32" t="inlineStr">
        <is>
          <t>B0DDQX418B</t>
        </is>
      </c>
      <c r="C128" s="32" t="inlineStr">
        <is>
          <t>SS-SATIN-STRIPED-PINK-TWIN-3PCS</t>
        </is>
      </c>
      <c r="D128" s="32" t="inlineStr">
        <is>
          <t>Sleep Sanctuary Satin Sheets Twin Size – 3 Piece Luxury Silky Bed Set, Softer Than Silk, 15" Deep Pocket, Cooling &amp; Wrinkle-Free, Moisture-Wicking &amp; Breathable for Hair &amp; Skin (Striped Pink)</t>
        </is>
      </c>
      <c r="E128" s="32" t="inlineStr">
        <is>
          <t>Twin</t>
        </is>
      </c>
      <c r="F128" s="32" t="inlineStr">
        <is>
          <t>Striped Pink</t>
        </is>
      </c>
      <c r="G128" s="33" t="n"/>
      <c r="H128" s="32" t="n"/>
      <c r="I128" s="61" t="n">
        <v>50.68</v>
      </c>
      <c r="J128" s="62" t="inlineStr">
        <is>
          <t>2026-03-30</t>
        </is>
      </c>
      <c r="K128" s="33" t="n">
        <v>18.72</v>
      </c>
      <c r="L128" s="63" t="n">
        <v>0.3693764798737174</v>
      </c>
      <c r="M128" s="64" t="n"/>
      <c r="N128" s="32" t="inlineStr">
        <is>
          <t>Active</t>
        </is>
      </c>
      <c r="O128" s="32" t="n"/>
      <c r="P128" s="65" t="n"/>
      <c r="Q128" s="64" t="n"/>
      <c r="R128" s="64" t="n"/>
      <c r="S128" s="64" t="n"/>
      <c r="T128" s="32" t="n"/>
    </row>
    <row r="129" ht="62" customHeight="1">
      <c r="A129" s="10">
        <f>_xlfn.IMAGE("https://m.media-amazon.com/images/I/81qxRfk+zkL.jpg")</f>
        <v/>
      </c>
      <c r="B129" s="32" t="inlineStr">
        <is>
          <t>B0DDR9L9TF</t>
        </is>
      </c>
      <c r="C129" s="32" t="inlineStr">
        <is>
          <t>SS-SATIN-STRIPED-PURPLE-TWIN-3PCS</t>
        </is>
      </c>
      <c r="D129" s="32" t="inlineStr">
        <is>
          <t>Sleep Sanctuary Satin Sheets Twin Size – 3 Piece Luxury Silky Bed Set, Softer Than Silk, 15" Deep Pocket, Cooling &amp; Wrinkle-Free, Moisture-Wicking &amp; Breathable for Hair &amp; Skin (Striped Purple)</t>
        </is>
      </c>
      <c r="E129" s="32" t="inlineStr">
        <is>
          <t>Twin</t>
        </is>
      </c>
      <c r="F129" s="32" t="inlineStr">
        <is>
          <t>Striped Purple</t>
        </is>
      </c>
      <c r="G129" s="33" t="n"/>
      <c r="H129" s="32" t="n"/>
      <c r="I129" s="61" t="n">
        <v>50.12</v>
      </c>
      <c r="J129" s="62" t="inlineStr">
        <is>
          <t>2026-03-30</t>
        </is>
      </c>
      <c r="K129" s="33" t="n">
        <v>18.84</v>
      </c>
      <c r="L129" s="63" t="n">
        <v>0.3758978451715881</v>
      </c>
      <c r="M129" s="64" t="n">
        <v>0</v>
      </c>
      <c r="N129" s="32" t="inlineStr">
        <is>
          <t>Active</t>
        </is>
      </c>
      <c r="O129" s="32" t="n"/>
      <c r="P129" s="65" t="n"/>
      <c r="Q129" s="64" t="n"/>
      <c r="R129" s="64" t="n"/>
      <c r="S129" s="64" t="n"/>
      <c r="T129" s="32" t="n"/>
    </row>
    <row r="130" ht="62" customHeight="1">
      <c r="A130" s="10">
        <f>_xlfn.IMAGE("https://m.media-amazon.com/images/I/81Jd40V1dxL.jpg")</f>
        <v/>
      </c>
      <c r="B130" s="32" t="inlineStr">
        <is>
          <t>B0DDR9XL5R</t>
        </is>
      </c>
      <c r="C130" s="32" t="inlineStr">
        <is>
          <t>SS-SATIN-STRIPED-RED-TWIN-3PCS</t>
        </is>
      </c>
      <c r="D130" s="32" t="inlineStr">
        <is>
          <t>Sleep Sanctuary Satin Sheets Twin Size – 3 Piece Luxury Silky Bed Set, Softer Than Silk, 15" Deep Pocket, Cooling &amp; Wrinkle-Free, Moisture-Wicking &amp; Breathable for Hair &amp; Skin (Striped Red)</t>
        </is>
      </c>
      <c r="E130" s="32" t="inlineStr">
        <is>
          <t>Twin</t>
        </is>
      </c>
      <c r="F130" s="32" t="inlineStr">
        <is>
          <t>Striped Red</t>
        </is>
      </c>
      <c r="G130" s="33" t="n"/>
      <c r="H130" s="32" t="n"/>
      <c r="I130" s="61" t="n">
        <v>50.12</v>
      </c>
      <c r="J130" s="62" t="inlineStr">
        <is>
          <t>2026-03-30</t>
        </is>
      </c>
      <c r="K130" s="33" t="n">
        <v>18.84</v>
      </c>
      <c r="L130" s="63" t="n">
        <v>0.3758978451715881</v>
      </c>
      <c r="M130" s="64" t="n"/>
      <c r="N130" s="32" t="inlineStr">
        <is>
          <t>Active</t>
        </is>
      </c>
      <c r="O130" s="32" t="n"/>
      <c r="P130" s="65" t="n"/>
      <c r="Q130" s="64" t="n"/>
      <c r="R130" s="64" t="n"/>
      <c r="S130" s="64" t="n"/>
      <c r="T130" s="32" t="n"/>
    </row>
    <row r="131" ht="62" customHeight="1">
      <c r="A131" s="10">
        <f>_xlfn.IMAGE("https://m.media-amazon.com/images/I/81umFKx0vnL.jpg")</f>
        <v/>
      </c>
      <c r="B131" s="32" t="inlineStr">
        <is>
          <t>B0DDR95PQM</t>
        </is>
      </c>
      <c r="C131" s="32" t="inlineStr">
        <is>
          <t>SS-SATIN-STRIPED-WHITE-TWIN-3PCS</t>
        </is>
      </c>
      <c r="D131" s="32" t="inlineStr">
        <is>
          <t>Sleep Sanctuary Satin Sheets Twin Size – 3 Piece Luxury Silky Bed Set, Softer Than Silk, 15" Deep Pocket, Cooling &amp; Wrinkle-Free, Moisture-Wicking &amp; Breathable for Hair &amp; Skin (Striped White)</t>
        </is>
      </c>
      <c r="E131" s="32" t="inlineStr">
        <is>
          <t>Twin</t>
        </is>
      </c>
      <c r="F131" s="32" t="inlineStr">
        <is>
          <t>Striped White</t>
        </is>
      </c>
      <c r="G131" s="33" t="n"/>
      <c r="H131" s="32" t="n"/>
      <c r="I131" s="61" t="n">
        <v>50.12</v>
      </c>
      <c r="J131" s="62" t="inlineStr">
        <is>
          <t>2026-03-30</t>
        </is>
      </c>
      <c r="K131" s="33" t="n">
        <v>18.84</v>
      </c>
      <c r="L131" s="63" t="n">
        <v>0.3758978451715881</v>
      </c>
      <c r="M131" s="64" t="n">
        <v>0</v>
      </c>
      <c r="N131" s="32" t="inlineStr">
        <is>
          <t>Active</t>
        </is>
      </c>
      <c r="O131" s="32" t="n"/>
      <c r="P131" s="65" t="n"/>
      <c r="Q131" s="64" t="n"/>
      <c r="R131" s="64" t="n"/>
      <c r="S131" s="64" t="n"/>
      <c r="T131" s="32" t="n"/>
    </row>
    <row r="132" ht="62" customHeight="1">
      <c r="A132" s="10">
        <f>_xlfn.IMAGE("https://m.media-amazon.com/images/I/81XJl86kBiL.jpg")</f>
        <v/>
      </c>
      <c r="B132" s="32" t="inlineStr">
        <is>
          <t>B0DDR7SDNH</t>
        </is>
      </c>
      <c r="C132" s="32" t="inlineStr">
        <is>
          <t>SS-SATIN-TAUPE-TWIN-3PCS</t>
        </is>
      </c>
      <c r="D132" s="32" t="inlineStr">
        <is>
          <t>Sleep Sanctuary Satin Sheets Twin Size – 3 Piece Luxury Silky Bed Set, Softer Than Silk, 15" Deep Pocket, Cooling &amp; Wrinkle-Free, Moisture-Wicking &amp; Breathable for Hair &amp; Skin (Taupe)</t>
        </is>
      </c>
      <c r="E132" s="32" t="inlineStr">
        <is>
          <t>Twin</t>
        </is>
      </c>
      <c r="F132" s="32" t="inlineStr">
        <is>
          <t>Taupe</t>
        </is>
      </c>
      <c r="G132" s="33" t="n"/>
      <c r="H132" s="32" t="n"/>
      <c r="I132" s="61" t="n">
        <v>50.12</v>
      </c>
      <c r="J132" s="62" t="inlineStr">
        <is>
          <t>2026-03-30</t>
        </is>
      </c>
      <c r="K132" s="33" t="n">
        <v>20.41999999999999</v>
      </c>
      <c r="L132" s="63" t="n">
        <v>0.4074221867517956</v>
      </c>
      <c r="M132" s="64" t="n"/>
      <c r="N132" s="32" t="inlineStr">
        <is>
          <t>Active</t>
        </is>
      </c>
      <c r="O132" s="32" t="n"/>
      <c r="P132" s="65" t="n"/>
      <c r="Q132" s="64" t="n"/>
      <c r="R132" s="64" t="n"/>
      <c r="S132" s="64" t="n"/>
      <c r="T132" s="32" t="n"/>
    </row>
    <row r="133" ht="62" customHeight="1">
      <c r="A133" s="10">
        <f>_xlfn.IMAGE("https://m.media-amazon.com/images/I/818RX-kt6VL.jpg")</f>
        <v/>
      </c>
      <c r="B133" s="32" t="inlineStr">
        <is>
          <t>B0DDQTZ8NT</t>
        </is>
      </c>
      <c r="C133" s="32" t="inlineStr">
        <is>
          <t>SS-SATIN-WHITE-TWIN-3PCS</t>
        </is>
      </c>
      <c r="D133" s="32" t="inlineStr">
        <is>
          <t>Sleep Sanctuary Satin Sheets Twin Size – 3 Piece Luxury Silky Bed Set, Softer Than Silk, 15" Deep Pocket, Cooling &amp; Wrinkle-Free, Moisture-Wicking &amp; Breathable for Hair &amp; Skin (White)</t>
        </is>
      </c>
      <c r="E133" s="32" t="inlineStr">
        <is>
          <t>Twin</t>
        </is>
      </c>
      <c r="F133" s="32" t="inlineStr">
        <is>
          <t>White</t>
        </is>
      </c>
      <c r="G133" s="33" t="n"/>
      <c r="H133" s="32" t="n"/>
      <c r="I133" s="61" t="n">
        <v>41.95</v>
      </c>
      <c r="J133" s="62" t="inlineStr">
        <is>
          <t>2026-03-30</t>
        </is>
      </c>
      <c r="K133" s="33" t="n">
        <v>18.53</v>
      </c>
      <c r="L133" s="63" t="n">
        <v>0.4417163289630514</v>
      </c>
      <c r="M133" s="64" t="n">
        <v>0</v>
      </c>
      <c r="N133" s="32" t="inlineStr">
        <is>
          <t>Active</t>
        </is>
      </c>
      <c r="O133" s="32" t="n"/>
      <c r="P133" s="65" t="n"/>
      <c r="Q133" s="64" t="n"/>
      <c r="R133" s="64" t="n"/>
      <c r="S133" s="64" t="n"/>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v>0</v>
      </c>
      <c r="E137" s="71" t="n">
        <v>0</v>
      </c>
      <c r="F137" s="72" t="n"/>
      <c r="G137" s="72" t="n">
        <v>0</v>
      </c>
      <c r="H137" s="71" t="n"/>
      <c r="J137" s="73" t="n">
        <v>0</v>
      </c>
      <c r="K137" s="74" t="n"/>
    </row>
    <row r="138">
      <c r="A138" s="70" t="inlineStr">
        <is>
          <t>BFCM week Nov 20 - Dec 1, 2025 (12d)</t>
        </is>
      </c>
      <c r="B138" s="68" t="n"/>
      <c r="C138" s="69" t="n"/>
      <c r="D138" s="71" t="n">
        <v>0</v>
      </c>
      <c r="E138" s="71" t="n">
        <v>0</v>
      </c>
      <c r="F138" s="72" t="n"/>
      <c r="G138" s="72" t="n">
        <v>0</v>
      </c>
      <c r="H138" s="71" t="n"/>
      <c r="J138" s="73" t="n">
        <v>0</v>
      </c>
      <c r="K138" s="74" t="n"/>
    </row>
    <row r="139">
      <c r="A139" s="70" t="inlineStr">
        <is>
          <t>December 2 - 31, 2025 (30d)</t>
        </is>
      </c>
      <c r="B139" s="68" t="n"/>
      <c r="C139" s="69" t="n"/>
      <c r="D139" s="71" t="n">
        <v>0</v>
      </c>
      <c r="E139" s="71" t="n">
        <v>0</v>
      </c>
      <c r="F139" s="72" t="n"/>
      <c r="G139" s="72" t="n">
        <v>0</v>
      </c>
      <c r="H139" s="71" t="n"/>
      <c r="J139" s="73" t="n">
        <v>0</v>
      </c>
      <c r="K139" s="74" t="n"/>
    </row>
    <row r="141">
      <c r="A141" s="67" t="inlineStr">
        <is>
          <t>Actual sales (SellerBoard)</t>
        </is>
      </c>
      <c r="B141" s="68" t="n"/>
      <c r="C141" s="69" t="n"/>
      <c r="D141" s="67" t="inlineStr">
        <is>
          <t>Sales</t>
        </is>
      </c>
      <c r="E141" s="67" t="inlineStr">
        <is>
          <t>Units</t>
        </is>
      </c>
      <c r="F141" s="67" t="inlineStr">
        <is>
          <t>Organic units</t>
        </is>
      </c>
      <c r="G141" s="67" t="inlineStr">
        <is>
          <t>Ad units</t>
        </is>
      </c>
      <c r="H141" s="67" t="inlineStr">
        <is>
          <t>Ad cost</t>
        </is>
      </c>
      <c r="J141" s="67" t="inlineStr">
        <is>
          <t>TACoS (actual)</t>
        </is>
      </c>
      <c r="K141" s="67" t="inlineStr">
        <is>
          <t>Sessions</t>
        </is>
      </c>
      <c r="L141" s="67" t="inlineStr">
        <is>
          <t>Unit session %</t>
        </is>
      </c>
      <c r="M141" s="67" t="inlineStr">
        <is>
          <t>Avg price</t>
        </is>
      </c>
      <c r="N141" s="67" t="inlineStr">
        <is>
          <t>Refunds</t>
        </is>
      </c>
    </row>
    <row r="142">
      <c r="A142" s="70" t="inlineStr">
        <is>
          <t>Pre-event Oct 21 - Nov 19, 2025 (30d)</t>
        </is>
      </c>
      <c r="B142" s="68" t="n"/>
      <c r="C142" s="69" t="n"/>
      <c r="D142" s="71" t="n">
        <v>165.99</v>
      </c>
      <c r="E142" s="73" t="n">
        <v>5</v>
      </c>
      <c r="F142" s="73" t="n">
        <v>5</v>
      </c>
      <c r="G142" s="73" t="n">
        <v>0</v>
      </c>
      <c r="H142" s="71" t="n">
        <v>0</v>
      </c>
      <c r="J142" s="75" t="n">
        <v>0</v>
      </c>
      <c r="K142" s="73" t="n">
        <v>127</v>
      </c>
      <c r="L142" s="75" t="n">
        <v>0.03937007874015748</v>
      </c>
      <c r="M142" s="76" t="n">
        <v>33.198</v>
      </c>
      <c r="N142" s="73" t="n">
        <v>0</v>
      </c>
    </row>
    <row r="143">
      <c r="A143" s="70" t="inlineStr">
        <is>
          <t>BFCM week Nov 20 - Dec 1, 2025 (12d)</t>
        </is>
      </c>
      <c r="B143" s="68" t="n"/>
      <c r="C143" s="69" t="n"/>
      <c r="D143" s="71" t="n">
        <v>100.59</v>
      </c>
      <c r="E143" s="73" t="n">
        <v>3</v>
      </c>
      <c r="F143" s="73" t="n">
        <v>3</v>
      </c>
      <c r="G143" s="73" t="n">
        <v>0</v>
      </c>
      <c r="H143" s="71" t="n">
        <v>0</v>
      </c>
      <c r="J143" s="75" t="n">
        <v>0</v>
      </c>
      <c r="K143" s="73" t="n">
        <v>83</v>
      </c>
      <c r="L143" s="75" t="n">
        <v>0.03614457831325301</v>
      </c>
      <c r="M143" s="76" t="n">
        <v>33.53</v>
      </c>
      <c r="N143" s="73" t="n">
        <v>1</v>
      </c>
    </row>
    <row r="144">
      <c r="A144" s="70" t="inlineStr">
        <is>
          <t>December 2 - 31, 2025 (30d)</t>
        </is>
      </c>
      <c r="B144" s="68" t="n"/>
      <c r="C144" s="69" t="n"/>
      <c r="D144" s="71" t="n">
        <v>617.92</v>
      </c>
      <c r="E144" s="73" t="n">
        <v>18</v>
      </c>
      <c r="F144" s="73" t="n">
        <v>18</v>
      </c>
      <c r="G144" s="73" t="n">
        <v>0</v>
      </c>
      <c r="H144" s="71" t="n">
        <v>0</v>
      </c>
      <c r="J144" s="75" t="n">
        <v>0</v>
      </c>
      <c r="K144" s="73" t="n">
        <v>250</v>
      </c>
      <c r="L144" s="75" t="n">
        <v>0.07199999999999999</v>
      </c>
      <c r="M144" s="76" t="n">
        <v>34.32888888888888</v>
      </c>
      <c r="N144" s="73" t="n">
        <v>1</v>
      </c>
    </row>
    <row r="145">
      <c r="A145" s="59" t="inlineStr">
        <is>
          <t>SellerBoard, Ecotero account, Amazon parent B0F2Z7C4ST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146" ht="18" customHeight="1">
      <c r="A146" s="77" t="inlineStr">
        <is>
          <t>Deals Nov 1 - Dec 5, 2025: no record returned by the DataHub promotions feed. Unknown, not proof that no deal ran.</t>
        </is>
      </c>
    </row>
    <row r="147" ht="26" customHeight="1">
      <c r="A147" s="77" t="inlineStr">
        <is>
          <t>Stock in BFCM week 2025 (FBA inventory snapshots, child-ASIN level, revision 2): 0 of 41 variations hit zero FBA stock on at least one observed day; weighted by today's sales mix that is ~0.0% of variation-days lost. Snapshots missing: US Nov 26-27 and Dec 1 (Cyber Monday); CA Nov 24, 29-30.</t>
        </is>
      </c>
    </row>
    <row r="148">
      <c r="A148" s="59" t="inlineStr">
        <is>
          <t>Figures above are Amazon.ca in CAD. Visibility history is held for US ASINs only.</t>
        </is>
      </c>
    </row>
    <row r="150" ht="20" customHeight="1">
      <c r="A150" s="54" t="inlineStr">
        <is>
          <t>4 · COMPETITOR LANDSCAPE (15 mapped)</t>
        </is>
      </c>
    </row>
    <row r="151">
      <c r="A151" s="59" t="inlineStr">
        <is>
          <t>Sorted by tier, then estimated weekly units. Green = Command Center price/sales; blue = Data Dive listing; purple = Command Center search strategy (ASINsight); yellow = fill from Keepa / page check.</t>
        </is>
      </c>
    </row>
    <row r="152" ht="30" customHeight="1">
      <c r="A152"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Command Center CAD price (Mar 2026) - no live Canadian price source yet.</t>
        </is>
      </c>
    </row>
    <row r="153">
      <c r="A153" s="78" t="inlineStr">
        <is>
          <t>COMPETITOR</t>
        </is>
      </c>
      <c r="I153" s="79" t="inlineStr">
        <is>
          <t>LISTING - Data Dive</t>
        </is>
      </c>
      <c r="J153" s="80" t="inlineStr">
        <is>
          <t>SEARCH STRATEGY - Command Center ASINsight</t>
        </is>
      </c>
      <c r="K153" s="81" t="inlineStr">
        <is>
          <t>PRICE &amp; SALES - Command Center snapshot (date per row)</t>
        </is>
      </c>
      <c r="X153" s="79" t="inlineStr">
        <is>
          <t>LISTING - Data Dive</t>
        </is>
      </c>
      <c r="AA153" s="80" t="inlineStr">
        <is>
          <t>SEARCH STRATEGY - Command Center ASINsight</t>
        </is>
      </c>
      <c r="AR153" s="82" t="inlineStr">
        <is>
          <t>STR NOW - Amazon page check (Oct 13, P1 + P2)</t>
        </is>
      </c>
      <c r="AY153" s="83" t="inlineStr">
        <is>
          <t>BFCM 2025 - Keepa (P1 filled; yellow = not pulled yet)</t>
        </is>
      </c>
    </row>
    <row r="154" ht="48" customHeight="1">
      <c r="A154" s="22" t="inlineStr">
        <is>
          <t>Image</t>
        </is>
      </c>
      <c r="B154" s="22" t="inlineStr">
        <is>
          <t>Brand</t>
        </is>
      </c>
      <c r="C154" s="22" t="inlineStr">
        <is>
          <t>Product title</t>
        </is>
      </c>
      <c r="D154" s="22" t="inlineStr">
        <is>
          <t>Tier</t>
        </is>
      </c>
      <c r="E154" s="22" t="inlineStr">
        <is>
          <t>Parent ASIN</t>
        </is>
      </c>
      <c r="F154" s="22" t="inlineStr">
        <is>
          <t>Tracked child ASIN</t>
        </is>
      </c>
      <c r="G154" s="22" t="inlineStr">
        <is>
          <t>Size (title)</t>
        </is>
      </c>
      <c r="H154" s="22" t="inlineStr">
        <is>
          <t>Colour (title)</t>
        </is>
      </c>
      <c r="I154" s="22" t="inlineStr">
        <is>
          <t>Variations</t>
        </is>
      </c>
      <c r="J154" s="22" t="inlineStr">
        <is>
          <t>Hero child ASINs (share of their visibility)</t>
        </is>
      </c>
      <c r="K154" s="22" t="inlineStr">
        <is>
          <t>Price ($)</t>
        </is>
      </c>
      <c r="L154" s="22" t="inlineStr">
        <is>
          <t>List Price ($)</t>
        </is>
      </c>
      <c r="M154" s="22" t="inlineStr">
        <is>
          <t>List Price % over</t>
        </is>
      </c>
      <c r="N154" s="22" t="inlineStr">
        <is>
          <t>STR band</t>
        </is>
      </c>
      <c r="O154" s="22" t="inlineStr">
        <is>
          <t>Our price, same size ($)</t>
        </is>
      </c>
      <c r="P154" s="22" t="inlineStr">
        <is>
          <t>Their price vs ours</t>
        </is>
      </c>
      <c r="Q154" s="22" t="inlineStr">
        <is>
          <t>Comparison basis</t>
        </is>
      </c>
      <c r="R154" s="22" t="inlineStr">
        <is>
          <t>BSR</t>
        </is>
      </c>
      <c r="S154" s="22" t="inlineStr">
        <is>
          <t>Est weekly units</t>
        </is>
      </c>
      <c r="T154" s="22" t="inlineStr">
        <is>
          <t>Est monthly revenue ($)</t>
        </is>
      </c>
      <c r="U154" s="22" t="inlineStr">
        <is>
          <t>Rating</t>
        </is>
      </c>
      <c r="V154" s="22" t="inlineStr">
        <is>
          <t>Reviews</t>
        </is>
      </c>
      <c r="W154" s="22" t="inlineStr">
        <is>
          <t>Snapshot date</t>
        </is>
      </c>
      <c r="X154" s="22" t="inlineStr">
        <is>
          <t>Listed</t>
        </is>
      </c>
      <c r="Y154" s="22" t="inlineStr">
        <is>
          <t>Fulfil.</t>
        </is>
      </c>
      <c r="Z154" s="22" t="inlineStr">
        <is>
          <t>Seller country</t>
        </is>
      </c>
      <c r="AA154" s="22" t="inlineStr">
        <is>
          <t>ASINsight 7d traffic</t>
        </is>
      </c>
      <c r="AB154" s="22" t="inlineStr">
        <is>
          <t>Keywords ranked</t>
        </is>
      </c>
      <c r="AC154" s="22" t="inlineStr">
        <is>
          <t>Organic share of traffic</t>
        </is>
      </c>
      <c r="AD154" s="22" t="inlineStr">
        <is>
          <t>Ad share of traffic</t>
        </is>
      </c>
      <c r="AE154" s="22" t="inlineStr">
        <is>
          <t>Top keyword</t>
        </is>
      </c>
      <c r="AF154" s="22" t="inlineStr">
        <is>
          <t>SP reach</t>
        </is>
      </c>
      <c r="AG154" s="22" t="inlineStr">
        <is>
          <t>SB reach</t>
        </is>
      </c>
      <c r="AH154" s="22" t="inlineStr">
        <is>
          <t>SB video reach</t>
        </is>
      </c>
      <c r="AI154" s="22" t="inlineStr">
        <is>
          <t>Amazon's Choice reach</t>
        </is>
      </c>
      <c r="AJ154" s="22" t="inlineStr">
        <is>
          <t>Shared keywords</t>
        </is>
      </c>
      <c r="AK154" s="22" t="inlineStr">
        <is>
          <t>We win</t>
        </is>
      </c>
      <c r="AL154" s="22" t="inlineStr">
        <is>
          <t>We lose</t>
        </is>
      </c>
      <c r="AM154" s="22" t="inlineStr">
        <is>
          <t>Their keywords we miss</t>
        </is>
      </c>
      <c r="AN154" s="22" t="inlineStr">
        <is>
          <t>KWs they advertise, we don't</t>
        </is>
      </c>
      <c r="AO154" s="22" t="inlineStr">
        <is>
          <t>KWs they out-advertise us</t>
        </is>
      </c>
      <c r="AP154" s="22" t="inlineStr">
        <is>
          <t>Prime Day 2026 organic vis lift</t>
        </is>
      </c>
      <c r="AQ154" s="22" t="inlineStr">
        <is>
          <t>Organic trend (Aug-Sep vs Q2)</t>
        </is>
      </c>
      <c r="AR154" s="22" t="inlineStr">
        <is>
          <t>STR showing now? (Y/N)</t>
        </is>
      </c>
      <c r="AS154" s="22" t="inlineStr">
        <is>
          <t>STR label</t>
        </is>
      </c>
      <c r="AT154" s="22" t="inlineStr">
        <is>
          <t>Strikethrough price ($)</t>
        </is>
      </c>
      <c r="AU154" s="22" t="inlineStr">
        <is>
          <t>Page price at check ($)</t>
        </is>
      </c>
      <c r="AV154" s="22" t="inlineStr">
        <is>
          <t>Deal / coupon now</t>
        </is>
      </c>
      <c r="AW154" s="22" t="inlineStr">
        <is>
          <t>Orderable now (Y/N)</t>
        </is>
      </c>
      <c r="AX154" s="22" t="inlineStr">
        <is>
          <t>Checked (ET)</t>
        </is>
      </c>
      <c r="AY154" s="22" t="inlineStr">
        <is>
          <t>BFCM 2025 deal type</t>
        </is>
      </c>
      <c r="AZ154" s="22" t="inlineStr">
        <is>
          <t>BFCM 2025 deal dates</t>
        </is>
      </c>
      <c r="BA154" s="22" t="inlineStr">
        <is>
          <t>Pre-event price ($)</t>
        </is>
      </c>
      <c r="BB154" s="22" t="inlineStr">
        <is>
          <t>BFCM 2025 low ($)</t>
        </is>
      </c>
      <c r="BC154" s="22" t="inlineStr">
        <is>
          <t>BFCM 2025 discount</t>
        </is>
      </c>
      <c r="BD154" s="22" t="inlineStr">
        <is>
          <t>BSR pre-event</t>
        </is>
      </c>
      <c r="BE154" s="22" t="inlineStr">
        <is>
          <t>BSR BFCM wk</t>
        </is>
      </c>
      <c r="BF154" s="22" t="inlineStr">
        <is>
          <t>BSR lift (x)</t>
        </is>
      </c>
      <c r="BG154" s="22" t="inlineStr">
        <is>
          <t>OOS in BFCM? (Y/N)</t>
        </is>
      </c>
      <c r="BH154" s="22" t="inlineStr">
        <is>
          <t>Notes</t>
        </is>
      </c>
    </row>
    <row r="155" ht="62" customHeight="1">
      <c r="A155" s="10">
        <f>_xlfn.IMAGE("https://m.media-amazon.com/images/I/71MADUOjsFL.jpg")</f>
        <v/>
      </c>
      <c r="B155" s="84" t="inlineStr">
        <is>
          <t>Sasttie</t>
        </is>
      </c>
      <c r="C155" s="32" t="inlineStr">
        <is>
          <t>Sasttie Satin Sheets Queen - 4 Pieces Luxury Soft Black Silky Bed Sheets Set with Pillowcases - Smooth Silk-Like Drap Satin Fabric, Reinforced 14 Inches Pocket, Oeko-Tex Certified</t>
        </is>
      </c>
      <c r="D155" s="84" t="inlineStr">
        <is>
          <t>Untiered</t>
        </is>
      </c>
      <c r="E155" s="84" t="inlineStr">
        <is>
          <t>B0F2HNJ52T</t>
        </is>
      </c>
      <c r="F155" s="84" t="inlineStr">
        <is>
          <t>B0F2H8LPB3</t>
        </is>
      </c>
      <c r="G155" s="84" t="inlineStr">
        <is>
          <t>Queen</t>
        </is>
      </c>
      <c r="H155" s="84" t="inlineStr">
        <is>
          <t>Black</t>
        </is>
      </c>
      <c r="I155" s="85" t="n">
        <v>83</v>
      </c>
      <c r="J155" s="32" t="n"/>
      <c r="K155" s="86" t="n">
        <v>31.99</v>
      </c>
      <c r="L155" s="86" t="n"/>
      <c r="M155" s="87">
        <f>IF(AND(ISNUMBER(L155),ISNUMBER(K155),N(K155)&gt;0),L155/K155-1,"")</f>
        <v/>
      </c>
      <c r="N155" s="88">
        <f>IF(M155="","No List Price",IF(M155&lt;=0,"At/below price",IF(M155&lt;=0.12,"&lt;=12% STR zone",IF(M155&lt;=0.25,"12-25%","&gt;25% over"))))</f>
        <v/>
      </c>
      <c r="O155" s="86" t="n">
        <v>46.95</v>
      </c>
      <c r="P155" s="89">
        <f>IF(AND(ISNUMBER(K155),ISNUMBER(O155),N(O155)&gt;0),K155/O155-1,"")</f>
        <v/>
      </c>
      <c r="Q155" s="32" t="inlineStr">
        <is>
          <t>Same size (Queen), CAD. Ours: Command Center fee feed, Mar 2026 - STALE</t>
        </is>
      </c>
      <c r="R155" s="85" t="n">
        <v>1428</v>
      </c>
      <c r="S155" s="85" t="n"/>
      <c r="T155" s="90">
        <f>IF(AND(ISNUMBER(K155),ISNUMBER(S155)),K155*S155*52/12,"")</f>
        <v/>
      </c>
      <c r="U155" s="91" t="n">
        <v>4.2</v>
      </c>
      <c r="V155" s="85" t="n">
        <v>962</v>
      </c>
      <c r="W155" s="92" t="n">
        <v>46309</v>
      </c>
      <c r="X155" s="92" t="n"/>
      <c r="Y155" s="84" t="n"/>
      <c r="Z155" s="84" t="n"/>
      <c r="AA155" s="85" t="n"/>
      <c r="AB155" s="85" t="n"/>
      <c r="AC155" s="93" t="n"/>
      <c r="AD155" s="93" t="n"/>
      <c r="AE155" s="32" t="n"/>
      <c r="AF155" s="93" t="n"/>
      <c r="AG155" s="93" t="n"/>
      <c r="AH155" s="93" t="n"/>
      <c r="AI155" s="93" t="n"/>
      <c r="AJ155" s="85" t="n"/>
      <c r="AK155" s="85" t="n"/>
      <c r="AL155" s="85" t="n"/>
      <c r="AM155" s="85" t="n"/>
      <c r="AN155" s="85" t="n"/>
      <c r="AO155" s="85" t="n"/>
      <c r="AP155" s="94" t="n"/>
      <c r="AQ155" s="89" t="n"/>
      <c r="AR155" s="95" t="inlineStr">
        <is>
          <t>N</t>
        </is>
      </c>
      <c r="AS155" s="95" t="inlineStr">
        <is>
          <t>none</t>
        </is>
      </c>
      <c r="AT155" s="101" t="n"/>
      <c r="AU155" s="96" t="n">
        <v>31.99</v>
      </c>
      <c r="AV155" s="95" t="inlineStr">
        <is>
          <t>none</t>
        </is>
      </c>
      <c r="AW155" s="95" t="inlineStr">
        <is>
          <t>Y</t>
        </is>
      </c>
      <c r="AX155" s="95" t="inlineStr">
        <is>
          <t>2026-10-14 00:30:30</t>
        </is>
      </c>
      <c r="AY155" s="97" t="inlineStr">
        <is>
          <t>Prime Exclusive Discount</t>
        </is>
      </c>
      <c r="AZ155" s="97" t="inlineStr">
        <is>
          <t>11-08 to 12-05</t>
        </is>
      </c>
      <c r="BA155" s="98" t="n">
        <v>15.99</v>
      </c>
      <c r="BB155" s="98" t="n">
        <v>15.98</v>
      </c>
      <c r="BC155" s="87">
        <f>IF(AND(ISNUMBER(BA155),ISNUMBER(BB155),N(BA155)&gt;0),1-BB155/BA155,"")</f>
        <v/>
      </c>
      <c r="BD155" s="99" t="n">
        <v>71449</v>
      </c>
      <c r="BE155" s="99" t="n">
        <v>98796</v>
      </c>
      <c r="BF155" s="100">
        <f>IF(AND(ISNUMBER(BD155),ISNUMBER(BE155),N(BE155)&gt;0),BD155/BE155,"")</f>
        <v/>
      </c>
      <c r="BG155" s="97" t="inlineStr">
        <is>
          <t>N</t>
        </is>
      </c>
      <c r="BH155" s="97" t="inlineStr">
        <is>
          <t>Amazon.ca organic #1 for 'satin sheets queen'; satin; 300+ bought in past month bought past month; Reused DC S4 competitor observation, no separate search. Search child B0F2H9HRJJ; selected Queen child B0F2H8LPB3. variation_count = distinct children exposed i</t>
        </is>
      </c>
    </row>
    <row r="156" ht="62" customHeight="1">
      <c r="A156" s="10">
        <f>_xlfn.IMAGE("https://m.media-amazon.com/images/I/71zGuoeuSrL.jpg")</f>
        <v/>
      </c>
      <c r="B156" s="84" t="inlineStr">
        <is>
          <t>MR&amp;HM</t>
        </is>
      </c>
      <c r="C156" s="32" t="inlineStr">
        <is>
          <t>MR&amp;HM Satin Sheets Queen Size with Elastic Corner Straps, Black</t>
        </is>
      </c>
      <c r="D156" s="84" t="inlineStr">
        <is>
          <t>Untiered</t>
        </is>
      </c>
      <c r="E156" s="84" t="inlineStr">
        <is>
          <t>B08NPFTQWB</t>
        </is>
      </c>
      <c r="F156" s="84" t="inlineStr">
        <is>
          <t>B08HM6WT6X</t>
        </is>
      </c>
      <c r="G156" s="84" t="inlineStr">
        <is>
          <t>Queen</t>
        </is>
      </c>
      <c r="H156" s="84" t="inlineStr">
        <is>
          <t>01- Black</t>
        </is>
      </c>
      <c r="I156" s="85" t="n">
        <v>182</v>
      </c>
      <c r="J156" s="32" t="n"/>
      <c r="K156" s="86" t="n">
        <v>40.99</v>
      </c>
      <c r="L156" s="86" t="n"/>
      <c r="M156" s="87">
        <f>IF(AND(ISNUMBER(L156),ISNUMBER(K156),N(K156)&gt;0),L156/K156-1,"")</f>
        <v/>
      </c>
      <c r="N156" s="88">
        <f>IF(M156="","No List Price",IF(M156&lt;=0,"At/below price",IF(M156&lt;=0.12,"&lt;=12% STR zone",IF(M156&lt;=0.25,"12-25%","&gt;25% over"))))</f>
        <v/>
      </c>
      <c r="O156" s="86" t="n">
        <v>46.95</v>
      </c>
      <c r="P156" s="89">
        <f>IF(AND(ISNUMBER(K156),ISNUMBER(O156),N(O156)&gt;0),K156/O156-1,"")</f>
        <v/>
      </c>
      <c r="Q156" s="32" t="inlineStr">
        <is>
          <t>Same size (Queen), CAD. Ours: Command Center fee feed, Mar 2026 - STALE</t>
        </is>
      </c>
      <c r="R156" s="85" t="n">
        <v>1512</v>
      </c>
      <c r="S156" s="85" t="n"/>
      <c r="T156" s="90">
        <f>IF(AND(ISNUMBER(K156),ISNUMBER(S156)),K156*S156*52/12,"")</f>
        <v/>
      </c>
      <c r="U156" s="91" t="n">
        <v>4.2</v>
      </c>
      <c r="V156" s="85" t="n">
        <v>17432</v>
      </c>
      <c r="W156" s="92" t="n">
        <v>46309</v>
      </c>
      <c r="X156" s="92" t="n"/>
      <c r="Y156" s="84" t="n"/>
      <c r="Z156" s="84" t="n"/>
      <c r="AA156" s="85" t="n"/>
      <c r="AB156" s="85" t="n"/>
      <c r="AC156" s="93" t="n"/>
      <c r="AD156" s="93" t="n"/>
      <c r="AE156" s="32" t="n"/>
      <c r="AF156" s="93" t="n"/>
      <c r="AG156" s="93" t="n"/>
      <c r="AH156" s="93" t="n"/>
      <c r="AI156" s="93" t="n"/>
      <c r="AJ156" s="85" t="n"/>
      <c r="AK156" s="85" t="n"/>
      <c r="AL156" s="85" t="n"/>
      <c r="AM156" s="85" t="n"/>
      <c r="AN156" s="85" t="n"/>
      <c r="AO156" s="85" t="n"/>
      <c r="AP156" s="94" t="n"/>
      <c r="AQ156" s="89" t="n"/>
      <c r="AR156" s="95" t="inlineStr">
        <is>
          <t>Y</t>
        </is>
      </c>
      <c r="AS156" s="95" t="inlineStr">
        <is>
          <t>Was price</t>
        </is>
      </c>
      <c r="AT156" s="96" t="n">
        <v>46.99</v>
      </c>
      <c r="AU156" s="96" t="n">
        <v>40.99</v>
      </c>
      <c r="AV156" s="95" t="inlineStr">
        <is>
          <t>none</t>
        </is>
      </c>
      <c r="AW156" s="95" t="inlineStr">
        <is>
          <t>Y</t>
        </is>
      </c>
      <c r="AX156" s="95" t="inlineStr">
        <is>
          <t>2026-10-14 00:30:54</t>
        </is>
      </c>
      <c r="AY156" s="97" t="inlineStr">
        <is>
          <t>None</t>
        </is>
      </c>
      <c r="AZ156" s="102" t="n"/>
      <c r="BA156" s="98" t="n">
        <v>17.99</v>
      </c>
      <c r="BB156" s="98" t="n">
        <v>17.99</v>
      </c>
      <c r="BC156" s="87">
        <f>IF(AND(ISNUMBER(BA156),ISNUMBER(BB156),N(BA156)&gt;0),1-BB156/BA156,"")</f>
        <v/>
      </c>
      <c r="BD156" s="99" t="n">
        <v>1500</v>
      </c>
      <c r="BE156" s="99" t="n">
        <v>1119</v>
      </c>
      <c r="BF156" s="100">
        <f>IF(AND(ISNUMBER(BD156),ISNUMBER(BE156),N(BE156)&gt;0),BD156/BE156,"")</f>
        <v/>
      </c>
      <c r="BG156" s="97" t="inlineStr">
        <is>
          <t>N</t>
        </is>
      </c>
      <c r="BH156" s="97" t="inlineStr">
        <is>
          <t>Amazon.ca organic #2 for 'satin sheets queen'; 100% Polyester Satin; 100+ bought in past month bought past month; Reused DC S4 competitor observation, no separate search. variation_count = distinct children exposed in page variation map, not a guaranteed complete catalogue.</t>
        </is>
      </c>
    </row>
    <row r="157" ht="62" customHeight="1">
      <c r="A157" s="10">
        <f>_xlfn.IMAGE("https://m.media-amazon.com/images/I/71zxqUjprTL.jpg")</f>
        <v/>
      </c>
      <c r="B157" s="84" t="inlineStr">
        <is>
          <t>BEDELITE</t>
        </is>
      </c>
      <c r="C157" s="32" t="inlineStr">
        <is>
          <t>BEDELITE Satin Sheets Queen Size Bed Set, Black, 4 Pieces</t>
        </is>
      </c>
      <c r="D157" s="84" t="inlineStr">
        <is>
          <t>Untiered</t>
        </is>
      </c>
      <c r="E157" s="84" t="inlineStr">
        <is>
          <t>B0GJC51929</t>
        </is>
      </c>
      <c r="F157" s="84" t="inlineStr">
        <is>
          <t>B0GJCBX6CJ</t>
        </is>
      </c>
      <c r="G157" s="84" t="inlineStr">
        <is>
          <t>Queen</t>
        </is>
      </c>
      <c r="H157" s="84" t="inlineStr">
        <is>
          <t>Black</t>
        </is>
      </c>
      <c r="I157" s="85" t="n">
        <v>16</v>
      </c>
      <c r="J157" s="32" t="n"/>
      <c r="K157" s="86" t="n">
        <v>31.99</v>
      </c>
      <c r="L157" s="86" t="n"/>
      <c r="M157" s="87">
        <f>IF(AND(ISNUMBER(L157),ISNUMBER(K157),N(K157)&gt;0),L157/K157-1,"")</f>
        <v/>
      </c>
      <c r="N157" s="88">
        <f>IF(M157="","No List Price",IF(M157&lt;=0,"At/below price",IF(M157&lt;=0.12,"&lt;=12% STR zone",IF(M157&lt;=0.25,"12-25%","&gt;25% over"))))</f>
        <v/>
      </c>
      <c r="O157" s="86" t="n">
        <v>46.95</v>
      </c>
      <c r="P157" s="89">
        <f>IF(AND(ISNUMBER(K157),ISNUMBER(O157),N(O157)&gt;0),K157/O157-1,"")</f>
        <v/>
      </c>
      <c r="Q157" s="32" t="inlineStr">
        <is>
          <t>Same size (Queen), CAD. Ours: Command Center fee feed, Mar 2026 - STALE</t>
        </is>
      </c>
      <c r="R157" s="85" t="n">
        <v>8328</v>
      </c>
      <c r="S157" s="85" t="n"/>
      <c r="T157" s="90">
        <f>IF(AND(ISNUMBER(K157),ISNUMBER(S157)),K157*S157*52/12,"")</f>
        <v/>
      </c>
      <c r="U157" s="91" t="n">
        <v>4.1</v>
      </c>
      <c r="V157" s="85" t="n">
        <v>346</v>
      </c>
      <c r="W157" s="92" t="n">
        <v>46309</v>
      </c>
      <c r="X157" s="92" t="n"/>
      <c r="Y157" s="84" t="n"/>
      <c r="Z157" s="84" t="n"/>
      <c r="AA157" s="85" t="n"/>
      <c r="AB157" s="85" t="n"/>
      <c r="AC157" s="93" t="n"/>
      <c r="AD157" s="93" t="n"/>
      <c r="AE157" s="32" t="n"/>
      <c r="AF157" s="93" t="n"/>
      <c r="AG157" s="93" t="n"/>
      <c r="AH157" s="93" t="n"/>
      <c r="AI157" s="93" t="n"/>
      <c r="AJ157" s="85" t="n"/>
      <c r="AK157" s="85" t="n"/>
      <c r="AL157" s="85" t="n"/>
      <c r="AM157" s="85" t="n"/>
      <c r="AN157" s="85" t="n"/>
      <c r="AO157" s="85" t="n"/>
      <c r="AP157" s="94" t="n"/>
      <c r="AQ157" s="89" t="n"/>
      <c r="AR157" s="95" t="inlineStr">
        <is>
          <t>Y</t>
        </is>
      </c>
      <c r="AS157" s="95" t="inlineStr">
        <is>
          <t>Was price</t>
        </is>
      </c>
      <c r="AT157" s="96" t="n">
        <v>37.99</v>
      </c>
      <c r="AU157" s="96" t="n">
        <v>31.99</v>
      </c>
      <c r="AV157" s="95" t="inlineStr">
        <is>
          <t>none</t>
        </is>
      </c>
      <c r="AW157" s="95" t="inlineStr">
        <is>
          <t>Y</t>
        </is>
      </c>
      <c r="AX157" s="95" t="inlineStr">
        <is>
          <t>2026-10-14 00:31:18</t>
        </is>
      </c>
      <c r="AY157" s="102" t="n"/>
      <c r="AZ157" s="102" t="n"/>
      <c r="BA157" s="101" t="n"/>
      <c r="BB157" s="101" t="n"/>
      <c r="BC157" s="87">
        <f>IF(AND(ISNUMBER(BA157),ISNUMBER(BB157),N(BA157)&gt;0),1-BB157/BA157,"")</f>
        <v/>
      </c>
      <c r="BD157" s="103" t="n"/>
      <c r="BE157" s="103" t="n"/>
      <c r="BF157" s="100">
        <f>IF(AND(ISNUMBER(BD157),ISNUMBER(BE157),N(BE157)&gt;0),BD157/BE157,"")</f>
        <v/>
      </c>
      <c r="BG157" s="102" t="n"/>
      <c r="BH157" s="97" t="inlineStr">
        <is>
          <t>Amazon.ca organic #3 for 'satin sheets queen'; 100% Polyester Satin; 100+ bought in past month bought past month; Reused DC S4 competitor observation, no separate search. variation_count = distinct children exposed in page variation map, not a guaranteed complete catalogue.</t>
        </is>
      </c>
    </row>
    <row r="158" ht="62" customHeight="1">
      <c r="A158" s="10">
        <f>_xlfn.IMAGE("https://m.media-amazon.com/images/I/71C0hMb9zSL.jpg")</f>
        <v/>
      </c>
      <c r="B158" s="84" t="inlineStr">
        <is>
          <t>HENGWEITEXT</t>
        </is>
      </c>
      <c r="C158" s="32" t="inlineStr">
        <is>
          <t>HENGWEI Satin Sheet Set Queen Size, 4 Pieces Silky Bed Sheets with Deep Pocket, Luxury Soft Bedding Set Breathable and Cooling for Hair and Skin, 1 Flat Sheet, 1 Fitted Sheet, 2 Pillow Case</t>
        </is>
      </c>
      <c r="D158" s="84" t="inlineStr">
        <is>
          <t>Untiered</t>
        </is>
      </c>
      <c r="E158" s="84" t="inlineStr">
        <is>
          <t>B0B1DDMNRF</t>
        </is>
      </c>
      <c r="F158" s="84" t="inlineStr">
        <is>
          <t>B0BYC3HK7X</t>
        </is>
      </c>
      <c r="G158" s="84" t="inlineStr">
        <is>
          <t>Queen</t>
        </is>
      </c>
      <c r="H158" s="84" t="inlineStr">
        <is>
          <t>Sd-brown</t>
        </is>
      </c>
      <c r="I158" s="85" t="n">
        <v>23</v>
      </c>
      <c r="J158" s="32" t="n"/>
      <c r="K158" s="86" t="n">
        <v>31.99</v>
      </c>
      <c r="L158" s="86" t="n"/>
      <c r="M158" s="87">
        <f>IF(AND(ISNUMBER(L158),ISNUMBER(K158),N(K158)&gt;0),L158/K158-1,"")</f>
        <v/>
      </c>
      <c r="N158" s="88">
        <f>IF(M158="","No List Price",IF(M158&lt;=0,"At/below price",IF(M158&lt;=0.12,"&lt;=12% STR zone",IF(M158&lt;=0.25,"12-25%","&gt;25% over"))))</f>
        <v/>
      </c>
      <c r="O158" s="86" t="n">
        <v>46.95</v>
      </c>
      <c r="P158" s="89">
        <f>IF(AND(ISNUMBER(K158),ISNUMBER(O158),N(O158)&gt;0),K158/O158-1,"")</f>
        <v/>
      </c>
      <c r="Q158" s="32" t="inlineStr">
        <is>
          <t>Same size (Queen), CAD. Ours: Command Center fee feed, Mar 2026 - STALE</t>
        </is>
      </c>
      <c r="R158" s="85" t="n">
        <v>31358</v>
      </c>
      <c r="S158" s="85" t="n"/>
      <c r="T158" s="90">
        <f>IF(AND(ISNUMBER(K158),ISNUMBER(S158)),K158*S158*52/12,"")</f>
        <v/>
      </c>
      <c r="U158" s="91" t="n">
        <v>4.2</v>
      </c>
      <c r="V158" s="85" t="n">
        <v>2515</v>
      </c>
      <c r="W158" s="92" t="n">
        <v>46309</v>
      </c>
      <c r="X158" s="92" t="n"/>
      <c r="Y158" s="84" t="n"/>
      <c r="Z158" s="84" t="n"/>
      <c r="AA158" s="85" t="n"/>
      <c r="AB158" s="85" t="n"/>
      <c r="AC158" s="93" t="n"/>
      <c r="AD158" s="93" t="n"/>
      <c r="AE158" s="32" t="n"/>
      <c r="AF158" s="93" t="n"/>
      <c r="AG158" s="93" t="n"/>
      <c r="AH158" s="93" t="n"/>
      <c r="AI158" s="93" t="n"/>
      <c r="AJ158" s="85" t="n"/>
      <c r="AK158" s="85" t="n"/>
      <c r="AL158" s="85" t="n"/>
      <c r="AM158" s="85" t="n"/>
      <c r="AN158" s="85" t="n"/>
      <c r="AO158" s="85" t="n"/>
      <c r="AP158" s="94" t="n"/>
      <c r="AQ158" s="89" t="n"/>
      <c r="AR158" s="95" t="inlineStr">
        <is>
          <t>N</t>
        </is>
      </c>
      <c r="AS158" s="95" t="inlineStr">
        <is>
          <t>none</t>
        </is>
      </c>
      <c r="AT158" s="101" t="n"/>
      <c r="AU158" s="96" t="n">
        <v>31.99</v>
      </c>
      <c r="AV158" s="95" t="inlineStr">
        <is>
          <t>none</t>
        </is>
      </c>
      <c r="AW158" s="95" t="inlineStr">
        <is>
          <t>Y</t>
        </is>
      </c>
      <c r="AX158" s="95" t="inlineStr">
        <is>
          <t>2026-10-14 00:33:00</t>
        </is>
      </c>
      <c r="AY158" s="102" t="n"/>
      <c r="AZ158" s="102" t="n"/>
      <c r="BA158" s="101" t="n"/>
      <c r="BB158" s="101" t="n"/>
      <c r="BC158" s="87">
        <f>IF(AND(ISNUMBER(BA158),ISNUMBER(BB158),N(BA158)&gt;0),1-BB158/BA158,"")</f>
        <v/>
      </c>
      <c r="BD158" s="103" t="n"/>
      <c r="BE158" s="103" t="n"/>
      <c r="BF158" s="100">
        <f>IF(AND(ISNUMBER(BD158),ISNUMBER(BE158),N(BE158)&gt;0),BD158/BE158,"")</f>
        <v/>
      </c>
      <c r="BG158" s="102" t="n"/>
      <c r="BH158" s="97" t="inlineStr">
        <is>
          <t>Amazon.ca organic #5 for 'silk satin sheets'; Satin; Reused DC S4 competitor observation, no separate search. Search child B0BYCB7QDF; selected Queen child B0BYC3HK7X. variation_count = distinct children exposed i</t>
        </is>
      </c>
    </row>
    <row r="159" ht="62" customHeight="1">
      <c r="A159" s="10">
        <f>_xlfn.IMAGE("https://m.media-amazon.com/images/I/71r48b+Sh9L.jpg")</f>
        <v/>
      </c>
      <c r="B159" s="84" t="inlineStr">
        <is>
          <t>GOLAL</t>
        </is>
      </c>
      <c r="C159" s="32" t="inlineStr">
        <is>
          <t>Black Satin Sheets Queen Size - 4 Pieces Luxury Silky Soft Bed Sheets</t>
        </is>
      </c>
      <c r="D159" s="84" t="inlineStr">
        <is>
          <t>Untiered</t>
        </is>
      </c>
      <c r="E159" s="84" t="inlineStr">
        <is>
          <t>B09JB7K1PP</t>
        </is>
      </c>
      <c r="F159" s="84" t="inlineStr">
        <is>
          <t>B09G17XZC5</t>
        </is>
      </c>
      <c r="G159" s="84" t="inlineStr">
        <is>
          <t>Queen</t>
        </is>
      </c>
      <c r="H159" s="84" t="inlineStr">
        <is>
          <t>Black</t>
        </is>
      </c>
      <c r="I159" s="85" t="n">
        <v>91</v>
      </c>
      <c r="J159" s="32" t="n"/>
      <c r="K159" s="86" t="n">
        <v>47.99</v>
      </c>
      <c r="L159" s="86" t="n"/>
      <c r="M159" s="87">
        <f>IF(AND(ISNUMBER(L159),ISNUMBER(K159),N(K159)&gt;0),L159/K159-1,"")</f>
        <v/>
      </c>
      <c r="N159" s="88">
        <f>IF(M159="","No List Price",IF(M159&lt;=0,"At/below price",IF(M159&lt;=0.12,"&lt;=12% STR zone",IF(M159&lt;=0.25,"12-25%","&gt;25% over"))))</f>
        <v/>
      </c>
      <c r="O159" s="86" t="n">
        <v>46.95</v>
      </c>
      <c r="P159" s="89">
        <f>IF(AND(ISNUMBER(K159),ISNUMBER(O159),N(O159)&gt;0),K159/O159-1,"")</f>
        <v/>
      </c>
      <c r="Q159" s="32" t="inlineStr">
        <is>
          <t>Same size (Queen), CAD. Ours: Command Center fee feed, Mar 2026 - STALE</t>
        </is>
      </c>
      <c r="R159" s="85" t="n">
        <v>18076</v>
      </c>
      <c r="S159" s="85" t="n"/>
      <c r="T159" s="90">
        <f>IF(AND(ISNUMBER(K159),ISNUMBER(S159)),K159*S159*52/12,"")</f>
        <v/>
      </c>
      <c r="U159" s="91" t="n">
        <v>4.2</v>
      </c>
      <c r="V159" s="85" t="n">
        <v>1280</v>
      </c>
      <c r="W159" s="92" t="n">
        <v>46309</v>
      </c>
      <c r="X159" s="92" t="n"/>
      <c r="Y159" s="84" t="n"/>
      <c r="Z159" s="84" t="n"/>
      <c r="AA159" s="85" t="n"/>
      <c r="AB159" s="85" t="n"/>
      <c r="AC159" s="93" t="n"/>
      <c r="AD159" s="93" t="n"/>
      <c r="AE159" s="32" t="n"/>
      <c r="AF159" s="93" t="n"/>
      <c r="AG159" s="93" t="n"/>
      <c r="AH159" s="93" t="n"/>
      <c r="AI159" s="93" t="n"/>
      <c r="AJ159" s="85" t="n"/>
      <c r="AK159" s="85" t="n"/>
      <c r="AL159" s="85" t="n"/>
      <c r="AM159" s="85" t="n"/>
      <c r="AN159" s="85" t="n"/>
      <c r="AO159" s="85" t="n"/>
      <c r="AP159" s="94" t="n"/>
      <c r="AQ159" s="89" t="n"/>
      <c r="AR159" s="95" t="inlineStr">
        <is>
          <t>N</t>
        </is>
      </c>
      <c r="AS159" s="95" t="inlineStr">
        <is>
          <t>none</t>
        </is>
      </c>
      <c r="AT159" s="101" t="n"/>
      <c r="AU159" s="96" t="n">
        <v>47.99</v>
      </c>
      <c r="AV159" s="95" t="inlineStr">
        <is>
          <t>none</t>
        </is>
      </c>
      <c r="AW159" s="95" t="inlineStr">
        <is>
          <t>Y</t>
        </is>
      </c>
      <c r="AX159" s="95" t="inlineStr">
        <is>
          <t>2026-10-14 00:40:07</t>
        </is>
      </c>
      <c r="AY159" s="102" t="n"/>
      <c r="AZ159" s="102" t="n"/>
      <c r="BA159" s="101" t="n"/>
      <c r="BB159" s="101" t="n"/>
      <c r="BC159" s="87">
        <f>IF(AND(ISNUMBER(BA159),ISNUMBER(BB159),N(BA159)&gt;0),1-BB159/BA159,"")</f>
        <v/>
      </c>
      <c r="BD159" s="103" t="n"/>
      <c r="BE159" s="103" t="n"/>
      <c r="BF159" s="100">
        <f>IF(AND(ISNUMBER(BD159),ISNUMBER(BE159),N(BE159)&gt;0),BD159/BE159,"")</f>
        <v/>
      </c>
      <c r="BG159" s="102" t="n"/>
      <c r="BH159" s="97" t="inlineStr">
        <is>
          <t>Amazon.ca organic #7 for 'silk satin sheets'; 100% polyester; Reused DC S4 competitor observation, no separate search. Exact standard Queen sheet/set option selected; pillowcase-only, short-Queen, multipack and different-p</t>
        </is>
      </c>
    </row>
    <row r="160" ht="62" customHeight="1">
      <c r="A160" s="10">
        <f>_xlfn.IMAGE("https://m.media-amazon.com/images/I/71ujt2CgaQL.jpg")</f>
        <v/>
      </c>
      <c r="B160" s="84" t="inlineStr">
        <is>
          <t>BEDELITE</t>
        </is>
      </c>
      <c r="C160" s="32" t="inlineStr">
        <is>
          <t>BEDELITE Satin Sheets Queen Size Bed Set, Black, 4 Pieces</t>
        </is>
      </c>
      <c r="D160" s="84" t="inlineStr">
        <is>
          <t>Untiered</t>
        </is>
      </c>
      <c r="E160" s="84" t="inlineStr">
        <is>
          <t>B0HHQTDM9B</t>
        </is>
      </c>
      <c r="F160" s="84" t="inlineStr">
        <is>
          <t>B0CSFTRP2X</t>
        </is>
      </c>
      <c r="G160" s="84" t="inlineStr">
        <is>
          <t>Queen</t>
        </is>
      </c>
      <c r="H160" s="84" t="inlineStr">
        <is>
          <t>Black</t>
        </is>
      </c>
      <c r="I160" s="85" t="n">
        <v>100</v>
      </c>
      <c r="J160" s="32" t="n"/>
      <c r="K160" s="86" t="n">
        <v>44.96</v>
      </c>
      <c r="L160" s="86" t="n"/>
      <c r="M160" s="87">
        <f>IF(AND(ISNUMBER(L160),ISNUMBER(K160),N(K160)&gt;0),L160/K160-1,"")</f>
        <v/>
      </c>
      <c r="N160" s="88">
        <f>IF(M160="","No List Price",IF(M160&lt;=0,"At/below price",IF(M160&lt;=0.12,"&lt;=12% STR zone",IF(M160&lt;=0.25,"12-25%","&gt;25% over"))))</f>
        <v/>
      </c>
      <c r="O160" s="86" t="n">
        <v>46.95</v>
      </c>
      <c r="P160" s="89">
        <f>IF(AND(ISNUMBER(K160),ISNUMBER(O160),N(O160)&gt;0),K160/O160-1,"")</f>
        <v/>
      </c>
      <c r="Q160" s="32" t="inlineStr">
        <is>
          <t>Same size (Queen), CAD. Ours: Command Center fee feed, Mar 2026 - STALE</t>
        </is>
      </c>
      <c r="R160" s="85" t="n">
        <v>128960</v>
      </c>
      <c r="S160" s="85" t="n"/>
      <c r="T160" s="90">
        <f>IF(AND(ISNUMBER(K160),ISNUMBER(S160)),K160*S160*52/12,"")</f>
        <v/>
      </c>
      <c r="U160" s="91" t="n">
        <v>4.4</v>
      </c>
      <c r="V160" s="85" t="n">
        <v>5584</v>
      </c>
      <c r="W160" s="92" t="n">
        <v>46309</v>
      </c>
      <c r="X160" s="92" t="n"/>
      <c r="Y160" s="84" t="n"/>
      <c r="Z160" s="84" t="n"/>
      <c r="AA160" s="85" t="n"/>
      <c r="AB160" s="85" t="n"/>
      <c r="AC160" s="93" t="n"/>
      <c r="AD160" s="93" t="n"/>
      <c r="AE160" s="32" t="n"/>
      <c r="AF160" s="93" t="n"/>
      <c r="AG160" s="93" t="n"/>
      <c r="AH160" s="93" t="n"/>
      <c r="AI160" s="93" t="n"/>
      <c r="AJ160" s="85" t="n"/>
      <c r="AK160" s="85" t="n"/>
      <c r="AL160" s="85" t="n"/>
      <c r="AM160" s="85" t="n"/>
      <c r="AN160" s="85" t="n"/>
      <c r="AO160" s="85" t="n"/>
      <c r="AP160" s="94" t="n"/>
      <c r="AQ160" s="89" t="n"/>
      <c r="AR160" s="95" t="inlineStr">
        <is>
          <t>N</t>
        </is>
      </c>
      <c r="AS160" s="95" t="inlineStr">
        <is>
          <t>none</t>
        </is>
      </c>
      <c r="AT160" s="101" t="n"/>
      <c r="AU160" s="96" t="n">
        <v>44.96</v>
      </c>
      <c r="AV160" s="95" t="inlineStr">
        <is>
          <t>none</t>
        </is>
      </c>
      <c r="AW160" s="95" t="inlineStr">
        <is>
          <t>Y</t>
        </is>
      </c>
      <c r="AX160" s="95" t="inlineStr">
        <is>
          <t>2026-10-14 00:35:12</t>
        </is>
      </c>
      <c r="AY160" s="97" t="inlineStr">
        <is>
          <t>Price cut only</t>
        </is>
      </c>
      <c r="AZ160" s="97" t="inlineStr">
        <is>
          <t>11-20 to 12-01</t>
        </is>
      </c>
      <c r="BA160" s="98" t="n">
        <v>17.99</v>
      </c>
      <c r="BB160" s="98" t="n">
        <v>17.09</v>
      </c>
      <c r="BC160" s="87">
        <f>IF(AND(ISNUMBER(BA160),ISNUMBER(BB160),N(BA160)&gt;0),1-BB160/BA160,"")</f>
        <v/>
      </c>
      <c r="BD160" s="99" t="n">
        <v>714</v>
      </c>
      <c r="BE160" s="99" t="n">
        <v>473</v>
      </c>
      <c r="BF160" s="100">
        <f>IF(AND(ISNUMBER(BD160),ISNUMBER(BE160),N(BE160)&gt;0),BD160/BE160,"")</f>
        <v/>
      </c>
      <c r="BG160" s="97" t="inlineStr">
        <is>
          <t>N</t>
        </is>
      </c>
      <c r="BH160" s="97" t="inlineStr">
        <is>
          <t>Amazon.ca organic #13 for 'satin sheets queen'; 100% Polyester Satin; Reused DC S4 competitor observation, no separate search. variation_count = distinct children exposed in page variation map, not a guaranteed complete catalogue.</t>
        </is>
      </c>
    </row>
    <row r="161" ht="62" customHeight="1">
      <c r="A161" s="10">
        <f>_xlfn.IMAGE("https://m.media-amazon.com/images/I/81zLU1W0e8L.jpg")</f>
        <v/>
      </c>
      <c r="B161" s="84" t="inlineStr">
        <is>
          <t>Pure Bedding</t>
        </is>
      </c>
      <c r="C161" s="32" t="inlineStr">
        <is>
          <t>Pure Bedding Satin Sheets Queen [4-Piece, Black] Hotel Luxury Silky Bed Sheets - Extra Soft 1800 Microfiber Sheet Set, Wrinkle, Fade, Deep Pocket Fitted Sheet, Flat Sheet, Pillow Cases</t>
        </is>
      </c>
      <c r="D161" s="84" t="inlineStr">
        <is>
          <t>Untiered</t>
        </is>
      </c>
      <c r="E161" s="84" t="inlineStr">
        <is>
          <t>B07N6326HL</t>
        </is>
      </c>
      <c r="F161" s="84" t="inlineStr">
        <is>
          <t>B083G81VSH</t>
        </is>
      </c>
      <c r="G161" s="84" t="inlineStr">
        <is>
          <t>Queen</t>
        </is>
      </c>
      <c r="H161" s="84" t="inlineStr">
        <is>
          <t>Black</t>
        </is>
      </c>
      <c r="I161" s="85" t="n">
        <v>83</v>
      </c>
      <c r="J161" s="32" t="n"/>
      <c r="K161" s="86" t="n">
        <v>49.91</v>
      </c>
      <c r="L161" s="86" t="n"/>
      <c r="M161" s="87">
        <f>IF(AND(ISNUMBER(L161),ISNUMBER(K161),N(K161)&gt;0),L161/K161-1,"")</f>
        <v/>
      </c>
      <c r="N161" s="88">
        <f>IF(M161="","No List Price",IF(M161&lt;=0,"At/below price",IF(M161&lt;=0.12,"&lt;=12% STR zone",IF(M161&lt;=0.25,"12-25%","&gt;25% over"))))</f>
        <v/>
      </c>
      <c r="O161" s="86" t="n">
        <v>46.95</v>
      </c>
      <c r="P161" s="89">
        <f>IF(AND(ISNUMBER(K161),ISNUMBER(O161),N(O161)&gt;0),K161/O161-1,"")</f>
        <v/>
      </c>
      <c r="Q161" s="32" t="inlineStr">
        <is>
          <t>Same size (Queen), CAD. Ours: Command Center fee feed, Mar 2026 - STALE</t>
        </is>
      </c>
      <c r="R161" s="85" t="n">
        <v>188067</v>
      </c>
      <c r="S161" s="85" t="n"/>
      <c r="T161" s="90">
        <f>IF(AND(ISNUMBER(K161),ISNUMBER(S161)),K161*S161*52/12,"")</f>
        <v/>
      </c>
      <c r="U161" s="91" t="n">
        <v>4.2</v>
      </c>
      <c r="V161" s="85" t="n">
        <v>12410</v>
      </c>
      <c r="W161" s="92" t="n">
        <v>46309</v>
      </c>
      <c r="X161" s="92" t="n"/>
      <c r="Y161" s="84" t="n"/>
      <c r="Z161" s="84" t="n"/>
      <c r="AA161" s="85" t="n"/>
      <c r="AB161" s="85" t="n"/>
      <c r="AC161" s="93" t="n"/>
      <c r="AD161" s="93" t="n"/>
      <c r="AE161" s="32" t="n"/>
      <c r="AF161" s="93" t="n"/>
      <c r="AG161" s="93" t="n"/>
      <c r="AH161" s="93" t="n"/>
      <c r="AI161" s="93" t="n"/>
      <c r="AJ161" s="85" t="n"/>
      <c r="AK161" s="85" t="n"/>
      <c r="AL161" s="85" t="n"/>
      <c r="AM161" s="85" t="n"/>
      <c r="AN161" s="85" t="n"/>
      <c r="AO161" s="85" t="n"/>
      <c r="AP161" s="94" t="n"/>
      <c r="AQ161" s="89" t="n"/>
      <c r="AR161" s="95" t="inlineStr">
        <is>
          <t>N</t>
        </is>
      </c>
      <c r="AS161" s="95" t="inlineStr">
        <is>
          <t>none</t>
        </is>
      </c>
      <c r="AT161" s="101" t="n"/>
      <c r="AU161" s="96" t="n">
        <v>49.91</v>
      </c>
      <c r="AV161" s="95" t="inlineStr">
        <is>
          <t>none</t>
        </is>
      </c>
      <c r="AW161" s="95" t="inlineStr">
        <is>
          <t>Y</t>
        </is>
      </c>
      <c r="AX161" s="95" t="inlineStr">
        <is>
          <t>2026-10-14 00:35:19</t>
        </is>
      </c>
      <c r="AY161" s="97" t="inlineStr">
        <is>
          <t>Price cut only</t>
        </is>
      </c>
      <c r="AZ161" s="97" t="inlineStr">
        <is>
          <t>11-26 to 12-01</t>
        </is>
      </c>
      <c r="BA161" s="98" t="n">
        <v>18.99</v>
      </c>
      <c r="BB161" s="98" t="n">
        <v>17.54</v>
      </c>
      <c r="BC161" s="87">
        <f>IF(AND(ISNUMBER(BA161),ISNUMBER(BB161),N(BA161)&gt;0),1-BB161/BA161,"")</f>
        <v/>
      </c>
      <c r="BD161" s="99" t="n">
        <v>18619</v>
      </c>
      <c r="BE161" s="99" t="n">
        <v>22404</v>
      </c>
      <c r="BF161" s="100">
        <f>IF(AND(ISNUMBER(BD161),ISNUMBER(BE161),N(BE161)&gt;0),BD161/BE161,"")</f>
        <v/>
      </c>
      <c r="BG161" s="97" t="inlineStr">
        <is>
          <t>N</t>
        </is>
      </c>
      <c r="BH161" s="97" t="inlineStr">
        <is>
          <t>Amazon.ca organic #14 for 'silk satin sheets'; 100% Microfiber; Reused DC S4 competitor observation, no separate search. variation_count = distinct children exposed in page variation map, not a guaranteed complete catalogue.</t>
        </is>
      </c>
    </row>
    <row r="162" ht="62" customHeight="1">
      <c r="A162" s="10">
        <f>_xlfn.IMAGE("https://m.media-amazon.com/images/I/71tkklWokTL.jpg")</f>
        <v/>
      </c>
      <c r="B162" s="84" t="inlineStr">
        <is>
          <t>LIFCOM</t>
        </is>
      </c>
      <c r="C162" s="32" t="inlineStr">
        <is>
          <t>Satin Sheets Queen Size Bed Set,Similar to Silk Sheets,4Pcs Luxury Satin Sheet Set with 15 Inches Deep Pocket (Queen, Dark Grey)</t>
        </is>
      </c>
      <c r="D162" s="84" t="inlineStr">
        <is>
          <t>Untiered</t>
        </is>
      </c>
      <c r="E162" s="84" t="inlineStr">
        <is>
          <t>B0DJXBHN44</t>
        </is>
      </c>
      <c r="F162" s="84" t="inlineStr">
        <is>
          <t>B0DCC37WB3</t>
        </is>
      </c>
      <c r="G162" s="84" t="inlineStr">
        <is>
          <t>Queen</t>
        </is>
      </c>
      <c r="H162" s="84" t="inlineStr">
        <is>
          <t>Dark Grey</t>
        </is>
      </c>
      <c r="I162" s="85" t="n">
        <v>70</v>
      </c>
      <c r="J162" s="32" t="n"/>
      <c r="K162" s="86" t="n">
        <v>42.74</v>
      </c>
      <c r="L162" s="86" t="n"/>
      <c r="M162" s="87">
        <f>IF(AND(ISNUMBER(L162),ISNUMBER(K162),N(K162)&gt;0),L162/K162-1,"")</f>
        <v/>
      </c>
      <c r="N162" s="88">
        <f>IF(M162="","No List Price",IF(M162&lt;=0,"At/below price",IF(M162&lt;=0.12,"&lt;=12% STR zone",IF(M162&lt;=0.25,"12-25%","&gt;25% over"))))</f>
        <v/>
      </c>
      <c r="O162" s="86" t="n">
        <v>46.95</v>
      </c>
      <c r="P162" s="89">
        <f>IF(AND(ISNUMBER(K162),ISNUMBER(O162),N(O162)&gt;0),K162/O162-1,"")</f>
        <v/>
      </c>
      <c r="Q162" s="32" t="inlineStr">
        <is>
          <t>Same size (Queen), CAD. Ours: Command Center fee feed, Mar 2026 - STALE</t>
        </is>
      </c>
      <c r="R162" s="85" t="n">
        <v>72861</v>
      </c>
      <c r="S162" s="85" t="n"/>
      <c r="T162" s="90">
        <f>IF(AND(ISNUMBER(K162),ISNUMBER(S162)),K162*S162*52/12,"")</f>
        <v/>
      </c>
      <c r="U162" s="91" t="n">
        <v>4.3</v>
      </c>
      <c r="V162" s="85" t="n">
        <v>351</v>
      </c>
      <c r="W162" s="92" t="n">
        <v>46309</v>
      </c>
      <c r="X162" s="92" t="n"/>
      <c r="Y162" s="84" t="n"/>
      <c r="Z162" s="84" t="n"/>
      <c r="AA162" s="85" t="n"/>
      <c r="AB162" s="85" t="n"/>
      <c r="AC162" s="93" t="n"/>
      <c r="AD162" s="93" t="n"/>
      <c r="AE162" s="32" t="n"/>
      <c r="AF162" s="93" t="n"/>
      <c r="AG162" s="93" t="n"/>
      <c r="AH162" s="93" t="n"/>
      <c r="AI162" s="93" t="n"/>
      <c r="AJ162" s="85" t="n"/>
      <c r="AK162" s="85" t="n"/>
      <c r="AL162" s="85" t="n"/>
      <c r="AM162" s="85" t="n"/>
      <c r="AN162" s="85" t="n"/>
      <c r="AO162" s="85" t="n"/>
      <c r="AP162" s="94" t="n"/>
      <c r="AQ162" s="89" t="n"/>
      <c r="AR162" s="95" t="inlineStr">
        <is>
          <t>Y</t>
        </is>
      </c>
      <c r="AS162" s="95" t="inlineStr">
        <is>
          <t>Was price</t>
        </is>
      </c>
      <c r="AT162" s="96" t="n">
        <v>44.99</v>
      </c>
      <c r="AU162" s="96" t="n">
        <v>42.74</v>
      </c>
      <c r="AV162" s="95" t="inlineStr">
        <is>
          <t>none</t>
        </is>
      </c>
      <c r="AW162" s="95" t="inlineStr">
        <is>
          <t>Y</t>
        </is>
      </c>
      <c r="AX162" s="95" t="inlineStr">
        <is>
          <t>2026-10-14 00:35:27</t>
        </is>
      </c>
      <c r="AY162" s="102" t="n"/>
      <c r="AZ162" s="102" t="n"/>
      <c r="BA162" s="101" t="n"/>
      <c r="BB162" s="101" t="n"/>
      <c r="BC162" s="87">
        <f>IF(AND(ISNUMBER(BA162),ISNUMBER(BB162),N(BA162)&gt;0),1-BB162/BA162,"")</f>
        <v/>
      </c>
      <c r="BD162" s="103" t="n"/>
      <c r="BE162" s="103" t="n"/>
      <c r="BF162" s="100">
        <f>IF(AND(ISNUMBER(BD162),ISNUMBER(BE162),N(BE162)&gt;0),BD162/BE162,"")</f>
        <v/>
      </c>
      <c r="BG162" s="102" t="n"/>
      <c r="BH162" s="97" t="inlineStr">
        <is>
          <t>Amazon.ca organic #15 for 'silk satin sheets'; Satin; Reused DC S4 competitor observation, no separate search. Search child B0DCC5T8MG; selected Queen child B0DCC37WB3. variation_count = distinct children exposed i</t>
        </is>
      </c>
    </row>
    <row r="163" ht="62" customHeight="1">
      <c r="A163" s="10">
        <f>_xlfn.IMAGE("https://m.media-amazon.com/images/I/51r1auLPSDL.jpg")</f>
        <v/>
      </c>
      <c r="B163" s="84" t="inlineStr">
        <is>
          <t>Laura Ashley</t>
        </is>
      </c>
      <c r="C163" s="32" t="inlineStr">
        <is>
          <t>Laura Ashley - Queen Sheet Set, 100% Soft &amp; Silky Smooth Satin Bed Sheets, Deep Pockets, Bedding with Matching Fitted Sheet &amp; Pillowcases (Bliss Pink)</t>
        </is>
      </c>
      <c r="D163" s="84" t="inlineStr">
        <is>
          <t>Untiered</t>
        </is>
      </c>
      <c r="E163" s="84" t="inlineStr">
        <is>
          <t>B0G3QQZTY9</t>
        </is>
      </c>
      <c r="F163" s="84" t="inlineStr">
        <is>
          <t>B0G3C5G8FR</t>
        </is>
      </c>
      <c r="G163" s="84" t="inlineStr">
        <is>
          <t>Queen</t>
        </is>
      </c>
      <c r="H163" s="84" t="inlineStr">
        <is>
          <t>Bliss Pink</t>
        </is>
      </c>
      <c r="I163" s="85" t="n">
        <v>8</v>
      </c>
      <c r="J163" s="32" t="n"/>
      <c r="K163" s="86" t="n">
        <v>48.67</v>
      </c>
      <c r="L163" s="86" t="n"/>
      <c r="M163" s="87">
        <f>IF(AND(ISNUMBER(L163),ISNUMBER(K163),N(K163)&gt;0),L163/K163-1,"")</f>
        <v/>
      </c>
      <c r="N163" s="88">
        <f>IF(M163="","No List Price",IF(M163&lt;=0,"At/below price",IF(M163&lt;=0.12,"&lt;=12% STR zone",IF(M163&lt;=0.25,"12-25%","&gt;25% over"))))</f>
        <v/>
      </c>
      <c r="O163" s="86" t="n">
        <v>46.95</v>
      </c>
      <c r="P163" s="89">
        <f>IF(AND(ISNUMBER(K163),ISNUMBER(O163),N(O163)&gt;0),K163/O163-1,"")</f>
        <v/>
      </c>
      <c r="Q163" s="32" t="inlineStr">
        <is>
          <t>Same size (Queen), CAD. Ours: Command Center fee feed, Mar 2026 - STALE</t>
        </is>
      </c>
      <c r="R163" s="85" t="n">
        <v>329859</v>
      </c>
      <c r="S163" s="85" t="n"/>
      <c r="T163" s="90">
        <f>IF(AND(ISNUMBER(K163),ISNUMBER(S163)),K163*S163*52/12,"")</f>
        <v/>
      </c>
      <c r="U163" s="91" t="n">
        <v>4.3</v>
      </c>
      <c r="V163" s="85" t="n">
        <v>13</v>
      </c>
      <c r="W163" s="92" t="n">
        <v>46309</v>
      </c>
      <c r="X163" s="92" t="n"/>
      <c r="Y163" s="84" t="n"/>
      <c r="Z163" s="84" t="n"/>
      <c r="AA163" s="85" t="n"/>
      <c r="AB163" s="85" t="n"/>
      <c r="AC163" s="93" t="n"/>
      <c r="AD163" s="93" t="n"/>
      <c r="AE163" s="32" t="n"/>
      <c r="AF163" s="93" t="n"/>
      <c r="AG163" s="93" t="n"/>
      <c r="AH163" s="93" t="n"/>
      <c r="AI163" s="93" t="n"/>
      <c r="AJ163" s="85" t="n"/>
      <c r="AK163" s="85" t="n"/>
      <c r="AL163" s="85" t="n"/>
      <c r="AM163" s="85" t="n"/>
      <c r="AN163" s="85" t="n"/>
      <c r="AO163" s="85" t="n"/>
      <c r="AP163" s="94" t="n"/>
      <c r="AQ163" s="89" t="n"/>
      <c r="AR163" s="95" t="inlineStr">
        <is>
          <t>N</t>
        </is>
      </c>
      <c r="AS163" s="95" t="inlineStr">
        <is>
          <t>none</t>
        </is>
      </c>
      <c r="AT163" s="101" t="n"/>
      <c r="AU163" s="96" t="n">
        <v>48.67</v>
      </c>
      <c r="AV163" s="95" t="inlineStr">
        <is>
          <t>none</t>
        </is>
      </c>
      <c r="AW163" s="95" t="inlineStr">
        <is>
          <t>Y</t>
        </is>
      </c>
      <c r="AX163" s="95" t="inlineStr">
        <is>
          <t>2026-10-14 00:35:30</t>
        </is>
      </c>
      <c r="AY163" s="102" t="n"/>
      <c r="AZ163" s="102" t="n"/>
      <c r="BA163" s="101" t="n"/>
      <c r="BB163" s="101" t="n"/>
      <c r="BC163" s="87">
        <f>IF(AND(ISNUMBER(BA163),ISNUMBER(BB163),N(BA163)&gt;0),1-BB163/BA163,"")</f>
        <v/>
      </c>
      <c r="BD163" s="103" t="n"/>
      <c r="BE163" s="103" t="n"/>
      <c r="BF163" s="100">
        <f>IF(AND(ISNUMBER(BD163),ISNUMBER(BE163),N(BE163)&gt;0),BD163/BE163,"")</f>
        <v/>
      </c>
      <c r="BG163" s="102" t="n"/>
      <c r="BH163" s="97" t="inlineStr">
        <is>
          <t>Amazon.ca organic #16 for 'satin sheets queen'; 100% Polyester; Reused DC S4 competitor observation, no separate search. variation_count = distinct children exposed in page variation map, not a guaranteed complete catalogue.</t>
        </is>
      </c>
    </row>
    <row r="164" ht="62" customHeight="1">
      <c r="A164" s="10">
        <f>_xlfn.IMAGE("https://m.media-amazon.com/images/I/71Ilt8ijNsL.jpg")</f>
        <v/>
      </c>
      <c r="B164" s="84" t="inlineStr">
        <is>
          <t>Lanest Housing</t>
        </is>
      </c>
      <c r="C164" s="32" t="inlineStr">
        <is>
          <t>Lanest Housing Silk Satin Sheets, 4-Piece Queen Size Satin Bed Sheet Set with Deep Pockets, Cooling Soft and Hypoallergenic Satin Sheets Queen - Black</t>
        </is>
      </c>
      <c r="D164" s="84" t="inlineStr">
        <is>
          <t>Untiered</t>
        </is>
      </c>
      <c r="E164" s="84" t="inlineStr">
        <is>
          <t>B07WD4MJHW</t>
        </is>
      </c>
      <c r="F164" s="84" t="inlineStr">
        <is>
          <t>B07VWFV7MB</t>
        </is>
      </c>
      <c r="G164" s="84" t="inlineStr">
        <is>
          <t>Queen</t>
        </is>
      </c>
      <c r="H164" s="84" t="inlineStr">
        <is>
          <t>Black</t>
        </is>
      </c>
      <c r="I164" s="85" t="n">
        <v>146</v>
      </c>
      <c r="J164" s="32" t="n"/>
      <c r="K164" s="86" t="n">
        <v>43.77</v>
      </c>
      <c r="L164" s="86" t="n"/>
      <c r="M164" s="87">
        <f>IF(AND(ISNUMBER(L164),ISNUMBER(K164),N(K164)&gt;0),L164/K164-1,"")</f>
        <v/>
      </c>
      <c r="N164" s="88">
        <f>IF(M164="","No List Price",IF(M164&lt;=0,"At/below price",IF(M164&lt;=0.12,"&lt;=12% STR zone",IF(M164&lt;=0.25,"12-25%","&gt;25% over"))))</f>
        <v/>
      </c>
      <c r="O164" s="86" t="n">
        <v>46.95</v>
      </c>
      <c r="P164" s="89">
        <f>IF(AND(ISNUMBER(K164),ISNUMBER(O164),N(O164)&gt;0),K164/O164-1,"")</f>
        <v/>
      </c>
      <c r="Q164" s="32" t="inlineStr">
        <is>
          <t>Same size (Queen), CAD. Ours: Command Center fee feed, Mar 2026 - STALE</t>
        </is>
      </c>
      <c r="R164" s="85" t="n">
        <v>153252</v>
      </c>
      <c r="S164" s="85" t="n"/>
      <c r="T164" s="90">
        <f>IF(AND(ISNUMBER(K164),ISNUMBER(S164)),K164*S164*52/12,"")</f>
        <v/>
      </c>
      <c r="U164" s="91" t="n">
        <v>4.2</v>
      </c>
      <c r="V164" s="85" t="n">
        <v>5574</v>
      </c>
      <c r="W164" s="92" t="n">
        <v>46309</v>
      </c>
      <c r="X164" s="92" t="n"/>
      <c r="Y164" s="84" t="n"/>
      <c r="Z164" s="84" t="n"/>
      <c r="AA164" s="85" t="n"/>
      <c r="AB164" s="85" t="n"/>
      <c r="AC164" s="93" t="n"/>
      <c r="AD164" s="93" t="n"/>
      <c r="AE164" s="32" t="n"/>
      <c r="AF164" s="93" t="n"/>
      <c r="AG164" s="93" t="n"/>
      <c r="AH164" s="93" t="n"/>
      <c r="AI164" s="93" t="n"/>
      <c r="AJ164" s="85" t="n"/>
      <c r="AK164" s="85" t="n"/>
      <c r="AL164" s="85" t="n"/>
      <c r="AM164" s="85" t="n"/>
      <c r="AN164" s="85" t="n"/>
      <c r="AO164" s="85" t="n"/>
      <c r="AP164" s="94" t="n"/>
      <c r="AQ164" s="89" t="n"/>
      <c r="AR164" s="95" t="inlineStr">
        <is>
          <t>Y</t>
        </is>
      </c>
      <c r="AS164" s="95" t="inlineStr">
        <is>
          <t>Was price</t>
        </is>
      </c>
      <c r="AT164" s="96" t="n">
        <v>52.02</v>
      </c>
      <c r="AU164" s="96" t="n">
        <v>43.77</v>
      </c>
      <c r="AV164" s="95" t="inlineStr">
        <is>
          <t>none</t>
        </is>
      </c>
      <c r="AW164" s="95" t="inlineStr">
        <is>
          <t>Y</t>
        </is>
      </c>
      <c r="AX164" s="95" t="inlineStr">
        <is>
          <t>2026-10-14 00:36:02</t>
        </is>
      </c>
      <c r="AY164" s="102" t="n"/>
      <c r="AZ164" s="102" t="n"/>
      <c r="BA164" s="101" t="n"/>
      <c r="BB164" s="101" t="n"/>
      <c r="BC164" s="87">
        <f>IF(AND(ISNUMBER(BA164),ISNUMBER(BB164),N(BA164)&gt;0),1-BB164/BA164,"")</f>
        <v/>
      </c>
      <c r="BD164" s="103" t="n"/>
      <c r="BE164" s="103" t="n"/>
      <c r="BF164" s="100">
        <f>IF(AND(ISNUMBER(BD164),ISNUMBER(BE164),N(BE164)&gt;0),BD164/BE164,"")</f>
        <v/>
      </c>
      <c r="BG164" s="102" t="n"/>
      <c r="BH164" s="97" t="inlineStr">
        <is>
          <t>Amazon.ca organic #21 for 'silk satin sheets'; 100% Polyester; Reused DC S4 competitor observation, no separate search. variation_count = distinct children exposed in page variation map, not a guaranteed complete catalogue.</t>
        </is>
      </c>
    </row>
    <row r="165" ht="62" customHeight="1">
      <c r="A165" s="10">
        <f>_xlfn.IMAGE("https://m.media-amazon.com/images/I/81zLU1W0e8L.jpg")</f>
        <v/>
      </c>
      <c r="B165" s="84" t="inlineStr">
        <is>
          <t>Pure Bedding</t>
        </is>
      </c>
      <c r="C165" s="32" t="inlineStr">
        <is>
          <t>Satin Sheets Queen [4-Piece, Black] Hotel Luxury Silky Bed Sheets - Extra Soft 1800 Microfiber Sheet Set, Wrinkle, Fade, Stain Resistant - Deep Pocket Fitted Sheet, Flat Sheet, Pillow Cases</t>
        </is>
      </c>
      <c r="D165" s="84" t="inlineStr">
        <is>
          <t>Untiered</t>
        </is>
      </c>
      <c r="E165" s="84" t="inlineStr">
        <is>
          <t>B0FMPR6QQ3</t>
        </is>
      </c>
      <c r="F165" s="84" t="inlineStr">
        <is>
          <t>B0FVJG1KD3</t>
        </is>
      </c>
      <c r="G165" s="84" t="inlineStr">
        <is>
          <t>Queen</t>
        </is>
      </c>
      <c r="H165" s="84" t="inlineStr">
        <is>
          <t>Black-01</t>
        </is>
      </c>
      <c r="I165" s="85" t="n">
        <v>1</v>
      </c>
      <c r="J165" s="32" t="n"/>
      <c r="K165" s="86" t="n">
        <v>32.4</v>
      </c>
      <c r="L165" s="86" t="n"/>
      <c r="M165" s="87">
        <f>IF(AND(ISNUMBER(L165),ISNUMBER(K165),N(K165)&gt;0),L165/K165-1,"")</f>
        <v/>
      </c>
      <c r="N165" s="88">
        <f>IF(M165="","No List Price",IF(M165&lt;=0,"At/below price",IF(M165&lt;=0.12,"&lt;=12% STR zone",IF(M165&lt;=0.25,"12-25%","&gt;25% over"))))</f>
        <v/>
      </c>
      <c r="O165" s="86" t="n">
        <v>46.95</v>
      </c>
      <c r="P165" s="89">
        <f>IF(AND(ISNUMBER(K165),ISNUMBER(O165),N(O165)&gt;0),K165/O165-1,"")</f>
        <v/>
      </c>
      <c r="Q165" s="32" t="inlineStr">
        <is>
          <t>Same size (Queen), CAD. Ours: Command Center fee feed, Mar 2026 - STALE</t>
        </is>
      </c>
      <c r="R165" s="85" t="n">
        <v>887952</v>
      </c>
      <c r="S165" s="85" t="n"/>
      <c r="T165" s="90">
        <f>IF(AND(ISNUMBER(K165),ISNUMBER(S165)),K165*S165*52/12,"")</f>
        <v/>
      </c>
      <c r="U165" s="91" t="n">
        <v>4.2</v>
      </c>
      <c r="V165" s="85" t="n">
        <v>41</v>
      </c>
      <c r="W165" s="92" t="n">
        <v>46309</v>
      </c>
      <c r="X165" s="92" t="n"/>
      <c r="Y165" s="84" t="n"/>
      <c r="Z165" s="84" t="n"/>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96" t="n">
        <v>32.4</v>
      </c>
      <c r="AV165" s="95" t="inlineStr">
        <is>
          <t>none</t>
        </is>
      </c>
      <c r="AW165" s="95" t="inlineStr">
        <is>
          <t>Y</t>
        </is>
      </c>
      <c r="AX165" s="95" t="inlineStr">
        <is>
          <t>2026-10-14 00:36:14</t>
        </is>
      </c>
      <c r="AY165" s="102" t="n"/>
      <c r="AZ165" s="102" t="n"/>
      <c r="BA165" s="101" t="n"/>
      <c r="BB165" s="101" t="n"/>
      <c r="BC165" s="87">
        <f>IF(AND(ISNUMBER(BA165),ISNUMBER(BB165),N(BA165)&gt;0),1-BB165/BA165,"")</f>
        <v/>
      </c>
      <c r="BD165" s="103" t="n"/>
      <c r="BE165" s="103" t="n"/>
      <c r="BF165" s="100">
        <f>IF(AND(ISNUMBER(BD165),ISNUMBER(BE165),N(BE165)&gt;0),BD165/BE165,"")</f>
        <v/>
      </c>
      <c r="BG165" s="102" t="n"/>
      <c r="BH165" s="97" t="inlineStr">
        <is>
          <t>Amazon.ca organic #22 for 'satin sheets queen'; 100% Microfiber; Reused DC S4 competitor observation, no separate search. variation_count = distinct children exposed in page variation map, not a guaranteed complete catalogue.</t>
        </is>
      </c>
    </row>
    <row r="166" ht="62" customHeight="1">
      <c r="A166" s="10">
        <f>_xlfn.IMAGE("https://m.media-amazon.com/images/I/81ogMf3izDL.jpg")</f>
        <v/>
      </c>
      <c r="B166" s="84" t="inlineStr">
        <is>
          <t>Lirex</t>
        </is>
      </c>
      <c r="C166" s="32" t="inlineStr">
        <is>
          <t>Lirex Satin Sheets Queen Size Bed Set, 4 Piece Sheet Set with 14" Deep Pocket, Luxury Smooth &amp; Soft Microfiber, Includes 1 Fitted Sheet, 1 Flat Sheet and 2 Pillowcases, Blue Daisy</t>
        </is>
      </c>
      <c r="D166" s="84" t="inlineStr">
        <is>
          <t>Untiered</t>
        </is>
      </c>
      <c r="E166" s="84" t="inlineStr">
        <is>
          <t>B0GWPG1CXG</t>
        </is>
      </c>
      <c r="F166" s="84" t="inlineStr">
        <is>
          <t>B0GWPMHSL9</t>
        </is>
      </c>
      <c r="G166" s="84" t="inlineStr">
        <is>
          <t>Queen</t>
        </is>
      </c>
      <c r="H166" s="84" t="inlineStr">
        <is>
          <t>Blue Daisy</t>
        </is>
      </c>
      <c r="I166" s="85" t="n">
        <v>14</v>
      </c>
      <c r="J166" s="32" t="n"/>
      <c r="K166" s="86" t="n">
        <v>49.99</v>
      </c>
      <c r="L166" s="86" t="n"/>
      <c r="M166" s="87">
        <f>IF(AND(ISNUMBER(L166),ISNUMBER(K166),N(K166)&gt;0),L166/K166-1,"")</f>
        <v/>
      </c>
      <c r="N166" s="88">
        <f>IF(M166="","No List Price",IF(M166&lt;=0,"At/below price",IF(M166&lt;=0.12,"&lt;=12% STR zone",IF(M166&lt;=0.25,"12-25%","&gt;25% over"))))</f>
        <v/>
      </c>
      <c r="O166" s="86" t="n">
        <v>46.95</v>
      </c>
      <c r="P166" s="89">
        <f>IF(AND(ISNUMBER(K166),ISNUMBER(O166),N(O166)&gt;0),K166/O166-1,"")</f>
        <v/>
      </c>
      <c r="Q166" s="32" t="inlineStr">
        <is>
          <t>Same size (Queen), CAD. Ours: Command Center fee feed, Mar 2026 - STALE</t>
        </is>
      </c>
      <c r="R166" s="85" t="n">
        <v>96864</v>
      </c>
      <c r="S166" s="85" t="n"/>
      <c r="T166" s="90">
        <f>IF(AND(ISNUMBER(K166),ISNUMBER(S166)),K166*S166*52/12,"")</f>
        <v/>
      </c>
      <c r="U166" s="91" t="n">
        <v>4.6</v>
      </c>
      <c r="V166" s="85" t="n">
        <v>4</v>
      </c>
      <c r="W166" s="92" t="n">
        <v>46309</v>
      </c>
      <c r="X166" s="92" t="n"/>
      <c r="Y166" s="84" t="n"/>
      <c r="Z166" s="84" t="n"/>
      <c r="AA166" s="85" t="n"/>
      <c r="AB166" s="85" t="n"/>
      <c r="AC166" s="93" t="n"/>
      <c r="AD166" s="93" t="n"/>
      <c r="AE166" s="32" t="n"/>
      <c r="AF166" s="93" t="n"/>
      <c r="AG166" s="93" t="n"/>
      <c r="AH166" s="93" t="n"/>
      <c r="AI166" s="93" t="n"/>
      <c r="AJ166" s="85" t="n"/>
      <c r="AK166" s="85" t="n"/>
      <c r="AL166" s="85" t="n"/>
      <c r="AM166" s="85" t="n"/>
      <c r="AN166" s="85" t="n"/>
      <c r="AO166" s="85" t="n"/>
      <c r="AP166" s="94" t="n"/>
      <c r="AQ166" s="89" t="n"/>
      <c r="AR166" s="95" t="inlineStr">
        <is>
          <t>N</t>
        </is>
      </c>
      <c r="AS166" s="95" t="inlineStr">
        <is>
          <t>none</t>
        </is>
      </c>
      <c r="AT166" s="101" t="n"/>
      <c r="AU166" s="96" t="n">
        <v>49.99</v>
      </c>
      <c r="AV166" s="95" t="inlineStr">
        <is>
          <t>none</t>
        </is>
      </c>
      <c r="AW166" s="95" t="inlineStr">
        <is>
          <t>Y</t>
        </is>
      </c>
      <c r="AX166" s="95" t="inlineStr">
        <is>
          <t>2026-10-14 00:36:17</t>
        </is>
      </c>
      <c r="AY166" s="102" t="n"/>
      <c r="AZ166" s="102" t="n"/>
      <c r="BA166" s="101" t="n"/>
      <c r="BB166" s="101" t="n"/>
      <c r="BC166" s="87">
        <f>IF(AND(ISNUMBER(BA166),ISNUMBER(BB166),N(BA166)&gt;0),1-BB166/BA166,"")</f>
        <v/>
      </c>
      <c r="BD166" s="103" t="n"/>
      <c r="BE166" s="103" t="n"/>
      <c r="BF166" s="100">
        <f>IF(AND(ISNUMBER(BD166),ISNUMBER(BE166),N(BE166)&gt;0),BD166/BE166,"")</f>
        <v/>
      </c>
      <c r="BG166" s="102" t="n"/>
      <c r="BH166" s="97" t="inlineStr">
        <is>
          <t>Amazon.ca organic #22 for 'satin sheets king'; Polyester; Reused DC S4 competitor observation, no separate search. Search child B0GWPTWBQL; selected Queen child B0GWPMHSL9. variation_count = distinct children exposed i</t>
        </is>
      </c>
    </row>
    <row r="167" ht="62" customHeight="1">
      <c r="A167" s="10">
        <f>_xlfn.IMAGE("https://m.media-amazon.com/images/I/61WvjxRfgdL.jpg")</f>
        <v/>
      </c>
      <c r="B167" s="84" t="inlineStr">
        <is>
          <t>Bare Home</t>
        </is>
      </c>
      <c r="C167" s="32" t="inlineStr">
        <is>
          <t>Bare Home Poly Satin Sheet Set Similar to Silk (Queen, Blush)</t>
        </is>
      </c>
      <c r="D167" s="84" t="inlineStr">
        <is>
          <t>Untiered</t>
        </is>
      </c>
      <c r="E167" s="84" t="inlineStr">
        <is>
          <t>B0DJHFP2WL</t>
        </is>
      </c>
      <c r="F167" s="84" t="inlineStr">
        <is>
          <t>B0DJDXH65M</t>
        </is>
      </c>
      <c r="G167" s="84" t="inlineStr">
        <is>
          <t>Queen</t>
        </is>
      </c>
      <c r="H167" s="84" t="inlineStr">
        <is>
          <t>05 - Blush</t>
        </is>
      </c>
      <c r="I167" s="85" t="n">
        <v>37</v>
      </c>
      <c r="J167" s="32" t="n"/>
      <c r="K167" s="86" t="n">
        <v>63.99</v>
      </c>
      <c r="L167" s="86" t="n"/>
      <c r="M167" s="87">
        <f>IF(AND(ISNUMBER(L167),ISNUMBER(K167),N(K167)&gt;0),L167/K167-1,"")</f>
        <v/>
      </c>
      <c r="N167" s="88">
        <f>IF(M167="","No List Price",IF(M167&lt;=0,"At/below price",IF(M167&lt;=0.12,"&lt;=12% STR zone",IF(M167&lt;=0.25,"12-25%","&gt;25% over"))))</f>
        <v/>
      </c>
      <c r="O167" s="86" t="n">
        <v>46.95</v>
      </c>
      <c r="P167" s="89">
        <f>IF(AND(ISNUMBER(K167),ISNUMBER(O167),N(O167)&gt;0),K167/O167-1,"")</f>
        <v/>
      </c>
      <c r="Q167" s="32" t="inlineStr">
        <is>
          <t>Same size (Queen), CAD. Ours: Command Center fee feed, Mar 2026 - STALE</t>
        </is>
      </c>
      <c r="R167" s="85" t="n">
        <v>55879</v>
      </c>
      <c r="S167" s="85" t="n"/>
      <c r="T167" s="90">
        <f>IF(AND(ISNUMBER(K167),ISNUMBER(S167)),K167*S167*52/12,"")</f>
        <v/>
      </c>
      <c r="U167" s="91" t="n">
        <v>3.6</v>
      </c>
      <c r="V167" s="85" t="n">
        <v>114</v>
      </c>
      <c r="W167" s="92" t="n">
        <v>46309</v>
      </c>
      <c r="X167" s="92" t="n"/>
      <c r="Y167" s="84" t="n"/>
      <c r="Z167" s="84" t="n"/>
      <c r="AA167" s="85" t="n"/>
      <c r="AB167" s="85" t="n"/>
      <c r="AC167" s="93" t="n"/>
      <c r="AD167" s="93" t="n"/>
      <c r="AE167" s="32" t="n"/>
      <c r="AF167" s="93" t="n"/>
      <c r="AG167" s="93" t="n"/>
      <c r="AH167" s="93" t="n"/>
      <c r="AI167" s="93" t="n"/>
      <c r="AJ167" s="85" t="n"/>
      <c r="AK167" s="85" t="n"/>
      <c r="AL167" s="85" t="n"/>
      <c r="AM167" s="85" t="n"/>
      <c r="AN167" s="85" t="n"/>
      <c r="AO167" s="85" t="n"/>
      <c r="AP167" s="94" t="n"/>
      <c r="AQ167" s="89" t="n"/>
      <c r="AR167" s="95" t="inlineStr">
        <is>
          <t>Y</t>
        </is>
      </c>
      <c r="AS167" s="95" t="inlineStr">
        <is>
          <t>Was price</t>
        </is>
      </c>
      <c r="AT167" s="96" t="n">
        <v>67.98999999999999</v>
      </c>
      <c r="AU167" s="96" t="n">
        <v>63.99</v>
      </c>
      <c r="AV167" s="95" t="inlineStr">
        <is>
          <t>none</t>
        </is>
      </c>
      <c r="AW167" s="95" t="inlineStr">
        <is>
          <t>Y</t>
        </is>
      </c>
      <c r="AX167" s="95" t="inlineStr">
        <is>
          <t>2026-10-14 00:35:34</t>
        </is>
      </c>
      <c r="AY167" s="102" t="n"/>
      <c r="AZ167" s="102" t="n"/>
      <c r="BA167" s="101" t="n"/>
      <c r="BB167" s="101" t="n"/>
      <c r="BC167" s="87">
        <f>IF(AND(ISNUMBER(BA167),ISNUMBER(BB167),N(BA167)&gt;0),1-BB167/BA167,"")</f>
        <v/>
      </c>
      <c r="BD167" s="103" t="n"/>
      <c r="BE167" s="103" t="n"/>
      <c r="BF167" s="100">
        <f>IF(AND(ISNUMBER(BD167),ISNUMBER(BE167),N(BE167)&gt;0),BD167/BE167,"")</f>
        <v/>
      </c>
      <c r="BG167" s="102" t="n"/>
      <c r="BH167" s="97" t="inlineStr">
        <is>
          <t>Amazon.ca organic #23 for 'satin sheets king'; Poly Satin; Reused DC S4 competitor observation, no separate search. variation_count = distinct children exposed in page variation map, not a guaranteed complete catalogue.</t>
        </is>
      </c>
    </row>
    <row r="168" ht="62" customHeight="1">
      <c r="A168" s="10">
        <f>_xlfn.IMAGE("https://m.media-amazon.com/images/I/8192od9R6kL.jpg")</f>
        <v/>
      </c>
      <c r="B168" s="84" t="inlineStr">
        <is>
          <t>Martex</t>
        </is>
      </c>
      <c r="C168" s="32" t="inlineStr">
        <is>
          <t>4-Piece Martex Elegance Satin Sheets | Queen Size Bed Sheets | Luxury Hotel Quality Bed Sheets Set | Satin Sheets | Silky Soft &amp; Smooth | Great for Hair &amp; Skin | Leopard Print Sheets | Leopard</t>
        </is>
      </c>
      <c r="D168" s="84" t="inlineStr">
        <is>
          <t>Untiered</t>
        </is>
      </c>
      <c r="E168" s="84" t="inlineStr">
        <is>
          <t>B07XTX3G7J</t>
        </is>
      </c>
      <c r="F168" s="84" t="inlineStr">
        <is>
          <t>B07X5DPMJ9</t>
        </is>
      </c>
      <c r="G168" s="84" t="inlineStr">
        <is>
          <t>Queen</t>
        </is>
      </c>
      <c r="H168" s="84" t="inlineStr">
        <is>
          <t>Brown</t>
        </is>
      </c>
      <c r="I168" s="85" t="n">
        <v>28</v>
      </c>
      <c r="J168" s="32" t="n"/>
      <c r="K168" s="86" t="n">
        <v>46.45</v>
      </c>
      <c r="L168" s="86" t="n"/>
      <c r="M168" s="87">
        <f>IF(AND(ISNUMBER(L168),ISNUMBER(K168),N(K168)&gt;0),L168/K168-1,"")</f>
        <v/>
      </c>
      <c r="N168" s="88">
        <f>IF(M168="","No List Price",IF(M168&lt;=0,"At/below price",IF(M168&lt;=0.12,"&lt;=12% STR zone",IF(M168&lt;=0.25,"12-25%","&gt;25% over"))))</f>
        <v/>
      </c>
      <c r="O168" s="86" t="n">
        <v>46.95</v>
      </c>
      <c r="P168" s="89">
        <f>IF(AND(ISNUMBER(K168),ISNUMBER(O168),N(O168)&gt;0),K168/O168-1,"")</f>
        <v/>
      </c>
      <c r="Q168" s="32" t="inlineStr">
        <is>
          <t>Same size (Queen), CAD. Ours: Command Center fee feed, Mar 2026 - STALE</t>
        </is>
      </c>
      <c r="R168" s="85" t="n">
        <v>56349</v>
      </c>
      <c r="S168" s="85" t="n"/>
      <c r="T168" s="90">
        <f>IF(AND(ISNUMBER(K168),ISNUMBER(S168)),K168*S168*52/12,"")</f>
        <v/>
      </c>
      <c r="U168" s="91" t="n">
        <v>4.2</v>
      </c>
      <c r="V168" s="85" t="n">
        <v>1078</v>
      </c>
      <c r="W168" s="92" t="n">
        <v>46309</v>
      </c>
      <c r="X168" s="92" t="n"/>
      <c r="Y168" s="84" t="n"/>
      <c r="Z168" s="84" t="n"/>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N</t>
        </is>
      </c>
      <c r="AS168" s="95" t="inlineStr">
        <is>
          <t>none</t>
        </is>
      </c>
      <c r="AT168" s="101" t="n"/>
      <c r="AU168" s="96" t="n">
        <v>46.45</v>
      </c>
      <c r="AV168" s="95" t="inlineStr">
        <is>
          <t>none</t>
        </is>
      </c>
      <c r="AW168" s="95" t="inlineStr">
        <is>
          <t>Y</t>
        </is>
      </c>
      <c r="AX168" s="95" t="inlineStr">
        <is>
          <t>2026-10-14 00:36:33</t>
        </is>
      </c>
      <c r="AY168" s="102" t="n"/>
      <c r="AZ168" s="102" t="n"/>
      <c r="BA168" s="101" t="n"/>
      <c r="BB168" s="101" t="n"/>
      <c r="BC168" s="87">
        <f>IF(AND(ISNUMBER(BA168),ISNUMBER(BB168),N(BA168)&gt;0),1-BB168/BA168,"")</f>
        <v/>
      </c>
      <c r="BD168" s="103" t="n"/>
      <c r="BE168" s="103" t="n"/>
      <c r="BF168" s="100">
        <f>IF(AND(ISNUMBER(BD168),ISNUMBER(BE168),N(BE168)&gt;0),BD168/BE168,"")</f>
        <v/>
      </c>
      <c r="BG168" s="102" t="n"/>
      <c r="BH168" s="97" t="inlineStr">
        <is>
          <t>Amazon.ca organic #24 for 'satin sheets queen'; 100% Polyester; Reused DC S4 competitor observation, no separate search. variation_count = distinct children exposed in page variation map, not a guaranteed complete catalogue.</t>
        </is>
      </c>
    </row>
    <row r="169" ht="62" customHeight="1">
      <c r="A169" s="10">
        <f>_xlfn.IMAGE("https://m.media-amazon.com/images/I/71jFV5g+prL.jpg")</f>
        <v/>
      </c>
      <c r="B169" s="84" t="inlineStr">
        <is>
          <t>Beatrice Home Fashions</t>
        </is>
      </c>
      <c r="C169" s="32" t="inlineStr">
        <is>
          <t>Elite Home Products 100% Luxury Satin Polyester Solid Sheet Set, Queen, Leopard</t>
        </is>
      </c>
      <c r="D169" s="84" t="inlineStr">
        <is>
          <t>Untiered</t>
        </is>
      </c>
      <c r="E169" s="84" t="inlineStr">
        <is>
          <t>B077NL4NZK</t>
        </is>
      </c>
      <c r="F169" s="84" t="inlineStr">
        <is>
          <t>B0721C4SD3</t>
        </is>
      </c>
      <c r="G169" s="84" t="inlineStr">
        <is>
          <t>Queen</t>
        </is>
      </c>
      <c r="H169" s="84" t="inlineStr">
        <is>
          <t>Leopard</t>
        </is>
      </c>
      <c r="I169" s="85" t="n">
        <v>9</v>
      </c>
      <c r="J169" s="32" t="n"/>
      <c r="K169" s="86" t="n">
        <v>42.49</v>
      </c>
      <c r="L169" s="86" t="n"/>
      <c r="M169" s="87">
        <f>IF(AND(ISNUMBER(L169),ISNUMBER(K169),N(K169)&gt;0),L169/K169-1,"")</f>
        <v/>
      </c>
      <c r="N169" s="88">
        <f>IF(M169="","No List Price",IF(M169&lt;=0,"At/below price",IF(M169&lt;=0.12,"&lt;=12% STR zone",IF(M169&lt;=0.25,"12-25%","&gt;25% over"))))</f>
        <v/>
      </c>
      <c r="O169" s="86" t="n">
        <v>46.95</v>
      </c>
      <c r="P169" s="89">
        <f>IF(AND(ISNUMBER(K169),ISNUMBER(O169),N(O169)&gt;0),K169/O169-1,"")</f>
        <v/>
      </c>
      <c r="Q169" s="32" t="inlineStr">
        <is>
          <t>Same size (Queen), CAD. Ours: Command Center fee feed, Mar 2026 - STALE</t>
        </is>
      </c>
      <c r="R169" s="85" t="n">
        <v>387847</v>
      </c>
      <c r="S169" s="85" t="n"/>
      <c r="T169" s="90">
        <f>IF(AND(ISNUMBER(K169),ISNUMBER(S169)),K169*S169*52/12,"")</f>
        <v/>
      </c>
      <c r="U169" s="91" t="n">
        <v>4</v>
      </c>
      <c r="V169" s="85" t="n">
        <v>996</v>
      </c>
      <c r="W169" s="92" t="n">
        <v>46309</v>
      </c>
      <c r="X169" s="92" t="n"/>
      <c r="Y169" s="84" t="n"/>
      <c r="Z169" s="84" t="n"/>
      <c r="AA169" s="85" t="n"/>
      <c r="AB169" s="85" t="n"/>
      <c r="AC169" s="93" t="n"/>
      <c r="AD169" s="93" t="n"/>
      <c r="AE169" s="32" t="n"/>
      <c r="AF169" s="93" t="n"/>
      <c r="AG169" s="93" t="n"/>
      <c r="AH169" s="93" t="n"/>
      <c r="AI169" s="93" t="n"/>
      <c r="AJ169" s="85" t="n"/>
      <c r="AK169" s="85" t="n"/>
      <c r="AL169" s="85" t="n"/>
      <c r="AM169" s="85" t="n"/>
      <c r="AN169" s="85" t="n"/>
      <c r="AO169" s="85" t="n"/>
      <c r="AP169" s="94" t="n"/>
      <c r="AQ169" s="89" t="n"/>
      <c r="AR169" s="95" t="inlineStr">
        <is>
          <t>Y</t>
        </is>
      </c>
      <c r="AS169" s="95" t="inlineStr">
        <is>
          <t>Was price</t>
        </is>
      </c>
      <c r="AT169" s="96" t="n">
        <v>47.95</v>
      </c>
      <c r="AU169" s="96" t="n">
        <v>42.49</v>
      </c>
      <c r="AV169" s="95" t="inlineStr">
        <is>
          <t>none</t>
        </is>
      </c>
      <c r="AW169" s="95" t="inlineStr">
        <is>
          <t>Y</t>
        </is>
      </c>
      <c r="AX169" s="95" t="inlineStr">
        <is>
          <t>2026-10-14 00:36:30</t>
        </is>
      </c>
      <c r="AY169" s="102" t="n"/>
      <c r="AZ169" s="102" t="n"/>
      <c r="BA169" s="101" t="n"/>
      <c r="BB169" s="101" t="n"/>
      <c r="BC169" s="87">
        <f>IF(AND(ISNUMBER(BA169),ISNUMBER(BB169),N(BA169)&gt;0),1-BB169/BA169,"")</f>
        <v/>
      </c>
      <c r="BD169" s="103" t="n"/>
      <c r="BE169" s="103" t="n"/>
      <c r="BF169" s="100">
        <f>IF(AND(ISNUMBER(BD169),ISNUMBER(BE169),N(BE169)&gt;0),BD169/BE169,"")</f>
        <v/>
      </c>
      <c r="BG169" s="102" t="n"/>
      <c r="BH169" s="97" t="inlineStr">
        <is>
          <t>Amazon.ca organic #24 for 'satin sheets king'; 100% Polyester; Reused DC S4 competitor observation, no separate search. Search child B072K5TZVP; selected Queen child B0721C4SD3. variation_count = distinct children exposed i</t>
        </is>
      </c>
    </row>
    <row r="171" ht="20" customHeight="1">
      <c r="A171" s="54" t="inlineStr">
        <is>
          <t>5 · WHAT THIS MEANS FOR BFCM</t>
        </is>
      </c>
    </row>
    <row r="172" ht="30" customHeight="1">
      <c r="A172" s="104" t="inlineStr">
        <is>
          <t>•  Price: 10 of 15 rivals sit below our price today (same size where the title states one). Cheapest strong rivals: Sasttie $31.99, BEDELITE $31.99, HENGWEITEXT $31.99, Pure Bedding $32.40. CA prices are CAD; our comparison price is the Command Center's Mar 2026 CAD price (no live Canadian price yet).</t>
        </is>
      </c>
    </row>
    <row r="173" ht="30" customHeight="1">
      <c r="A173" s="104" t="inlineStr">
        <is>
          <t>•  Top organic on Amazon.ca (Oct 13): #1 Sasttie $31.99 (satin sheets queen); #2 MR&amp;HM $40.99 (satin sheets queen); #3 BEDELITE $31.99 (satin sheets queen); #5 HENGWEITEXT $31.99 (silk satin sheets); #7 GOLAL $47.99 (silk satin sheets).</t>
        </is>
      </c>
    </row>
    <row r="174" ht="30" customHeight="1">
      <c r="A174" s="104" t="inlineStr">
        <is>
          <t>•  Strikethrough on the page today (Oct 13 check): 6 of 15 checked rivals show one: MR&amp;HM Was price $46.99 vs $40.99 (+15%), BEDELITE Was price $37.99 vs $31.99 (+19%), LIFCOM Was price $44.99 vs $42.74 (+5%), Lanest Housing Was price $52.02 vs $43.77 (+19%), Bare Home Was price $67.99 vs $63.99 (+6%), Beatrice Home Fashions Was price $47.95 vs $42.49 (+13%).</t>
        </is>
      </c>
    </row>
    <row r="175" ht="18" customHeight="1">
      <c r="A175" s="104" t="inlineStr">
        <is>
          <t>•  Our BFCM 2025: 1.52x daily sales in BFCM week vs the 30 days before; TACoS 0.0% vs 0.0% before; December 3.72x.</t>
        </is>
      </c>
    </row>
  </sheetData>
  <autoFilter ref="B154:BH169"/>
  <mergeCells count="67">
    <mergeCell ref="A137:C137"/>
    <mergeCell ref="A15:BH15"/>
    <mergeCell ref="A148:BH148"/>
    <mergeCell ref="L5:Q5"/>
    <mergeCell ref="A1:BH1"/>
    <mergeCell ref="AA153:AQ153"/>
    <mergeCell ref="Q11:T11"/>
    <mergeCell ref="A136:C136"/>
    <mergeCell ref="L8:Q8"/>
    <mergeCell ref="A139:C139"/>
    <mergeCell ref="AY153:BH153"/>
    <mergeCell ref="A146:BH146"/>
    <mergeCell ref="L4:Q4"/>
    <mergeCell ref="D7:I7"/>
    <mergeCell ref="A13:D13"/>
    <mergeCell ref="AR153:AX153"/>
    <mergeCell ref="I13:L13"/>
    <mergeCell ref="A173:BH173"/>
    <mergeCell ref="A153:H153"/>
    <mergeCell ref="A172:BH172"/>
    <mergeCell ref="A16:BH16"/>
    <mergeCell ref="A174:BH174"/>
    <mergeCell ref="D4:I4"/>
    <mergeCell ref="L10:Q10"/>
    <mergeCell ref="E12:H12"/>
    <mergeCell ref="Q13:T13"/>
    <mergeCell ref="A141:C141"/>
    <mergeCell ref="D9:I9"/>
    <mergeCell ref="U12:X12"/>
    <mergeCell ref="L9:Q9"/>
    <mergeCell ref="Q12:T12"/>
    <mergeCell ref="A144:C144"/>
    <mergeCell ref="A11:D11"/>
    <mergeCell ref="X153:Z153"/>
    <mergeCell ref="A145:BH145"/>
    <mergeCell ref="I11:L11"/>
    <mergeCell ref="A3:BH3"/>
    <mergeCell ref="L6:Q6"/>
    <mergeCell ref="D8:I8"/>
    <mergeCell ref="A4:B9"/>
    <mergeCell ref="T6:Y6"/>
    <mergeCell ref="A175:BH175"/>
    <mergeCell ref="D5:I5"/>
    <mergeCell ref="A151:BH151"/>
    <mergeCell ref="M11:P11"/>
    <mergeCell ref="A143:C143"/>
    <mergeCell ref="A150:BH150"/>
    <mergeCell ref="U11:X11"/>
    <mergeCell ref="A135:BH135"/>
    <mergeCell ref="K153:W153"/>
    <mergeCell ref="E13:H13"/>
    <mergeCell ref="A147:BH147"/>
    <mergeCell ref="D10:I10"/>
    <mergeCell ref="L7:Q7"/>
    <mergeCell ref="T5:Y5"/>
    <mergeCell ref="A138:C138"/>
    <mergeCell ref="A142:C142"/>
    <mergeCell ref="A152:BH152"/>
    <mergeCell ref="A171:BH171"/>
    <mergeCell ref="A12:D12"/>
    <mergeCell ref="M13:P13"/>
    <mergeCell ref="I12:L12"/>
    <mergeCell ref="U13:X13"/>
    <mergeCell ref="M12:P12"/>
    <mergeCell ref="T4:Y4"/>
    <mergeCell ref="D6:I6"/>
    <mergeCell ref="E11:H11"/>
  </mergeCells>
  <conditionalFormatting sqref="N155:N169">
    <cfRule type="expression" priority="1" dxfId="1">
      <formula>N155="&lt;=12% STR zone"</formula>
    </cfRule>
  </conditionalFormatting>
  <conditionalFormatting sqref="W155:W169">
    <cfRule type="expression" priority="2" dxfId="0">
      <formula>AND(ISNUMBER(W155),W155&lt;DATE(2026,10,6))</formula>
    </cfRule>
  </conditionalFormatting>
  <conditionalFormatting sqref="Q155:Q169">
    <cfRule type="expression" priority="3" dxfId="0">
      <formula>ISNUMBER(SEARCH("STALE",Q155))</formula>
    </cfRule>
  </conditionalFormatting>
  <conditionalFormatting sqref="P155:P169">
    <cfRule type="expression" priority="4" dxfId="0">
      <formula>AND(ISNUMBER(P155),P155&lt;0)</formula>
    </cfRule>
  </conditionalFormatting>
  <dataValidations count="3">
    <dataValidation sqref="AR155:AR169 BG155:BG169" showDropDown="0" showInputMessage="0" showErrorMessage="0" allowBlank="1" type="list">
      <formula1>"Y,N"</formula1>
    </dataValidation>
    <dataValidation sqref="AS155:AS169" showDropDown="0" showInputMessage="0" showErrorMessage="0" allowBlank="1" type="list">
      <formula1>"List Price,Typical price,Was price,None"</formula1>
    </dataValidation>
    <dataValidation sqref="AY155:AY1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outlinePr summaryBelow="1" summaryRight="1"/>
    <pageSetUpPr/>
  </sheetPr>
  <dimension ref="A1:BH18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Satin Sheets 6pcs  ·  Amazon.com (US)  ·  Satin  ·  BFCM role: Clearance with margin  ·  Scope: Not launched</t>
        </is>
      </c>
    </row>
    <row r="2">
      <c r="A2" s="53" t="inlineStr">
        <is>
          <t>← Dashboard</t>
        </is>
      </c>
      <c r="C2" s="106" t="inlineStr">
        <is>
          <t>NOT LAUNCHED YET (confirmed Oct 14, 2026): no live price, rating or sales expected; excluded from the gap counts on Data Check.</t>
        </is>
      </c>
    </row>
    <row r="3" ht="20" customHeight="1">
      <c r="A3" s="54" t="inlineStr">
        <is>
          <t>1 · OUR PRODUCT</t>
        </is>
      </c>
    </row>
    <row r="4" ht="34" customHeight="1">
      <c r="A4" s="39" t="inlineStr">
        <is>
          <t>IMAGE MISSING</t>
        </is>
      </c>
      <c r="C4" s="11" t="inlineStr">
        <is>
          <t>Title</t>
        </is>
      </c>
      <c r="D4" s="12" t="inlineStr">
        <is>
          <t>SLEEPHORIA Satin Bed Sheets - 6 Piece Luxury Silky Full Size Bedding Set - Softer Than Silk, Wrinkle-Free with 15” Deep Pocket Fitted Sheet, Perfect for Hair &amp; Skin, Gifts for Women (Baby Blue)</t>
        </is>
      </c>
      <c r="K4" s="11" t="inlineStr">
        <is>
          <t>Sizes</t>
        </is>
      </c>
      <c r="L4" s="55" t="inlineStr">
        <is>
          <t>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Baby Blue, Black, Blue, Blush Pink, Burnt Orange, Champagne, Dark Green, Gold, Grey, Ivory, Lavender, Navy Blue, Pink, Purple, Red, Rosewood, Sage Green, Sea Teal, Stone Grey, Striped Black, Striped Blue, Striped Gold, Striped Grey, Striped Pink, Striped Purple, Striped Red, Striped White, Taupe,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B0H41WN38B (one of our child ASINs, not the Amazon parent)</t>
        </is>
      </c>
    </row>
    <row r="7" ht="22" customHeight="1">
      <c r="C7" s="11" t="inlineStr">
        <is>
          <t>Parent ASIN (Amazon)</t>
        </is>
      </c>
      <c r="D7" s="55" t="inlineStr">
        <is>
          <t>B0H41WN38B</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116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116</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27</t>
        </is>
      </c>
      <c r="Q12" s="57" t="inlineStr">
        <is>
          <t>0</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(116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9" t="inlineStr">
        <is>
          <t>IMAGE MISSING</t>
        </is>
      </c>
      <c r="B18" s="32" t="inlineStr">
        <is>
          <t>B0H41WN38B</t>
        </is>
      </c>
      <c r="C18" s="32" t="inlineStr">
        <is>
          <t>SL-SATIN-SHEET-6PC-FULL-BABY-BLUE</t>
        </is>
      </c>
      <c r="D18" s="32" t="inlineStr">
        <is>
          <t>SLEEPHORIA Satin Bed Sheets - 6 Piece Luxury Silky Full Size Bedding Set - Softer Than Silk, Wrinkle-Free with 15” Deep Pocket Fitted Sheet, Perfect for Hair &amp; Skin, Gifts for Women (Baby Blue)</t>
        </is>
      </c>
      <c r="E18" s="32" t="inlineStr">
        <is>
          <t>Full</t>
        </is>
      </c>
      <c r="F18" s="32" t="inlineStr">
        <is>
          <t>Baby Blue</t>
        </is>
      </c>
      <c r="G18" s="33" t="n"/>
      <c r="H18" s="32" t="n"/>
      <c r="I18" s="33" t="n"/>
      <c r="J18" s="32" t="n"/>
      <c r="K18" s="33" t="n"/>
      <c r="L18" s="63" t="n"/>
      <c r="M18" s="64" t="n"/>
      <c r="N18" s="32" t="inlineStr">
        <is>
          <t>Inactive</t>
        </is>
      </c>
      <c r="O18" s="32" t="n"/>
      <c r="P18" s="65" t="n"/>
      <c r="Q18" s="64" t="n"/>
      <c r="R18" s="64" t="n"/>
      <c r="S18" s="64" t="n"/>
      <c r="T18" s="32" t="n"/>
    </row>
    <row r="19" ht="62" customHeight="1">
      <c r="A19" s="39" t="inlineStr">
        <is>
          <t>IMAGE MISSING</t>
        </is>
      </c>
      <c r="B19" s="32" t="inlineStr">
        <is>
          <t>B0H427K739</t>
        </is>
      </c>
      <c r="C19" s="32" t="inlineStr">
        <is>
          <t>SL-SATIN-SHEET-6PC-FULL-BLACK</t>
        </is>
      </c>
      <c r="D19" s="32" t="inlineStr">
        <is>
          <t>SLEEPHORIA Satin Bed Sheets - 6 Piece Luxury Silky Full Size Bedding Set - Softer Than Silk, Wrinkle-Free with 15” Deep Pocket Fitted Sheet, Perfect for Hair &amp; Skin, Gifts for Women (Black)</t>
        </is>
      </c>
      <c r="E19" s="32" t="inlineStr">
        <is>
          <t>Full</t>
        </is>
      </c>
      <c r="F19" s="32" t="inlineStr">
        <is>
          <t>Black</t>
        </is>
      </c>
      <c r="G19" s="33" t="n"/>
      <c r="H19" s="32" t="n"/>
      <c r="I19" s="33" t="n"/>
      <c r="J19" s="32" t="n"/>
      <c r="K19" s="33" t="n"/>
      <c r="L19" s="63" t="n"/>
      <c r="M19" s="64" t="n"/>
      <c r="N19" s="32" t="inlineStr">
        <is>
          <t>Inactive</t>
        </is>
      </c>
      <c r="O19" s="32" t="n"/>
      <c r="P19" s="65" t="n"/>
      <c r="Q19" s="64" t="n"/>
      <c r="R19" s="64" t="n"/>
      <c r="S19" s="64" t="n"/>
      <c r="T19" s="32" t="n"/>
    </row>
    <row r="20" ht="62" customHeight="1">
      <c r="A20" s="39" t="inlineStr">
        <is>
          <t>IMAGE MISSING</t>
        </is>
      </c>
      <c r="B20" s="32" t="inlineStr">
        <is>
          <t>B0H41TKYQT</t>
        </is>
      </c>
      <c r="C20" s="32" t="inlineStr">
        <is>
          <t>SL-SATIN-SHEET-6PC-FULL-BLUE</t>
        </is>
      </c>
      <c r="D20" s="32" t="inlineStr">
        <is>
          <t>SLEEPHORIA Satin Bed Sheets - 6 Piece Luxury Silky Full Size Bedding Set - Softer Than Silk, Wrinkle-Free with 15” Deep Pocket Fitted Sheet, Perfect for Hair &amp; Skin, Gifts for Women (Blue)</t>
        </is>
      </c>
      <c r="E20" s="32" t="inlineStr">
        <is>
          <t>Full</t>
        </is>
      </c>
      <c r="F20" s="32" t="inlineStr">
        <is>
          <t>Blue</t>
        </is>
      </c>
      <c r="G20" s="33" t="n"/>
      <c r="H20" s="32" t="n"/>
      <c r="I20" s="33" t="n"/>
      <c r="J20" s="32" t="n"/>
      <c r="K20" s="33" t="n"/>
      <c r="L20" s="63" t="n"/>
      <c r="M20" s="64" t="n"/>
      <c r="N20" s="32" t="inlineStr">
        <is>
          <t>Inactive</t>
        </is>
      </c>
      <c r="O20" s="32" t="n"/>
      <c r="P20" s="65" t="n"/>
      <c r="Q20" s="64" t="n"/>
      <c r="R20" s="64" t="n"/>
      <c r="S20" s="64" t="n"/>
      <c r="T20" s="32" t="n"/>
    </row>
    <row r="21" ht="62" customHeight="1">
      <c r="A21" s="39" t="inlineStr">
        <is>
          <t>IMAGE MISSING</t>
        </is>
      </c>
      <c r="B21" s="32" t="inlineStr">
        <is>
          <t>B0H4256F2C</t>
        </is>
      </c>
      <c r="C21" s="32" t="inlineStr">
        <is>
          <t>SL-SATIN-SHEET-6PC-FULL-BLUSH-PINK</t>
        </is>
      </c>
      <c r="D21" s="32" t="inlineStr">
        <is>
          <t>SLEEPHORIA Satin Bed Sheets - 6 Piece Luxury Silky Full Size Bedding Set - Softer Than Silk, Wrinkle-Free with 15” Deep Pocket Fitted Sheet, Perfect for Hair &amp; Skin, Gifts for Women (Blush Pink)</t>
        </is>
      </c>
      <c r="E21" s="32" t="inlineStr">
        <is>
          <t>Full</t>
        </is>
      </c>
      <c r="F21" s="32" t="inlineStr">
        <is>
          <t>Blush Pink</t>
        </is>
      </c>
      <c r="G21" s="33" t="n"/>
      <c r="H21" s="32" t="n"/>
      <c r="I21" s="33" t="n"/>
      <c r="J21" s="32" t="n"/>
      <c r="K21" s="33" t="n"/>
      <c r="L21" s="63" t="n"/>
      <c r="M21" s="64" t="n"/>
      <c r="N21" s="32" t="inlineStr">
        <is>
          <t>Inactive</t>
        </is>
      </c>
      <c r="O21" s="32" t="n"/>
      <c r="P21" s="65" t="n"/>
      <c r="Q21" s="64" t="n"/>
      <c r="R21" s="64" t="n"/>
      <c r="S21" s="64" t="n"/>
      <c r="T21" s="32" t="n"/>
    </row>
    <row r="22" ht="62" customHeight="1">
      <c r="A22" s="39" t="inlineStr">
        <is>
          <t>IMAGE MISSING</t>
        </is>
      </c>
      <c r="B22" s="32" t="inlineStr">
        <is>
          <t>B0H42242XQ</t>
        </is>
      </c>
      <c r="C22" s="32" t="inlineStr">
        <is>
          <t>SL-SATIN-SHEET-6PC-FULL-BURNT-ORANGE</t>
        </is>
      </c>
      <c r="D22" s="32" t="inlineStr">
        <is>
          <t>SLEEPHORIA Satin Bed Sheets - 6 Piece Luxury Silky Full Size Bedding Set - Softer Than Silk, Wrinkle-Free with 15” Deep Pocket Fitted Sheet, Perfect for Hair &amp; Skin, Gifts for Women (Burnt Orange)</t>
        </is>
      </c>
      <c r="E22" s="32" t="inlineStr">
        <is>
          <t>Full</t>
        </is>
      </c>
      <c r="F22" s="32" t="inlineStr">
        <is>
          <t>Burnt Orange</t>
        </is>
      </c>
      <c r="G22" s="33" t="n"/>
      <c r="H22" s="32" t="n"/>
      <c r="I22" s="33" t="n"/>
      <c r="J22" s="32" t="n"/>
      <c r="K22" s="33" t="n"/>
      <c r="L22" s="63" t="n"/>
      <c r="M22" s="64" t="n"/>
      <c r="N22" s="32" t="inlineStr">
        <is>
          <t>Inactive</t>
        </is>
      </c>
      <c r="O22" s="32" t="n"/>
      <c r="P22" s="65" t="n"/>
      <c r="Q22" s="64" t="n"/>
      <c r="R22" s="64" t="n"/>
      <c r="S22" s="64" t="n"/>
      <c r="T22" s="32" t="n"/>
    </row>
    <row r="23" ht="62" customHeight="1">
      <c r="A23" s="39" t="inlineStr">
        <is>
          <t>IMAGE MISSING</t>
        </is>
      </c>
      <c r="B23" s="32" t="inlineStr">
        <is>
          <t>B0H41VZJBY</t>
        </is>
      </c>
      <c r="C23" s="32" t="inlineStr">
        <is>
          <t>SL-SATIN-SHEET-6PC-FULL-CHAMPAGNE</t>
        </is>
      </c>
      <c r="D23" s="32" t="inlineStr">
        <is>
          <t>SLEEPHORIA Satin Bed Sheets - 6 Piece Luxury Silky Full Size Bedding Set - Softer Than Silk, Wrinkle-Free with 15” Deep Pocket Fitted Sheet, Perfect for Hair &amp; Skin, Gifts for Women (Champagne)</t>
        </is>
      </c>
      <c r="E23" s="32" t="inlineStr">
        <is>
          <t>Full</t>
        </is>
      </c>
      <c r="F23" s="32" t="inlineStr">
        <is>
          <t>Champagne</t>
        </is>
      </c>
      <c r="G23" s="33" t="n"/>
      <c r="H23" s="32" t="n"/>
      <c r="I23" s="33" t="n"/>
      <c r="J23" s="32" t="n"/>
      <c r="K23" s="33" t="n"/>
      <c r="L23" s="63" t="n"/>
      <c r="M23" s="64" t="n"/>
      <c r="N23" s="32" t="inlineStr">
        <is>
          <t>Inactive</t>
        </is>
      </c>
      <c r="O23" s="32" t="n"/>
      <c r="P23" s="65" t="n"/>
      <c r="Q23" s="64" t="n"/>
      <c r="R23" s="64" t="n"/>
      <c r="S23" s="64" t="n"/>
      <c r="T23" s="32" t="n"/>
    </row>
    <row r="24" ht="62" customHeight="1">
      <c r="A24" s="39" t="inlineStr">
        <is>
          <t>IMAGE MISSING</t>
        </is>
      </c>
      <c r="B24" s="32" t="inlineStr">
        <is>
          <t>B0H427ZLRQ</t>
        </is>
      </c>
      <c r="C24" s="32" t="inlineStr">
        <is>
          <t>SL-SATIN-SHEET-6PC-FULL-DARK-GREEN</t>
        </is>
      </c>
      <c r="D24" s="32" t="inlineStr">
        <is>
          <t>SLEEPHORIA Satin Bed Sheets - 6 Piece Luxury Silky Full Size Bedding Set - Softer Than Silk, Wrinkle-Free with 15” Deep Pocket Fitted Sheet, Perfect for Hair &amp; Skin, Gifts for Women (Dark Green)</t>
        </is>
      </c>
      <c r="E24" s="32" t="inlineStr">
        <is>
          <t>Full</t>
        </is>
      </c>
      <c r="F24" s="32" t="inlineStr">
        <is>
          <t>Dark Green</t>
        </is>
      </c>
      <c r="G24" s="33" t="n"/>
      <c r="H24" s="32" t="n"/>
      <c r="I24" s="33" t="n"/>
      <c r="J24" s="32" t="n"/>
      <c r="K24" s="33" t="n"/>
      <c r="L24" s="63" t="n"/>
      <c r="M24" s="64" t="n"/>
      <c r="N24" s="32" t="inlineStr">
        <is>
          <t>Inactive</t>
        </is>
      </c>
      <c r="O24" s="32" t="n"/>
      <c r="P24" s="65" t="n"/>
      <c r="Q24" s="64" t="n"/>
      <c r="R24" s="64" t="n"/>
      <c r="S24" s="64" t="n"/>
      <c r="T24" s="32" t="n"/>
    </row>
    <row r="25" ht="62" customHeight="1">
      <c r="A25" s="39" t="inlineStr">
        <is>
          <t>IMAGE MISSING</t>
        </is>
      </c>
      <c r="B25" s="32" t="inlineStr">
        <is>
          <t>B0H42184QR</t>
        </is>
      </c>
      <c r="C25" s="32" t="inlineStr">
        <is>
          <t>SL-SATIN-SHEET-6PC-FULL-GOLD</t>
        </is>
      </c>
      <c r="D25" s="32" t="inlineStr">
        <is>
          <t>SLEEPHORIA Satin Bed Sheets - 6 Piece Luxury Silky Full Size Bedding Set - Softer Than Silk, Wrinkle-Free with 15” Deep Pocket Fitted Sheet, Perfect for Hair &amp; Skin, Gifts for Women (Gold)</t>
        </is>
      </c>
      <c r="E25" s="32" t="inlineStr">
        <is>
          <t>Full</t>
        </is>
      </c>
      <c r="F25" s="32" t="inlineStr">
        <is>
          <t>Gold</t>
        </is>
      </c>
      <c r="G25" s="33" t="n"/>
      <c r="H25" s="32" t="n"/>
      <c r="I25" s="33" t="n"/>
      <c r="J25" s="32" t="n"/>
      <c r="K25" s="33" t="n"/>
      <c r="L25" s="63" t="n"/>
      <c r="M25" s="64" t="n"/>
      <c r="N25" s="32" t="inlineStr">
        <is>
          <t>Inactive</t>
        </is>
      </c>
      <c r="O25" s="32" t="n"/>
      <c r="P25" s="65" t="n"/>
      <c r="Q25" s="64" t="n"/>
      <c r="R25" s="64" t="n"/>
      <c r="S25" s="64" t="n"/>
      <c r="T25" s="32" t="n"/>
    </row>
    <row r="26" ht="62" customHeight="1">
      <c r="A26" s="39" t="inlineStr">
        <is>
          <t>IMAGE MISSING</t>
        </is>
      </c>
      <c r="B26" s="32" t="inlineStr">
        <is>
          <t>B0H41Z9SL6</t>
        </is>
      </c>
      <c r="C26" s="32" t="inlineStr">
        <is>
          <t>SL-SATIN-SHEET-6PC-FULL-GREY</t>
        </is>
      </c>
      <c r="D26" s="32" t="inlineStr">
        <is>
          <t>SLEEPHORIA Satin Bed Sheets - 6 Piece Luxury Silky Full Size Bedding Set - Softer Than Silk, Wrinkle-Free with 15” Deep Pocket Fitted Sheet, Perfect for Hair &amp; Skin, Gifts for Women (Grey)</t>
        </is>
      </c>
      <c r="E26" s="32" t="inlineStr">
        <is>
          <t>Full</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39" t="inlineStr">
        <is>
          <t>IMAGE MISSING</t>
        </is>
      </c>
      <c r="B27" s="32" t="inlineStr">
        <is>
          <t>B0H41RCDMM</t>
        </is>
      </c>
      <c r="C27" s="32" t="inlineStr">
        <is>
          <t>SL-SATIN-SHEET-6PC-FULL-IVORY</t>
        </is>
      </c>
      <c r="D27" s="32" t="inlineStr">
        <is>
          <t>SLEEPHORIA Satin Bed Sheets - 6 Piece Luxury Silky Full Size Bedding Set - Softer Than Silk, Wrinkle-Free with 15” Deep Pocket Fitted Sheet, Perfect for Hair &amp; Skin, Gifts for Women (Ivory)</t>
        </is>
      </c>
      <c r="E27" s="32" t="inlineStr">
        <is>
          <t>Full</t>
        </is>
      </c>
      <c r="F27" s="32" t="inlineStr">
        <is>
          <t>Ivory</t>
        </is>
      </c>
      <c r="G27" s="33" t="n"/>
      <c r="H27" s="32" t="n"/>
      <c r="I27" s="33" t="n"/>
      <c r="J27" s="32" t="n"/>
      <c r="K27" s="33" t="n"/>
      <c r="L27" s="63" t="n"/>
      <c r="M27" s="64" t="n"/>
      <c r="N27" s="32" t="inlineStr">
        <is>
          <t>Inactive</t>
        </is>
      </c>
      <c r="O27" s="32" t="n"/>
      <c r="P27" s="65" t="n"/>
      <c r="Q27" s="64" t="n"/>
      <c r="R27" s="64" t="n"/>
      <c r="S27" s="64" t="n"/>
      <c r="T27" s="32" t="n"/>
    </row>
    <row r="28" ht="62" customHeight="1">
      <c r="A28" s="39" t="inlineStr">
        <is>
          <t>IMAGE MISSING</t>
        </is>
      </c>
      <c r="B28" s="32" t="inlineStr">
        <is>
          <t>B0H41W1W91</t>
        </is>
      </c>
      <c r="C28" s="32" t="inlineStr">
        <is>
          <t>SL-SATIN-SHEET-6PC-FULL-LAVENDER</t>
        </is>
      </c>
      <c r="D28" s="32" t="inlineStr">
        <is>
          <t>SLEEPHORIA Satin Bed Sheets - 6 Piece Luxury Silky Full Size Bedding Set - Softer Than Silk, Wrinkle-Free with 15” Deep Pocket Fitted Sheet, Perfect for Hair &amp; Skin, Gifts for Women (Lavender)</t>
        </is>
      </c>
      <c r="E28" s="32" t="inlineStr">
        <is>
          <t>Full</t>
        </is>
      </c>
      <c r="F28" s="32" t="inlineStr">
        <is>
          <t>Lavender</t>
        </is>
      </c>
      <c r="G28" s="33" t="n"/>
      <c r="H28" s="32" t="n"/>
      <c r="I28" s="33" t="n"/>
      <c r="J28" s="32" t="n"/>
      <c r="K28" s="33" t="n"/>
      <c r="L28" s="63" t="n"/>
      <c r="M28" s="64" t="n"/>
      <c r="N28" s="32" t="inlineStr">
        <is>
          <t>Inactive</t>
        </is>
      </c>
      <c r="O28" s="32" t="n"/>
      <c r="P28" s="65" t="n"/>
      <c r="Q28" s="64" t="n"/>
      <c r="R28" s="64" t="n"/>
      <c r="S28" s="64" t="n"/>
      <c r="T28" s="32" t="n"/>
    </row>
    <row r="29" ht="62" customHeight="1">
      <c r="A29" s="39" t="inlineStr">
        <is>
          <t>IMAGE MISSING</t>
        </is>
      </c>
      <c r="B29" s="32" t="inlineStr">
        <is>
          <t>B0H41RFH4M</t>
        </is>
      </c>
      <c r="C29" s="32" t="inlineStr">
        <is>
          <t>SL-SATIN-SHEET-6PC-FULL-NAVY-BLUE</t>
        </is>
      </c>
      <c r="D29" s="32" t="inlineStr">
        <is>
          <t>SLEEPHORIA Satin Bed Sheets - 6 Piece Luxury Silky Full Size Bedding Set - Softer Than Silk, Wrinkle-Free with 15” Deep Pocket Fitted Sheet, Perfect for Hair &amp; Skin, Gifts for Women (Navy Blue)</t>
        </is>
      </c>
      <c r="E29" s="32" t="inlineStr">
        <is>
          <t>Full</t>
        </is>
      </c>
      <c r="F29" s="32" t="inlineStr">
        <is>
          <t>Navy Blue</t>
        </is>
      </c>
      <c r="G29" s="33" t="n"/>
      <c r="H29" s="32" t="n"/>
      <c r="I29" s="33" t="n"/>
      <c r="J29" s="32" t="n"/>
      <c r="K29" s="33" t="n"/>
      <c r="L29" s="63" t="n"/>
      <c r="M29" s="64" t="n"/>
      <c r="N29" s="32" t="inlineStr">
        <is>
          <t>Inactive</t>
        </is>
      </c>
      <c r="O29" s="32" t="n"/>
      <c r="P29" s="65" t="n"/>
      <c r="Q29" s="64" t="n"/>
      <c r="R29" s="64" t="n"/>
      <c r="S29" s="64" t="n"/>
      <c r="T29" s="32" t="n"/>
    </row>
    <row r="30" ht="62" customHeight="1">
      <c r="A30" s="39" t="inlineStr">
        <is>
          <t>IMAGE MISSING</t>
        </is>
      </c>
      <c r="B30" s="32" t="inlineStr">
        <is>
          <t>B0H41XQNHD</t>
        </is>
      </c>
      <c r="C30" s="32" t="inlineStr">
        <is>
          <t>SL-SATIN-SHEET-6PC-FULL-PINK</t>
        </is>
      </c>
      <c r="D30" s="32" t="inlineStr">
        <is>
          <t>SLEEPHORIA Satin Bed Sheets - 6 Piece Luxury Silky Full Size Bedding Set - Softer Than Silk, Wrinkle-Free with 15” Deep Pocket Fitted Sheet, Perfect for Hair &amp; Skin, Gifts for Women (Pink)</t>
        </is>
      </c>
      <c r="E30" s="32" t="inlineStr">
        <is>
          <t>Full</t>
        </is>
      </c>
      <c r="F30" s="32" t="inlineStr">
        <is>
          <t>Pink</t>
        </is>
      </c>
      <c r="G30" s="33" t="n"/>
      <c r="H30" s="32" t="n"/>
      <c r="I30" s="33" t="n"/>
      <c r="J30" s="32" t="n"/>
      <c r="K30" s="33" t="n"/>
      <c r="L30" s="63" t="n"/>
      <c r="M30" s="64" t="n"/>
      <c r="N30" s="32" t="inlineStr">
        <is>
          <t>Inactive</t>
        </is>
      </c>
      <c r="O30" s="32" t="n"/>
      <c r="P30" s="65" t="n"/>
      <c r="Q30" s="64" t="n"/>
      <c r="R30" s="64" t="n"/>
      <c r="S30" s="64" t="n"/>
      <c r="T30" s="32" t="n"/>
    </row>
    <row r="31" ht="62" customHeight="1">
      <c r="A31" s="39" t="inlineStr">
        <is>
          <t>IMAGE MISSING</t>
        </is>
      </c>
      <c r="B31" s="32" t="inlineStr">
        <is>
          <t>B0H41T82X5</t>
        </is>
      </c>
      <c r="C31" s="32" t="inlineStr">
        <is>
          <t>SL-SATIN-SHEET-6PC-FULL-PURPLE</t>
        </is>
      </c>
      <c r="D31" s="32" t="inlineStr">
        <is>
          <t>SLEEPHORIA Satin Bed Sheets - 6 Piece Luxury Silky Full Size Bedding Set - Softer Than Silk, Wrinkle-Free with 15” Deep Pocket Fitted Sheet, Perfect for Hair &amp; Skin, Gifts for Women (Purple)</t>
        </is>
      </c>
      <c r="E31" s="32" t="inlineStr">
        <is>
          <t>Full</t>
        </is>
      </c>
      <c r="F31" s="32" t="inlineStr">
        <is>
          <t>Purple</t>
        </is>
      </c>
      <c r="G31" s="33" t="n"/>
      <c r="H31" s="32" t="n"/>
      <c r="I31" s="33" t="n"/>
      <c r="J31" s="32" t="n"/>
      <c r="K31" s="33" t="n"/>
      <c r="L31" s="63" t="n"/>
      <c r="M31" s="64" t="n"/>
      <c r="N31" s="32" t="inlineStr">
        <is>
          <t>Inactive</t>
        </is>
      </c>
      <c r="O31" s="32" t="n"/>
      <c r="P31" s="65" t="n"/>
      <c r="Q31" s="64" t="n"/>
      <c r="R31" s="64" t="n"/>
      <c r="S31" s="64" t="n"/>
      <c r="T31" s="32" t="n"/>
    </row>
    <row r="32" ht="62" customHeight="1">
      <c r="A32" s="39" t="inlineStr">
        <is>
          <t>IMAGE MISSING</t>
        </is>
      </c>
      <c r="B32" s="32" t="inlineStr">
        <is>
          <t>B0H41WHX9B</t>
        </is>
      </c>
      <c r="C32" s="32" t="inlineStr">
        <is>
          <t>SL-SATIN-SHEET-6PC-FULL-RED</t>
        </is>
      </c>
      <c r="D32" s="32" t="inlineStr">
        <is>
          <t>SLEEPHORIA Satin Bed Sheets - 6 Piece Luxury Silky Full Size Bedding Set - Softer Than Silk, Wrinkle-Free with 15” Deep Pocket Fitted Sheet, Perfect for Hair &amp; Skin, Gifts for Women (Red)</t>
        </is>
      </c>
      <c r="E32" s="32" t="inlineStr">
        <is>
          <t>Full</t>
        </is>
      </c>
      <c r="F32" s="32" t="inlineStr">
        <is>
          <t>Red</t>
        </is>
      </c>
      <c r="G32" s="33" t="n"/>
      <c r="H32" s="32" t="n"/>
      <c r="I32" s="33" t="n"/>
      <c r="J32" s="32" t="n"/>
      <c r="K32" s="33" t="n"/>
      <c r="L32" s="63" t="n"/>
      <c r="M32" s="64" t="n"/>
      <c r="N32" s="32" t="inlineStr">
        <is>
          <t>Inactive</t>
        </is>
      </c>
      <c r="O32" s="32" t="n"/>
      <c r="P32" s="65" t="n"/>
      <c r="Q32" s="64" t="n"/>
      <c r="R32" s="64" t="n"/>
      <c r="S32" s="64" t="n"/>
      <c r="T32" s="32" t="n"/>
    </row>
    <row r="33" ht="62" customHeight="1">
      <c r="A33" s="39" t="inlineStr">
        <is>
          <t>IMAGE MISSING</t>
        </is>
      </c>
      <c r="B33" s="32" t="inlineStr">
        <is>
          <t>B0H41T6HDY</t>
        </is>
      </c>
      <c r="C33" s="32" t="inlineStr">
        <is>
          <t>SL-SATIN-SHEET-6PC-FULL-ROSEWOOD</t>
        </is>
      </c>
      <c r="D33" s="32" t="inlineStr">
        <is>
          <t>SLEEPHORIA Satin Bed Sheets - 6 Piece Luxury Silky Full Size Bedding Set - Softer Than Silk, Wrinkle-Free with 15” Deep Pocket Fitted Sheet, Perfect for Hair &amp; Skin, Gifts for Women (Rosewood)</t>
        </is>
      </c>
      <c r="E33" s="32" t="inlineStr">
        <is>
          <t>Full</t>
        </is>
      </c>
      <c r="F33" s="32" t="inlineStr">
        <is>
          <t>Rosewood</t>
        </is>
      </c>
      <c r="G33" s="33" t="n"/>
      <c r="H33" s="32" t="n"/>
      <c r="I33" s="33" t="n"/>
      <c r="J33" s="32" t="n"/>
      <c r="K33" s="33" t="n"/>
      <c r="L33" s="63" t="n"/>
      <c r="M33" s="64" t="n"/>
      <c r="N33" s="32" t="inlineStr">
        <is>
          <t>Inactive</t>
        </is>
      </c>
      <c r="O33" s="32" t="n"/>
      <c r="P33" s="65" t="n"/>
      <c r="Q33" s="64" t="n"/>
      <c r="R33" s="64" t="n"/>
      <c r="S33" s="64" t="n"/>
      <c r="T33" s="32" t="n"/>
    </row>
    <row r="34" ht="62" customHeight="1">
      <c r="A34" s="39" t="inlineStr">
        <is>
          <t>IMAGE MISSING</t>
        </is>
      </c>
      <c r="B34" s="32" t="inlineStr">
        <is>
          <t>B0H41XDC3Y</t>
        </is>
      </c>
      <c r="C34" s="32" t="inlineStr">
        <is>
          <t>SL-SATIN-SHEET-6PC-FULL-SAGE-GREEN</t>
        </is>
      </c>
      <c r="D34" s="32" t="inlineStr">
        <is>
          <t>SLEEPHORIA Satin Bed Sheets - 6 Piece Luxury Silky Full Size Bedding Set - Softer Than Silk, Wrinkle-Free with 15” Deep Pocket Fitted Sheet, Perfect for Hair &amp; Skin, Gifts for Women (Sage Green)</t>
        </is>
      </c>
      <c r="E34" s="32" t="inlineStr">
        <is>
          <t>Full</t>
        </is>
      </c>
      <c r="F34" s="32" t="inlineStr">
        <is>
          <t>Sage Green</t>
        </is>
      </c>
      <c r="G34" s="33" t="n"/>
      <c r="H34" s="32" t="n"/>
      <c r="I34" s="33" t="n"/>
      <c r="J34" s="32" t="n"/>
      <c r="K34" s="33" t="n"/>
      <c r="L34" s="63" t="n"/>
      <c r="M34" s="64" t="n"/>
      <c r="N34" s="32" t="inlineStr">
        <is>
          <t>Inactive</t>
        </is>
      </c>
      <c r="O34" s="32" t="n"/>
      <c r="P34" s="65" t="n"/>
      <c r="Q34" s="64" t="n"/>
      <c r="R34" s="64" t="n"/>
      <c r="S34" s="64" t="n"/>
      <c r="T34" s="32" t="n"/>
    </row>
    <row r="35" ht="62" customHeight="1">
      <c r="A35" s="39" t="inlineStr">
        <is>
          <t>IMAGE MISSING</t>
        </is>
      </c>
      <c r="B35" s="32" t="inlineStr">
        <is>
          <t>B0H41V6TLV</t>
        </is>
      </c>
      <c r="C35" s="32" t="inlineStr">
        <is>
          <t>SL-SATIN-SHEET-6PC-FULL-SEA-TEAL</t>
        </is>
      </c>
      <c r="D35" s="32" t="inlineStr">
        <is>
          <t>SLEEPHORIA Satin Bed Sheets - 6 Piece Luxury Silky Full Size Bedding Set - Softer Than Silk, Wrinkle-Free with 15” Deep Pocket Fitted Sheet, Perfect for Hair &amp; Skin, Gifts for Women (Sea Teal)</t>
        </is>
      </c>
      <c r="E35" s="32" t="inlineStr">
        <is>
          <t>Full</t>
        </is>
      </c>
      <c r="F35" s="32" t="inlineStr">
        <is>
          <t>Sea Teal</t>
        </is>
      </c>
      <c r="G35" s="33" t="n"/>
      <c r="H35" s="32" t="n"/>
      <c r="I35" s="33" t="n"/>
      <c r="J35" s="32" t="n"/>
      <c r="K35" s="33" t="n"/>
      <c r="L35" s="63" t="n"/>
      <c r="M35" s="64" t="n"/>
      <c r="N35" s="32" t="inlineStr">
        <is>
          <t>Inactive</t>
        </is>
      </c>
      <c r="O35" s="32" t="n"/>
      <c r="P35" s="65" t="n"/>
      <c r="Q35" s="64" t="n"/>
      <c r="R35" s="64" t="n"/>
      <c r="S35" s="64" t="n"/>
      <c r="T35" s="32" t="n"/>
    </row>
    <row r="36" ht="62" customHeight="1">
      <c r="A36" s="39" t="inlineStr">
        <is>
          <t>IMAGE MISSING</t>
        </is>
      </c>
      <c r="B36" s="32" t="inlineStr">
        <is>
          <t>B0H41WM3J1</t>
        </is>
      </c>
      <c r="C36" s="32" t="inlineStr">
        <is>
          <t>SL-SATIN-SHEET-6PC-FULL-STONE-GREY</t>
        </is>
      </c>
      <c r="D36" s="32" t="inlineStr">
        <is>
          <t>SLEEPHORIA Satin Bed Sheets - 6 Piece Luxury Silky Full Size Bedding Set - Softer Than Silk, Wrinkle-Free with 15” Deep Pocket Fitted Sheet, Perfect for Hair &amp; Skin, Gifts for Women (Stone Grey)</t>
        </is>
      </c>
      <c r="E36" s="32" t="inlineStr">
        <is>
          <t>Full</t>
        </is>
      </c>
      <c r="F36" s="32" t="inlineStr">
        <is>
          <t>Stone Grey</t>
        </is>
      </c>
      <c r="G36" s="33" t="n"/>
      <c r="H36" s="32" t="n"/>
      <c r="I36" s="33" t="n"/>
      <c r="J36" s="32" t="n"/>
      <c r="K36" s="33" t="n"/>
      <c r="L36" s="63" t="n"/>
      <c r="M36" s="64" t="n"/>
      <c r="N36" s="32" t="inlineStr">
        <is>
          <t>Inactive</t>
        </is>
      </c>
      <c r="O36" s="32" t="n"/>
      <c r="P36" s="65" t="n"/>
      <c r="Q36" s="64" t="n"/>
      <c r="R36" s="64" t="n"/>
      <c r="S36" s="64" t="n"/>
      <c r="T36" s="32" t="n"/>
    </row>
    <row r="37" ht="62" customHeight="1">
      <c r="A37" s="39" t="inlineStr">
        <is>
          <t>IMAGE MISSING</t>
        </is>
      </c>
      <c r="B37" s="32" t="inlineStr">
        <is>
          <t>B0H41W3V5Q</t>
        </is>
      </c>
      <c r="C37" s="32" t="inlineStr">
        <is>
          <t>SL-SATIN-SHEET-6PC-FULL-STRIPED-BLACK</t>
        </is>
      </c>
      <c r="D37" s="32" t="inlineStr">
        <is>
          <t>SLEEPHORIA Satin Bed Sheets - 6 Piece Luxury Silky Full Size Bedding Set - Softer Than Silk, Wrinkle-Free with 15” Deep Pocket Fitted Sheet, Perfect for Hair &amp; Skin, Gifts for Women (Striped Black)</t>
        </is>
      </c>
      <c r="E37" s="32" t="inlineStr">
        <is>
          <t>Full</t>
        </is>
      </c>
      <c r="F37" s="32" t="inlineStr">
        <is>
          <t>Striped Black</t>
        </is>
      </c>
      <c r="G37" s="33" t="n"/>
      <c r="H37" s="32" t="n"/>
      <c r="I37" s="33" t="n"/>
      <c r="J37" s="32" t="n"/>
      <c r="K37" s="33" t="n"/>
      <c r="L37" s="63" t="n"/>
      <c r="M37" s="64" t="n"/>
      <c r="N37" s="32" t="inlineStr">
        <is>
          <t>Inactive</t>
        </is>
      </c>
      <c r="O37" s="32" t="n"/>
      <c r="P37" s="65" t="n"/>
      <c r="Q37" s="64" t="n"/>
      <c r="R37" s="64" t="n"/>
      <c r="S37" s="64" t="n"/>
      <c r="T37" s="32" t="n"/>
    </row>
    <row r="38" ht="62" customHeight="1">
      <c r="A38" s="39" t="inlineStr">
        <is>
          <t>IMAGE MISSING</t>
        </is>
      </c>
      <c r="B38" s="32" t="inlineStr">
        <is>
          <t>B0H41T2LQT</t>
        </is>
      </c>
      <c r="C38" s="32" t="inlineStr">
        <is>
          <t>SL-SATIN-SHEET-6PC-FULL-STRIPED-BLUE</t>
        </is>
      </c>
      <c r="D38" s="32" t="inlineStr">
        <is>
          <t>SLEEPHORIA Satin Bed Sheets - 6 Piece Luxury Silky Full Size Bedding Set - Softer Than Silk, Wrinkle-Free with 15” Deep Pocket Fitted Sheet, Perfect for Hair &amp; Skin, Gifts for Women (Striped Blue)</t>
        </is>
      </c>
      <c r="E38" s="32" t="inlineStr">
        <is>
          <t>Full</t>
        </is>
      </c>
      <c r="F38" s="32" t="inlineStr">
        <is>
          <t>Striped Blue</t>
        </is>
      </c>
      <c r="G38" s="33" t="n"/>
      <c r="H38" s="32" t="n"/>
      <c r="I38" s="33" t="n"/>
      <c r="J38" s="32" t="n"/>
      <c r="K38" s="33" t="n"/>
      <c r="L38" s="63" t="n"/>
      <c r="M38" s="64" t="n"/>
      <c r="N38" s="32" t="inlineStr">
        <is>
          <t>Inactive</t>
        </is>
      </c>
      <c r="O38" s="32" t="n"/>
      <c r="P38" s="65" t="n"/>
      <c r="Q38" s="64" t="n"/>
      <c r="R38" s="64" t="n"/>
      <c r="S38" s="64" t="n"/>
      <c r="T38" s="32" t="n"/>
    </row>
    <row r="39" ht="62" customHeight="1">
      <c r="A39" s="39" t="inlineStr">
        <is>
          <t>IMAGE MISSING</t>
        </is>
      </c>
      <c r="B39" s="32" t="inlineStr">
        <is>
          <t>B0H41Z2SP1</t>
        </is>
      </c>
      <c r="C39" s="32" t="inlineStr">
        <is>
          <t>SL-SATIN-SHEET-6PC-FULL-STRIPED-GOLD</t>
        </is>
      </c>
      <c r="D39" s="32" t="inlineStr">
        <is>
          <t>SLEEPHORIA Satin Bed Sheets - 6 Piece Luxury Silky Full Size Bedding Set - Softer Than Silk, Wrinkle-Free with 15” Deep Pocket Fitted Sheet, Perfect for Hair &amp; Skin, Gifts for Women (Striped Gold)</t>
        </is>
      </c>
      <c r="E39" s="32" t="inlineStr">
        <is>
          <t>Full</t>
        </is>
      </c>
      <c r="F39" s="32" t="inlineStr">
        <is>
          <t>Striped Gold</t>
        </is>
      </c>
      <c r="G39" s="33" t="n"/>
      <c r="H39" s="32" t="n"/>
      <c r="I39" s="33" t="n"/>
      <c r="J39" s="32" t="n"/>
      <c r="K39" s="33" t="n"/>
      <c r="L39" s="63" t="n"/>
      <c r="M39" s="64" t="n"/>
      <c r="N39" s="32" t="inlineStr">
        <is>
          <t>Inactive</t>
        </is>
      </c>
      <c r="O39" s="32" t="n"/>
      <c r="P39" s="65" t="n"/>
      <c r="Q39" s="64" t="n"/>
      <c r="R39" s="64" t="n"/>
      <c r="S39" s="64" t="n"/>
      <c r="T39" s="32" t="n"/>
    </row>
    <row r="40" ht="62" customHeight="1">
      <c r="A40" s="39" t="inlineStr">
        <is>
          <t>IMAGE MISSING</t>
        </is>
      </c>
      <c r="B40" s="32" t="inlineStr">
        <is>
          <t>B0H423PCZ7</t>
        </is>
      </c>
      <c r="C40" s="32" t="inlineStr">
        <is>
          <t>SL-SATIN-SHEET-6PC-FULL-STRIPED-GREY</t>
        </is>
      </c>
      <c r="D40" s="32" t="inlineStr">
        <is>
          <t>SLEEPHORIA Satin Bed Sheets - 6 Piece Luxury Silky Full Size Bedding Set - Softer Than Silk, Wrinkle-Free with 15” Deep Pocket Fitted Sheet, Perfect for Hair &amp; Skin, Gifts for Women (Striped Grey)</t>
        </is>
      </c>
      <c r="E40" s="32" t="inlineStr">
        <is>
          <t>Full</t>
        </is>
      </c>
      <c r="F40" s="32" t="inlineStr">
        <is>
          <t>Striped Grey</t>
        </is>
      </c>
      <c r="G40" s="33" t="n"/>
      <c r="H40" s="32" t="n"/>
      <c r="I40" s="33" t="n"/>
      <c r="J40" s="32" t="n"/>
      <c r="K40" s="33" t="n"/>
      <c r="L40" s="63" t="n"/>
      <c r="M40" s="64" t="n"/>
      <c r="N40" s="32" t="inlineStr">
        <is>
          <t>Inactive</t>
        </is>
      </c>
      <c r="O40" s="32" t="n"/>
      <c r="P40" s="65" t="n"/>
      <c r="Q40" s="64" t="n"/>
      <c r="R40" s="64" t="n"/>
      <c r="S40" s="64" t="n"/>
      <c r="T40" s="32" t="n"/>
    </row>
    <row r="41" ht="62" customHeight="1">
      <c r="A41" s="39" t="inlineStr">
        <is>
          <t>IMAGE MISSING</t>
        </is>
      </c>
      <c r="B41" s="32" t="inlineStr">
        <is>
          <t>B0H41V1KW3</t>
        </is>
      </c>
      <c r="C41" s="32" t="inlineStr">
        <is>
          <t>SL-SATIN-SHEET-6PC-FULL-STRIPED-PINK</t>
        </is>
      </c>
      <c r="D41" s="32" t="inlineStr">
        <is>
          <t>SLEEPHORIA Satin Bed Sheets - 6 Piece Luxury Silky Full Size Bedding Set - Softer Than Silk, Wrinkle-Free with 15” Deep Pocket Fitted Sheet, Perfect for Hair &amp; Skin, Gifts for Women (Striped Pink)</t>
        </is>
      </c>
      <c r="E41" s="32" t="inlineStr">
        <is>
          <t>Full</t>
        </is>
      </c>
      <c r="F41" s="32" t="inlineStr">
        <is>
          <t>Striped Pink</t>
        </is>
      </c>
      <c r="G41" s="33" t="n"/>
      <c r="H41" s="32" t="n"/>
      <c r="I41" s="33" t="n"/>
      <c r="J41" s="32" t="n"/>
      <c r="K41" s="33" t="n"/>
      <c r="L41" s="63" t="n"/>
      <c r="M41" s="64" t="n"/>
      <c r="N41" s="32" t="inlineStr">
        <is>
          <t>Inactive</t>
        </is>
      </c>
      <c r="O41" s="32" t="n"/>
      <c r="P41" s="65" t="n"/>
      <c r="Q41" s="64" t="n"/>
      <c r="R41" s="64" t="n"/>
      <c r="S41" s="64" t="n"/>
      <c r="T41" s="32" t="n"/>
    </row>
    <row r="42" ht="62" customHeight="1">
      <c r="A42" s="39" t="inlineStr">
        <is>
          <t>IMAGE MISSING</t>
        </is>
      </c>
      <c r="B42" s="32" t="inlineStr">
        <is>
          <t>B0H422P31J</t>
        </is>
      </c>
      <c r="C42" s="32" t="inlineStr">
        <is>
          <t>SL-SATIN-SHEET-6PC-FULL-STRIPED-PURPLE</t>
        </is>
      </c>
      <c r="D42" s="32" t="inlineStr">
        <is>
          <t>SLEEPHORIA Satin Bed Sheets - 6 Piece Luxury Silky Full Size Bedding Set - Softer Than Silk, Wrinkle-Free with 15” Deep Pocket Fitted Sheet, Perfect for Hair &amp; Skin, Gifts for Women (Striped Purple)</t>
        </is>
      </c>
      <c r="E42" s="32" t="inlineStr">
        <is>
          <t>Full</t>
        </is>
      </c>
      <c r="F42" s="32" t="inlineStr">
        <is>
          <t>Striped Purple</t>
        </is>
      </c>
      <c r="G42" s="33" t="n"/>
      <c r="H42" s="32" t="n"/>
      <c r="I42" s="33" t="n"/>
      <c r="J42" s="32" t="n"/>
      <c r="K42" s="33" t="n"/>
      <c r="L42" s="63" t="n"/>
      <c r="M42" s="64" t="n"/>
      <c r="N42" s="32" t="inlineStr">
        <is>
          <t>Inactive</t>
        </is>
      </c>
      <c r="O42" s="32" t="n"/>
      <c r="P42" s="65" t="n"/>
      <c r="Q42" s="64" t="n"/>
      <c r="R42" s="64" t="n"/>
      <c r="S42" s="64" t="n"/>
      <c r="T42" s="32" t="n"/>
    </row>
    <row r="43" ht="62" customHeight="1">
      <c r="A43" s="39" t="inlineStr">
        <is>
          <t>IMAGE MISSING</t>
        </is>
      </c>
      <c r="B43" s="32" t="inlineStr">
        <is>
          <t>B0H421SRMF</t>
        </is>
      </c>
      <c r="C43" s="32" t="inlineStr">
        <is>
          <t>SL-SATIN-SHEET-6PC-FULL-STRIPED-RED</t>
        </is>
      </c>
      <c r="D43" s="32" t="inlineStr">
        <is>
          <t>SLEEPHORIA Satin Bed Sheets - 6 Piece Luxury Silky Full Size Bedding Set - Softer Than Silk, Wrinkle-Free with 15” Deep Pocket Fitted Sheet, Perfect for Hair &amp; Skin, Gifts for Women (Striped Red)</t>
        </is>
      </c>
      <c r="E43" s="32" t="inlineStr">
        <is>
          <t>Full</t>
        </is>
      </c>
      <c r="F43" s="32" t="inlineStr">
        <is>
          <t>Striped Red</t>
        </is>
      </c>
      <c r="G43" s="33" t="n"/>
      <c r="H43" s="32" t="n"/>
      <c r="I43" s="33" t="n"/>
      <c r="J43" s="32" t="n"/>
      <c r="K43" s="33" t="n"/>
      <c r="L43" s="63" t="n"/>
      <c r="M43" s="64" t="n"/>
      <c r="N43" s="32" t="inlineStr">
        <is>
          <t>Inactive</t>
        </is>
      </c>
      <c r="O43" s="32" t="n"/>
      <c r="P43" s="65" t="n"/>
      <c r="Q43" s="64" t="n"/>
      <c r="R43" s="64" t="n"/>
      <c r="S43" s="64" t="n"/>
      <c r="T43" s="32" t="n"/>
    </row>
    <row r="44" ht="62" customHeight="1">
      <c r="A44" s="39" t="inlineStr">
        <is>
          <t>IMAGE MISSING</t>
        </is>
      </c>
      <c r="B44" s="32" t="inlineStr">
        <is>
          <t>B0H421B7X2</t>
        </is>
      </c>
      <c r="C44" s="32" t="inlineStr">
        <is>
          <t>SL-SATIN-SHEET-6PC-FULL-STRIPED-WHITE</t>
        </is>
      </c>
      <c r="D44" s="32" t="inlineStr">
        <is>
          <t>SLEEPHORIA Satin Bed Sheets - 6 Piece Luxury Silky Full Size Bedding Set - Softer Than Silk, Wrinkle-Free with 15” Deep Pocket Fitted Sheet, Perfect for Hair &amp; Skin, Gifts for Women (Striped White)</t>
        </is>
      </c>
      <c r="E44" s="32" t="inlineStr">
        <is>
          <t>Full</t>
        </is>
      </c>
      <c r="F44" s="32" t="inlineStr">
        <is>
          <t>Striped White</t>
        </is>
      </c>
      <c r="G44" s="33" t="n"/>
      <c r="H44" s="32" t="n"/>
      <c r="I44" s="33" t="n"/>
      <c r="J44" s="32" t="n"/>
      <c r="K44" s="33" t="n"/>
      <c r="L44" s="63" t="n"/>
      <c r="M44" s="64" t="n"/>
      <c r="N44" s="32" t="inlineStr">
        <is>
          <t>Inactive</t>
        </is>
      </c>
      <c r="O44" s="32" t="n"/>
      <c r="P44" s="65" t="n"/>
      <c r="Q44" s="64" t="n"/>
      <c r="R44" s="64" t="n"/>
      <c r="S44" s="64" t="n"/>
      <c r="T44" s="32" t="n"/>
    </row>
    <row r="45" ht="62" customHeight="1">
      <c r="A45" s="39" t="inlineStr">
        <is>
          <t>IMAGE MISSING</t>
        </is>
      </c>
      <c r="B45" s="32" t="inlineStr">
        <is>
          <t>B0H41T8SC4</t>
        </is>
      </c>
      <c r="C45" s="32" t="inlineStr">
        <is>
          <t>SL-SATIN-SHEET-6PC-FULL-TAUPE</t>
        </is>
      </c>
      <c r="D45" s="32" t="inlineStr">
        <is>
          <t>SLEEPHORIA Satin Bed Sheets - 6 Piece Luxury Silky Full Size Bedding Set - Softer Than Silk, Wrinkle-Free with 15” Deep Pocket Fitted Sheet, Perfect for Hair &amp; Skin, Gifts for Women (Taupe)</t>
        </is>
      </c>
      <c r="E45" s="32" t="inlineStr">
        <is>
          <t>Full</t>
        </is>
      </c>
      <c r="F45" s="32" t="inlineStr">
        <is>
          <t>Taupe</t>
        </is>
      </c>
      <c r="G45" s="33" t="n"/>
      <c r="H45" s="32" t="n"/>
      <c r="I45" s="33" t="n"/>
      <c r="J45" s="32" t="n"/>
      <c r="K45" s="33" t="n"/>
      <c r="L45" s="63" t="n"/>
      <c r="M45" s="64" t="n"/>
      <c r="N45" s="32" t="inlineStr">
        <is>
          <t>Inactive</t>
        </is>
      </c>
      <c r="O45" s="32" t="n"/>
      <c r="P45" s="65" t="n"/>
      <c r="Q45" s="64" t="n"/>
      <c r="R45" s="64" t="n"/>
      <c r="S45" s="64" t="n"/>
      <c r="T45" s="32" t="n"/>
    </row>
    <row r="46" ht="62" customHeight="1">
      <c r="A46" s="39" t="inlineStr">
        <is>
          <t>IMAGE MISSING</t>
        </is>
      </c>
      <c r="B46" s="32" t="inlineStr">
        <is>
          <t>B0H41YBRQ2</t>
        </is>
      </c>
      <c r="C46" s="32" t="inlineStr">
        <is>
          <t>SL-SATIN-SHEET-6PC-FULL-WHITE</t>
        </is>
      </c>
      <c r="D46" s="32" t="inlineStr">
        <is>
          <t>SLEEPHORIA Satin Bed Sheets - 6 Piece Luxury Silky Full Size Bedding Set - Softer Than Silk, Wrinkle-Free with 15” Deep Pocket Fitted Sheet, Perfect for Hair &amp; Skin, Gifts for Women (White)</t>
        </is>
      </c>
      <c r="E46" s="32" t="inlineStr">
        <is>
          <t>Full</t>
        </is>
      </c>
      <c r="F46" s="32" t="inlineStr">
        <is>
          <t>White</t>
        </is>
      </c>
      <c r="G46" s="33" t="n"/>
      <c r="H46" s="32" t="n"/>
      <c r="I46" s="33" t="n"/>
      <c r="J46" s="32" t="n"/>
      <c r="K46" s="33" t="n"/>
      <c r="L46" s="63" t="n"/>
      <c r="M46" s="64" t="n"/>
      <c r="N46" s="32" t="inlineStr">
        <is>
          <t>Inactive</t>
        </is>
      </c>
      <c r="O46" s="32" t="n"/>
      <c r="P46" s="65" t="n"/>
      <c r="Q46" s="64" t="n"/>
      <c r="R46" s="64" t="n"/>
      <c r="S46" s="64" t="n"/>
      <c r="T46" s="32" t="n"/>
    </row>
    <row r="47" ht="62" customHeight="1">
      <c r="A47" s="39" t="inlineStr">
        <is>
          <t>IMAGE MISSING</t>
        </is>
      </c>
      <c r="B47" s="32" t="inlineStr">
        <is>
          <t>B0H41SHLY5</t>
        </is>
      </c>
      <c r="C47" s="32" t="inlineStr">
        <is>
          <t>SL-SATIN-SHEET-6PC-KING-BABY-BLUE</t>
        </is>
      </c>
      <c r="D47" s="32" t="inlineStr">
        <is>
          <t>SLEEPHORIA Satin Bed Sheets - 6 Piece Luxury Silky King Size Bedding Set - Softer Than Silk, Wrinkle-Free with 15” Deep Pocket Fitted Sheet, Perfect for Hair &amp; Skin, Gifts for Women (Baby Blue)</t>
        </is>
      </c>
      <c r="E47" s="32" t="inlineStr">
        <is>
          <t>King</t>
        </is>
      </c>
      <c r="F47" s="32" t="inlineStr">
        <is>
          <t>Baby Blue</t>
        </is>
      </c>
      <c r="G47" s="33" t="n"/>
      <c r="H47" s="32" t="n"/>
      <c r="I47" s="33" t="n"/>
      <c r="J47" s="32" t="n"/>
      <c r="K47" s="33" t="n"/>
      <c r="L47" s="63" t="n"/>
      <c r="M47" s="64" t="n"/>
      <c r="N47" s="32" t="inlineStr">
        <is>
          <t>Inactive</t>
        </is>
      </c>
      <c r="O47" s="32" t="n"/>
      <c r="P47" s="65" t="n"/>
      <c r="Q47" s="64" t="n"/>
      <c r="R47" s="64" t="n"/>
      <c r="S47" s="64" t="n"/>
      <c r="T47" s="32" t="n"/>
    </row>
    <row r="48" ht="62" customHeight="1">
      <c r="A48" s="39" t="inlineStr">
        <is>
          <t>IMAGE MISSING</t>
        </is>
      </c>
      <c r="B48" s="32" t="inlineStr">
        <is>
          <t>B0H41XG2N5</t>
        </is>
      </c>
      <c r="C48" s="32" t="inlineStr">
        <is>
          <t>SL-SATIN-SHEET-6PC-KING-BLACK</t>
        </is>
      </c>
      <c r="D48" s="32" t="inlineStr">
        <is>
          <t>SLEEPHORIA Satin Bed Sheets - 6 Piece Luxury Silky King Size Bedding Set - Softer Than Silk, Wrinkle-Free with 15” Deep Pocket Fitted Sheet, Perfect for Hair &amp; Skin, Gifts for Women (Black)</t>
        </is>
      </c>
      <c r="E48" s="32" t="inlineStr">
        <is>
          <t>King</t>
        </is>
      </c>
      <c r="F48" s="32" t="inlineStr">
        <is>
          <t>Black</t>
        </is>
      </c>
      <c r="G48" s="33" t="n"/>
      <c r="H48" s="32" t="n"/>
      <c r="I48" s="33" t="n"/>
      <c r="J48" s="32" t="n"/>
      <c r="K48" s="33" t="n"/>
      <c r="L48" s="63" t="n"/>
      <c r="M48" s="64" t="n"/>
      <c r="N48" s="32" t="inlineStr">
        <is>
          <t>Inactive</t>
        </is>
      </c>
      <c r="O48" s="32" t="n"/>
      <c r="P48" s="65" t="n"/>
      <c r="Q48" s="64" t="n"/>
      <c r="R48" s="64" t="n"/>
      <c r="S48" s="64" t="n"/>
      <c r="T48" s="32" t="n"/>
    </row>
    <row r="49" ht="62" customHeight="1">
      <c r="A49" s="39" t="inlineStr">
        <is>
          <t>IMAGE MISSING</t>
        </is>
      </c>
      <c r="B49" s="32" t="inlineStr">
        <is>
          <t>B0H41R9P5W</t>
        </is>
      </c>
      <c r="C49" s="32" t="inlineStr">
        <is>
          <t>SL-SATIN-SHEET-6PC-KING-BLUE</t>
        </is>
      </c>
      <c r="D49" s="32" t="inlineStr">
        <is>
          <t>SLEEPHORIA Satin Bed Sheets - 6 Piece Luxury Silky King Size Bedding Set - Softer Than Silk, Wrinkle-Free with 15” Deep Pocket Fitted Sheet, Perfect for Hair &amp; Skin, Gifts for Women (Blue)</t>
        </is>
      </c>
      <c r="E49" s="32" t="inlineStr">
        <is>
          <t>King</t>
        </is>
      </c>
      <c r="F49" s="32" t="inlineStr">
        <is>
          <t>Blue</t>
        </is>
      </c>
      <c r="G49" s="33" t="n"/>
      <c r="H49" s="32" t="n"/>
      <c r="I49" s="33" t="n"/>
      <c r="J49" s="32" t="n"/>
      <c r="K49" s="33" t="n"/>
      <c r="L49" s="63" t="n"/>
      <c r="M49" s="64" t="n"/>
      <c r="N49" s="32" t="inlineStr">
        <is>
          <t>Inactive</t>
        </is>
      </c>
      <c r="O49" s="32" t="n"/>
      <c r="P49" s="65" t="n"/>
      <c r="Q49" s="64" t="n"/>
      <c r="R49" s="64" t="n"/>
      <c r="S49" s="64" t="n"/>
      <c r="T49" s="32" t="n"/>
    </row>
    <row r="50" ht="62" customHeight="1">
      <c r="A50" s="39" t="inlineStr">
        <is>
          <t>IMAGE MISSING</t>
        </is>
      </c>
      <c r="B50" s="32" t="inlineStr">
        <is>
          <t>B0H41Z9342</t>
        </is>
      </c>
      <c r="C50" s="32" t="inlineStr">
        <is>
          <t>SL-SATIN-SHEET-6PC-KING-BLUSH-PINK</t>
        </is>
      </c>
      <c r="D50" s="32" t="inlineStr">
        <is>
          <t>SLEEPHORIA Satin Bed Sheets - 6 Piece Luxury Silky King Size Bedding Set - Softer Than Silk, Wrinkle-Free with 15” Deep Pocket Fitted Sheet, Perfect for Hair &amp; Skin, Gifts for Women (Blush Pink)</t>
        </is>
      </c>
      <c r="E50" s="32" t="inlineStr">
        <is>
          <t>King</t>
        </is>
      </c>
      <c r="F50" s="32" t="inlineStr">
        <is>
          <t>Blush Pink</t>
        </is>
      </c>
      <c r="G50" s="33" t="n"/>
      <c r="H50" s="32" t="n"/>
      <c r="I50" s="33" t="n"/>
      <c r="J50" s="32" t="n"/>
      <c r="K50" s="33" t="n"/>
      <c r="L50" s="63" t="n"/>
      <c r="M50" s="64" t="n"/>
      <c r="N50" s="32" t="inlineStr">
        <is>
          <t>Inactive</t>
        </is>
      </c>
      <c r="O50" s="32" t="n"/>
      <c r="P50" s="65" t="n"/>
      <c r="Q50" s="64" t="n"/>
      <c r="R50" s="64" t="n"/>
      <c r="S50" s="64" t="n"/>
      <c r="T50" s="32" t="n"/>
    </row>
    <row r="51" ht="62" customHeight="1">
      <c r="A51" s="39" t="inlineStr">
        <is>
          <t>IMAGE MISSING</t>
        </is>
      </c>
      <c r="B51" s="32" t="inlineStr">
        <is>
          <t>B0H41R9F6N</t>
        </is>
      </c>
      <c r="C51" s="32" t="inlineStr">
        <is>
          <t>SL-SATIN-SHEET-6PC-KING-BURNT-ORANGE</t>
        </is>
      </c>
      <c r="D51" s="32" t="inlineStr">
        <is>
          <t>SLEEPHORIA Satin Bed Sheets - 6 Piece Luxury Silky King Size Bedding Set - Softer Than Silk, Wrinkle-Free with 15” Deep Pocket Fitted Sheet, Perfect for Hair &amp; Skin, Gifts for Women (Burnt Orange)</t>
        </is>
      </c>
      <c r="E51" s="32" t="inlineStr">
        <is>
          <t>King</t>
        </is>
      </c>
      <c r="F51" s="32" t="inlineStr">
        <is>
          <t>Burnt Orange</t>
        </is>
      </c>
      <c r="G51" s="33" t="n"/>
      <c r="H51" s="32" t="n"/>
      <c r="I51" s="33" t="n"/>
      <c r="J51" s="32" t="n"/>
      <c r="K51" s="33" t="n"/>
      <c r="L51" s="63" t="n"/>
      <c r="M51" s="64" t="n"/>
      <c r="N51" s="32" t="inlineStr">
        <is>
          <t>Inactive</t>
        </is>
      </c>
      <c r="O51" s="32" t="n"/>
      <c r="P51" s="65" t="n"/>
      <c r="Q51" s="64" t="n"/>
      <c r="R51" s="64" t="n"/>
      <c r="S51" s="64" t="n"/>
      <c r="T51" s="32" t="n"/>
    </row>
    <row r="52" ht="62" customHeight="1">
      <c r="A52" s="39" t="inlineStr">
        <is>
          <t>IMAGE MISSING</t>
        </is>
      </c>
      <c r="B52" s="32" t="inlineStr">
        <is>
          <t>B0H41T3YS9</t>
        </is>
      </c>
      <c r="C52" s="32" t="inlineStr">
        <is>
          <t>SL-SATIN-SHEET-6PC-KING-CHAMPAGNE</t>
        </is>
      </c>
      <c r="D52" s="32" t="inlineStr">
        <is>
          <t>SLEEPHORIA Satin Bed Sheets - 6 Piece Luxury Silky King Size Bedding Set - Softer Than Silk, Wrinkle-Free with 15” Deep Pocket Fitted Sheet, Perfect for Hair &amp; Skin, Gifts for Women (Champagne)</t>
        </is>
      </c>
      <c r="E52" s="32" t="inlineStr">
        <is>
          <t>King</t>
        </is>
      </c>
      <c r="F52" s="32" t="inlineStr">
        <is>
          <t>Champagne</t>
        </is>
      </c>
      <c r="G52" s="33" t="n"/>
      <c r="H52" s="32" t="n"/>
      <c r="I52" s="33" t="n"/>
      <c r="J52" s="32" t="n"/>
      <c r="K52" s="33" t="n"/>
      <c r="L52" s="63" t="n"/>
      <c r="M52" s="64" t="n"/>
      <c r="N52" s="32" t="inlineStr">
        <is>
          <t>Inactive</t>
        </is>
      </c>
      <c r="O52" s="32" t="n"/>
      <c r="P52" s="65" t="n"/>
      <c r="Q52" s="64" t="n"/>
      <c r="R52" s="64" t="n"/>
      <c r="S52" s="64" t="n"/>
      <c r="T52" s="32" t="n"/>
    </row>
    <row r="53" ht="62" customHeight="1">
      <c r="A53" s="39" t="inlineStr">
        <is>
          <t>IMAGE MISSING</t>
        </is>
      </c>
      <c r="B53" s="32" t="inlineStr">
        <is>
          <t>B0H41TBK5Q</t>
        </is>
      </c>
      <c r="C53" s="32" t="inlineStr">
        <is>
          <t>SL-SATIN-SHEET-6PC-KING-DARK-GREEN</t>
        </is>
      </c>
      <c r="D53" s="32" t="inlineStr">
        <is>
          <t>SLEEPHORIA Satin Bed Sheets - 6 Piece Luxury Silky King Size Bedding Set - Softer Than Silk, Wrinkle-Free with 15” Deep Pocket Fitted Sheet, Perfect for Hair &amp; Skin, Gifts for Women (Dark Green)</t>
        </is>
      </c>
      <c r="E53" s="32" t="inlineStr">
        <is>
          <t>King</t>
        </is>
      </c>
      <c r="F53" s="32" t="inlineStr">
        <is>
          <t>Dark Green</t>
        </is>
      </c>
      <c r="G53" s="33" t="n"/>
      <c r="H53" s="32" t="n"/>
      <c r="I53" s="33" t="n"/>
      <c r="J53" s="32" t="n"/>
      <c r="K53" s="33" t="n"/>
      <c r="L53" s="63" t="n"/>
      <c r="M53" s="64" t="n"/>
      <c r="N53" s="32" t="inlineStr">
        <is>
          <t>Inactive</t>
        </is>
      </c>
      <c r="O53" s="32" t="n"/>
      <c r="P53" s="65" t="n"/>
      <c r="Q53" s="64" t="n"/>
      <c r="R53" s="64" t="n"/>
      <c r="S53" s="64" t="n"/>
      <c r="T53" s="32" t="n"/>
    </row>
    <row r="54" ht="62" customHeight="1">
      <c r="A54" s="39" t="inlineStr">
        <is>
          <t>IMAGE MISSING</t>
        </is>
      </c>
      <c r="B54" s="32" t="inlineStr">
        <is>
          <t>B0H425WR7Y</t>
        </is>
      </c>
      <c r="C54" s="32" t="inlineStr">
        <is>
          <t>SL-SATIN-SHEET-6PC-KING-GOLD</t>
        </is>
      </c>
      <c r="D54" s="32" t="inlineStr">
        <is>
          <t>SLEEPHORIA Satin Bed Sheets - 6 Piece Luxury Silky King Size Bedding Set - Softer Than Silk, Wrinkle-Free with 15” Deep Pocket Fitted Sheet, Perfect for Hair &amp; Skin, Gifts for Women (Gold)</t>
        </is>
      </c>
      <c r="E54" s="32" t="inlineStr">
        <is>
          <t>King</t>
        </is>
      </c>
      <c r="F54" s="32" t="inlineStr">
        <is>
          <t>Gold</t>
        </is>
      </c>
      <c r="G54" s="33" t="n"/>
      <c r="H54" s="32" t="n"/>
      <c r="I54" s="33" t="n"/>
      <c r="J54" s="32" t="n"/>
      <c r="K54" s="33" t="n"/>
      <c r="L54" s="63" t="n"/>
      <c r="M54" s="64" t="n"/>
      <c r="N54" s="32" t="inlineStr">
        <is>
          <t>Inactive</t>
        </is>
      </c>
      <c r="O54" s="32" t="n"/>
      <c r="P54" s="65" t="n"/>
      <c r="Q54" s="64" t="n"/>
      <c r="R54" s="64" t="n"/>
      <c r="S54" s="64" t="n"/>
      <c r="T54" s="32" t="n"/>
    </row>
    <row r="55" ht="62" customHeight="1">
      <c r="A55" s="39" t="inlineStr">
        <is>
          <t>IMAGE MISSING</t>
        </is>
      </c>
      <c r="B55" s="32" t="inlineStr">
        <is>
          <t>B0H41W5KZ6</t>
        </is>
      </c>
      <c r="C55" s="32" t="inlineStr">
        <is>
          <t>SL-SATIN-SHEET-6PC-KING-GREY</t>
        </is>
      </c>
      <c r="D55" s="32" t="inlineStr">
        <is>
          <t>SLEEPHORIA Satin Bed Sheets - 6 Piece Luxury Silky King Size Bedding Set - Softer Than Silk, Wrinkle-Free with 15” Deep Pocket Fitted Sheet, Perfect for Hair &amp; Skin, Gifts for Women (Grey)</t>
        </is>
      </c>
      <c r="E55" s="32" t="inlineStr">
        <is>
          <t>King</t>
        </is>
      </c>
      <c r="F55" s="32" t="inlineStr">
        <is>
          <t>Grey</t>
        </is>
      </c>
      <c r="G55" s="33" t="n"/>
      <c r="H55" s="32" t="n"/>
      <c r="I55" s="33" t="n"/>
      <c r="J55" s="32" t="n"/>
      <c r="K55" s="33" t="n"/>
      <c r="L55" s="63" t="n"/>
      <c r="M55" s="64" t="n"/>
      <c r="N55" s="32" t="inlineStr">
        <is>
          <t>Inactive</t>
        </is>
      </c>
      <c r="O55" s="32" t="n"/>
      <c r="P55" s="65" t="n"/>
      <c r="Q55" s="64" t="n"/>
      <c r="R55" s="64" t="n"/>
      <c r="S55" s="64" t="n"/>
      <c r="T55" s="32" t="n"/>
    </row>
    <row r="56" ht="62" customHeight="1">
      <c r="A56" s="39" t="inlineStr">
        <is>
          <t>IMAGE MISSING</t>
        </is>
      </c>
      <c r="B56" s="32" t="inlineStr">
        <is>
          <t>B0H4256F2F</t>
        </is>
      </c>
      <c r="C56" s="32" t="inlineStr">
        <is>
          <t>SL-SATIN-SHEET-6PC-KING-IVORY</t>
        </is>
      </c>
      <c r="D56" s="32" t="inlineStr">
        <is>
          <t>SLEEPHORIA Satin Bed Sheets - 6 Piece Luxury Silky King Size Bedding Set - Softer Than Silk, Wrinkle-Free with 15” Deep Pocket Fitted Sheet, Perfect for Hair &amp; Skin, Gifts for Women (Ivory)</t>
        </is>
      </c>
      <c r="E56" s="32" t="inlineStr">
        <is>
          <t>King</t>
        </is>
      </c>
      <c r="F56" s="32" t="inlineStr">
        <is>
          <t>Ivory</t>
        </is>
      </c>
      <c r="G56" s="33" t="n"/>
      <c r="H56" s="32" t="n"/>
      <c r="I56" s="33" t="n"/>
      <c r="J56" s="32" t="n"/>
      <c r="K56" s="33" t="n"/>
      <c r="L56" s="63" t="n"/>
      <c r="M56" s="64" t="n"/>
      <c r="N56" s="32" t="inlineStr">
        <is>
          <t>Inactive</t>
        </is>
      </c>
      <c r="O56" s="32" t="n"/>
      <c r="P56" s="65" t="n"/>
      <c r="Q56" s="64" t="n"/>
      <c r="R56" s="64" t="n"/>
      <c r="S56" s="64" t="n"/>
      <c r="T56" s="32" t="n"/>
    </row>
    <row r="57" ht="62" customHeight="1">
      <c r="A57" s="39" t="inlineStr">
        <is>
          <t>IMAGE MISSING</t>
        </is>
      </c>
      <c r="B57" s="32" t="inlineStr">
        <is>
          <t>B0H41XKYHG</t>
        </is>
      </c>
      <c r="C57" s="32" t="inlineStr">
        <is>
          <t>SL-SATIN-SHEET-6PC-KING-LAVENDER</t>
        </is>
      </c>
      <c r="D57" s="32" t="inlineStr">
        <is>
          <t>SLEEPHORIA Satin Bed Sheets - 6 Piece Luxury Silky King Size Bedding Set - Softer Than Silk, Wrinkle-Free with 15” Deep Pocket Fitted Sheet, Perfect for Hair &amp; Skin, Gifts for Women (Lavender)</t>
        </is>
      </c>
      <c r="E57" s="32" t="inlineStr">
        <is>
          <t>King</t>
        </is>
      </c>
      <c r="F57" s="32" t="inlineStr">
        <is>
          <t>Lavender</t>
        </is>
      </c>
      <c r="G57" s="33" t="n"/>
      <c r="H57" s="32" t="n"/>
      <c r="I57" s="33" t="n"/>
      <c r="J57" s="32" t="n"/>
      <c r="K57" s="33" t="n"/>
      <c r="L57" s="63" t="n"/>
      <c r="M57" s="64" t="n"/>
      <c r="N57" s="32" t="inlineStr">
        <is>
          <t>Inactive</t>
        </is>
      </c>
      <c r="O57" s="32" t="n"/>
      <c r="P57" s="65" t="n"/>
      <c r="Q57" s="64" t="n"/>
      <c r="R57" s="64" t="n"/>
      <c r="S57" s="64" t="n"/>
      <c r="T57" s="32" t="n"/>
    </row>
    <row r="58" ht="62" customHeight="1">
      <c r="A58" s="39" t="inlineStr">
        <is>
          <t>IMAGE MISSING</t>
        </is>
      </c>
      <c r="B58" s="32" t="inlineStr">
        <is>
          <t>B0H425FHPZ</t>
        </is>
      </c>
      <c r="C58" s="32" t="inlineStr">
        <is>
          <t>SL-SATIN-SHEET-6PC-KING-NAVY-BLUE</t>
        </is>
      </c>
      <c r="D58" s="32" t="inlineStr">
        <is>
          <t>SLEEPHORIA Satin Bed Sheets - 6 Piece Luxury Silky King Size Bedding Set - Softer Than Silk, Wrinkle-Free with 15” Deep Pocket Fitted Sheet, Perfect for Hair &amp; Skin, Gifts for Women (Navy Blue)</t>
        </is>
      </c>
      <c r="E58" s="32" t="inlineStr">
        <is>
          <t>King</t>
        </is>
      </c>
      <c r="F58" s="32" t="inlineStr">
        <is>
          <t>Navy Blue</t>
        </is>
      </c>
      <c r="G58" s="33" t="n"/>
      <c r="H58" s="32" t="n"/>
      <c r="I58" s="33" t="n"/>
      <c r="J58" s="32" t="n"/>
      <c r="K58" s="33" t="n"/>
      <c r="L58" s="63" t="n"/>
      <c r="M58" s="64" t="n"/>
      <c r="N58" s="32" t="inlineStr">
        <is>
          <t>Inactive</t>
        </is>
      </c>
      <c r="O58" s="32" t="n"/>
      <c r="P58" s="65" t="n"/>
      <c r="Q58" s="64" t="n"/>
      <c r="R58" s="64" t="n"/>
      <c r="S58" s="64" t="n"/>
      <c r="T58" s="32" t="n"/>
    </row>
    <row r="59" ht="62" customHeight="1">
      <c r="A59" s="39" t="inlineStr">
        <is>
          <t>IMAGE MISSING</t>
        </is>
      </c>
      <c r="B59" s="32" t="inlineStr">
        <is>
          <t>B0H42184QW</t>
        </is>
      </c>
      <c r="C59" s="32" t="inlineStr">
        <is>
          <t>SL-SATIN-SHEET-6PC-KING-PINK</t>
        </is>
      </c>
      <c r="D59" s="32" t="inlineStr">
        <is>
          <t>SLEEPHORIA Satin Bed Sheets - 6 Piece Luxury Silky King Size Bedding Set - Softer Than Silk, Wrinkle-Free with 15” Deep Pocket Fitted Sheet, Perfect for Hair &amp; Skin, Gifts for Women (Pink)</t>
        </is>
      </c>
      <c r="E59" s="32" t="inlineStr">
        <is>
          <t>King</t>
        </is>
      </c>
      <c r="F59" s="32" t="inlineStr">
        <is>
          <t>Pink</t>
        </is>
      </c>
      <c r="G59" s="33" t="n"/>
      <c r="H59" s="32" t="n"/>
      <c r="I59" s="33" t="n"/>
      <c r="J59" s="32" t="n"/>
      <c r="K59" s="33" t="n"/>
      <c r="L59" s="63" t="n"/>
      <c r="M59" s="64" t="n"/>
      <c r="N59" s="32" t="inlineStr">
        <is>
          <t>Inactive</t>
        </is>
      </c>
      <c r="O59" s="32" t="n"/>
      <c r="P59" s="65" t="n"/>
      <c r="Q59" s="64" t="n"/>
      <c r="R59" s="64" t="n"/>
      <c r="S59" s="64" t="n"/>
      <c r="T59" s="32" t="n"/>
    </row>
    <row r="60" ht="62" customHeight="1">
      <c r="A60" s="39" t="inlineStr">
        <is>
          <t>IMAGE MISSING</t>
        </is>
      </c>
      <c r="B60" s="32" t="inlineStr">
        <is>
          <t>B0H424984N</t>
        </is>
      </c>
      <c r="C60" s="32" t="inlineStr">
        <is>
          <t>SL-SATIN-SHEET-6PC-KING-PURPLE</t>
        </is>
      </c>
      <c r="D60" s="32" t="inlineStr">
        <is>
          <t>SLEEPHORIA Satin Bed Sheets - 6 Piece Luxury Silky King Size Bedding Set - Softer Than Silk, Wrinkle-Free with 15” Deep Pocket Fitted Sheet, Perfect for Hair &amp; Skin, Gifts for Women (Purple)</t>
        </is>
      </c>
      <c r="E60" s="32" t="inlineStr">
        <is>
          <t>King</t>
        </is>
      </c>
      <c r="F60" s="32" t="inlineStr">
        <is>
          <t>Purple</t>
        </is>
      </c>
      <c r="G60" s="33" t="n"/>
      <c r="H60" s="32" t="n"/>
      <c r="I60" s="33" t="n"/>
      <c r="J60" s="32" t="n"/>
      <c r="K60" s="33" t="n"/>
      <c r="L60" s="63" t="n"/>
      <c r="M60" s="64" t="n"/>
      <c r="N60" s="32" t="inlineStr">
        <is>
          <t>Inactive</t>
        </is>
      </c>
      <c r="O60" s="32" t="n"/>
      <c r="P60" s="65" t="n"/>
      <c r="Q60" s="64" t="n"/>
      <c r="R60" s="64" t="n"/>
      <c r="S60" s="64" t="n"/>
      <c r="T60" s="32" t="n"/>
    </row>
    <row r="61" ht="62" customHeight="1">
      <c r="A61" s="39" t="inlineStr">
        <is>
          <t>IMAGE MISSING</t>
        </is>
      </c>
      <c r="B61" s="32" t="inlineStr">
        <is>
          <t>B0H41XLCJG</t>
        </is>
      </c>
      <c r="C61" s="32" t="inlineStr">
        <is>
          <t>SL-SATIN-SHEET-6PC-KING-RED</t>
        </is>
      </c>
      <c r="D61" s="32" t="inlineStr">
        <is>
          <t>SLEEPHORIA Satin Bed Sheets - 6 Piece Luxury Silky King Size Bedding Set - Softer Than Silk, Wrinkle-Free with 15” Deep Pocket Fitted Sheet, Perfect for Hair &amp; Skin, Gifts for Women (Red)</t>
        </is>
      </c>
      <c r="E61" s="32" t="inlineStr">
        <is>
          <t>King</t>
        </is>
      </c>
      <c r="F61" s="32" t="inlineStr">
        <is>
          <t>Red</t>
        </is>
      </c>
      <c r="G61" s="33" t="n"/>
      <c r="H61" s="32" t="n"/>
      <c r="I61" s="33" t="n"/>
      <c r="J61" s="32" t="n"/>
      <c r="K61" s="33" t="n"/>
      <c r="L61" s="63" t="n"/>
      <c r="M61" s="64" t="n"/>
      <c r="N61" s="32" t="inlineStr">
        <is>
          <t>Inactive</t>
        </is>
      </c>
      <c r="O61" s="32" t="n"/>
      <c r="P61" s="65" t="n"/>
      <c r="Q61" s="64" t="n"/>
      <c r="R61" s="64" t="n"/>
      <c r="S61" s="64" t="n"/>
      <c r="T61" s="32" t="n"/>
    </row>
    <row r="62" ht="62" customHeight="1">
      <c r="A62" s="39" t="inlineStr">
        <is>
          <t>IMAGE MISSING</t>
        </is>
      </c>
      <c r="B62" s="32" t="inlineStr">
        <is>
          <t>B0H41TPRRS</t>
        </is>
      </c>
      <c r="C62" s="32" t="inlineStr">
        <is>
          <t>SL-SATIN-SHEET-6PC-KING-ROSEWOOD</t>
        </is>
      </c>
      <c r="D62" s="32" t="inlineStr">
        <is>
          <t>SLEEPHORIA Satin Bed Sheets - 6 Piece Luxury Silky King Size Bedding Set - Softer Than Silk, Wrinkle-Free with 15” Deep Pocket Fitted Sheet, Perfect for Hair &amp; Skin, Gifts for Women (Rosewood)</t>
        </is>
      </c>
      <c r="E62" s="32" t="inlineStr">
        <is>
          <t>King</t>
        </is>
      </c>
      <c r="F62" s="32" t="inlineStr">
        <is>
          <t>Rosewood</t>
        </is>
      </c>
      <c r="G62" s="33" t="n"/>
      <c r="H62" s="32" t="n"/>
      <c r="I62" s="33" t="n"/>
      <c r="J62" s="32" t="n"/>
      <c r="K62" s="33" t="n"/>
      <c r="L62" s="63" t="n"/>
      <c r="M62" s="64" t="n"/>
      <c r="N62" s="32" t="inlineStr">
        <is>
          <t>Inactive</t>
        </is>
      </c>
      <c r="O62" s="32" t="n"/>
      <c r="P62" s="65" t="n"/>
      <c r="Q62" s="64" t="n"/>
      <c r="R62" s="64" t="n"/>
      <c r="S62" s="64" t="n"/>
      <c r="T62" s="32" t="n"/>
    </row>
    <row r="63" ht="62" customHeight="1">
      <c r="A63" s="39" t="inlineStr">
        <is>
          <t>IMAGE MISSING</t>
        </is>
      </c>
      <c r="B63" s="32" t="inlineStr">
        <is>
          <t>B0H41ZM5XT</t>
        </is>
      </c>
      <c r="C63" s="32" t="inlineStr">
        <is>
          <t>SL-SATIN-SHEET-6PC-KING-SAGE-GREEN</t>
        </is>
      </c>
      <c r="D63" s="32" t="inlineStr">
        <is>
          <t>SLEEPHORIA Satin Bed Sheets - 6 Piece Luxury Silky King Size Bedding Set - Softer Than Silk, Wrinkle-Free with 15” Deep Pocket Fitted Sheet, Perfect for Hair &amp; Skin, Gifts for Women (Sage Green)</t>
        </is>
      </c>
      <c r="E63" s="32" t="inlineStr">
        <is>
          <t>King</t>
        </is>
      </c>
      <c r="F63" s="32" t="inlineStr">
        <is>
          <t>Sage Green</t>
        </is>
      </c>
      <c r="G63" s="33" t="n"/>
      <c r="H63" s="32" t="n"/>
      <c r="I63" s="33" t="n"/>
      <c r="J63" s="32" t="n"/>
      <c r="K63" s="33" t="n"/>
      <c r="L63" s="63" t="n"/>
      <c r="M63" s="64" t="n"/>
      <c r="N63" s="32" t="inlineStr">
        <is>
          <t>Inactive</t>
        </is>
      </c>
      <c r="O63" s="32" t="n"/>
      <c r="P63" s="65" t="n"/>
      <c r="Q63" s="64" t="n"/>
      <c r="R63" s="64" t="n"/>
      <c r="S63" s="64" t="n"/>
      <c r="T63" s="32" t="n"/>
    </row>
    <row r="64" ht="62" customHeight="1">
      <c r="A64" s="39" t="inlineStr">
        <is>
          <t>IMAGE MISSING</t>
        </is>
      </c>
      <c r="B64" s="32" t="inlineStr">
        <is>
          <t>B0H41WXCJN</t>
        </is>
      </c>
      <c r="C64" s="32" t="inlineStr">
        <is>
          <t>SL-SATIN-SHEET-6PC-KING-SEA-TEAL</t>
        </is>
      </c>
      <c r="D64" s="32" t="inlineStr">
        <is>
          <t>SLEEPHORIA Satin Bed Sheets - 6 Piece Luxury Silky King Size Bedding Set - Softer Than Silk, Wrinkle-Free with 15” Deep Pocket Fitted Sheet, Perfect for Hair &amp; Skin, Gifts for Women (Sea Teal)</t>
        </is>
      </c>
      <c r="E64" s="32" t="inlineStr">
        <is>
          <t>King</t>
        </is>
      </c>
      <c r="F64" s="32" t="inlineStr">
        <is>
          <t>Sea Teal</t>
        </is>
      </c>
      <c r="G64" s="33" t="n"/>
      <c r="H64" s="32" t="n"/>
      <c r="I64" s="33" t="n"/>
      <c r="J64" s="32" t="n"/>
      <c r="K64" s="33" t="n"/>
      <c r="L64" s="63" t="n"/>
      <c r="M64" s="64" t="n"/>
      <c r="N64" s="32" t="inlineStr">
        <is>
          <t>Inactive</t>
        </is>
      </c>
      <c r="O64" s="32" t="n"/>
      <c r="P64" s="65" t="n"/>
      <c r="Q64" s="64" t="n"/>
      <c r="R64" s="64" t="n"/>
      <c r="S64" s="64" t="n"/>
      <c r="T64" s="32" t="n"/>
    </row>
    <row r="65" ht="62" customHeight="1">
      <c r="A65" s="39" t="inlineStr">
        <is>
          <t>IMAGE MISSING</t>
        </is>
      </c>
      <c r="B65" s="32" t="inlineStr">
        <is>
          <t>B0H41WBR7K</t>
        </is>
      </c>
      <c r="C65" s="32" t="inlineStr">
        <is>
          <t>SL-SATIN-SHEET-6PC-KING-STONE-GREY</t>
        </is>
      </c>
      <c r="D65" s="32" t="inlineStr">
        <is>
          <t>SLEEPHORIA Satin Bed Sheets - 6 Piece Luxury Silky King Size Bedding Set - Softer Than Silk, Wrinkle-Free with 15” Deep Pocket Fitted Sheet, Perfect for Hair &amp; Skin, Gifts for Women (Stone Grey)</t>
        </is>
      </c>
      <c r="E65" s="32" t="inlineStr">
        <is>
          <t>King</t>
        </is>
      </c>
      <c r="F65" s="32" t="inlineStr">
        <is>
          <t>Stone Grey</t>
        </is>
      </c>
      <c r="G65" s="33" t="n"/>
      <c r="H65" s="32" t="n"/>
      <c r="I65" s="33" t="n"/>
      <c r="J65" s="32" t="n"/>
      <c r="K65" s="33" t="n"/>
      <c r="L65" s="63" t="n"/>
      <c r="M65" s="64" t="n"/>
      <c r="N65" s="32" t="inlineStr">
        <is>
          <t>Inactive</t>
        </is>
      </c>
      <c r="O65" s="32" t="n"/>
      <c r="P65" s="65" t="n"/>
      <c r="Q65" s="64" t="n"/>
      <c r="R65" s="64" t="n"/>
      <c r="S65" s="64" t="n"/>
      <c r="T65" s="32" t="n"/>
    </row>
    <row r="66" ht="62" customHeight="1">
      <c r="A66" s="39" t="inlineStr">
        <is>
          <t>IMAGE MISSING</t>
        </is>
      </c>
      <c r="B66" s="32" t="inlineStr">
        <is>
          <t>B0H41TW1Q7</t>
        </is>
      </c>
      <c r="C66" s="32" t="inlineStr">
        <is>
          <t>SL-SATIN-SHEET-6PC-KING-STRIPED-BLACK</t>
        </is>
      </c>
      <c r="D66" s="32" t="inlineStr">
        <is>
          <t>SLEEPHORIA Satin Bed Sheets - 6 Piece Luxury Silky King Size Bedding Set - Softer Than Silk, Wrinkle-Free with 15” Deep Pocket Fitted Sheet, Perfect for Hair &amp; Skin, Gifts for Women (Striped Black)</t>
        </is>
      </c>
      <c r="E66" s="32" t="inlineStr">
        <is>
          <t>King</t>
        </is>
      </c>
      <c r="F66" s="32" t="inlineStr">
        <is>
          <t>Striped Black</t>
        </is>
      </c>
      <c r="G66" s="33" t="n"/>
      <c r="H66" s="32" t="n"/>
      <c r="I66" s="33" t="n"/>
      <c r="J66" s="32" t="n"/>
      <c r="K66" s="33" t="n"/>
      <c r="L66" s="63" t="n"/>
      <c r="M66" s="64" t="n"/>
      <c r="N66" s="32" t="inlineStr">
        <is>
          <t>Inactive</t>
        </is>
      </c>
      <c r="O66" s="32" t="n"/>
      <c r="P66" s="65" t="n"/>
      <c r="Q66" s="64" t="n"/>
      <c r="R66" s="64" t="n"/>
      <c r="S66" s="64" t="n"/>
      <c r="T66" s="32" t="n"/>
    </row>
    <row r="67" ht="62" customHeight="1">
      <c r="A67" s="39" t="inlineStr">
        <is>
          <t>IMAGE MISSING</t>
        </is>
      </c>
      <c r="B67" s="32" t="inlineStr">
        <is>
          <t>B0H41W9TM5</t>
        </is>
      </c>
      <c r="C67" s="32" t="inlineStr">
        <is>
          <t>SL-SATIN-SHEET-6PC-KING-STRIPED-BLUE</t>
        </is>
      </c>
      <c r="D67" s="32" t="inlineStr">
        <is>
          <t>SLEEPHORIA Satin Bed Sheets - 6 Piece Luxury Silky King Size Bedding Set - Softer Than Silk, Wrinkle-Free with 15” Deep Pocket Fitted Sheet, Perfect for Hair &amp; Skin, Gifts for Women (Striped Blue)</t>
        </is>
      </c>
      <c r="E67" s="32" t="inlineStr">
        <is>
          <t>King</t>
        </is>
      </c>
      <c r="F67" s="32" t="inlineStr">
        <is>
          <t>Striped Blue</t>
        </is>
      </c>
      <c r="G67" s="33" t="n"/>
      <c r="H67" s="32" t="n"/>
      <c r="I67" s="33" t="n"/>
      <c r="J67" s="32" t="n"/>
      <c r="K67" s="33" t="n"/>
      <c r="L67" s="63" t="n"/>
      <c r="M67" s="64" t="n"/>
      <c r="N67" s="32" t="inlineStr">
        <is>
          <t>Inactive</t>
        </is>
      </c>
      <c r="O67" s="32" t="n"/>
      <c r="P67" s="65" t="n"/>
      <c r="Q67" s="64" t="n"/>
      <c r="R67" s="64" t="n"/>
      <c r="S67" s="64" t="n"/>
      <c r="T67" s="32" t="n"/>
    </row>
    <row r="68" ht="62" customHeight="1">
      <c r="A68" s="39" t="inlineStr">
        <is>
          <t>IMAGE MISSING</t>
        </is>
      </c>
      <c r="B68" s="32" t="inlineStr">
        <is>
          <t>B0H427RH7F</t>
        </is>
      </c>
      <c r="C68" s="32" t="inlineStr">
        <is>
          <t>SL-SATIN-SHEET-6PC-KING-STRIPED-GOLD</t>
        </is>
      </c>
      <c r="D68" s="32" t="inlineStr">
        <is>
          <t>SLEEPHORIA Satin Bed Sheets - 6 Piece Luxury Silky King Size Bedding Set - Softer Than Silk, Wrinkle-Free with 15” Deep Pocket Fitted Sheet, Perfect for Hair &amp; Skin, Gifts for Women (Striped Gold)</t>
        </is>
      </c>
      <c r="E68" s="32" t="inlineStr">
        <is>
          <t>King</t>
        </is>
      </c>
      <c r="F68" s="32" t="inlineStr">
        <is>
          <t>Striped Gold</t>
        </is>
      </c>
      <c r="G68" s="33" t="n"/>
      <c r="H68" s="32" t="n"/>
      <c r="I68" s="33" t="n"/>
      <c r="J68" s="32" t="n"/>
      <c r="K68" s="33" t="n"/>
      <c r="L68" s="63" t="n"/>
      <c r="M68" s="64" t="n"/>
      <c r="N68" s="32" t="inlineStr">
        <is>
          <t>Inactive</t>
        </is>
      </c>
      <c r="O68" s="32" t="n"/>
      <c r="P68" s="65" t="n"/>
      <c r="Q68" s="64" t="n"/>
      <c r="R68" s="64" t="n"/>
      <c r="S68" s="64" t="n"/>
      <c r="T68" s="32" t="n"/>
    </row>
    <row r="69" ht="62" customHeight="1">
      <c r="A69" s="39" t="inlineStr">
        <is>
          <t>IMAGE MISSING</t>
        </is>
      </c>
      <c r="B69" s="32" t="inlineStr">
        <is>
          <t>B0H4247F39</t>
        </is>
      </c>
      <c r="C69" s="32" t="inlineStr">
        <is>
          <t>SL-SATIN-SHEET-6PC-KING-STRIPED-GREY</t>
        </is>
      </c>
      <c r="D69" s="32" t="inlineStr">
        <is>
          <t>SLEEPHORIA Satin Bed Sheets - 6 Piece Luxury Silky King Size Bedding Set - Softer Than Silk, Wrinkle-Free with 15” Deep Pocket Fitted Sheet, Perfect for Hair &amp; Skin, Gifts for Women (Striped Grey)</t>
        </is>
      </c>
      <c r="E69" s="32" t="inlineStr">
        <is>
          <t>King</t>
        </is>
      </c>
      <c r="F69" s="32" t="inlineStr">
        <is>
          <t>Striped Grey</t>
        </is>
      </c>
      <c r="G69" s="33" t="n"/>
      <c r="H69" s="32" t="n"/>
      <c r="I69" s="33" t="n"/>
      <c r="J69" s="32" t="n"/>
      <c r="K69" s="33" t="n"/>
      <c r="L69" s="63" t="n"/>
      <c r="M69" s="64" t="n"/>
      <c r="N69" s="32" t="inlineStr">
        <is>
          <t>Inactive</t>
        </is>
      </c>
      <c r="O69" s="32" t="n"/>
      <c r="P69" s="65" t="n"/>
      <c r="Q69" s="64" t="n"/>
      <c r="R69" s="64" t="n"/>
      <c r="S69" s="64" t="n"/>
      <c r="T69" s="32" t="n"/>
    </row>
    <row r="70" ht="62" customHeight="1">
      <c r="A70" s="39" t="inlineStr">
        <is>
          <t>IMAGE MISSING</t>
        </is>
      </c>
      <c r="B70" s="32" t="inlineStr">
        <is>
          <t>B0H421SYJ4</t>
        </is>
      </c>
      <c r="C70" s="32" t="inlineStr">
        <is>
          <t>SL-SATIN-SHEET-6PC-KING-STRIPED-PINK</t>
        </is>
      </c>
      <c r="D70" s="32" t="inlineStr">
        <is>
          <t>SLEEPHORIA Satin Bed Sheets - 6 Piece Luxury Silky King Size Bedding Set - Softer Than Silk, Wrinkle-Free with 15” Deep Pocket Fitted Sheet, Perfect for Hair &amp; Skin, Gifts for Women (Striped Pink)</t>
        </is>
      </c>
      <c r="E70" s="32" t="inlineStr">
        <is>
          <t>King</t>
        </is>
      </c>
      <c r="F70" s="32" t="inlineStr">
        <is>
          <t>Striped Pink</t>
        </is>
      </c>
      <c r="G70" s="33" t="n"/>
      <c r="H70" s="32" t="n"/>
      <c r="I70" s="33" t="n"/>
      <c r="J70" s="32" t="n"/>
      <c r="K70" s="33" t="n"/>
      <c r="L70" s="63" t="n"/>
      <c r="M70" s="64" t="n"/>
      <c r="N70" s="32" t="inlineStr">
        <is>
          <t>Inactive</t>
        </is>
      </c>
      <c r="O70" s="32" t="n"/>
      <c r="P70" s="65" t="n"/>
      <c r="Q70" s="64" t="n"/>
      <c r="R70" s="64" t="n"/>
      <c r="S70" s="64" t="n"/>
      <c r="T70" s="32" t="n"/>
    </row>
    <row r="71" ht="62" customHeight="1">
      <c r="A71" s="39" t="inlineStr">
        <is>
          <t>IMAGE MISSING</t>
        </is>
      </c>
      <c r="B71" s="32" t="inlineStr">
        <is>
          <t>B0H41TJ1XN</t>
        </is>
      </c>
      <c r="C71" s="32" t="inlineStr">
        <is>
          <t>SL-SATIN-SHEET-6PC-KING-STRIPED-PURPLE</t>
        </is>
      </c>
      <c r="D71" s="32" t="inlineStr">
        <is>
          <t>SLEEPHORIA Satin Bed Sheets - 6 Piece Luxury Silky King Size Bedding Set - Softer Than Silk, Wrinkle-Free with 15” Deep Pocket Fitted Sheet, Perfect for Hair &amp; Skin, Gifts for Women (Striped Purple)</t>
        </is>
      </c>
      <c r="E71" s="32" t="inlineStr">
        <is>
          <t>King</t>
        </is>
      </c>
      <c r="F71" s="32" t="inlineStr">
        <is>
          <t>Striped Purple</t>
        </is>
      </c>
      <c r="G71" s="33" t="n"/>
      <c r="H71" s="32" t="n"/>
      <c r="I71" s="33" t="n"/>
      <c r="J71" s="32" t="n"/>
      <c r="K71" s="33" t="n"/>
      <c r="L71" s="63" t="n"/>
      <c r="M71" s="64" t="n"/>
      <c r="N71" s="32" t="inlineStr">
        <is>
          <t>Inactive</t>
        </is>
      </c>
      <c r="O71" s="32" t="n"/>
      <c r="P71" s="65" t="n"/>
      <c r="Q71" s="64" t="n"/>
      <c r="R71" s="64" t="n"/>
      <c r="S71" s="64" t="n"/>
      <c r="T71" s="32" t="n"/>
    </row>
    <row r="72" ht="62" customHeight="1">
      <c r="A72" s="39" t="inlineStr">
        <is>
          <t>IMAGE MISSING</t>
        </is>
      </c>
      <c r="B72" s="32" t="inlineStr">
        <is>
          <t>B0H41V2CZZ</t>
        </is>
      </c>
      <c r="C72" s="32" t="inlineStr">
        <is>
          <t>SL-SATIN-SHEET-6PC-KING-STRIPED-RED</t>
        </is>
      </c>
      <c r="D72" s="32" t="inlineStr">
        <is>
          <t>SLEEPHORIA Satin Bed Sheets - 6 Piece Luxury Silky King Size Bedding Set - Softer Than Silk, Wrinkle-Free with 15” Deep Pocket Fitted Sheet, Perfect for Hair &amp; Skin, Gifts for Women (Striped Red)</t>
        </is>
      </c>
      <c r="E72" s="32" t="inlineStr">
        <is>
          <t>King</t>
        </is>
      </c>
      <c r="F72" s="32" t="inlineStr">
        <is>
          <t>Striped Red</t>
        </is>
      </c>
      <c r="G72" s="33" t="n"/>
      <c r="H72" s="32" t="n"/>
      <c r="I72" s="33" t="n"/>
      <c r="J72" s="32" t="n"/>
      <c r="K72" s="33" t="n"/>
      <c r="L72" s="63" t="n"/>
      <c r="M72" s="64" t="n"/>
      <c r="N72" s="32" t="inlineStr">
        <is>
          <t>Inactive</t>
        </is>
      </c>
      <c r="O72" s="32" t="n"/>
      <c r="P72" s="65" t="n"/>
      <c r="Q72" s="64" t="n"/>
      <c r="R72" s="64" t="n"/>
      <c r="S72" s="64" t="n"/>
      <c r="T72" s="32" t="n"/>
    </row>
    <row r="73" ht="62" customHeight="1">
      <c r="A73" s="39" t="inlineStr">
        <is>
          <t>IMAGE MISSING</t>
        </is>
      </c>
      <c r="B73" s="32" t="inlineStr">
        <is>
          <t>B0H41T95R7</t>
        </is>
      </c>
      <c r="C73" s="32" t="inlineStr">
        <is>
          <t>SL-SATIN-SHEET-6PC-KING-STRIPED-WHITE</t>
        </is>
      </c>
      <c r="D73" s="32" t="inlineStr">
        <is>
          <t>SLEEPHORIA Satin Bed Sheets - 6 Piece Luxury Silky King Size Bedding Set - Softer Than Silk, Wrinkle-Free with 15” Deep Pocket Fitted Sheet, Perfect for Hair &amp; Skin, Gifts for Women (Striped White)</t>
        </is>
      </c>
      <c r="E73" s="32" t="inlineStr">
        <is>
          <t>King</t>
        </is>
      </c>
      <c r="F73" s="32" t="inlineStr">
        <is>
          <t>Striped White</t>
        </is>
      </c>
      <c r="G73" s="33" t="n"/>
      <c r="H73" s="32" t="n"/>
      <c r="I73" s="33" t="n"/>
      <c r="J73" s="32" t="n"/>
      <c r="K73" s="33" t="n"/>
      <c r="L73" s="63" t="n"/>
      <c r="M73" s="64" t="n"/>
      <c r="N73" s="32" t="inlineStr">
        <is>
          <t>Inactive</t>
        </is>
      </c>
      <c r="O73" s="32" t="n"/>
      <c r="P73" s="65" t="n"/>
      <c r="Q73" s="64" t="n"/>
      <c r="R73" s="64" t="n"/>
      <c r="S73" s="64" t="n"/>
      <c r="T73" s="32" t="n"/>
    </row>
    <row r="74" ht="62" customHeight="1">
      <c r="A74" s="39" t="inlineStr">
        <is>
          <t>IMAGE MISSING</t>
        </is>
      </c>
      <c r="B74" s="32" t="inlineStr">
        <is>
          <t>B0H41XGY2V</t>
        </is>
      </c>
      <c r="C74" s="32" t="inlineStr">
        <is>
          <t>SL-SATIN-SHEET-6PC-KING-TAUPE</t>
        </is>
      </c>
      <c r="D74" s="32" t="inlineStr">
        <is>
          <t>SLEEPHORIA Satin Bed Sheets - 6 Piece Luxury Silky King Size Bedding Set - Softer Than Silk, Wrinkle-Free with 15” Deep Pocket Fitted Sheet, Perfect for Hair &amp; Skin, Gifts for Women (Taupe)</t>
        </is>
      </c>
      <c r="E74" s="32" t="inlineStr">
        <is>
          <t>King</t>
        </is>
      </c>
      <c r="F74" s="32" t="inlineStr">
        <is>
          <t>Taupe</t>
        </is>
      </c>
      <c r="G74" s="33" t="n"/>
      <c r="H74" s="32" t="n"/>
      <c r="I74" s="33" t="n"/>
      <c r="J74" s="32" t="n"/>
      <c r="K74" s="33" t="n"/>
      <c r="L74" s="63" t="n"/>
      <c r="M74" s="64" t="n"/>
      <c r="N74" s="32" t="inlineStr">
        <is>
          <t>Inactive</t>
        </is>
      </c>
      <c r="O74" s="32" t="n"/>
      <c r="P74" s="65" t="n"/>
      <c r="Q74" s="64" t="n"/>
      <c r="R74" s="64" t="n"/>
      <c r="S74" s="64" t="n"/>
      <c r="T74" s="32" t="n"/>
    </row>
    <row r="75" ht="62" customHeight="1">
      <c r="A75" s="39" t="inlineStr">
        <is>
          <t>IMAGE MISSING</t>
        </is>
      </c>
      <c r="B75" s="32" t="inlineStr">
        <is>
          <t>B0H41WHGM5</t>
        </is>
      </c>
      <c r="C75" s="32" t="inlineStr">
        <is>
          <t>SL-SATIN-SHEET-6PC-KING-WHITE</t>
        </is>
      </c>
      <c r="D75" s="32" t="inlineStr">
        <is>
          <t>SLEEPHORIA Satin Bed Sheets - 6 Piece Luxury Silky King Size Bedding Set - Softer Than Silk, Wrinkle-Free with 15” Deep Pocket Fitted Sheet, Perfect for Hair &amp; Skin, Gifts for Women (White)</t>
        </is>
      </c>
      <c r="E75" s="32" t="inlineStr">
        <is>
          <t>King</t>
        </is>
      </c>
      <c r="F75" s="32" t="inlineStr">
        <is>
          <t>White</t>
        </is>
      </c>
      <c r="G75" s="33" t="n"/>
      <c r="H75" s="32" t="n"/>
      <c r="I75" s="33" t="n"/>
      <c r="J75" s="32" t="n"/>
      <c r="K75" s="33" t="n"/>
      <c r="L75" s="63" t="n"/>
      <c r="M75" s="64" t="n"/>
      <c r="N75" s="32" t="inlineStr">
        <is>
          <t>Inactive</t>
        </is>
      </c>
      <c r="O75" s="32" t="n"/>
      <c r="P75" s="65" t="n"/>
      <c r="Q75" s="64" t="n"/>
      <c r="R75" s="64" t="n"/>
      <c r="S75" s="64" t="n"/>
      <c r="T75" s="32" t="n"/>
    </row>
    <row r="76" ht="62" customHeight="1">
      <c r="A76" s="39" t="inlineStr">
        <is>
          <t>IMAGE MISSING</t>
        </is>
      </c>
      <c r="B76" s="32" t="inlineStr">
        <is>
          <t>B0H41ZWWMV</t>
        </is>
      </c>
      <c r="C76" s="32" t="inlineStr">
        <is>
          <t>SL-SATIN-SHEET-6PC-QUEEN-BABY-BLUE</t>
        </is>
      </c>
      <c r="D76" s="32" t="inlineStr">
        <is>
          <t>SLEEPHORIA Satin Bed Sheets - 6 Piece Luxury Silky Queen Size Bedding Set - Softer Than Silk, Wrinkle-Free with 15” Deep Pocket Fitted Sheet, Perfect for Hair &amp; Skin, Gifts for Women (Baby Blue)</t>
        </is>
      </c>
      <c r="E76" s="32" t="inlineStr">
        <is>
          <t>Queen</t>
        </is>
      </c>
      <c r="F76" s="32" t="inlineStr">
        <is>
          <t>Baby Blue</t>
        </is>
      </c>
      <c r="G76" s="33" t="n"/>
      <c r="H76" s="32" t="n"/>
      <c r="I76" s="33" t="n"/>
      <c r="J76" s="32" t="n"/>
      <c r="K76" s="33" t="n"/>
      <c r="L76" s="63" t="n"/>
      <c r="M76" s="64" t="n"/>
      <c r="N76" s="32" t="inlineStr">
        <is>
          <t>Inactive</t>
        </is>
      </c>
      <c r="O76" s="32" t="n"/>
      <c r="P76" s="65" t="n"/>
      <c r="Q76" s="64" t="n"/>
      <c r="R76" s="64" t="n"/>
      <c r="S76" s="64" t="n"/>
      <c r="T76" s="32" t="n"/>
    </row>
    <row r="77" ht="62" customHeight="1">
      <c r="A77" s="39" t="inlineStr">
        <is>
          <t>IMAGE MISSING</t>
        </is>
      </c>
      <c r="B77" s="32" t="inlineStr">
        <is>
          <t>B0H427J85Z</t>
        </is>
      </c>
      <c r="C77" s="32" t="inlineStr">
        <is>
          <t>SL-SATIN-SHEET-6PC-QUEEN-BLACK</t>
        </is>
      </c>
      <c r="D77" s="32" t="inlineStr">
        <is>
          <t>SLEEPHORIA Satin Bed Sheets - 6 Piece Luxury Silky Queen Size Bedding Set - Softer Than Silk, Wrinkle-Free with 15” Deep Pocket Fitted Sheet, Perfect for Hair &amp; Skin, Gifts for Women (Black)</t>
        </is>
      </c>
      <c r="E77" s="32" t="inlineStr">
        <is>
          <t>Queen</t>
        </is>
      </c>
      <c r="F77" s="32" t="inlineStr">
        <is>
          <t>Black</t>
        </is>
      </c>
      <c r="G77" s="33" t="n"/>
      <c r="H77" s="32" t="n"/>
      <c r="I77" s="33" t="n"/>
      <c r="J77" s="32" t="n"/>
      <c r="K77" s="33" t="n"/>
      <c r="L77" s="63" t="n"/>
      <c r="M77" s="64" t="n"/>
      <c r="N77" s="32" t="inlineStr">
        <is>
          <t>Inactive</t>
        </is>
      </c>
      <c r="O77" s="32" t="n"/>
      <c r="P77" s="65" t="n"/>
      <c r="Q77" s="64" t="n"/>
      <c r="R77" s="64" t="n"/>
      <c r="S77" s="64" t="n"/>
      <c r="T77" s="32" t="n"/>
    </row>
    <row r="78" ht="62" customHeight="1">
      <c r="A78" s="39" t="inlineStr">
        <is>
          <t>IMAGE MISSING</t>
        </is>
      </c>
      <c r="B78" s="32" t="inlineStr">
        <is>
          <t>B0H427LP25</t>
        </is>
      </c>
      <c r="C78" s="32" t="inlineStr">
        <is>
          <t>SL-SATIN-SHEET-6PC-QUEEN-BLUE</t>
        </is>
      </c>
      <c r="D78" s="32" t="inlineStr">
        <is>
          <t>SLEEPHORIA Satin Bed Sheets - 6 Piece Luxury Silky Queen Size Bedding Set - Softer Than Silk, Wrinkle-Free with 15” Deep Pocket Fitted Sheet, Perfect for Hair &amp; Skin, Gifts for Women (Blue)</t>
        </is>
      </c>
      <c r="E78" s="32" t="inlineStr">
        <is>
          <t>Queen</t>
        </is>
      </c>
      <c r="F78" s="32" t="inlineStr">
        <is>
          <t>Blue</t>
        </is>
      </c>
      <c r="G78" s="33" t="n"/>
      <c r="H78" s="32" t="n"/>
      <c r="I78" s="33" t="n"/>
      <c r="J78" s="32" t="n"/>
      <c r="K78" s="33" t="n"/>
      <c r="L78" s="63" t="n"/>
      <c r="M78" s="64" t="n"/>
      <c r="N78" s="32" t="inlineStr">
        <is>
          <t>Inactive</t>
        </is>
      </c>
      <c r="O78" s="32" t="n"/>
      <c r="P78" s="65" t="n"/>
      <c r="Q78" s="64" t="n"/>
      <c r="R78" s="64" t="n"/>
      <c r="S78" s="64" t="n"/>
      <c r="T78" s="32" t="n"/>
    </row>
    <row r="79" ht="62" customHeight="1">
      <c r="A79" s="39" t="inlineStr">
        <is>
          <t>IMAGE MISSING</t>
        </is>
      </c>
      <c r="B79" s="32" t="inlineStr">
        <is>
          <t>B0H41YHRWD</t>
        </is>
      </c>
      <c r="C79" s="32" t="inlineStr">
        <is>
          <t>SL-SATIN-SHEET-6PC-QUEEN-BLUSH-PINK</t>
        </is>
      </c>
      <c r="D79" s="32" t="inlineStr">
        <is>
          <t>SLEEPHORIA Satin Bed Sheets - 6 Piece Luxury Silky Queen Size Bedding Set - Softer Than Silk, Wrinkle-Free with 15” Deep Pocket Fitted Sheet, Perfect for Hair &amp; Skin, Gifts for Women (Blush Pink)</t>
        </is>
      </c>
      <c r="E79" s="32" t="inlineStr">
        <is>
          <t>Queen</t>
        </is>
      </c>
      <c r="F79" s="32" t="inlineStr">
        <is>
          <t>Blush Pink</t>
        </is>
      </c>
      <c r="G79" s="33" t="n"/>
      <c r="H79" s="32" t="n"/>
      <c r="I79" s="33" t="n"/>
      <c r="J79" s="32" t="n"/>
      <c r="K79" s="33" t="n"/>
      <c r="L79" s="63" t="n"/>
      <c r="M79" s="64" t="n"/>
      <c r="N79" s="32" t="inlineStr">
        <is>
          <t>Inactive</t>
        </is>
      </c>
      <c r="O79" s="32" t="n"/>
      <c r="P79" s="65" t="n"/>
      <c r="Q79" s="64" t="n"/>
      <c r="R79" s="64" t="n"/>
      <c r="S79" s="64" t="n"/>
      <c r="T79" s="32" t="n"/>
    </row>
    <row r="80" ht="62" customHeight="1">
      <c r="A80" s="39" t="inlineStr">
        <is>
          <t>IMAGE MISSING</t>
        </is>
      </c>
      <c r="B80" s="32" t="inlineStr">
        <is>
          <t>B0H41TDGV9</t>
        </is>
      </c>
      <c r="C80" s="32" t="inlineStr">
        <is>
          <t>SL-SATIN-SHEET-6PC-QUEEN-BURNT-ORANGE</t>
        </is>
      </c>
      <c r="D80" s="32" t="inlineStr">
        <is>
          <t>SLEEPHORIA Satin Bed Sheets - 6 Piece Luxury Silky Queen Size Bedding Set - Softer Than Silk, Wrinkle-Free with 15” Deep Pocket Fitted Sheet, Perfect for Hair &amp; Skin, Gifts for Women (Burnt Orange)</t>
        </is>
      </c>
      <c r="E80" s="32" t="inlineStr">
        <is>
          <t>Queen</t>
        </is>
      </c>
      <c r="F80" s="32" t="inlineStr">
        <is>
          <t>Burnt Orange</t>
        </is>
      </c>
      <c r="G80" s="33" t="n"/>
      <c r="H80" s="32" t="n"/>
      <c r="I80" s="33" t="n"/>
      <c r="J80" s="32" t="n"/>
      <c r="K80" s="33" t="n"/>
      <c r="L80" s="63" t="n"/>
      <c r="M80" s="64" t="n"/>
      <c r="N80" s="32" t="inlineStr">
        <is>
          <t>Inactive</t>
        </is>
      </c>
      <c r="O80" s="32" t="n"/>
      <c r="P80" s="65" t="n"/>
      <c r="Q80" s="64" t="n"/>
      <c r="R80" s="64" t="n"/>
      <c r="S80" s="64" t="n"/>
      <c r="T80" s="32" t="n"/>
    </row>
    <row r="81" ht="62" customHeight="1">
      <c r="A81" s="39" t="inlineStr">
        <is>
          <t>IMAGE MISSING</t>
        </is>
      </c>
      <c r="B81" s="32" t="inlineStr">
        <is>
          <t>B0H427TTZ7</t>
        </is>
      </c>
      <c r="C81" s="32" t="inlineStr">
        <is>
          <t>SL-SATIN-SHEET-6PC-QUEEN-CHAMPAGNE</t>
        </is>
      </c>
      <c r="D81" s="32" t="inlineStr">
        <is>
          <t>SLEEPHORIA Satin Bed Sheets - 6 Piece Luxury Silky Queen Size Bedding Set - Softer Than Silk, Wrinkle-Free with 15” Deep Pocket Fitted Sheet, Perfect for Hair &amp; Skin, Gifts for Women (Champagne)</t>
        </is>
      </c>
      <c r="E81" s="32" t="inlineStr">
        <is>
          <t>Queen</t>
        </is>
      </c>
      <c r="F81" s="32" t="inlineStr">
        <is>
          <t>Champagne</t>
        </is>
      </c>
      <c r="G81" s="33" t="n"/>
      <c r="H81" s="32" t="n"/>
      <c r="I81" s="33" t="n"/>
      <c r="J81" s="32" t="n"/>
      <c r="K81" s="33" t="n"/>
      <c r="L81" s="63" t="n"/>
      <c r="M81" s="64" t="n"/>
      <c r="N81" s="32" t="inlineStr">
        <is>
          <t>Inactive</t>
        </is>
      </c>
      <c r="O81" s="32" t="n"/>
      <c r="P81" s="65" t="n"/>
      <c r="Q81" s="64" t="n"/>
      <c r="R81" s="64" t="n"/>
      <c r="S81" s="64" t="n"/>
      <c r="T81" s="32" t="n"/>
    </row>
    <row r="82" ht="62" customHeight="1">
      <c r="A82" s="39" t="inlineStr">
        <is>
          <t>IMAGE MISSING</t>
        </is>
      </c>
      <c r="B82" s="32" t="inlineStr">
        <is>
          <t>B0H41WKBYX</t>
        </is>
      </c>
      <c r="C82" s="32" t="inlineStr">
        <is>
          <t>SL-SATIN-SHEET-6PC-QUEEN-DARK-GREEN</t>
        </is>
      </c>
      <c r="D82" s="32" t="inlineStr">
        <is>
          <t>SLEEPHORIA Satin Bed Sheets - 6 Piece Luxury Silky Queen Size Bedding Set - Softer Than Silk, Wrinkle-Free with 15” Deep Pocket Fitted Sheet, Perfect for Hair &amp; Skin, Gifts for Women (Dark Green)</t>
        </is>
      </c>
      <c r="E82" s="32" t="inlineStr">
        <is>
          <t>Queen</t>
        </is>
      </c>
      <c r="F82" s="32" t="inlineStr">
        <is>
          <t>Dark Green</t>
        </is>
      </c>
      <c r="G82" s="33" t="n"/>
      <c r="H82" s="32" t="n"/>
      <c r="I82" s="33" t="n"/>
      <c r="J82" s="32" t="n"/>
      <c r="K82" s="33" t="n"/>
      <c r="L82" s="63" t="n"/>
      <c r="M82" s="64" t="n"/>
      <c r="N82" s="32" t="inlineStr">
        <is>
          <t>Inactive</t>
        </is>
      </c>
      <c r="O82" s="32" t="n"/>
      <c r="P82" s="65" t="n"/>
      <c r="Q82" s="64" t="n"/>
      <c r="R82" s="64" t="n"/>
      <c r="S82" s="64" t="n"/>
      <c r="T82" s="32" t="n"/>
    </row>
    <row r="83" ht="62" customHeight="1">
      <c r="A83" s="39" t="inlineStr">
        <is>
          <t>IMAGE MISSING</t>
        </is>
      </c>
      <c r="B83" s="32" t="inlineStr">
        <is>
          <t>B0H41X722V</t>
        </is>
      </c>
      <c r="C83" s="32" t="inlineStr">
        <is>
          <t>SL-SATIN-SHEET-6PC-QUEEN-GOLD</t>
        </is>
      </c>
      <c r="D83" s="32" t="inlineStr">
        <is>
          <t>SLEEPHORIA Satin Bed Sheets - 6 Piece Luxury Silky Queen Size Bedding Set - Softer Than Silk, Wrinkle-Free with 15” Deep Pocket Fitted Sheet, Perfect for Hair &amp; Skin, Gifts for Women (Gold)</t>
        </is>
      </c>
      <c r="E83" s="32" t="inlineStr">
        <is>
          <t>Queen</t>
        </is>
      </c>
      <c r="F83" s="32" t="inlineStr">
        <is>
          <t>Gold</t>
        </is>
      </c>
      <c r="G83" s="33" t="n"/>
      <c r="H83" s="32" t="n"/>
      <c r="I83" s="33" t="n"/>
      <c r="J83" s="32" t="n"/>
      <c r="K83" s="33" t="n"/>
      <c r="L83" s="63" t="n"/>
      <c r="M83" s="64" t="n"/>
      <c r="N83" s="32" t="inlineStr">
        <is>
          <t>Inactive</t>
        </is>
      </c>
      <c r="O83" s="32" t="n"/>
      <c r="P83" s="65" t="n"/>
      <c r="Q83" s="64" t="n"/>
      <c r="R83" s="64" t="n"/>
      <c r="S83" s="64" t="n"/>
      <c r="T83" s="32" t="n"/>
    </row>
    <row r="84" ht="62" customHeight="1">
      <c r="A84" s="39" t="inlineStr">
        <is>
          <t>IMAGE MISSING</t>
        </is>
      </c>
      <c r="B84" s="32" t="inlineStr">
        <is>
          <t>B0H427ZLRT</t>
        </is>
      </c>
      <c r="C84" s="32" t="inlineStr">
        <is>
          <t>SL-SATIN-SHEET-6PC-QUEEN-GREY</t>
        </is>
      </c>
      <c r="D84" s="32" t="inlineStr">
        <is>
          <t>SLEEPHORIA Satin Bed Sheets - 6 Piece Luxury Silky Queen Size Bedding Set - Softer Than Silk, Wrinkle-Free with 15” Deep Pocket Fitted Sheet, Perfect for Hair &amp; Skin, Gifts for Women (Grey)</t>
        </is>
      </c>
      <c r="E84" s="32" t="inlineStr">
        <is>
          <t>Queen</t>
        </is>
      </c>
      <c r="F84" s="32" t="inlineStr">
        <is>
          <t>Grey</t>
        </is>
      </c>
      <c r="G84" s="33" t="n"/>
      <c r="H84" s="32" t="n"/>
      <c r="I84" s="33" t="n"/>
      <c r="J84" s="32" t="n"/>
      <c r="K84" s="33" t="n"/>
      <c r="L84" s="63" t="n"/>
      <c r="M84" s="64" t="n"/>
      <c r="N84" s="32" t="inlineStr">
        <is>
          <t>Inactive</t>
        </is>
      </c>
      <c r="O84" s="32" t="n"/>
      <c r="P84" s="65" t="n"/>
      <c r="Q84" s="64" t="n"/>
      <c r="R84" s="64" t="n"/>
      <c r="S84" s="64" t="n"/>
      <c r="T84" s="32" t="n"/>
    </row>
    <row r="85" ht="62" customHeight="1">
      <c r="A85" s="39" t="inlineStr">
        <is>
          <t>IMAGE MISSING</t>
        </is>
      </c>
      <c r="B85" s="32" t="inlineStr">
        <is>
          <t>B0H41YSKLW</t>
        </is>
      </c>
      <c r="C85" s="32" t="inlineStr">
        <is>
          <t>SL-SATIN-SHEET-6PC-QUEEN-IVORY</t>
        </is>
      </c>
      <c r="D85" s="32" t="inlineStr">
        <is>
          <t>SLEEPHORIA Satin Bed Sheets - 6 Piece Luxury Silky Queen Size Bedding Set - Softer Than Silk, Wrinkle-Free with 15” Deep Pocket Fitted Sheet, Perfect for Hair &amp; Skin, Gifts for Women (Ivory)</t>
        </is>
      </c>
      <c r="E85" s="32" t="inlineStr">
        <is>
          <t>Queen</t>
        </is>
      </c>
      <c r="F85" s="32" t="inlineStr">
        <is>
          <t>Ivory</t>
        </is>
      </c>
      <c r="G85" s="33" t="n"/>
      <c r="H85" s="32" t="n"/>
      <c r="I85" s="33" t="n"/>
      <c r="J85" s="32" t="n"/>
      <c r="K85" s="33" t="n"/>
      <c r="L85" s="63" t="n"/>
      <c r="M85" s="64" t="n"/>
      <c r="N85" s="32" t="inlineStr">
        <is>
          <t>Inactive</t>
        </is>
      </c>
      <c r="O85" s="32" t="n"/>
      <c r="P85" s="65" t="n"/>
      <c r="Q85" s="64" t="n"/>
      <c r="R85" s="64" t="n"/>
      <c r="S85" s="64" t="n"/>
      <c r="T85" s="32" t="n"/>
    </row>
    <row r="86" ht="62" customHeight="1">
      <c r="A86" s="39" t="inlineStr">
        <is>
          <t>IMAGE MISSING</t>
        </is>
      </c>
      <c r="B86" s="32" t="inlineStr">
        <is>
          <t>B0H41W1W98</t>
        </is>
      </c>
      <c r="C86" s="32" t="inlineStr">
        <is>
          <t>SL-SATIN-SHEET-6PC-QUEEN-LAVENDER</t>
        </is>
      </c>
      <c r="D86" s="32" t="inlineStr">
        <is>
          <t>SLEEPHORIA Satin Bed Sheets - 6 Piece Luxury Silky Queen Size Bedding Set - Softer Than Silk, Wrinkle-Free with 15” Deep Pocket Fitted Sheet, Perfect for Hair &amp; Skin, Gifts for Women (Lavender)</t>
        </is>
      </c>
      <c r="E86" s="32" t="inlineStr">
        <is>
          <t>Queen</t>
        </is>
      </c>
      <c r="F86" s="32" t="inlineStr">
        <is>
          <t>Lavender</t>
        </is>
      </c>
      <c r="G86" s="33" t="n"/>
      <c r="H86" s="32" t="n"/>
      <c r="I86" s="33" t="n"/>
      <c r="J86" s="32" t="n"/>
      <c r="K86" s="33" t="n"/>
      <c r="L86" s="63" t="n"/>
      <c r="M86" s="64" t="n"/>
      <c r="N86" s="32" t="inlineStr">
        <is>
          <t>Inactive</t>
        </is>
      </c>
      <c r="O86" s="32" t="n"/>
      <c r="P86" s="65" t="n"/>
      <c r="Q86" s="64" t="n"/>
      <c r="R86" s="64" t="n"/>
      <c r="S86" s="64" t="n"/>
      <c r="T86" s="32" t="n"/>
    </row>
    <row r="87" ht="62" customHeight="1">
      <c r="A87" s="39" t="inlineStr">
        <is>
          <t>IMAGE MISSING</t>
        </is>
      </c>
      <c r="B87" s="32" t="inlineStr">
        <is>
          <t>B0H421GWLR</t>
        </is>
      </c>
      <c r="C87" s="32" t="inlineStr">
        <is>
          <t>SL-SATIN-SHEET-6PC-QUEEN-NAVY-BLUE</t>
        </is>
      </c>
      <c r="D87" s="32" t="inlineStr">
        <is>
          <t>SLEEPHORIA Satin Bed Sheets - 6 Piece Luxury Silky Queen Size Bedding Set - Softer Than Silk, Wrinkle-Free with 15” Deep Pocket Fitted Sheet, Perfect for Hair &amp; Skin, Gifts for Women (Navy Blue)</t>
        </is>
      </c>
      <c r="E87" s="32" t="inlineStr">
        <is>
          <t>Queen</t>
        </is>
      </c>
      <c r="F87" s="32" t="inlineStr">
        <is>
          <t>Navy Blue</t>
        </is>
      </c>
      <c r="G87" s="33" t="n"/>
      <c r="H87" s="32" t="n"/>
      <c r="I87" s="33" t="n"/>
      <c r="J87" s="32" t="n"/>
      <c r="K87" s="33" t="n"/>
      <c r="L87" s="63" t="n"/>
      <c r="M87" s="64" t="n"/>
      <c r="N87" s="32" t="inlineStr">
        <is>
          <t>Inactive</t>
        </is>
      </c>
      <c r="O87" s="32" t="n"/>
      <c r="P87" s="65" t="n"/>
      <c r="Q87" s="64" t="n"/>
      <c r="R87" s="64" t="n"/>
      <c r="S87" s="64" t="n"/>
      <c r="T87" s="32" t="n"/>
    </row>
    <row r="88" ht="62" customHeight="1">
      <c r="A88" s="39" t="inlineStr">
        <is>
          <t>IMAGE MISSING</t>
        </is>
      </c>
      <c r="B88" s="32" t="inlineStr">
        <is>
          <t>B0H41WBKP1</t>
        </is>
      </c>
      <c r="C88" s="32" t="inlineStr">
        <is>
          <t>SL-SATIN-SHEET-6PC-QUEEN-PINK</t>
        </is>
      </c>
      <c r="D88" s="32" t="inlineStr">
        <is>
          <t>SLEEPHORIA Satin Bed Sheets - 6 Piece Luxury Silky Queen Size Bedding Set - Softer Than Silk, Wrinkle-Free with 15” Deep Pocket Fitted Sheet, Perfect for Hair &amp; Skin, Gifts for Women (Pink)</t>
        </is>
      </c>
      <c r="E88" s="32" t="inlineStr">
        <is>
          <t>Queen</t>
        </is>
      </c>
      <c r="F88" s="32" t="inlineStr">
        <is>
          <t>Pink</t>
        </is>
      </c>
      <c r="G88" s="33" t="n"/>
      <c r="H88" s="32" t="n"/>
      <c r="I88" s="33" t="n"/>
      <c r="J88" s="32" t="n"/>
      <c r="K88" s="33" t="n"/>
      <c r="L88" s="63" t="n"/>
      <c r="M88" s="64" t="n"/>
      <c r="N88" s="32" t="inlineStr">
        <is>
          <t>Inactive</t>
        </is>
      </c>
      <c r="O88" s="32" t="n"/>
      <c r="P88" s="65" t="n"/>
      <c r="Q88" s="64" t="n"/>
      <c r="R88" s="64" t="n"/>
      <c r="S88" s="64" t="n"/>
      <c r="T88" s="32" t="n"/>
    </row>
    <row r="89" ht="62" customHeight="1">
      <c r="A89" s="39" t="inlineStr">
        <is>
          <t>IMAGE MISSING</t>
        </is>
      </c>
      <c r="B89" s="32" t="inlineStr">
        <is>
          <t>B0H422Q8N6</t>
        </is>
      </c>
      <c r="C89" s="32" t="inlineStr">
        <is>
          <t>SL-SATIN-SHEET-6PC-QUEEN-PURPLE</t>
        </is>
      </c>
      <c r="D89" s="32" t="inlineStr">
        <is>
          <t>SLEEPHORIA Satin Bed Sheets - 6 Piece Luxury Silky Queen Size Bedding Set - Softer Than Silk, Wrinkle-Free with 15” Deep Pocket Fitted Sheet, Perfect for Hair &amp; Skin, Gifts for Women (Purple)</t>
        </is>
      </c>
      <c r="E89" s="32" t="inlineStr">
        <is>
          <t>Queen</t>
        </is>
      </c>
      <c r="F89" s="32" t="inlineStr">
        <is>
          <t>Purple</t>
        </is>
      </c>
      <c r="G89" s="33" t="n"/>
      <c r="H89" s="32" t="n"/>
      <c r="I89" s="33" t="n"/>
      <c r="J89" s="32" t="n"/>
      <c r="K89" s="33" t="n"/>
      <c r="L89" s="63" t="n"/>
      <c r="M89" s="64" t="n"/>
      <c r="N89" s="32" t="inlineStr">
        <is>
          <t>Inactive</t>
        </is>
      </c>
      <c r="O89" s="32" t="n"/>
      <c r="P89" s="65" t="n"/>
      <c r="Q89" s="64" t="n"/>
      <c r="R89" s="64" t="n"/>
      <c r="S89" s="64" t="n"/>
      <c r="T89" s="32" t="n"/>
    </row>
    <row r="90" ht="62" customHeight="1">
      <c r="A90" s="39" t="inlineStr">
        <is>
          <t>IMAGE MISSING</t>
        </is>
      </c>
      <c r="B90" s="32" t="inlineStr">
        <is>
          <t>B0H422QTMW</t>
        </is>
      </c>
      <c r="C90" s="32" t="inlineStr">
        <is>
          <t>SL-SATIN-SHEET-6PC-QUEEN-RED</t>
        </is>
      </c>
      <c r="D90" s="32" t="inlineStr">
        <is>
          <t>SLEEPHORIA Satin Bed Sheets - 6 Piece Luxury Silky Queen Size Bedding Set - Softer Than Silk, Wrinkle-Free with 15” Deep Pocket Fitted Sheet, Perfect for Hair &amp; Skin, Gifts for Women (Red)</t>
        </is>
      </c>
      <c r="E90" s="32" t="inlineStr">
        <is>
          <t>Queen</t>
        </is>
      </c>
      <c r="F90" s="32" t="inlineStr">
        <is>
          <t>Red</t>
        </is>
      </c>
      <c r="G90" s="33" t="n"/>
      <c r="H90" s="32" t="n"/>
      <c r="I90" s="33" t="n"/>
      <c r="J90" s="32" t="n"/>
      <c r="K90" s="33" t="n"/>
      <c r="L90" s="63" t="n"/>
      <c r="M90" s="64" t="n"/>
      <c r="N90" s="32" t="inlineStr">
        <is>
          <t>Inactive</t>
        </is>
      </c>
      <c r="O90" s="32" t="n"/>
      <c r="P90" s="65" t="n"/>
      <c r="Q90" s="64" t="n"/>
      <c r="R90" s="64" t="n"/>
      <c r="S90" s="64" t="n"/>
      <c r="T90" s="32" t="n"/>
    </row>
    <row r="91" ht="62" customHeight="1">
      <c r="A91" s="39" t="inlineStr">
        <is>
          <t>IMAGE MISSING</t>
        </is>
      </c>
      <c r="B91" s="32" t="inlineStr">
        <is>
          <t>B0H428RWVT</t>
        </is>
      </c>
      <c r="C91" s="32" t="inlineStr">
        <is>
          <t>SL-SATIN-SHEET-6PC-QUEEN-ROSEWOOD</t>
        </is>
      </c>
      <c r="D91" s="32" t="inlineStr">
        <is>
          <t>SLEEPHORIA Satin Bed Sheets - 6 Piece Luxury Silky Queen Size Bedding Set - Softer Than Silk, Wrinkle-Free with 15” Deep Pocket Fitted Sheet, Perfect for Hair &amp; Skin, Gifts for Women (Rosewood)</t>
        </is>
      </c>
      <c r="E91" s="32" t="inlineStr">
        <is>
          <t>Queen</t>
        </is>
      </c>
      <c r="F91" s="32" t="inlineStr">
        <is>
          <t>Rosewood</t>
        </is>
      </c>
      <c r="G91" s="33" t="n"/>
      <c r="H91" s="32" t="n"/>
      <c r="I91" s="33" t="n"/>
      <c r="J91" s="32" t="n"/>
      <c r="K91" s="33" t="n"/>
      <c r="L91" s="63" t="n"/>
      <c r="M91" s="64" t="n"/>
      <c r="N91" s="32" t="inlineStr">
        <is>
          <t>Inactive</t>
        </is>
      </c>
      <c r="O91" s="32" t="n"/>
      <c r="P91" s="65" t="n"/>
      <c r="Q91" s="64" t="n"/>
      <c r="R91" s="64" t="n"/>
      <c r="S91" s="64" t="n"/>
      <c r="T91" s="32" t="n"/>
    </row>
    <row r="92" ht="62" customHeight="1">
      <c r="A92" s="39" t="inlineStr">
        <is>
          <t>IMAGE MISSING</t>
        </is>
      </c>
      <c r="B92" s="32" t="inlineStr">
        <is>
          <t>B0H41R5G6D</t>
        </is>
      </c>
      <c r="C92" s="32" t="inlineStr">
        <is>
          <t>SL-SATIN-SHEET-6PC-QUEEN-SAGE-GREEN</t>
        </is>
      </c>
      <c r="D92" s="32" t="inlineStr">
        <is>
          <t>SLEEPHORIA Satin Bed Sheets - 6 Piece Luxury Silky Queen Size Bedding Set - Softer Than Silk, Wrinkle-Free with 15” Deep Pocket Fitted Sheet, Perfect for Hair &amp; Skin, Gifts for Women (Sage Green)</t>
        </is>
      </c>
      <c r="E92" s="32" t="inlineStr">
        <is>
          <t>Queen</t>
        </is>
      </c>
      <c r="F92" s="32" t="inlineStr">
        <is>
          <t>Sage Green</t>
        </is>
      </c>
      <c r="G92" s="33" t="n"/>
      <c r="H92" s="32" t="n"/>
      <c r="I92" s="33" t="n"/>
      <c r="J92" s="32" t="n"/>
      <c r="K92" s="33" t="n"/>
      <c r="L92" s="63" t="n"/>
      <c r="M92" s="64" t="n"/>
      <c r="N92" s="32" t="inlineStr">
        <is>
          <t>Inactive</t>
        </is>
      </c>
      <c r="O92" s="32" t="n"/>
      <c r="P92" s="65" t="n"/>
      <c r="Q92" s="64" t="n"/>
      <c r="R92" s="64" t="n"/>
      <c r="S92" s="64" t="n"/>
      <c r="T92" s="32" t="n"/>
    </row>
    <row r="93" ht="62" customHeight="1">
      <c r="A93" s="39" t="inlineStr">
        <is>
          <t>IMAGE MISSING</t>
        </is>
      </c>
      <c r="B93" s="32" t="inlineStr">
        <is>
          <t>B0H422XBGZ</t>
        </is>
      </c>
      <c r="C93" s="32" t="inlineStr">
        <is>
          <t>SL-SATIN-SHEET-6PC-QUEEN-SEA-TEAL</t>
        </is>
      </c>
      <c r="D93" s="32" t="inlineStr">
        <is>
          <t>SLEEPHORIA Satin Bed Sheets - 6 Piece Luxury Silky Queen Size Bedding Set - Softer Than Silk, Wrinkle-Free with 15” Deep Pocket Fitted Sheet, Perfect for Hair &amp; Skin, Gifts for Women (Sea Teal)</t>
        </is>
      </c>
      <c r="E93" s="32" t="inlineStr">
        <is>
          <t>Queen</t>
        </is>
      </c>
      <c r="F93" s="32" t="inlineStr">
        <is>
          <t>Sea Teal</t>
        </is>
      </c>
      <c r="G93" s="33" t="n"/>
      <c r="H93" s="32" t="n"/>
      <c r="I93" s="33" t="n"/>
      <c r="J93" s="32" t="n"/>
      <c r="K93" s="33" t="n"/>
      <c r="L93" s="63" t="n"/>
      <c r="M93" s="64" t="n"/>
      <c r="N93" s="32" t="inlineStr">
        <is>
          <t>Inactive</t>
        </is>
      </c>
      <c r="O93" s="32" t="n"/>
      <c r="P93" s="65" t="n"/>
      <c r="Q93" s="64" t="n"/>
      <c r="R93" s="64" t="n"/>
      <c r="S93" s="64" t="n"/>
      <c r="T93" s="32" t="n"/>
    </row>
    <row r="94" ht="62" customHeight="1">
      <c r="A94" s="39" t="inlineStr">
        <is>
          <t>IMAGE MISSING</t>
        </is>
      </c>
      <c r="B94" s="32" t="inlineStr">
        <is>
          <t>B0H41T764H</t>
        </is>
      </c>
      <c r="C94" s="32" t="inlineStr">
        <is>
          <t>SL-SATIN-SHEET-6PC-QUEEN-STONE-GREY</t>
        </is>
      </c>
      <c r="D94" s="32" t="inlineStr">
        <is>
          <t>SLEEPHORIA Satin Bed Sheets - 6 Piece Luxury Silky Queen Size Bedding Set - Softer Than Silk, Wrinkle-Free with 15” Deep Pocket Fitted Sheet, Perfect for Hair &amp; Skin, Gifts for Women (Stone Grey)</t>
        </is>
      </c>
      <c r="E94" s="32" t="inlineStr">
        <is>
          <t>Queen</t>
        </is>
      </c>
      <c r="F94" s="32" t="inlineStr">
        <is>
          <t>Stone Grey</t>
        </is>
      </c>
      <c r="G94" s="33" t="n"/>
      <c r="H94" s="32" t="n"/>
      <c r="I94" s="33" t="n"/>
      <c r="J94" s="32" t="n"/>
      <c r="K94" s="33" t="n"/>
      <c r="L94" s="63" t="n"/>
      <c r="M94" s="64" t="n"/>
      <c r="N94" s="32" t="inlineStr">
        <is>
          <t>Inactive</t>
        </is>
      </c>
      <c r="O94" s="32" t="n"/>
      <c r="P94" s="65" t="n"/>
      <c r="Q94" s="64" t="n"/>
      <c r="R94" s="64" t="n"/>
      <c r="S94" s="64" t="n"/>
      <c r="T94" s="32" t="n"/>
    </row>
    <row r="95" ht="62" customHeight="1">
      <c r="A95" s="39" t="inlineStr">
        <is>
          <t>IMAGE MISSING</t>
        </is>
      </c>
      <c r="B95" s="32" t="inlineStr">
        <is>
          <t>B0H41X21PB</t>
        </is>
      </c>
      <c r="C95" s="32" t="inlineStr">
        <is>
          <t>SL-SATIN-SHEET-6PC-QUEEN-STRIPED-BLACK</t>
        </is>
      </c>
      <c r="D95" s="32" t="inlineStr">
        <is>
          <t>SLEEPHORIA Satin Bed Sheets - 6 Piece Luxury Silky Queen Size Bedding Set - Softer Than Silk, Wrinkle-Free with 15” Deep Pocket Fitted Sheet, Perfect for Hair &amp; Skin, Gifts for Women (Striped Black)</t>
        </is>
      </c>
      <c r="E95" s="32" t="inlineStr">
        <is>
          <t>Queen</t>
        </is>
      </c>
      <c r="F95" s="32" t="inlineStr">
        <is>
          <t>Striped Black</t>
        </is>
      </c>
      <c r="G95" s="33" t="n"/>
      <c r="H95" s="32" t="n"/>
      <c r="I95" s="33" t="n"/>
      <c r="J95" s="32" t="n"/>
      <c r="K95" s="33" t="n"/>
      <c r="L95" s="63" t="n"/>
      <c r="M95" s="64" t="n"/>
      <c r="N95" s="32" t="inlineStr">
        <is>
          <t>Inactive</t>
        </is>
      </c>
      <c r="O95" s="32" t="n"/>
      <c r="P95" s="65" t="n"/>
      <c r="Q95" s="64" t="n"/>
      <c r="R95" s="64" t="n"/>
      <c r="S95" s="64" t="n"/>
      <c r="T95" s="32" t="n"/>
    </row>
    <row r="96" ht="62" customHeight="1">
      <c r="A96" s="39" t="inlineStr">
        <is>
          <t>IMAGE MISSING</t>
        </is>
      </c>
      <c r="B96" s="32" t="inlineStr">
        <is>
          <t>B0H4219PYN</t>
        </is>
      </c>
      <c r="C96" s="32" t="inlineStr">
        <is>
          <t>SL-SATIN-SHEET-6PC-QUEEN-STRIPED-BLUE</t>
        </is>
      </c>
      <c r="D96" s="32" t="inlineStr">
        <is>
          <t>SLEEPHORIA Satin Bed Sheets - 6 Piece Luxury Silky Queen Size Bedding Set - Softer Than Silk, Wrinkle-Free with 15” Deep Pocket Fitted Sheet, Perfect for Hair &amp; Skin, Gifts for Women (Striped Blue)</t>
        </is>
      </c>
      <c r="E96" s="32" t="inlineStr">
        <is>
          <t>Queen</t>
        </is>
      </c>
      <c r="F96" s="32" t="inlineStr">
        <is>
          <t>Striped Blue</t>
        </is>
      </c>
      <c r="G96" s="33" t="n"/>
      <c r="H96" s="32" t="n"/>
      <c r="I96" s="33" t="n"/>
      <c r="J96" s="32" t="n"/>
      <c r="K96" s="33" t="n"/>
      <c r="L96" s="63" t="n"/>
      <c r="M96" s="64" t="n"/>
      <c r="N96" s="32" t="inlineStr">
        <is>
          <t>Inactive</t>
        </is>
      </c>
      <c r="O96" s="32" t="n"/>
      <c r="P96" s="65" t="n"/>
      <c r="Q96" s="64" t="n"/>
      <c r="R96" s="64" t="n"/>
      <c r="S96" s="64" t="n"/>
      <c r="T96" s="32" t="n"/>
    </row>
    <row r="97" ht="62" customHeight="1">
      <c r="A97" s="39" t="inlineStr">
        <is>
          <t>IMAGE MISSING</t>
        </is>
      </c>
      <c r="B97" s="32" t="inlineStr">
        <is>
          <t>B0H4251LGR</t>
        </is>
      </c>
      <c r="C97" s="32" t="inlineStr">
        <is>
          <t>SL-SATIN-SHEET-6PC-QUEEN-STRIPED-GOLD</t>
        </is>
      </c>
      <c r="D97" s="32" t="inlineStr">
        <is>
          <t>SLEEPHORIA Satin Bed Sheets - 6 Piece Luxury Silky Queen Size Bedding Set - Softer Than Silk, Wrinkle-Free with 15” Deep Pocket Fitted Sheet, Perfect for Hair &amp; Skin, Gifts for Women (Striped Gold)</t>
        </is>
      </c>
      <c r="E97" s="32" t="inlineStr">
        <is>
          <t>Queen</t>
        </is>
      </c>
      <c r="F97" s="32" t="inlineStr">
        <is>
          <t>Striped Gold</t>
        </is>
      </c>
      <c r="G97" s="33" t="n"/>
      <c r="H97" s="32" t="n"/>
      <c r="I97" s="33" t="n"/>
      <c r="J97" s="32" t="n"/>
      <c r="K97" s="33" t="n"/>
      <c r="L97" s="63" t="n"/>
      <c r="M97" s="64" t="n"/>
      <c r="N97" s="32" t="inlineStr">
        <is>
          <t>Inactive</t>
        </is>
      </c>
      <c r="O97" s="32" t="n"/>
      <c r="P97" s="65" t="n"/>
      <c r="Q97" s="64" t="n"/>
      <c r="R97" s="64" t="n"/>
      <c r="S97" s="64" t="n"/>
      <c r="T97" s="32" t="n"/>
    </row>
    <row r="98" ht="62" customHeight="1">
      <c r="A98" s="39" t="inlineStr">
        <is>
          <t>IMAGE MISSING</t>
        </is>
      </c>
      <c r="B98" s="32" t="inlineStr">
        <is>
          <t>B0H421LWCL</t>
        </is>
      </c>
      <c r="C98" s="32" t="inlineStr">
        <is>
          <t>SL-SATIN-SHEET-6PC-QUEEN-STRIPED-GREY</t>
        </is>
      </c>
      <c r="D98" s="32" t="inlineStr">
        <is>
          <t>SLEEPHORIA Satin Bed Sheets - 6 Piece Luxury Silky Queen Size Bedding Set - Softer Than Silk, Wrinkle-Free with 15” Deep Pocket Fitted Sheet, Perfect for Hair &amp; Skin, Gifts for Women (Striped Grey)</t>
        </is>
      </c>
      <c r="E98" s="32" t="inlineStr">
        <is>
          <t>Queen</t>
        </is>
      </c>
      <c r="F98" s="32" t="inlineStr">
        <is>
          <t>Striped Grey</t>
        </is>
      </c>
      <c r="G98" s="33" t="n"/>
      <c r="H98" s="32" t="n"/>
      <c r="I98" s="33" t="n"/>
      <c r="J98" s="32" t="n"/>
      <c r="K98" s="33" t="n"/>
      <c r="L98" s="63" t="n"/>
      <c r="M98" s="64" t="n"/>
      <c r="N98" s="32" t="inlineStr">
        <is>
          <t>Inactive</t>
        </is>
      </c>
      <c r="O98" s="32" t="n"/>
      <c r="P98" s="65" t="n"/>
      <c r="Q98" s="64" t="n"/>
      <c r="R98" s="64" t="n"/>
      <c r="S98" s="64" t="n"/>
      <c r="T98" s="32" t="n"/>
    </row>
    <row r="99" ht="62" customHeight="1">
      <c r="A99" s="39" t="inlineStr">
        <is>
          <t>IMAGE MISSING</t>
        </is>
      </c>
      <c r="B99" s="32" t="inlineStr">
        <is>
          <t>B0H41R6HYY</t>
        </is>
      </c>
      <c r="C99" s="32" t="inlineStr">
        <is>
          <t>SL-SATIN-SHEET-6PC-QUEEN-STRIPED-PINK</t>
        </is>
      </c>
      <c r="D99" s="32" t="inlineStr">
        <is>
          <t>SLEEPHORIA Satin Bed Sheets - 6 Piece Luxury Silky Queen Size Bedding Set - Softer Than Silk, Wrinkle-Free with 15” Deep Pocket Fitted Sheet, Perfect for Hair &amp; Skin, Gifts for Women (Striped Pink)</t>
        </is>
      </c>
      <c r="E99" s="32" t="inlineStr">
        <is>
          <t>Queen</t>
        </is>
      </c>
      <c r="F99" s="32" t="inlineStr">
        <is>
          <t>Striped Pink</t>
        </is>
      </c>
      <c r="G99" s="33" t="n"/>
      <c r="H99" s="32" t="n"/>
      <c r="I99" s="33" t="n"/>
      <c r="J99" s="32" t="n"/>
      <c r="K99" s="33" t="n"/>
      <c r="L99" s="63" t="n"/>
      <c r="M99" s="64" t="n"/>
      <c r="N99" s="32" t="inlineStr">
        <is>
          <t>Inactive</t>
        </is>
      </c>
      <c r="O99" s="32" t="n"/>
      <c r="P99" s="65" t="n"/>
      <c r="Q99" s="64" t="n"/>
      <c r="R99" s="64" t="n"/>
      <c r="S99" s="64" t="n"/>
      <c r="T99" s="32" t="n"/>
    </row>
    <row r="100" ht="62" customHeight="1">
      <c r="A100" s="39" t="inlineStr">
        <is>
          <t>IMAGE MISSING</t>
        </is>
      </c>
      <c r="B100" s="32" t="inlineStr">
        <is>
          <t>B0H41Z8P78</t>
        </is>
      </c>
      <c r="C100" s="32" t="inlineStr">
        <is>
          <t>SL-SATIN-SHEET-6PC-QUEEN-STRIPED-PURPLE</t>
        </is>
      </c>
      <c r="D100" s="32" t="inlineStr">
        <is>
          <t>SLEEPHORIA Satin Bed Sheets - 6 Piece Luxury Silky Queen Size Bedding Set - Softer Than Silk, Wrinkle-Free with 15” Deep Pocket Fitted Sheet, Perfect for Hair &amp; Skin, Gifts for Women (Striped Purple)</t>
        </is>
      </c>
      <c r="E100" s="32" t="inlineStr">
        <is>
          <t>Queen</t>
        </is>
      </c>
      <c r="F100" s="32" t="inlineStr">
        <is>
          <t>Striped Purple</t>
        </is>
      </c>
      <c r="G100" s="33" t="n"/>
      <c r="H100" s="32" t="n"/>
      <c r="I100" s="33" t="n"/>
      <c r="J100" s="32" t="n"/>
      <c r="K100" s="33" t="n"/>
      <c r="L100" s="63" t="n"/>
      <c r="M100" s="64" t="n"/>
      <c r="N100" s="32" t="inlineStr">
        <is>
          <t>Inactive</t>
        </is>
      </c>
      <c r="O100" s="32" t="n"/>
      <c r="P100" s="65" t="n"/>
      <c r="Q100" s="64" t="n"/>
      <c r="R100" s="64" t="n"/>
      <c r="S100" s="64" t="n"/>
      <c r="T100" s="32" t="n"/>
    </row>
    <row r="101" ht="62" customHeight="1">
      <c r="A101" s="39" t="inlineStr">
        <is>
          <t>IMAGE MISSING</t>
        </is>
      </c>
      <c r="B101" s="32" t="inlineStr">
        <is>
          <t>B0H41WB4Q5</t>
        </is>
      </c>
      <c r="C101" s="32" t="inlineStr">
        <is>
          <t>SL-SATIN-SHEET-6PC-QUEEN-STRIPED-RED</t>
        </is>
      </c>
      <c r="D101" s="32" t="inlineStr">
        <is>
          <t>SLEEPHORIA Satin Bed Sheets - 6 Piece Luxury Silky Queen Size Bedding Set - Softer Than Silk, Wrinkle-Free with 15” Deep Pocket Fitted Sheet, Perfect for Hair &amp; Skin, Gifts for Women (Striped Red)</t>
        </is>
      </c>
      <c r="E101" s="32" t="inlineStr">
        <is>
          <t>Queen</t>
        </is>
      </c>
      <c r="F101" s="32" t="inlineStr">
        <is>
          <t>Striped Red</t>
        </is>
      </c>
      <c r="G101" s="33" t="n"/>
      <c r="H101" s="32" t="n"/>
      <c r="I101" s="33" t="n"/>
      <c r="J101" s="32" t="n"/>
      <c r="K101" s="33" t="n"/>
      <c r="L101" s="63" t="n"/>
      <c r="M101" s="64" t="n"/>
      <c r="N101" s="32" t="inlineStr">
        <is>
          <t>Inactive</t>
        </is>
      </c>
      <c r="O101" s="32" t="n"/>
      <c r="P101" s="65" t="n"/>
      <c r="Q101" s="64" t="n"/>
      <c r="R101" s="64" t="n"/>
      <c r="S101" s="64" t="n"/>
      <c r="T101" s="32" t="n"/>
    </row>
    <row r="102" ht="62" customHeight="1">
      <c r="A102" s="39" t="inlineStr">
        <is>
          <t>IMAGE MISSING</t>
        </is>
      </c>
      <c r="B102" s="32" t="inlineStr">
        <is>
          <t>B0H41Z7JLK</t>
        </is>
      </c>
      <c r="C102" s="32" t="inlineStr">
        <is>
          <t>SL-SATIN-SHEET-6PC-QUEEN-STRIPED-WHITE</t>
        </is>
      </c>
      <c r="D102" s="32" t="inlineStr">
        <is>
          <t>SLEEPHORIA Satin Bed Sheets - 6 Piece Luxury Silky Queen Size Bedding Set - Softer Than Silk, Wrinkle-Free with 15” Deep Pocket Fitted Sheet, Perfect for Hair &amp; Skin, Gifts for Women (Striped White)</t>
        </is>
      </c>
      <c r="E102" s="32" t="inlineStr">
        <is>
          <t>Queen</t>
        </is>
      </c>
      <c r="F102" s="32" t="inlineStr">
        <is>
          <t>Striped White</t>
        </is>
      </c>
      <c r="G102" s="33" t="n"/>
      <c r="H102" s="32" t="n"/>
      <c r="I102" s="33" t="n"/>
      <c r="J102" s="32" t="n"/>
      <c r="K102" s="33" t="n"/>
      <c r="L102" s="63" t="n"/>
      <c r="M102" s="64" t="n"/>
      <c r="N102" s="32" t="inlineStr">
        <is>
          <t>Inactive</t>
        </is>
      </c>
      <c r="O102" s="32" t="n"/>
      <c r="P102" s="65" t="n"/>
      <c r="Q102" s="64" t="n"/>
      <c r="R102" s="64" t="n"/>
      <c r="S102" s="64" t="n"/>
      <c r="T102" s="32" t="n"/>
    </row>
    <row r="103" ht="62" customHeight="1">
      <c r="A103" s="39" t="inlineStr">
        <is>
          <t>IMAGE MISSING</t>
        </is>
      </c>
      <c r="B103" s="32" t="inlineStr">
        <is>
          <t>B0H41YSBWS</t>
        </is>
      </c>
      <c r="C103" s="32" t="inlineStr">
        <is>
          <t>SL-SATIN-SHEET-6PC-QUEEN-TAUPE</t>
        </is>
      </c>
      <c r="D103" s="32" t="inlineStr">
        <is>
          <t>SLEEPHORIA Satin Bed Sheets - 6 Piece Luxury Silky Queen Size Bedding Set - Softer Than Silk, Wrinkle-Free with 15” Deep Pocket Fitted Sheet, Perfect for Hair &amp; Skin, Gifts for Women (Taupe)</t>
        </is>
      </c>
      <c r="E103" s="32" t="inlineStr">
        <is>
          <t>Queen</t>
        </is>
      </c>
      <c r="F103" s="32" t="inlineStr">
        <is>
          <t>Taupe</t>
        </is>
      </c>
      <c r="G103" s="33" t="n"/>
      <c r="H103" s="32" t="n"/>
      <c r="I103" s="33" t="n"/>
      <c r="J103" s="32" t="n"/>
      <c r="K103" s="33" t="n"/>
      <c r="L103" s="63" t="n"/>
      <c r="M103" s="64" t="n"/>
      <c r="N103" s="32" t="inlineStr">
        <is>
          <t>Inactive</t>
        </is>
      </c>
      <c r="O103" s="32" t="n"/>
      <c r="P103" s="65" t="n"/>
      <c r="Q103" s="64" t="n"/>
      <c r="R103" s="64" t="n"/>
      <c r="S103" s="64" t="n"/>
      <c r="T103" s="32" t="n"/>
    </row>
    <row r="104" ht="62" customHeight="1">
      <c r="A104" s="39" t="inlineStr">
        <is>
          <t>IMAGE MISSING</t>
        </is>
      </c>
      <c r="B104" s="32" t="inlineStr">
        <is>
          <t>B0H424984V</t>
        </is>
      </c>
      <c r="C104" s="32" t="inlineStr">
        <is>
          <t>SL-SATIN-SHEET-6PC-QUEEN-WHITE</t>
        </is>
      </c>
      <c r="D104" s="32" t="inlineStr">
        <is>
          <t>SLEEPHORIA Satin Bed Sheets - 6 Piece Luxury Silky Queen Size Bedding Set - Softer Than Silk, Wrinkle-Free with 15” Deep Pocket Fitted Sheet, Perfect for Hair &amp; Skin, Gifts for Women (White)</t>
        </is>
      </c>
      <c r="E104" s="32" t="inlineStr">
        <is>
          <t>Queen</t>
        </is>
      </c>
      <c r="F104" s="32" t="inlineStr">
        <is>
          <t>White</t>
        </is>
      </c>
      <c r="G104" s="33" t="n"/>
      <c r="H104" s="32" t="n"/>
      <c r="I104" s="33" t="n"/>
      <c r="J104" s="32" t="n"/>
      <c r="K104" s="33" t="n"/>
      <c r="L104" s="63" t="n"/>
      <c r="M104" s="64" t="n"/>
      <c r="N104" s="32" t="inlineStr">
        <is>
          <t>Inactive</t>
        </is>
      </c>
      <c r="O104" s="32" t="n"/>
      <c r="P104" s="65" t="n"/>
      <c r="Q104" s="64" t="n"/>
      <c r="R104" s="64" t="n"/>
      <c r="S104" s="64" t="n"/>
      <c r="T104" s="32" t="n"/>
    </row>
    <row r="105" ht="62" customHeight="1">
      <c r="A105" s="39" t="inlineStr">
        <is>
          <t>IMAGE MISSING</t>
        </is>
      </c>
      <c r="B105" s="32" t="inlineStr">
        <is>
          <t>B0H423N22N</t>
        </is>
      </c>
      <c r="C105" s="32" t="inlineStr">
        <is>
          <t>SL-SATIN-SHEET-4PC-TWIN-BABY-BLUE</t>
        </is>
      </c>
      <c r="D105" s="32" t="inlineStr">
        <is>
          <t>SLEEPHORIA Satin Bed Sheets - 4 Piece Luxury Silky Twin Size Bedding Set - Softer Than Silk, Wrinkle-Free with 15” Deep Pocket Fitted Sheet, Perfect for Hair &amp; Skin, Gifts for Women (Baby Blue)</t>
        </is>
      </c>
      <c r="E105" s="32" t="inlineStr">
        <is>
          <t>Twin</t>
        </is>
      </c>
      <c r="F105" s="32" t="inlineStr">
        <is>
          <t>Baby Blue</t>
        </is>
      </c>
      <c r="G105" s="33" t="n"/>
      <c r="H105" s="32" t="n"/>
      <c r="I105" s="33" t="n"/>
      <c r="J105" s="32" t="n"/>
      <c r="K105" s="33" t="n"/>
      <c r="L105" s="63" t="n"/>
      <c r="M105" s="64" t="n"/>
      <c r="N105" s="32" t="inlineStr">
        <is>
          <t>Inactive</t>
        </is>
      </c>
      <c r="O105" s="32" t="n"/>
      <c r="P105" s="65" t="n"/>
      <c r="Q105" s="64" t="n"/>
      <c r="R105" s="64" t="n"/>
      <c r="S105" s="64" t="n"/>
      <c r="T105" s="32" t="n"/>
    </row>
    <row r="106" ht="62" customHeight="1">
      <c r="A106" s="39" t="inlineStr">
        <is>
          <t>IMAGE MISSING</t>
        </is>
      </c>
      <c r="B106" s="32" t="inlineStr">
        <is>
          <t>B0H427RP64</t>
        </is>
      </c>
      <c r="C106" s="32" t="inlineStr">
        <is>
          <t>SL-SATIN-SHEET-4PC-TWIN-BLACK</t>
        </is>
      </c>
      <c r="D106" s="32" t="inlineStr">
        <is>
          <t>SLEEPHORIA Satin Bed Sheets - 4 Piece Luxury Silky Twin Size Bedding Set - Softer Than Silk, Wrinkle-Free with 15” Deep Pocket Fitted Sheet, Perfect for Hair &amp; Skin, Gifts for Women (Black)</t>
        </is>
      </c>
      <c r="E106" s="32" t="inlineStr">
        <is>
          <t>Twin</t>
        </is>
      </c>
      <c r="F106" s="32" t="inlineStr">
        <is>
          <t>Black</t>
        </is>
      </c>
      <c r="G106" s="33" t="n"/>
      <c r="H106" s="32" t="n"/>
      <c r="I106" s="33" t="n"/>
      <c r="J106" s="32" t="n"/>
      <c r="K106" s="33" t="n"/>
      <c r="L106" s="63" t="n"/>
      <c r="M106" s="64" t="n"/>
      <c r="N106" s="32" t="inlineStr">
        <is>
          <t>Inactive</t>
        </is>
      </c>
      <c r="O106" s="32" t="n"/>
      <c r="P106" s="65" t="n"/>
      <c r="Q106" s="64" t="n"/>
      <c r="R106" s="64" t="n"/>
      <c r="S106" s="64" t="n"/>
      <c r="T106" s="32" t="n"/>
    </row>
    <row r="107" ht="62" customHeight="1">
      <c r="A107" s="39" t="inlineStr">
        <is>
          <t>IMAGE MISSING</t>
        </is>
      </c>
      <c r="B107" s="32" t="inlineStr">
        <is>
          <t>B0H427MRMN</t>
        </is>
      </c>
      <c r="C107" s="32" t="inlineStr">
        <is>
          <t>SL-SATIN-SHEET-4PC-TWIN-BLUE</t>
        </is>
      </c>
      <c r="D107" s="32" t="inlineStr">
        <is>
          <t>SLEEPHORIA Satin Bed Sheets - 4 Piece Luxury Silky Twin Size Bedding Set - Softer Than Silk, Wrinkle-Free with 15” Deep Pocket Fitted Sheet, Perfect for Hair &amp; Skin, Gifts for Women (Blue)</t>
        </is>
      </c>
      <c r="E107" s="32" t="inlineStr">
        <is>
          <t>Twin</t>
        </is>
      </c>
      <c r="F107" s="32" t="inlineStr">
        <is>
          <t>Blue</t>
        </is>
      </c>
      <c r="G107" s="33" t="n"/>
      <c r="H107" s="32" t="n"/>
      <c r="I107" s="33" t="n"/>
      <c r="J107" s="32" t="n"/>
      <c r="K107" s="33" t="n"/>
      <c r="L107" s="63" t="n"/>
      <c r="M107" s="64" t="n"/>
      <c r="N107" s="32" t="inlineStr">
        <is>
          <t>Inactive</t>
        </is>
      </c>
      <c r="O107" s="32" t="n"/>
      <c r="P107" s="65" t="n"/>
      <c r="Q107" s="64" t="n"/>
      <c r="R107" s="64" t="n"/>
      <c r="S107" s="64" t="n"/>
      <c r="T107" s="32" t="n"/>
    </row>
    <row r="108" ht="62" customHeight="1">
      <c r="A108" s="39" t="inlineStr">
        <is>
          <t>IMAGE MISSING</t>
        </is>
      </c>
      <c r="B108" s="32" t="inlineStr">
        <is>
          <t>B0H423P2Z4</t>
        </is>
      </c>
      <c r="C108" s="32" t="inlineStr">
        <is>
          <t>SL-SATIN-SHEET-4PC-TWIN-BLUSH-PINK</t>
        </is>
      </c>
      <c r="D108" s="32" t="inlineStr">
        <is>
          <t>SLEEPHORIA Satin Bed Sheets - 4 Piece Luxury Silky Twin Size Bedding Set - Softer Than Silk, Wrinkle-Free with 15” Deep Pocket Fitted Sheet, Perfect for Hair &amp; Skin, Gifts for Women (Blush Pink)</t>
        </is>
      </c>
      <c r="E108" s="32" t="inlineStr">
        <is>
          <t>Twin</t>
        </is>
      </c>
      <c r="F108" s="32" t="inlineStr">
        <is>
          <t>Blush Pink</t>
        </is>
      </c>
      <c r="G108" s="33" t="n"/>
      <c r="H108" s="32" t="n"/>
      <c r="I108" s="33" t="n"/>
      <c r="J108" s="32" t="n"/>
      <c r="K108" s="33" t="n"/>
      <c r="L108" s="63" t="n"/>
      <c r="M108" s="64" t="n"/>
      <c r="N108" s="32" t="inlineStr">
        <is>
          <t>Inactive</t>
        </is>
      </c>
      <c r="O108" s="32" t="n"/>
      <c r="P108" s="65" t="n"/>
      <c r="Q108" s="64" t="n"/>
      <c r="R108" s="64" t="n"/>
      <c r="S108" s="64" t="n"/>
      <c r="T108" s="32" t="n"/>
    </row>
    <row r="109" ht="62" customHeight="1">
      <c r="A109" s="39" t="inlineStr">
        <is>
          <t>IMAGE MISSING</t>
        </is>
      </c>
      <c r="B109" s="32" t="inlineStr">
        <is>
          <t>B0H41S9Q8N</t>
        </is>
      </c>
      <c r="C109" s="32" t="inlineStr">
        <is>
          <t>SL-SATIN-SHEET-4PC-TWIN-BURNT-ORANGE</t>
        </is>
      </c>
      <c r="D109" s="32" t="inlineStr">
        <is>
          <t>SLEEPHORIA Satin Bed Sheets - 4 Piece Luxury Silky Twin Size Bedding Set - Softer Than Silk, Wrinkle-Free with 15” Deep Pocket Fitted Sheet, Perfect for Hair &amp; Skin, Gifts for Women (Burnt Orange)</t>
        </is>
      </c>
      <c r="E109" s="32" t="inlineStr">
        <is>
          <t>Twin</t>
        </is>
      </c>
      <c r="F109" s="32" t="inlineStr">
        <is>
          <t>Burnt Orange</t>
        </is>
      </c>
      <c r="G109" s="33" t="n"/>
      <c r="H109" s="32" t="n"/>
      <c r="I109" s="33" t="n"/>
      <c r="J109" s="32" t="n"/>
      <c r="K109" s="33" t="n"/>
      <c r="L109" s="63" t="n"/>
      <c r="M109" s="64" t="n"/>
      <c r="N109" s="32" t="inlineStr">
        <is>
          <t>Inactive</t>
        </is>
      </c>
      <c r="O109" s="32" t="n"/>
      <c r="P109" s="65" t="n"/>
      <c r="Q109" s="64" t="n"/>
      <c r="R109" s="64" t="n"/>
      <c r="S109" s="64" t="n"/>
      <c r="T109" s="32" t="n"/>
    </row>
    <row r="110" ht="62" customHeight="1">
      <c r="A110" s="39" t="inlineStr">
        <is>
          <t>IMAGE MISSING</t>
        </is>
      </c>
      <c r="B110" s="32" t="inlineStr">
        <is>
          <t>B0H41T85NR</t>
        </is>
      </c>
      <c r="C110" s="32" t="inlineStr">
        <is>
          <t>SL-SATIN-SHEET-4PC-TWIN-CHAMPAGNE</t>
        </is>
      </c>
      <c r="D110" s="32" t="inlineStr">
        <is>
          <t>SLEEPHORIA Satin Bed Sheets - 4 Piece Luxury Silky Twin Size Bedding Set - Softer Than Silk, Wrinkle-Free with 15” Deep Pocket Fitted Sheet, Perfect for Hair &amp; Skin, Gifts for Women (Champagne)</t>
        </is>
      </c>
      <c r="E110" s="32" t="inlineStr">
        <is>
          <t>Twin</t>
        </is>
      </c>
      <c r="F110" s="32" t="inlineStr">
        <is>
          <t>Champagne</t>
        </is>
      </c>
      <c r="G110" s="33" t="n"/>
      <c r="H110" s="32" t="n"/>
      <c r="I110" s="33" t="n"/>
      <c r="J110" s="32" t="n"/>
      <c r="K110" s="33" t="n"/>
      <c r="L110" s="63" t="n"/>
      <c r="M110" s="64" t="n"/>
      <c r="N110" s="32" t="inlineStr">
        <is>
          <t>Inactive</t>
        </is>
      </c>
      <c r="O110" s="32" t="n"/>
      <c r="P110" s="65" t="n"/>
      <c r="Q110" s="64" t="n"/>
      <c r="R110" s="64" t="n"/>
      <c r="S110" s="64" t="n"/>
      <c r="T110" s="32" t="n"/>
    </row>
    <row r="111" ht="62" customHeight="1">
      <c r="A111" s="39" t="inlineStr">
        <is>
          <t>IMAGE MISSING</t>
        </is>
      </c>
      <c r="B111" s="32" t="inlineStr">
        <is>
          <t>B0H42184R7</t>
        </is>
      </c>
      <c r="C111" s="32" t="inlineStr">
        <is>
          <t>SL-SATIN-SHEET-4PC-TWIN-DARK-GREEN</t>
        </is>
      </c>
      <c r="D111" s="32" t="inlineStr">
        <is>
          <t>SLEEPHORIA Satin Bed Sheets - 4 Piece Luxury Silky Twin Size Bedding Set - Softer Than Silk, Wrinkle-Free with 15” Deep Pocket Fitted Sheet, Perfect for Hair &amp; Skin, Gifts for Women (Dark Green)</t>
        </is>
      </c>
      <c r="E111" s="32" t="inlineStr">
        <is>
          <t>Twin</t>
        </is>
      </c>
      <c r="F111" s="32" t="inlineStr">
        <is>
          <t>Dark Green</t>
        </is>
      </c>
      <c r="G111" s="33" t="n"/>
      <c r="H111" s="32" t="n"/>
      <c r="I111" s="33" t="n"/>
      <c r="J111" s="32" t="n"/>
      <c r="K111" s="33" t="n"/>
      <c r="L111" s="63" t="n"/>
      <c r="M111" s="64" t="n"/>
      <c r="N111" s="32" t="inlineStr">
        <is>
          <t>Inactive</t>
        </is>
      </c>
      <c r="O111" s="32" t="n"/>
      <c r="P111" s="65" t="n"/>
      <c r="Q111" s="64" t="n"/>
      <c r="R111" s="64" t="n"/>
      <c r="S111" s="64" t="n"/>
      <c r="T111" s="32" t="n"/>
    </row>
    <row r="112" ht="62" customHeight="1">
      <c r="A112" s="39" t="inlineStr">
        <is>
          <t>IMAGE MISSING</t>
        </is>
      </c>
      <c r="B112" s="32" t="inlineStr">
        <is>
          <t>B0H41W4GWY</t>
        </is>
      </c>
      <c r="C112" s="32" t="inlineStr">
        <is>
          <t>SL-SATIN-SHEET-4PC-TWIN-GOLD</t>
        </is>
      </c>
      <c r="D112" s="32" t="inlineStr">
        <is>
          <t>SLEEPHORIA Satin Bed Sheets - 4 Piece Luxury Silky Twin Size Bedding Set - Softer Than Silk, Wrinkle-Free with 15” Deep Pocket Fitted Sheet, Perfect for Hair &amp; Skin, Gifts for Women (Gold)</t>
        </is>
      </c>
      <c r="E112" s="32" t="inlineStr">
        <is>
          <t>Twin</t>
        </is>
      </c>
      <c r="F112" s="32" t="inlineStr">
        <is>
          <t>Gold</t>
        </is>
      </c>
      <c r="G112" s="33" t="n"/>
      <c r="H112" s="32" t="n"/>
      <c r="I112" s="33" t="n"/>
      <c r="J112" s="32" t="n"/>
      <c r="K112" s="33" t="n"/>
      <c r="L112" s="63" t="n"/>
      <c r="M112" s="64" t="n"/>
      <c r="N112" s="32" t="inlineStr">
        <is>
          <t>Inactive</t>
        </is>
      </c>
      <c r="O112" s="32" t="n"/>
      <c r="P112" s="65" t="n"/>
      <c r="Q112" s="64" t="n"/>
      <c r="R112" s="64" t="n"/>
      <c r="S112" s="64" t="n"/>
      <c r="T112" s="32" t="n"/>
    </row>
    <row r="113" ht="62" customHeight="1">
      <c r="A113" s="39" t="inlineStr">
        <is>
          <t>IMAGE MISSING</t>
        </is>
      </c>
      <c r="B113" s="32" t="inlineStr">
        <is>
          <t>B0H41TF67J</t>
        </is>
      </c>
      <c r="C113" s="32" t="inlineStr">
        <is>
          <t>SL-SATIN-SHEET-4PC-TWIN-GREY</t>
        </is>
      </c>
      <c r="D113" s="32" t="inlineStr">
        <is>
          <t>SLEEPHORIA Satin Bed Sheets - 4 Piece Luxury Silky Twin Size Bedding Set - Softer Than Silk, Wrinkle-Free with 15” Deep Pocket Fitted Sheet, Perfect for Hair &amp; Skin, Gifts for Women (Grey)</t>
        </is>
      </c>
      <c r="E113" s="32" t="inlineStr">
        <is>
          <t>Twin</t>
        </is>
      </c>
      <c r="F113" s="32" t="inlineStr">
        <is>
          <t>Grey</t>
        </is>
      </c>
      <c r="G113" s="33" t="n"/>
      <c r="H113" s="32" t="n"/>
      <c r="I113" s="33" t="n"/>
      <c r="J113" s="32" t="n"/>
      <c r="K113" s="33" t="n"/>
      <c r="L113" s="63" t="n"/>
      <c r="M113" s="64" t="n"/>
      <c r="N113" s="32" t="inlineStr">
        <is>
          <t>Inactive</t>
        </is>
      </c>
      <c r="O113" s="32" t="n"/>
      <c r="P113" s="65" t="n"/>
      <c r="Q113" s="64" t="n"/>
      <c r="R113" s="64" t="n"/>
      <c r="S113" s="64" t="n"/>
      <c r="T113" s="32" t="n"/>
    </row>
    <row r="114" ht="62" customHeight="1">
      <c r="A114" s="39" t="inlineStr">
        <is>
          <t>IMAGE MISSING</t>
        </is>
      </c>
      <c r="B114" s="32" t="inlineStr">
        <is>
          <t>B0H41TXY1Q</t>
        </is>
      </c>
      <c r="C114" s="32" t="inlineStr">
        <is>
          <t>SL-SATIN-SHEET-4PC-TWIN-IVORY</t>
        </is>
      </c>
      <c r="D114" s="32" t="inlineStr">
        <is>
          <t>SLEEPHORIA Satin Bed Sheets - 4 Piece Luxury Silky Twin Size Bedding Set - Softer Than Silk, Wrinkle-Free with 15” Deep Pocket Fitted Sheet, Perfect for Hair &amp; Skin, Gifts for Women (Ivory)</t>
        </is>
      </c>
      <c r="E114" s="32" t="inlineStr">
        <is>
          <t>Twin</t>
        </is>
      </c>
      <c r="F114" s="32" t="inlineStr">
        <is>
          <t>Ivory</t>
        </is>
      </c>
      <c r="G114" s="33" t="n"/>
      <c r="H114" s="32" t="n"/>
      <c r="I114" s="33" t="n"/>
      <c r="J114" s="32" t="n"/>
      <c r="K114" s="33" t="n"/>
      <c r="L114" s="63" t="n"/>
      <c r="M114" s="64" t="n"/>
      <c r="N114" s="32" t="inlineStr">
        <is>
          <t>Inactive</t>
        </is>
      </c>
      <c r="O114" s="32" t="n"/>
      <c r="P114" s="65" t="n"/>
      <c r="Q114" s="64" t="n"/>
      <c r="R114" s="64" t="n"/>
      <c r="S114" s="64" t="n"/>
      <c r="T114" s="32" t="n"/>
    </row>
    <row r="115" ht="62" customHeight="1">
      <c r="A115" s="39" t="inlineStr">
        <is>
          <t>IMAGE MISSING</t>
        </is>
      </c>
      <c r="B115" s="32" t="inlineStr">
        <is>
          <t>B0H423W1HM</t>
        </is>
      </c>
      <c r="C115" s="32" t="inlineStr">
        <is>
          <t>SL-SATIN-SHEET-4PC-TWIN-LAVENDER</t>
        </is>
      </c>
      <c r="D115" s="32" t="inlineStr">
        <is>
          <t>SLEEPHORIA Satin Bed Sheets - 4 Piece Luxury Silky Twin Size Bedding Set - Softer Than Silk, Wrinkle-Free with 15” Deep Pocket Fitted Sheet, Perfect for Hair &amp; Skin, Gifts for Women (Lavender)</t>
        </is>
      </c>
      <c r="E115" s="32" t="inlineStr">
        <is>
          <t>Twin</t>
        </is>
      </c>
      <c r="F115" s="32" t="inlineStr">
        <is>
          <t>Lavender</t>
        </is>
      </c>
      <c r="G115" s="33" t="n"/>
      <c r="H115" s="32" t="n"/>
      <c r="I115" s="33" t="n"/>
      <c r="J115" s="32" t="n"/>
      <c r="K115" s="33" t="n"/>
      <c r="L115" s="63" t="n"/>
      <c r="M115" s="64" t="n"/>
      <c r="N115" s="32" t="inlineStr">
        <is>
          <t>Inactive</t>
        </is>
      </c>
      <c r="O115" s="32" t="n"/>
      <c r="P115" s="65" t="n"/>
      <c r="Q115" s="64" t="n"/>
      <c r="R115" s="64" t="n"/>
      <c r="S115" s="64" t="n"/>
      <c r="T115" s="32" t="n"/>
    </row>
    <row r="116" ht="62" customHeight="1">
      <c r="A116" s="39" t="inlineStr">
        <is>
          <t>IMAGE MISSING</t>
        </is>
      </c>
      <c r="B116" s="32" t="inlineStr">
        <is>
          <t>B0H41ZPK4W</t>
        </is>
      </c>
      <c r="C116" s="32" t="inlineStr">
        <is>
          <t>SL-SATIN-SHEET-4PC-TWIN-NAVY-BLUE</t>
        </is>
      </c>
      <c r="D116" s="32" t="inlineStr">
        <is>
          <t>SLEEPHORIA Satin Bed Sheets - 4 Piece Luxury Silky Twin Size Bedding Set - Softer Than Silk, Wrinkle-Free with 15” Deep Pocket Fitted Sheet, Perfect for Hair &amp; Skin, Gifts for Women (Navy Blue)</t>
        </is>
      </c>
      <c r="E116" s="32" t="inlineStr">
        <is>
          <t>Twin</t>
        </is>
      </c>
      <c r="F116" s="32" t="inlineStr">
        <is>
          <t>Navy Blue</t>
        </is>
      </c>
      <c r="G116" s="33" t="n"/>
      <c r="H116" s="32" t="n"/>
      <c r="I116" s="33" t="n"/>
      <c r="J116" s="32" t="n"/>
      <c r="K116" s="33" t="n"/>
      <c r="L116" s="63" t="n"/>
      <c r="M116" s="64" t="n"/>
      <c r="N116" s="32" t="inlineStr">
        <is>
          <t>Inactive</t>
        </is>
      </c>
      <c r="O116" s="32" t="n"/>
      <c r="P116" s="65" t="n"/>
      <c r="Q116" s="64" t="n"/>
      <c r="R116" s="64" t="n"/>
      <c r="S116" s="64" t="n"/>
      <c r="T116" s="32" t="n"/>
    </row>
    <row r="117" ht="62" customHeight="1">
      <c r="A117" s="39" t="inlineStr">
        <is>
          <t>IMAGE MISSING</t>
        </is>
      </c>
      <c r="B117" s="32" t="inlineStr">
        <is>
          <t>B0H41XCYC8</t>
        </is>
      </c>
      <c r="C117" s="32" t="inlineStr">
        <is>
          <t>SL-SATIN-SHEET-4PC-TWIN-PINK</t>
        </is>
      </c>
      <c r="D117" s="32" t="inlineStr">
        <is>
          <t>SLEEPHORIA Satin Bed Sheets - 4 Piece Luxury Silky Twin Size Bedding Set - Softer Than Silk, Wrinkle-Free with 15” Deep Pocket Fitted Sheet, Perfect for Hair &amp; Skin, Gifts for Women (Pink)</t>
        </is>
      </c>
      <c r="E117" s="32" t="inlineStr">
        <is>
          <t>Twin</t>
        </is>
      </c>
      <c r="F117" s="32" t="inlineStr">
        <is>
          <t>Pink</t>
        </is>
      </c>
      <c r="G117" s="33" t="n"/>
      <c r="H117" s="32" t="n"/>
      <c r="I117" s="33" t="n"/>
      <c r="J117" s="32" t="n"/>
      <c r="K117" s="33" t="n"/>
      <c r="L117" s="63" t="n"/>
      <c r="M117" s="64" t="n"/>
      <c r="N117" s="32" t="inlineStr">
        <is>
          <t>Inactive</t>
        </is>
      </c>
      <c r="O117" s="32" t="n"/>
      <c r="P117" s="65" t="n"/>
      <c r="Q117" s="64" t="n"/>
      <c r="R117" s="64" t="n"/>
      <c r="S117" s="64" t="n"/>
      <c r="T117" s="32" t="n"/>
    </row>
    <row r="118" ht="62" customHeight="1">
      <c r="A118" s="39" t="inlineStr">
        <is>
          <t>IMAGE MISSING</t>
        </is>
      </c>
      <c r="B118" s="32" t="inlineStr">
        <is>
          <t>B0H424XYHT</t>
        </is>
      </c>
      <c r="C118" s="32" t="inlineStr">
        <is>
          <t>SL-SATIN-SHEET-4PC-TWIN-PURPLE</t>
        </is>
      </c>
      <c r="D118" s="32" t="inlineStr">
        <is>
          <t>SLEEPHORIA Satin Bed Sheets - 4 Piece Luxury Silky Twin Size Bedding Set - Softer Than Silk, Wrinkle-Free with 15” Deep Pocket Fitted Sheet, Perfect for Hair &amp; Skin, Gifts for Women (Purple)</t>
        </is>
      </c>
      <c r="E118" s="32" t="inlineStr">
        <is>
          <t>Twin</t>
        </is>
      </c>
      <c r="F118" s="32" t="inlineStr">
        <is>
          <t>Purple</t>
        </is>
      </c>
      <c r="G118" s="33" t="n"/>
      <c r="H118" s="32" t="n"/>
      <c r="I118" s="33" t="n"/>
      <c r="J118" s="32" t="n"/>
      <c r="K118" s="33" t="n"/>
      <c r="L118" s="63" t="n"/>
      <c r="M118" s="64" t="n"/>
      <c r="N118" s="32" t="inlineStr">
        <is>
          <t>Inactive</t>
        </is>
      </c>
      <c r="O118" s="32" t="n"/>
      <c r="P118" s="65" t="n"/>
      <c r="Q118" s="64" t="n"/>
      <c r="R118" s="64" t="n"/>
      <c r="S118" s="64" t="n"/>
      <c r="T118" s="32" t="n"/>
    </row>
    <row r="119" ht="62" customHeight="1">
      <c r="A119" s="39" t="inlineStr">
        <is>
          <t>IMAGE MISSING</t>
        </is>
      </c>
      <c r="B119" s="32" t="inlineStr">
        <is>
          <t>B0H4255P42</t>
        </is>
      </c>
      <c r="C119" s="32" t="inlineStr">
        <is>
          <t>SL-SATIN-SHEET-4PC-TWIN-RED</t>
        </is>
      </c>
      <c r="D119" s="32" t="inlineStr">
        <is>
          <t>SLEEPHORIA Satin Bed Sheets - 4 Piece Luxury Silky Twin Size Bedding Set - Softer Than Silk, Wrinkle-Free with 15” Deep Pocket Fitted Sheet, Perfect for Hair &amp; Skin, Gifts for Women (Red)</t>
        </is>
      </c>
      <c r="E119" s="32" t="inlineStr">
        <is>
          <t>Twin</t>
        </is>
      </c>
      <c r="F119" s="32" t="inlineStr">
        <is>
          <t>Red</t>
        </is>
      </c>
      <c r="G119" s="33" t="n"/>
      <c r="H119" s="32" t="n"/>
      <c r="I119" s="33" t="n"/>
      <c r="J119" s="32" t="n"/>
      <c r="K119" s="33" t="n"/>
      <c r="L119" s="63" t="n"/>
      <c r="M119" s="64" t="n"/>
      <c r="N119" s="32" t="inlineStr">
        <is>
          <t>Inactive</t>
        </is>
      </c>
      <c r="O119" s="32" t="n"/>
      <c r="P119" s="65" t="n"/>
      <c r="Q119" s="64" t="n"/>
      <c r="R119" s="64" t="n"/>
      <c r="S119" s="64" t="n"/>
      <c r="T119" s="32" t="n"/>
    </row>
    <row r="120" ht="62" customHeight="1">
      <c r="A120" s="39" t="inlineStr">
        <is>
          <t>IMAGE MISSING</t>
        </is>
      </c>
      <c r="B120" s="32" t="inlineStr">
        <is>
          <t>B0H41YXWTS</t>
        </is>
      </c>
      <c r="C120" s="32" t="inlineStr">
        <is>
          <t>SL-SATIN-SHEET-4PC-TWIN-ROSEWOOD</t>
        </is>
      </c>
      <c r="D120" s="32" t="inlineStr">
        <is>
          <t>SLEEPHORIA Satin Bed Sheets - 4 Piece Luxury Silky Twin Size Bedding Set - Softer Than Silk, Wrinkle-Free with 15” Deep Pocket Fitted Sheet, Perfect for Hair &amp; Skin, Gifts for Women (Rosewood)</t>
        </is>
      </c>
      <c r="E120" s="32" t="inlineStr">
        <is>
          <t>Twin</t>
        </is>
      </c>
      <c r="F120" s="32" t="inlineStr">
        <is>
          <t>Rosewood</t>
        </is>
      </c>
      <c r="G120" s="33" t="n"/>
      <c r="H120" s="32" t="n"/>
      <c r="I120" s="33" t="n"/>
      <c r="J120" s="32" t="n"/>
      <c r="K120" s="33" t="n"/>
      <c r="L120" s="63" t="n"/>
      <c r="M120" s="64" t="n"/>
      <c r="N120" s="32" t="inlineStr">
        <is>
          <t>Inactive</t>
        </is>
      </c>
      <c r="O120" s="32" t="n"/>
      <c r="P120" s="65" t="n"/>
      <c r="Q120" s="64" t="n"/>
      <c r="R120" s="64" t="n"/>
      <c r="S120" s="64" t="n"/>
      <c r="T120" s="32" t="n"/>
    </row>
    <row r="121" ht="62" customHeight="1">
      <c r="A121" s="39" t="inlineStr">
        <is>
          <t>IMAGE MISSING</t>
        </is>
      </c>
      <c r="B121" s="32" t="inlineStr">
        <is>
          <t>B0H41VNKSF</t>
        </is>
      </c>
      <c r="C121" s="32" t="inlineStr">
        <is>
          <t>SL-SATIN-SHEET-4PC-TWIN-SAGE-GREEN</t>
        </is>
      </c>
      <c r="D121" s="32" t="inlineStr">
        <is>
          <t>SLEEPHORIA Satin Bed Sheets - 4 Piece Luxury Silky Twin Size Bedding Set - Softer Than Silk, Wrinkle-Free with 15” Deep Pocket Fitted Sheet, Perfect for Hair &amp; Skin, Gifts for Women (Sage Green)</t>
        </is>
      </c>
      <c r="E121" s="32" t="inlineStr">
        <is>
          <t>Twin</t>
        </is>
      </c>
      <c r="F121" s="32" t="inlineStr">
        <is>
          <t>Sage Green</t>
        </is>
      </c>
      <c r="G121" s="33" t="n"/>
      <c r="H121" s="32" t="n"/>
      <c r="I121" s="33" t="n"/>
      <c r="J121" s="32" t="n"/>
      <c r="K121" s="33" t="n"/>
      <c r="L121" s="63" t="n"/>
      <c r="M121" s="64" t="n"/>
      <c r="N121" s="32" t="inlineStr">
        <is>
          <t>Inactive</t>
        </is>
      </c>
      <c r="O121" s="32" t="n"/>
      <c r="P121" s="65" t="n"/>
      <c r="Q121" s="64" t="n"/>
      <c r="R121" s="64" t="n"/>
      <c r="S121" s="64" t="n"/>
      <c r="T121" s="32" t="n"/>
    </row>
    <row r="122" ht="62" customHeight="1">
      <c r="A122" s="39" t="inlineStr">
        <is>
          <t>IMAGE MISSING</t>
        </is>
      </c>
      <c r="B122" s="32" t="inlineStr">
        <is>
          <t>B0H41ZKZTF</t>
        </is>
      </c>
      <c r="C122" s="32" t="inlineStr">
        <is>
          <t>SL-SATIN-SHEET-4PC-TWIN-SEA-TEAL</t>
        </is>
      </c>
      <c r="D122" s="32" t="inlineStr">
        <is>
          <t>SLEEPHORIA Satin Bed Sheets - 4 Piece Luxury Silky Twin Size Bedding Set - Softer Than Silk, Wrinkle-Free with 15” Deep Pocket Fitted Sheet, Perfect for Hair &amp; Skin, Gifts for Women (Sea Teal)</t>
        </is>
      </c>
      <c r="E122" s="32" t="inlineStr">
        <is>
          <t>Twin</t>
        </is>
      </c>
      <c r="F122" s="32" t="inlineStr">
        <is>
          <t>Sea Teal</t>
        </is>
      </c>
      <c r="G122" s="33" t="n"/>
      <c r="H122" s="32" t="n"/>
      <c r="I122" s="33" t="n"/>
      <c r="J122" s="32" t="n"/>
      <c r="K122" s="33" t="n"/>
      <c r="L122" s="63" t="n"/>
      <c r="M122" s="64" t="n"/>
      <c r="N122" s="32" t="inlineStr">
        <is>
          <t>Inactive</t>
        </is>
      </c>
      <c r="O122" s="32" t="n"/>
      <c r="P122" s="65" t="n"/>
      <c r="Q122" s="64" t="n"/>
      <c r="R122" s="64" t="n"/>
      <c r="S122" s="64" t="n"/>
      <c r="T122" s="32" t="n"/>
    </row>
    <row r="123" ht="62" customHeight="1">
      <c r="A123" s="39" t="inlineStr">
        <is>
          <t>IMAGE MISSING</t>
        </is>
      </c>
      <c r="B123" s="32" t="inlineStr">
        <is>
          <t>B0H41R2JQV</t>
        </is>
      </c>
      <c r="C123" s="32" t="inlineStr">
        <is>
          <t>SL-SATIN-SHEET-4PC-TWIN-STONE-GREY</t>
        </is>
      </c>
      <c r="D123" s="32" t="inlineStr">
        <is>
          <t>SLEEPHORIA Satin Bed Sheets - 4 Piece Luxury Silky Twin Size Bedding Set - Softer Than Silk, Wrinkle-Free with 15” Deep Pocket Fitted Sheet, Perfect for Hair &amp; Skin, Gifts for Women (Stone Grey)</t>
        </is>
      </c>
      <c r="E123" s="32" t="inlineStr">
        <is>
          <t>Twin</t>
        </is>
      </c>
      <c r="F123" s="32" t="inlineStr">
        <is>
          <t>Stone Grey</t>
        </is>
      </c>
      <c r="G123" s="33" t="n"/>
      <c r="H123" s="32" t="n"/>
      <c r="I123" s="33" t="n"/>
      <c r="J123" s="32" t="n"/>
      <c r="K123" s="33" t="n"/>
      <c r="L123" s="63" t="n"/>
      <c r="M123" s="64" t="n"/>
      <c r="N123" s="32" t="inlineStr">
        <is>
          <t>Inactive</t>
        </is>
      </c>
      <c r="O123" s="32" t="n"/>
      <c r="P123" s="65" t="n"/>
      <c r="Q123" s="64" t="n"/>
      <c r="R123" s="64" t="n"/>
      <c r="S123" s="64" t="n"/>
      <c r="T123" s="32" t="n"/>
    </row>
    <row r="124" ht="62" customHeight="1">
      <c r="A124" s="39" t="inlineStr">
        <is>
          <t>IMAGE MISSING</t>
        </is>
      </c>
      <c r="B124" s="32" t="inlineStr">
        <is>
          <t>B0H423FRMY</t>
        </is>
      </c>
      <c r="C124" s="32" t="inlineStr">
        <is>
          <t>SL-SATIN-SHEET-4PC-TWIN-STRIPED-BLACK</t>
        </is>
      </c>
      <c r="D124" s="32" t="inlineStr">
        <is>
          <t>SLEEPHORIA Satin Bed Sheets - 4 Piece Luxury Silky Twin Size Bedding Set - Softer Than Silk, Wrinkle-Free with 15” Deep Pocket Fitted Sheet, Perfect for Hair &amp; Skin, Gifts for Women (Striped Black)</t>
        </is>
      </c>
      <c r="E124" s="32" t="inlineStr">
        <is>
          <t>Twin</t>
        </is>
      </c>
      <c r="F124" s="32" t="inlineStr">
        <is>
          <t>Striped Black</t>
        </is>
      </c>
      <c r="G124" s="33" t="n"/>
      <c r="H124" s="32" t="n"/>
      <c r="I124" s="33" t="n"/>
      <c r="J124" s="32" t="n"/>
      <c r="K124" s="33" t="n"/>
      <c r="L124" s="63" t="n"/>
      <c r="M124" s="64" t="n"/>
      <c r="N124" s="32" t="inlineStr">
        <is>
          <t>Inactive</t>
        </is>
      </c>
      <c r="O124" s="32" t="n"/>
      <c r="P124" s="65" t="n"/>
      <c r="Q124" s="64" t="n"/>
      <c r="R124" s="64" t="n"/>
      <c r="S124" s="64" t="n"/>
      <c r="T124" s="32" t="n"/>
    </row>
    <row r="125" ht="62" customHeight="1">
      <c r="A125" s="39" t="inlineStr">
        <is>
          <t>IMAGE MISSING</t>
        </is>
      </c>
      <c r="B125" s="32" t="inlineStr">
        <is>
          <t>B0H4226KP2</t>
        </is>
      </c>
      <c r="C125" s="32" t="inlineStr">
        <is>
          <t>SL-SATIN-SHEET-4PC-TWIN-STRIPED-BLUE</t>
        </is>
      </c>
      <c r="D125" s="32" t="inlineStr">
        <is>
          <t>SLEEPHORIA Satin Bed Sheets - 4 Piece Luxury Silky Twin Size Bedding Set - Softer Than Silk, Wrinkle-Free with 15” Deep Pocket Fitted Sheet, Perfect for Hair &amp; Skin, Gifts for Women (Striped Blue)</t>
        </is>
      </c>
      <c r="E125" s="32" t="inlineStr">
        <is>
          <t>Twin</t>
        </is>
      </c>
      <c r="F125" s="32" t="inlineStr">
        <is>
          <t>Striped Blue</t>
        </is>
      </c>
      <c r="G125" s="33" t="n"/>
      <c r="H125" s="32" t="n"/>
      <c r="I125" s="33" t="n"/>
      <c r="J125" s="32" t="n"/>
      <c r="K125" s="33" t="n"/>
      <c r="L125" s="63" t="n"/>
      <c r="M125" s="64" t="n"/>
      <c r="N125" s="32" t="inlineStr">
        <is>
          <t>Inactive</t>
        </is>
      </c>
      <c r="O125" s="32" t="n"/>
      <c r="P125" s="65" t="n"/>
      <c r="Q125" s="64" t="n"/>
      <c r="R125" s="64" t="n"/>
      <c r="S125" s="64" t="n"/>
      <c r="T125" s="32" t="n"/>
    </row>
    <row r="126" ht="62" customHeight="1">
      <c r="A126" s="39" t="inlineStr">
        <is>
          <t>IMAGE MISSING</t>
        </is>
      </c>
      <c r="B126" s="32" t="inlineStr">
        <is>
          <t>B0H41X7W9J</t>
        </is>
      </c>
      <c r="C126" s="32" t="inlineStr">
        <is>
          <t>SL-SATIN-SHEET-4PC-TWIN-STRIPED-GOLD</t>
        </is>
      </c>
      <c r="D126" s="32" t="inlineStr">
        <is>
          <t>SLEEPHORIA Satin Bed Sheets - 4 Piece Luxury Silky Twin Size Bedding Set - Softer Than Silk, Wrinkle-Free with 15” Deep Pocket Fitted Sheet, Perfect for Hair &amp; Skin, Gifts for Women (Striped Gold)</t>
        </is>
      </c>
      <c r="E126" s="32" t="inlineStr">
        <is>
          <t>Twin</t>
        </is>
      </c>
      <c r="F126" s="32" t="inlineStr">
        <is>
          <t>Striped Gold</t>
        </is>
      </c>
      <c r="G126" s="33" t="n"/>
      <c r="H126" s="32" t="n"/>
      <c r="I126" s="33" t="n"/>
      <c r="J126" s="32" t="n"/>
      <c r="K126" s="33" t="n"/>
      <c r="L126" s="63" t="n"/>
      <c r="M126" s="64" t="n"/>
      <c r="N126" s="32" t="inlineStr">
        <is>
          <t>Inactive</t>
        </is>
      </c>
      <c r="O126" s="32" t="n"/>
      <c r="P126" s="65" t="n"/>
      <c r="Q126" s="64" t="n"/>
      <c r="R126" s="64" t="n"/>
      <c r="S126" s="64" t="n"/>
      <c r="T126" s="32" t="n"/>
    </row>
    <row r="127" ht="62" customHeight="1">
      <c r="A127" s="39" t="inlineStr">
        <is>
          <t>IMAGE MISSING</t>
        </is>
      </c>
      <c r="B127" s="32" t="inlineStr">
        <is>
          <t>B0H41V67BY</t>
        </is>
      </c>
      <c r="C127" s="32" t="inlineStr">
        <is>
          <t>SL-SATIN-SHEET-4PC-TWIN-STRIPED-GREY</t>
        </is>
      </c>
      <c r="D127" s="32" t="inlineStr">
        <is>
          <t>SLEEPHORIA Satin Bed Sheets - 4 Piece Luxury Silky Twin Size Bedding Set - Softer Than Silk, Wrinkle-Free with 15” Deep Pocket Fitted Sheet, Perfect for Hair &amp; Skin, Gifts for Women (Striped Grey)</t>
        </is>
      </c>
      <c r="E127" s="32" t="inlineStr">
        <is>
          <t>Twin</t>
        </is>
      </c>
      <c r="F127" s="32" t="inlineStr">
        <is>
          <t>Striped Grey</t>
        </is>
      </c>
      <c r="G127" s="33" t="n"/>
      <c r="H127" s="32" t="n"/>
      <c r="I127" s="33" t="n"/>
      <c r="J127" s="32" t="n"/>
      <c r="K127" s="33" t="n"/>
      <c r="L127" s="63" t="n"/>
      <c r="M127" s="64" t="n"/>
      <c r="N127" s="32" t="inlineStr">
        <is>
          <t>Inactive</t>
        </is>
      </c>
      <c r="O127" s="32" t="n"/>
      <c r="P127" s="65" t="n"/>
      <c r="Q127" s="64" t="n"/>
      <c r="R127" s="64" t="n"/>
      <c r="S127" s="64" t="n"/>
      <c r="T127" s="32" t="n"/>
    </row>
    <row r="128" ht="62" customHeight="1">
      <c r="A128" s="39" t="inlineStr">
        <is>
          <t>IMAGE MISSING</t>
        </is>
      </c>
      <c r="B128" s="32" t="inlineStr">
        <is>
          <t>B0H41Y2C4B</t>
        </is>
      </c>
      <c r="C128" s="32" t="inlineStr">
        <is>
          <t>SL-SATIN-SHEET-4PC-TWIN-STRIPED-PINK</t>
        </is>
      </c>
      <c r="D128" s="32" t="inlineStr">
        <is>
          <t>SLEEPHORIA Satin Bed Sheets - 4 Piece Luxury Silky Twin Size Bedding Set - Softer Than Silk, Wrinkle-Free with 15” Deep Pocket Fitted Sheet, Perfect for Hair &amp; Skin, Gifts for Women (Striped Pink)</t>
        </is>
      </c>
      <c r="E128" s="32" t="inlineStr">
        <is>
          <t>Twin</t>
        </is>
      </c>
      <c r="F128" s="32" t="inlineStr">
        <is>
          <t>Striped Pink</t>
        </is>
      </c>
      <c r="G128" s="33" t="n"/>
      <c r="H128" s="32" t="n"/>
      <c r="I128" s="33" t="n"/>
      <c r="J128" s="32" t="n"/>
      <c r="K128" s="33" t="n"/>
      <c r="L128" s="63" t="n"/>
      <c r="M128" s="64" t="n"/>
      <c r="N128" s="32" t="inlineStr">
        <is>
          <t>Inactive</t>
        </is>
      </c>
      <c r="O128" s="32" t="n"/>
      <c r="P128" s="65" t="n"/>
      <c r="Q128" s="64" t="n"/>
      <c r="R128" s="64" t="n"/>
      <c r="S128" s="64" t="n"/>
      <c r="T128" s="32" t="n"/>
    </row>
    <row r="129" ht="62" customHeight="1">
      <c r="A129" s="39" t="inlineStr">
        <is>
          <t>IMAGE MISSING</t>
        </is>
      </c>
      <c r="B129" s="32" t="inlineStr">
        <is>
          <t>B0H41Z4QK4</t>
        </is>
      </c>
      <c r="C129" s="32" t="inlineStr">
        <is>
          <t>SL-SATIN-SHEET-4PC-TWIN-STRIPED-PURPLE</t>
        </is>
      </c>
      <c r="D129" s="32" t="inlineStr">
        <is>
          <t>SLEEPHORIA Satin Bed Sheets - 4 Piece Luxury Silky Twin Size Bedding Set - Softer Than Silk, Wrinkle-Free with 15” Deep Pocket Fitted Sheet, Perfect for Hair &amp; Skin, Gifts for Women (Striped Purple)</t>
        </is>
      </c>
      <c r="E129" s="32" t="inlineStr">
        <is>
          <t>Twin</t>
        </is>
      </c>
      <c r="F129" s="32" t="inlineStr">
        <is>
          <t>Striped Purple</t>
        </is>
      </c>
      <c r="G129" s="33" t="n"/>
      <c r="H129" s="32" t="n"/>
      <c r="I129" s="33" t="n"/>
      <c r="J129" s="32" t="n"/>
      <c r="K129" s="33" t="n"/>
      <c r="L129" s="63" t="n"/>
      <c r="M129" s="64" t="n"/>
      <c r="N129" s="32" t="inlineStr">
        <is>
          <t>Inactive</t>
        </is>
      </c>
      <c r="O129" s="32" t="n"/>
      <c r="P129" s="65" t="n"/>
      <c r="Q129" s="64" t="n"/>
      <c r="R129" s="64" t="n"/>
      <c r="S129" s="64" t="n"/>
      <c r="T129" s="32" t="n"/>
    </row>
    <row r="130" ht="62" customHeight="1">
      <c r="A130" s="39" t="inlineStr">
        <is>
          <t>IMAGE MISSING</t>
        </is>
      </c>
      <c r="B130" s="32" t="inlineStr">
        <is>
          <t>B0H41YSKM4</t>
        </is>
      </c>
      <c r="C130" s="32" t="inlineStr">
        <is>
          <t>SL-SATIN-SHEET-4PC-TWIN-STRIPED-RED</t>
        </is>
      </c>
      <c r="D130" s="32" t="inlineStr">
        <is>
          <t>SLEEPHORIA Satin Bed Sheets - 4 Piece Luxury Silky Twin Size Bedding Set - Softer Than Silk, Wrinkle-Free with 15” Deep Pocket Fitted Sheet, Perfect for Hair &amp; Skin, Gifts for Women (Striped Red)</t>
        </is>
      </c>
      <c r="E130" s="32" t="inlineStr">
        <is>
          <t>Twin</t>
        </is>
      </c>
      <c r="F130" s="32" t="inlineStr">
        <is>
          <t>Striped Red</t>
        </is>
      </c>
      <c r="G130" s="33" t="n"/>
      <c r="H130" s="32" t="n"/>
      <c r="I130" s="33" t="n"/>
      <c r="J130" s="32" t="n"/>
      <c r="K130" s="33" t="n"/>
      <c r="L130" s="63" t="n"/>
      <c r="M130" s="64" t="n"/>
      <c r="N130" s="32" t="inlineStr">
        <is>
          <t>Inactive</t>
        </is>
      </c>
      <c r="O130" s="32" t="n"/>
      <c r="P130" s="65" t="n"/>
      <c r="Q130" s="64" t="n"/>
      <c r="R130" s="64" t="n"/>
      <c r="S130" s="64" t="n"/>
      <c r="T130" s="32" t="n"/>
    </row>
    <row r="131" ht="62" customHeight="1">
      <c r="A131" s="39" t="inlineStr">
        <is>
          <t>IMAGE MISSING</t>
        </is>
      </c>
      <c r="B131" s="32" t="inlineStr">
        <is>
          <t>B0H422LDBX</t>
        </is>
      </c>
      <c r="C131" s="32" t="inlineStr">
        <is>
          <t>SL-SATIN-SHEET-4PC-TWIN-STRIPED-WHITE</t>
        </is>
      </c>
      <c r="D131" s="32" t="inlineStr">
        <is>
          <t>SLEEPHORIA Satin Bed Sheets - 4 Piece Luxury Silky Twin Size Bedding Set - Softer Than Silk, Wrinkle-Free with 15” Deep Pocket Fitted Sheet, Perfect for Hair &amp; Skin, Gifts for Women (Striped White)</t>
        </is>
      </c>
      <c r="E131" s="32" t="inlineStr">
        <is>
          <t>Twin</t>
        </is>
      </c>
      <c r="F131" s="32" t="inlineStr">
        <is>
          <t>Striped White</t>
        </is>
      </c>
      <c r="G131" s="33" t="n"/>
      <c r="H131" s="32" t="n"/>
      <c r="I131" s="33" t="n"/>
      <c r="J131" s="32" t="n"/>
      <c r="K131" s="33" t="n"/>
      <c r="L131" s="63" t="n"/>
      <c r="M131" s="64" t="n"/>
      <c r="N131" s="32" t="inlineStr">
        <is>
          <t>Inactive</t>
        </is>
      </c>
      <c r="O131" s="32" t="n"/>
      <c r="P131" s="65" t="n"/>
      <c r="Q131" s="64" t="n"/>
      <c r="R131" s="64" t="n"/>
      <c r="S131" s="64" t="n"/>
      <c r="T131" s="32" t="n"/>
    </row>
    <row r="132" ht="62" customHeight="1">
      <c r="A132" s="39" t="inlineStr">
        <is>
          <t>IMAGE MISSING</t>
        </is>
      </c>
      <c r="B132" s="32" t="inlineStr">
        <is>
          <t>B0H424691C</t>
        </is>
      </c>
      <c r="C132" s="32" t="inlineStr">
        <is>
          <t>SL-SATIN-SHEET-4PC-TWIN-TAUPE</t>
        </is>
      </c>
      <c r="D132" s="32" t="inlineStr">
        <is>
          <t>SLEEPHORIA Satin Bed Sheets - 4 Piece Luxury Silky Twin Size Bedding Set - Softer Than Silk, Wrinkle-Free with 15” Deep Pocket Fitted Sheet, Perfect for Hair &amp; Skin, Gifts for Women (Taupe)</t>
        </is>
      </c>
      <c r="E132" s="32" t="inlineStr">
        <is>
          <t>Twin</t>
        </is>
      </c>
      <c r="F132" s="32" t="inlineStr">
        <is>
          <t>Taupe</t>
        </is>
      </c>
      <c r="G132" s="33" t="n"/>
      <c r="H132" s="32" t="n"/>
      <c r="I132" s="33" t="n"/>
      <c r="J132" s="32" t="n"/>
      <c r="K132" s="33" t="n"/>
      <c r="L132" s="63" t="n"/>
      <c r="M132" s="64" t="n"/>
      <c r="N132" s="32" t="inlineStr">
        <is>
          <t>Inactive</t>
        </is>
      </c>
      <c r="O132" s="32" t="n"/>
      <c r="P132" s="65" t="n"/>
      <c r="Q132" s="64" t="n"/>
      <c r="R132" s="64" t="n"/>
      <c r="S132" s="64" t="n"/>
      <c r="T132" s="32" t="n"/>
    </row>
    <row r="133" ht="62" customHeight="1">
      <c r="A133" s="39" t="inlineStr">
        <is>
          <t>IMAGE MISSING</t>
        </is>
      </c>
      <c r="B133" s="32" t="inlineStr">
        <is>
          <t>B0H4217ZM6</t>
        </is>
      </c>
      <c r="C133" s="32" t="inlineStr">
        <is>
          <t>SL-SATIN-SHEET-4PC-TWIN-WHITE</t>
        </is>
      </c>
      <c r="D133" s="32" t="inlineStr">
        <is>
          <t>SLEEPHORIA Satin Bed Sheets - 4 Piece Luxury Silky Twin Size Bedding Set - Softer Than Silk, Wrinkle-Free with 15” Deep Pocket Fitted Sheet, Perfect for Hair &amp; Skin, Gifts for Women (White)</t>
        </is>
      </c>
      <c r="E133" s="32" t="inlineStr">
        <is>
          <t>Twin</t>
        </is>
      </c>
      <c r="F133" s="32" t="inlineStr">
        <is>
          <t>White</t>
        </is>
      </c>
      <c r="G133" s="33" t="n"/>
      <c r="H133" s="32" t="n"/>
      <c r="I133" s="33" t="n"/>
      <c r="J133" s="32" t="n"/>
      <c r="K133" s="33" t="n"/>
      <c r="L133" s="63" t="n"/>
      <c r="M133" s="64" t="n"/>
      <c r="N133" s="32" t="inlineStr">
        <is>
          <t>Inactive</t>
        </is>
      </c>
      <c r="O133" s="32" t="n"/>
      <c r="P133" s="65" t="n"/>
      <c r="Q133" s="64" t="n"/>
      <c r="R133" s="64" t="n"/>
      <c r="S133" s="64" t="n"/>
      <c r="T133" s="32" t="n"/>
    </row>
    <row r="135" ht="20" customHeight="1">
      <c r="A135" s="54" t="inlineStr">
        <is>
          <t>3 · OUR BFCM 2025 RESULT &amp; EVENT VISIBILITY</t>
        </is>
      </c>
    </row>
    <row r="136">
      <c r="A136" s="67" t="inlineStr">
        <is>
          <t>Window</t>
        </is>
      </c>
      <c r="B136" s="68" t="n"/>
      <c r="C136" s="69" t="n"/>
      <c r="D136" s="67" t="inlineStr">
        <is>
          <t>Ad spend</t>
        </is>
      </c>
      <c r="E136" s="67" t="inlineStr">
        <is>
          <t>Ad sales</t>
        </is>
      </c>
      <c r="F136" s="67" t="inlineStr">
        <is>
          <t>ACoS</t>
        </is>
      </c>
      <c r="G136" s="67" t="inlineStr">
        <is>
          <t>TACoS</t>
        </is>
      </c>
      <c r="H136" s="67" t="inlineStr">
        <is>
          <t>Total sales (derived)</t>
        </is>
      </c>
      <c r="J136" s="67" t="inlineStr">
        <is>
          <t>Ad orders</t>
        </is>
      </c>
      <c r="K136" s="67" t="inlineStr">
        <is>
          <t>CVR</t>
        </is>
      </c>
    </row>
    <row r="137">
      <c r="A137" s="70" t="inlineStr">
        <is>
          <t>Pre-event Oct 21 - Nov 19, 2025 (30d)</t>
        </is>
      </c>
      <c r="B137" s="68" t="n"/>
      <c r="C137" s="69" t="n"/>
      <c r="D137" s="71" t="n"/>
      <c r="E137" s="71" t="n"/>
      <c r="F137" s="72" t="n"/>
      <c r="G137" s="72" t="n"/>
      <c r="H137" s="71" t="n"/>
      <c r="J137" s="73" t="n"/>
      <c r="K137" s="74" t="n"/>
    </row>
    <row r="138">
      <c r="A138" s="70" t="inlineStr">
        <is>
          <t>BFCM week Nov 20 - Dec 1, 2025 (12d)</t>
        </is>
      </c>
      <c r="B138" s="68" t="n"/>
      <c r="C138" s="69" t="n"/>
      <c r="D138" s="71" t="n"/>
      <c r="E138" s="71" t="n"/>
      <c r="F138" s="72" t="n"/>
      <c r="G138" s="72" t="n"/>
      <c r="H138" s="71" t="n"/>
      <c r="J138" s="73" t="n"/>
      <c r="K138" s="74" t="n"/>
    </row>
    <row r="139">
      <c r="A139" s="70" t="inlineStr">
        <is>
          <t>December 2 - 31, 2025 (30d)</t>
        </is>
      </c>
      <c r="B139" s="68" t="n"/>
      <c r="C139" s="69" t="n"/>
      <c r="D139" s="71" t="n"/>
      <c r="E139" s="71" t="n"/>
      <c r="F139" s="72" t="n"/>
      <c r="G139" s="72" t="n"/>
      <c r="H139" s="71" t="n"/>
      <c r="J139" s="73" t="n"/>
      <c r="K139" s="74" t="n"/>
    </row>
    <row r="140">
      <c r="A140" s="59" t="inlineStr">
        <is>
          <t>No Command Center visibility history for our best child ASIN.</t>
        </is>
      </c>
    </row>
    <row r="141">
      <c r="A141" s="107" t="inlineStr">
        <is>
          <t>No BFCM 2025 PPC data for this product (not advertised or launched after BFCM 2025).</t>
        </is>
      </c>
    </row>
    <row r="143" ht="20" customHeight="1">
      <c r="A143" s="54" t="inlineStr">
        <is>
          <t>4 · COMPETITOR LANDSCAPE (27 mapped)</t>
        </is>
      </c>
    </row>
    <row r="144">
      <c r="A144" s="59" t="inlineStr">
        <is>
          <t>Sorted by tier, then estimated weekly units. Green = Command Center price/sales; blue = Data Dive listing; purple = Command Center search strategy (ASINsight); yellow = fill from Keepa / page check.</t>
        </is>
      </c>
    </row>
    <row r="145">
      <c r="A145" s="78" t="inlineStr">
        <is>
          <t>COMPETITOR</t>
        </is>
      </c>
      <c r="I145" s="79" t="inlineStr">
        <is>
          <t>LISTING - Data Dive</t>
        </is>
      </c>
      <c r="J145" s="80" t="inlineStr">
        <is>
          <t>SEARCH STRATEGY - Command Center ASINsight</t>
        </is>
      </c>
      <c r="K145" s="81" t="inlineStr">
        <is>
          <t>PRICE &amp; SALES - Command Center snapshot (date per row)</t>
        </is>
      </c>
      <c r="X145" s="79" t="inlineStr">
        <is>
          <t>LISTING - Data Dive</t>
        </is>
      </c>
      <c r="AA145" s="80" t="inlineStr">
        <is>
          <t>SEARCH STRATEGY - Command Center ASINsight</t>
        </is>
      </c>
      <c r="AR145" s="82" t="inlineStr">
        <is>
          <t>STR NOW - Amazon page check (Oct 13, P1 + P2)</t>
        </is>
      </c>
      <c r="AY145" s="83" t="inlineStr">
        <is>
          <t>BFCM 2025 - Keepa (P1 filled; yellow = not pulled yet)</t>
        </is>
      </c>
    </row>
    <row r="146" ht="48" customHeight="1">
      <c r="A146" s="22" t="inlineStr">
        <is>
          <t>Image</t>
        </is>
      </c>
      <c r="B146" s="22" t="inlineStr">
        <is>
          <t>Brand</t>
        </is>
      </c>
      <c r="C146" s="22" t="inlineStr">
        <is>
          <t>Product title</t>
        </is>
      </c>
      <c r="D146" s="22" t="inlineStr">
        <is>
          <t>Tier</t>
        </is>
      </c>
      <c r="E146" s="22" t="inlineStr">
        <is>
          <t>Parent ASIN</t>
        </is>
      </c>
      <c r="F146" s="22" t="inlineStr">
        <is>
          <t>Tracked child ASIN</t>
        </is>
      </c>
      <c r="G146" s="22" t="inlineStr">
        <is>
          <t>Size (title)</t>
        </is>
      </c>
      <c r="H146" s="22" t="inlineStr">
        <is>
          <t>Colour (title)</t>
        </is>
      </c>
      <c r="I146" s="22" t="inlineStr">
        <is>
          <t>Variations</t>
        </is>
      </c>
      <c r="J146" s="22" t="inlineStr">
        <is>
          <t>Hero child ASINs (share of their visibility)</t>
        </is>
      </c>
      <c r="K146" s="22" t="inlineStr">
        <is>
          <t>Price ($)</t>
        </is>
      </c>
      <c r="L146" s="22" t="inlineStr">
        <is>
          <t>List Price ($)</t>
        </is>
      </c>
      <c r="M146" s="22" t="inlineStr">
        <is>
          <t>List Price % over</t>
        </is>
      </c>
      <c r="N146" s="22" t="inlineStr">
        <is>
          <t>STR band</t>
        </is>
      </c>
      <c r="O146" s="22" t="inlineStr">
        <is>
          <t>Our price, same size ($)</t>
        </is>
      </c>
      <c r="P146" s="22" t="inlineStr">
        <is>
          <t>Their price vs ours</t>
        </is>
      </c>
      <c r="Q146" s="22" t="inlineStr">
        <is>
          <t>Comparison basis</t>
        </is>
      </c>
      <c r="R146" s="22" t="inlineStr">
        <is>
          <t>BSR</t>
        </is>
      </c>
      <c r="S146" s="22" t="inlineStr">
        <is>
          <t>Est weekly units</t>
        </is>
      </c>
      <c r="T146" s="22" t="inlineStr">
        <is>
          <t>Est monthly revenue ($)</t>
        </is>
      </c>
      <c r="U146" s="22" t="inlineStr">
        <is>
          <t>Rating</t>
        </is>
      </c>
      <c r="V146" s="22" t="inlineStr">
        <is>
          <t>Reviews</t>
        </is>
      </c>
      <c r="W146" s="22" t="inlineStr">
        <is>
          <t>Snapshot date</t>
        </is>
      </c>
      <c r="X146" s="22" t="inlineStr">
        <is>
          <t>Listed</t>
        </is>
      </c>
      <c r="Y146" s="22" t="inlineStr">
        <is>
          <t>Fulfil.</t>
        </is>
      </c>
      <c r="Z146" s="22" t="inlineStr">
        <is>
          <t>Seller country</t>
        </is>
      </c>
      <c r="AA146" s="22" t="inlineStr">
        <is>
          <t>ASINsight 7d traffic</t>
        </is>
      </c>
      <c r="AB146" s="22" t="inlineStr">
        <is>
          <t>Keywords ranked</t>
        </is>
      </c>
      <c r="AC146" s="22" t="inlineStr">
        <is>
          <t>Organic share of traffic</t>
        </is>
      </c>
      <c r="AD146" s="22" t="inlineStr">
        <is>
          <t>Ad share of traffic</t>
        </is>
      </c>
      <c r="AE146" s="22" t="inlineStr">
        <is>
          <t>Top keyword</t>
        </is>
      </c>
      <c r="AF146" s="22" t="inlineStr">
        <is>
          <t>SP reach</t>
        </is>
      </c>
      <c r="AG146" s="22" t="inlineStr">
        <is>
          <t>SB reach</t>
        </is>
      </c>
      <c r="AH146" s="22" t="inlineStr">
        <is>
          <t>SB video reach</t>
        </is>
      </c>
      <c r="AI146" s="22" t="inlineStr">
        <is>
          <t>Amazon's Choice reach</t>
        </is>
      </c>
      <c r="AJ146" s="22" t="inlineStr">
        <is>
          <t>Shared keywords</t>
        </is>
      </c>
      <c r="AK146" s="22" t="inlineStr">
        <is>
          <t>We win</t>
        </is>
      </c>
      <c r="AL146" s="22" t="inlineStr">
        <is>
          <t>We lose</t>
        </is>
      </c>
      <c r="AM146" s="22" t="inlineStr">
        <is>
          <t>Their keywords we miss</t>
        </is>
      </c>
      <c r="AN146" s="22" t="inlineStr">
        <is>
          <t>KWs they advertise, we don't</t>
        </is>
      </c>
      <c r="AO146" s="22" t="inlineStr">
        <is>
          <t>KWs they out-advertise us</t>
        </is>
      </c>
      <c r="AP146" s="22" t="inlineStr">
        <is>
          <t>Prime Day 2026 organic vis lift</t>
        </is>
      </c>
      <c r="AQ146" s="22" t="inlineStr">
        <is>
          <t>Organic trend (Aug-Sep vs Q2)</t>
        </is>
      </c>
      <c r="AR146" s="22" t="inlineStr">
        <is>
          <t>STR showing now? (Y/N)</t>
        </is>
      </c>
      <c r="AS146" s="22" t="inlineStr">
        <is>
          <t>STR label</t>
        </is>
      </c>
      <c r="AT146" s="22" t="inlineStr">
        <is>
          <t>Strikethrough price ($)</t>
        </is>
      </c>
      <c r="AU146" s="22" t="inlineStr">
        <is>
          <t>Page price at check ($)</t>
        </is>
      </c>
      <c r="AV146" s="22" t="inlineStr">
        <is>
          <t>Deal / coupon now</t>
        </is>
      </c>
      <c r="AW146" s="22" t="inlineStr">
        <is>
          <t>Orderable now (Y/N)</t>
        </is>
      </c>
      <c r="AX146" s="22" t="inlineStr">
        <is>
          <t>Checked (ET)</t>
        </is>
      </c>
      <c r="AY146" s="22" t="inlineStr">
        <is>
          <t>BFCM 2025 deal type</t>
        </is>
      </c>
      <c r="AZ146" s="22" t="inlineStr">
        <is>
          <t>BFCM 2025 deal dates</t>
        </is>
      </c>
      <c r="BA146" s="22" t="inlineStr">
        <is>
          <t>Pre-event price ($)</t>
        </is>
      </c>
      <c r="BB146" s="22" t="inlineStr">
        <is>
          <t>BFCM 2025 low ($)</t>
        </is>
      </c>
      <c r="BC146" s="22" t="inlineStr">
        <is>
          <t>BFCM 2025 discount</t>
        </is>
      </c>
      <c r="BD146" s="22" t="inlineStr">
        <is>
          <t>BSR pre-event</t>
        </is>
      </c>
      <c r="BE146" s="22" t="inlineStr">
        <is>
          <t>BSR BFCM wk</t>
        </is>
      </c>
      <c r="BF146" s="22" t="inlineStr">
        <is>
          <t>BSR lift (x)</t>
        </is>
      </c>
      <c r="BG146" s="22" t="inlineStr">
        <is>
          <t>OOS in BFCM? (Y/N)</t>
        </is>
      </c>
      <c r="BH146" s="22" t="inlineStr">
        <is>
          <t>Notes</t>
        </is>
      </c>
    </row>
    <row r="147" ht="62" customHeight="1">
      <c r="A147" s="10">
        <f>_xlfn.IMAGE("https://images-na.ssl-images-amazon.com/images/I/71ujt2CgaQL.jpg")</f>
        <v/>
      </c>
      <c r="B147" s="84" t="inlineStr">
        <is>
          <t>BEDELITE</t>
        </is>
      </c>
      <c r="C147" s="32" t="inlineStr">
        <is>
          <t>BEDELITE Satin Sheets Queen Size Bed Set, Black, 4 Pieces</t>
        </is>
      </c>
      <c r="D147" s="84" t="inlineStr">
        <is>
          <t>Untiered</t>
        </is>
      </c>
      <c r="E147" s="84" t="inlineStr">
        <is>
          <t>B0FNMNMZ9T</t>
        </is>
      </c>
      <c r="F147" s="84" t="inlineStr">
        <is>
          <t>B0CSFTRP2X</t>
        </is>
      </c>
      <c r="G147" s="84" t="inlineStr">
        <is>
          <t>Queen</t>
        </is>
      </c>
      <c r="H147" s="84" t="inlineStr">
        <is>
          <t>Black</t>
        </is>
      </c>
      <c r="I147" s="85" t="n">
        <v>141</v>
      </c>
      <c r="J147" s="32" t="inlineStr">
        <is>
          <t>B0CSFTRP2X (57%), B0CSFW9QKP (14%), B0CSFTZ5B9 (14%)</t>
        </is>
      </c>
      <c r="K147" s="86" t="n">
        <v>17.99</v>
      </c>
      <c r="L147" s="86" t="n"/>
      <c r="M147" s="87">
        <f>IF(AND(ISNUMBER(L147),ISNUMBER(K147),N(K147)&gt;0),L147/K147-1,"")</f>
        <v/>
      </c>
      <c r="N147" s="88">
        <f>IF(M147="","No List Price",IF(M147&lt;=0,"At/below price",IF(M147&lt;=0.12,"&lt;=12% STR zone",IF(M147&lt;=0.25,"12-25%","&gt;25% over"))))</f>
        <v/>
      </c>
      <c r="O147" s="86" t="n"/>
      <c r="P147" s="89">
        <f>IF(AND(ISNUMBER(K147),ISNUMBER(O147),N(O147)&gt;0),K147/O147-1,"")</f>
        <v/>
      </c>
      <c r="Q147" s="32" t="inlineStr">
        <is>
          <t>No price for us</t>
        </is>
      </c>
      <c r="R147" s="85" t="n">
        <v>497</v>
      </c>
      <c r="S147" s="85" t="n">
        <v>1963</v>
      </c>
      <c r="T147" s="90">
        <f>IF(AND(ISNUMBER(K147),ISNUMBER(S147)),K147*S147*52/12,"")</f>
        <v/>
      </c>
      <c r="U147" s="91" t="n">
        <v>4.3</v>
      </c>
      <c r="V147" s="85" t="n">
        <v>6297</v>
      </c>
      <c r="W147" s="92" t="n">
        <v>46307</v>
      </c>
      <c r="X147" s="92" t="n">
        <v>45307</v>
      </c>
      <c r="Y147" s="84" t="inlineStr">
        <is>
          <t>FBA</t>
        </is>
      </c>
      <c r="Z147" s="84" t="inlineStr">
        <is>
          <t>CN</t>
        </is>
      </c>
      <c r="AA147" s="85" t="n">
        <v>997443</v>
      </c>
      <c r="AB147" s="85" t="n">
        <v>3432</v>
      </c>
      <c r="AC147" s="93" t="n">
        <v>0.8161266415223724</v>
      </c>
      <c r="AD147" s="93" t="n">
        <v>0.1838733681022371</v>
      </c>
      <c r="AE147" s="32" t="inlineStr">
        <is>
          <t>silk sheets</t>
        </is>
      </c>
      <c r="AF147" s="93" t="n">
        <v>0.7623814092634867</v>
      </c>
      <c r="AG147" s="93" t="n">
        <v>0.2406603685624141</v>
      </c>
      <c r="AH147" s="93" t="n">
        <v>0.1818179083917577</v>
      </c>
      <c r="AI147" s="93" t="n">
        <v>0.3718648584430388</v>
      </c>
      <c r="AJ147" s="85" t="n"/>
      <c r="AK147" s="85" t="n"/>
      <c r="AL147" s="85" t="n"/>
      <c r="AM147" s="85" t="n"/>
      <c r="AN147" s="85" t="n"/>
      <c r="AO147" s="85" t="n"/>
      <c r="AP147" s="94" t="n">
        <v>1.114785561378903</v>
      </c>
      <c r="AQ147" s="89" t="n">
        <v>0.3117365084274004</v>
      </c>
      <c r="AR147" s="95" t="inlineStr">
        <is>
          <t>Y</t>
        </is>
      </c>
      <c r="AS147" s="95" t="inlineStr">
        <is>
          <t>List Price</t>
        </is>
      </c>
      <c r="AT147" s="96" t="n">
        <v>19.99</v>
      </c>
      <c r="AU147" s="96" t="n">
        <v>17.99</v>
      </c>
      <c r="AV147" s="95" t="inlineStr">
        <is>
          <t>none</t>
        </is>
      </c>
      <c r="AW147" s="95" t="inlineStr">
        <is>
          <t>Y</t>
        </is>
      </c>
      <c r="AX147" s="95" t="inlineStr">
        <is>
          <t>2026-10-13 12:12:27</t>
        </is>
      </c>
      <c r="AY147" s="97" t="inlineStr">
        <is>
          <t>Price cut only</t>
        </is>
      </c>
      <c r="AZ147" s="97" t="inlineStr">
        <is>
          <t>11-20 to 12-01</t>
        </is>
      </c>
      <c r="BA147" s="98" t="n">
        <v>17.99</v>
      </c>
      <c r="BB147" s="98" t="n">
        <v>17.09</v>
      </c>
      <c r="BC147" s="87">
        <f>IF(AND(ISNUMBER(BA147),ISNUMBER(BB147),N(BA147)&gt;0),1-BB147/BA147,"")</f>
        <v/>
      </c>
      <c r="BD147" s="99" t="n">
        <v>714</v>
      </c>
      <c r="BE147" s="99" t="n">
        <v>473</v>
      </c>
      <c r="BF147" s="100">
        <f>IF(AND(ISNUMBER(BD147),ISNUMBER(BE147),N(BE147)&gt;0),BD147/BE147,"")</f>
        <v/>
      </c>
      <c r="BG147" s="97" t="inlineStr">
        <is>
          <t>N</t>
        </is>
      </c>
      <c r="BH147" s="97" t="inlineStr">
        <is>
          <t>Prime Exclusive 11-01 to 12-05; Prime Exclusive already running before BFCM week; List Price $23.99</t>
        </is>
      </c>
    </row>
    <row r="148" ht="62" customHeight="1">
      <c r="A148" s="10">
        <f>_xlfn.IMAGE("https://images-na.ssl-images-amazon.com/images/I/81C-fXI71XL.jpg")</f>
        <v/>
      </c>
      <c r="B148" s="84" t="inlineStr">
        <is>
          <t>Love's cabin</t>
        </is>
      </c>
      <c r="C148" s="32" t="inlineStr">
        <is>
          <t>Love's cabin Satin Queen Sheets Set, 4 Pieces, Pink, 15" Deep Pocket</t>
        </is>
      </c>
      <c r="D148" s="84" t="inlineStr">
        <is>
          <t>Untiered</t>
        </is>
      </c>
      <c r="E148" s="84" t="inlineStr">
        <is>
          <t>B08DHTB63X</t>
        </is>
      </c>
      <c r="F148" s="84" t="inlineStr">
        <is>
          <t>B0BNMC5G8R</t>
        </is>
      </c>
      <c r="G148" s="84" t="inlineStr">
        <is>
          <t>Queen</t>
        </is>
      </c>
      <c r="H148" s="84" t="inlineStr">
        <is>
          <t>Pink</t>
        </is>
      </c>
      <c r="I148" s="85" t="n">
        <v>128</v>
      </c>
      <c r="J148" s="32" t="inlineStr">
        <is>
          <t>B0BNMC5G8R (45%), B0BNMCRSC6 (13%), B0CM5NFXX1 (9%), B0BNMVM5VM (5%), B0BNMD8S97 (4%)</t>
        </is>
      </c>
      <c r="K148" s="86" t="n">
        <v>16.13</v>
      </c>
      <c r="L148" s="86" t="n">
        <v>19.99</v>
      </c>
      <c r="M148" s="87">
        <f>IF(AND(ISNUMBER(L148),ISNUMBER(K148),N(K148)&gt;0),L148/K148-1,"")</f>
        <v/>
      </c>
      <c r="N148" s="88">
        <f>IF(M148="","No List Price",IF(M148&lt;=0,"At/below price",IF(M148&lt;=0.12,"&lt;=12% STR zone",IF(M148&lt;=0.25,"12-25%","&gt;25% over"))))</f>
        <v/>
      </c>
      <c r="O148" s="86" t="n"/>
      <c r="P148" s="89">
        <f>IF(AND(ISNUMBER(K148),ISNUMBER(O148),N(O148)&gt;0),K148/O148-1,"")</f>
        <v/>
      </c>
      <c r="Q148" s="32" t="inlineStr">
        <is>
          <t>No price for us</t>
        </is>
      </c>
      <c r="R148" s="85" t="n">
        <v>949</v>
      </c>
      <c r="S148" s="85" t="n">
        <v>809</v>
      </c>
      <c r="T148" s="90">
        <f>IF(AND(ISNUMBER(K148),ISNUMBER(S148)),K148*S148*52/12,"")</f>
        <v/>
      </c>
      <c r="U148" s="91" t="n">
        <v>4.5</v>
      </c>
      <c r="V148" s="85" t="n">
        <v>5747</v>
      </c>
      <c r="W148" s="92" t="n">
        <v>46307</v>
      </c>
      <c r="X148" s="92" t="n">
        <v>44895</v>
      </c>
      <c r="Y148" s="84" t="inlineStr">
        <is>
          <t>FBA</t>
        </is>
      </c>
      <c r="Z148" s="84" t="inlineStr">
        <is>
          <t>CN</t>
        </is>
      </c>
      <c r="AA148" s="85" t="n">
        <v>385363</v>
      </c>
      <c r="AB148" s="85" t="n">
        <v>3599</v>
      </c>
      <c r="AC148" s="93" t="n">
        <v>0.8181775938530695</v>
      </c>
      <c r="AD148" s="93" t="n">
        <v>0.1818224144507905</v>
      </c>
      <c r="AE148" s="32" t="inlineStr">
        <is>
          <t>silk sheets</t>
        </is>
      </c>
      <c r="AF148" s="93" t="n">
        <v>0.8853963665427143</v>
      </c>
      <c r="AG148" s="93" t="n">
        <v>0.6095447668821345</v>
      </c>
      <c r="AH148" s="93" t="n">
        <v>0.07642664189348744</v>
      </c>
      <c r="AI148" s="93" t="n">
        <v>0.06371395281851137</v>
      </c>
      <c r="AJ148" s="85" t="n"/>
      <c r="AK148" s="85" t="n"/>
      <c r="AL148" s="85" t="n"/>
      <c r="AM148" s="85" t="n"/>
      <c r="AN148" s="85" t="n"/>
      <c r="AO148" s="85" t="n"/>
      <c r="AP148" s="94" t="n">
        <v>1.036399938565504</v>
      </c>
      <c r="AQ148" s="89" t="n">
        <v>-0.1336111472848027</v>
      </c>
      <c r="AR148" s="95" t="inlineStr">
        <is>
          <t>Y</t>
        </is>
      </c>
      <c r="AS148" s="95" t="inlineStr">
        <is>
          <t>List Price</t>
        </is>
      </c>
      <c r="AT148" s="96" t="n">
        <v>19.99</v>
      </c>
      <c r="AU148" s="96" t="n">
        <v>16.13</v>
      </c>
      <c r="AV148" s="95" t="inlineStr">
        <is>
          <t>Limited time deal</t>
        </is>
      </c>
      <c r="AW148" s="95" t="inlineStr">
        <is>
          <t>Y</t>
        </is>
      </c>
      <c r="AX148" s="95" t="inlineStr">
        <is>
          <t>2026-10-13 12:13:15</t>
        </is>
      </c>
      <c r="AY148" s="97" t="inlineStr">
        <is>
          <t>Prime Exclusive Discount</t>
        </is>
      </c>
      <c r="AZ148" s="97" t="inlineStr">
        <is>
          <t>11-10 to 12-05</t>
        </is>
      </c>
      <c r="BA148" s="98" t="n">
        <v>17.99</v>
      </c>
      <c r="BB148" s="98" t="n">
        <v>17.99</v>
      </c>
      <c r="BC148" s="87">
        <f>IF(AND(ISNUMBER(BA148),ISNUMBER(BB148),N(BA148)&gt;0),1-BB148/BA148,"")</f>
        <v/>
      </c>
      <c r="BD148" s="99" t="n">
        <v>1276</v>
      </c>
      <c r="BE148" s="99" t="n">
        <v>1515</v>
      </c>
      <c r="BF148" s="100">
        <f>IF(AND(ISNUMBER(BD148),ISNUMBER(BE148),N(BE148)&gt;0),BD148/BE148,"")</f>
        <v/>
      </c>
      <c r="BG148" s="97" t="inlineStr">
        <is>
          <t>N</t>
        </is>
      </c>
      <c r="BH148" s="97" t="inlineStr">
        <is>
          <t>Prime Exclusive already running before BFCM week; List Price $25.99</t>
        </is>
      </c>
    </row>
    <row r="149" ht="62" customHeight="1">
      <c r="A149" s="10">
        <f>_xlfn.IMAGE("https://images-na.ssl-images-amazon.com/images/I/71zGuoeuSrL.jpg")</f>
        <v/>
      </c>
      <c r="B149" s="84" t="inlineStr">
        <is>
          <t>MR&amp;HM</t>
        </is>
      </c>
      <c r="C149" s="32" t="inlineStr">
        <is>
          <t>MR&amp;HM Satin Sheets Queen Size with Elastic Corner Straps, Black</t>
        </is>
      </c>
      <c r="D149" s="84" t="inlineStr">
        <is>
          <t>Untiered</t>
        </is>
      </c>
      <c r="E149" s="84" t="inlineStr">
        <is>
          <t>B08NQ3W7PG</t>
        </is>
      </c>
      <c r="F149" s="84" t="inlineStr">
        <is>
          <t>B08HM6WT6X</t>
        </is>
      </c>
      <c r="G149" s="84" t="inlineStr">
        <is>
          <t>Queen</t>
        </is>
      </c>
      <c r="H149" s="84" t="inlineStr">
        <is>
          <t>Black</t>
        </is>
      </c>
      <c r="I149" s="85" t="n">
        <v>183</v>
      </c>
      <c r="J149" s="32" t="inlineStr">
        <is>
          <t>B08HM6WT6X (40%), B0D2CQ6VNT (13%), B08PS3HDFL (10%), B08HM65Z68 (8%), B08HLT8R9M (6%)</t>
        </is>
      </c>
      <c r="K149" s="86" t="n">
        <v>19.99</v>
      </c>
      <c r="L149" s="86" t="n"/>
      <c r="M149" s="87">
        <f>IF(AND(ISNUMBER(L149),ISNUMBER(K149),N(K149)&gt;0),L149/K149-1,"")</f>
        <v/>
      </c>
      <c r="N149" s="88">
        <f>IF(M149="","No List Price",IF(M149&lt;=0,"At/below price",IF(M149&lt;=0.12,"&lt;=12% STR zone",IF(M149&lt;=0.25,"12-25%","&gt;25% over"))))</f>
        <v/>
      </c>
      <c r="O149" s="86" t="n"/>
      <c r="P149" s="89">
        <f>IF(AND(ISNUMBER(K149),ISNUMBER(O149),N(O149)&gt;0),K149/O149-1,"")</f>
        <v/>
      </c>
      <c r="Q149" s="32" t="inlineStr">
        <is>
          <t>No price for us</t>
        </is>
      </c>
      <c r="R149" s="85" t="n">
        <v>2025</v>
      </c>
      <c r="S149" s="85" t="n">
        <v>809</v>
      </c>
      <c r="T149" s="90">
        <f>IF(AND(ISNUMBER(K149),ISNUMBER(S149)),K149*S149*52/12,"")</f>
        <v/>
      </c>
      <c r="U149" s="91" t="n">
        <v>4.4</v>
      </c>
      <c r="V149" s="85" t="n">
        <v>17886</v>
      </c>
      <c r="W149" s="92" t="n">
        <v>46307</v>
      </c>
      <c r="X149" s="92" t="n">
        <v>44081</v>
      </c>
      <c r="Y149" s="84" t="inlineStr">
        <is>
          <t>FBA</t>
        </is>
      </c>
      <c r="Z149" s="84" t="inlineStr">
        <is>
          <t>HK</t>
        </is>
      </c>
      <c r="AA149" s="85" t="n">
        <v>356457</v>
      </c>
      <c r="AB149" s="85" t="n">
        <v>3352</v>
      </c>
      <c r="AC149" s="93" t="n">
        <v>0.7964633734223203</v>
      </c>
      <c r="AD149" s="93" t="n">
        <v>0.2035367432817982</v>
      </c>
      <c r="AE149" s="32" t="inlineStr">
        <is>
          <t>silk sheets</t>
        </is>
      </c>
      <c r="AF149" s="93" t="n">
        <v>0.839254103580516</v>
      </c>
      <c r="AG149" s="93" t="n"/>
      <c r="AH149" s="93" t="n"/>
      <c r="AI149" s="93" t="n">
        <v>0.1362268099658584</v>
      </c>
      <c r="AJ149" s="85" t="n"/>
      <c r="AK149" s="85" t="n"/>
      <c r="AL149" s="85" t="n"/>
      <c r="AM149" s="85" t="n"/>
      <c r="AN149" s="85" t="n"/>
      <c r="AO149" s="85" t="n"/>
      <c r="AP149" s="94" t="n">
        <v>0.9844138242602214</v>
      </c>
      <c r="AQ149" s="89" t="n">
        <v>0.1594370096908169</v>
      </c>
      <c r="AR149" s="95" t="inlineStr">
        <is>
          <t>Y</t>
        </is>
      </c>
      <c r="AS149" s="95" t="inlineStr">
        <is>
          <t>List Price</t>
        </is>
      </c>
      <c r="AT149" s="96" t="n">
        <v>28.99</v>
      </c>
      <c r="AU149" s="96" t="n">
        <v>19.99</v>
      </c>
      <c r="AV149" s="95" t="inlineStr">
        <is>
          <t>none</t>
        </is>
      </c>
      <c r="AW149" s="95" t="inlineStr">
        <is>
          <t>Y</t>
        </is>
      </c>
      <c r="AX149" s="95" t="inlineStr">
        <is>
          <t>2026-10-13 12:13:22</t>
        </is>
      </c>
      <c r="AY149" s="97" t="inlineStr">
        <is>
          <t>None</t>
        </is>
      </c>
      <c r="AZ149" s="102" t="n"/>
      <c r="BA149" s="98" t="n">
        <v>17.99</v>
      </c>
      <c r="BB149" s="98" t="n">
        <v>17.99</v>
      </c>
      <c r="BC149" s="87">
        <f>IF(AND(ISNUMBER(BA149),ISNUMBER(BB149),N(BA149)&gt;0),1-BB149/BA149,"")</f>
        <v/>
      </c>
      <c r="BD149" s="99" t="n">
        <v>1500</v>
      </c>
      <c r="BE149" s="99" t="n">
        <v>1119</v>
      </c>
      <c r="BF149" s="100">
        <f>IF(AND(ISNUMBER(BD149),ISNUMBER(BE149),N(BE149)&gt;0),BD149/BE149,"")</f>
        <v/>
      </c>
      <c r="BG149" s="97" t="inlineStr">
        <is>
          <t>N</t>
        </is>
      </c>
      <c r="BH149" s="97" t="inlineStr">
        <is>
          <t>Prime Exclusive 11-01 to 12-05; Lightning Deal 11-08 to 11-14; Prime Exclusive already running before BFCM week; List Price $28.99</t>
        </is>
      </c>
    </row>
    <row r="150" ht="62" customHeight="1">
      <c r="A150" s="10">
        <f>_xlfn.IMAGE("https://images-na.ssl-images-amazon.com/images/I/71QlFwpmpcL.jpg")</f>
        <v/>
      </c>
      <c r="B150" s="84" t="inlineStr">
        <is>
          <t>CozyLux</t>
        </is>
      </c>
      <c r="C150" s="32" t="inlineStr">
        <is>
          <t>CozyLux Satin Sheets Queen, 4-Piece 14-Inch Deep Pocket Sheet Set</t>
        </is>
      </c>
      <c r="D150" s="84" t="inlineStr">
        <is>
          <t>Untiered</t>
        </is>
      </c>
      <c r="E150" s="84" t="inlineStr">
        <is>
          <t>B08CQKS3KP</t>
        </is>
      </c>
      <c r="F150" s="84" t="inlineStr">
        <is>
          <t>B08P16XLP2</t>
        </is>
      </c>
      <c r="G150" s="84" t="inlineStr">
        <is>
          <t>Queen</t>
        </is>
      </c>
      <c r="H150" s="84" t="n"/>
      <c r="I150" s="85" t="n">
        <v>115</v>
      </c>
      <c r="J150" s="32" t="inlineStr">
        <is>
          <t>B08P16XLP2 (43%), B08P164867 (8%), B08P17PQ8J (6%), B0CQ8CN4PK (5%), B0BYDSWCJY (4%)</t>
        </is>
      </c>
      <c r="K150" s="86" t="n">
        <v>13.99</v>
      </c>
      <c r="L150" s="86" t="n">
        <v>18.99</v>
      </c>
      <c r="M150" s="87">
        <f>IF(AND(ISNUMBER(L150),ISNUMBER(K150),N(K150)&gt;0),L150/K150-1,"")</f>
        <v/>
      </c>
      <c r="N150" s="88">
        <f>IF(M150="","No List Price",IF(M150&lt;=0,"At/below price",IF(M150&lt;=0.12,"&lt;=12% STR zone",IF(M150&lt;=0.25,"12-25%","&gt;25% over"))))</f>
        <v/>
      </c>
      <c r="O150" s="86" t="n"/>
      <c r="P150" s="89">
        <f>IF(AND(ISNUMBER(K150),ISNUMBER(O150),N(O150)&gt;0),K150/O150-1,"")</f>
        <v/>
      </c>
      <c r="Q150" s="32" t="inlineStr">
        <is>
          <t>No price for us</t>
        </is>
      </c>
      <c r="R150" s="85" t="n">
        <v>3102</v>
      </c>
      <c r="S150" s="85" t="n">
        <v>347</v>
      </c>
      <c r="T150" s="90">
        <f>IF(AND(ISNUMBER(K150),ISNUMBER(S150)),K150*S150*52/12,"")</f>
        <v/>
      </c>
      <c r="U150" s="91" t="n">
        <v>4.3</v>
      </c>
      <c r="V150" s="85" t="n">
        <v>7075</v>
      </c>
      <c r="W150" s="92" t="n">
        <v>46307</v>
      </c>
      <c r="X150" s="92" t="n">
        <v>44158</v>
      </c>
      <c r="Y150" s="84" t="inlineStr">
        <is>
          <t>FBA</t>
        </is>
      </c>
      <c r="Z150" s="84" t="inlineStr">
        <is>
          <t>CN</t>
        </is>
      </c>
      <c r="AA150" s="85" t="n">
        <v>164434</v>
      </c>
      <c r="AB150" s="85" t="n">
        <v>2031</v>
      </c>
      <c r="AC150" s="93" t="n">
        <v>0.724298132381382</v>
      </c>
      <c r="AD150" s="93" t="n">
        <v>0.2757019065400104</v>
      </c>
      <c r="AE150" s="32" t="inlineStr">
        <is>
          <t>silk sheets</t>
        </is>
      </c>
      <c r="AF150" s="93" t="n">
        <v>0.601335490227082</v>
      </c>
      <c r="AG150" s="93" t="n">
        <v>0.5155016602405829</v>
      </c>
      <c r="AH150" s="93" t="n"/>
      <c r="AI150" s="93" t="n">
        <v>0.04596981159614192</v>
      </c>
      <c r="AJ150" s="85" t="n"/>
      <c r="AK150" s="85" t="n"/>
      <c r="AL150" s="85" t="n"/>
      <c r="AM150" s="85" t="n"/>
      <c r="AN150" s="85" t="n"/>
      <c r="AO150" s="85" t="n"/>
      <c r="AP150" s="94" t="n">
        <v>0.8168981481481481</v>
      </c>
      <c r="AQ150" s="89" t="n">
        <v>-0.1447276536312849</v>
      </c>
      <c r="AR150" s="95" t="inlineStr">
        <is>
          <t>Y</t>
        </is>
      </c>
      <c r="AS150" s="95" t="inlineStr">
        <is>
          <t>List Price</t>
        </is>
      </c>
      <c r="AT150" s="96" t="n">
        <v>18.99</v>
      </c>
      <c r="AU150" s="96" t="n">
        <v>13.99</v>
      </c>
      <c r="AV150" s="95" t="inlineStr">
        <is>
          <t>Limited time deal</t>
        </is>
      </c>
      <c r="AW150" s="95" t="inlineStr">
        <is>
          <t>Y</t>
        </is>
      </c>
      <c r="AX150" s="95" t="inlineStr">
        <is>
          <t>2026-10-13 12:12:43</t>
        </is>
      </c>
      <c r="AY150" s="97" t="inlineStr">
        <is>
          <t>Prime Exclusive Discount</t>
        </is>
      </c>
      <c r="AZ150" s="97" t="inlineStr">
        <is>
          <t>11-01 to 12-05</t>
        </is>
      </c>
      <c r="BA150" s="98" t="n">
        <v>17.99</v>
      </c>
      <c r="BB150" s="98" t="n">
        <v>16.99</v>
      </c>
      <c r="BC150" s="87">
        <f>IF(AND(ISNUMBER(BA150),ISNUMBER(BB150),N(BA150)&gt;0),1-BB150/BA150,"")</f>
        <v/>
      </c>
      <c r="BD150" s="99" t="n">
        <v>1165</v>
      </c>
      <c r="BE150" s="99" t="n">
        <v>1226</v>
      </c>
      <c r="BF150" s="100">
        <f>IF(AND(ISNUMBER(BD150),ISNUMBER(BE150),N(BE150)&gt;0),BD150/BE150,"")</f>
        <v/>
      </c>
      <c r="BG150" s="97" t="inlineStr">
        <is>
          <t>N</t>
        </is>
      </c>
      <c r="BH150" s="97" t="inlineStr">
        <is>
          <t>Lightning Deal 11-09 to 11-16; Prime Exclusive already running before BFCM week; List Price $22.99</t>
        </is>
      </c>
    </row>
    <row r="151" ht="62" customHeight="1">
      <c r="A151" s="10">
        <f>_xlfn.IMAGE("https://images-na.ssl-images-amazon.com/images/I/71Jlvkv3rfL.jpg")</f>
        <v/>
      </c>
      <c r="B151" s="84" t="inlineStr">
        <is>
          <t>BEDELITE</t>
        </is>
      </c>
      <c r="C151" s="32" t="inlineStr">
        <is>
          <t>BEDELITE Satin Queen Fitted Sheet &amp; Pillowcases Set, Black, 3 Pieces</t>
        </is>
      </c>
      <c r="D151" s="84" t="inlineStr">
        <is>
          <t>Untiered</t>
        </is>
      </c>
      <c r="E151" s="84" t="inlineStr">
        <is>
          <t>B0FPCM7DL3</t>
        </is>
      </c>
      <c r="F151" s="84" t="inlineStr">
        <is>
          <t>B0CSFV4FXW</t>
        </is>
      </c>
      <c r="G151" s="84" t="inlineStr">
        <is>
          <t>Queen</t>
        </is>
      </c>
      <c r="H151" s="84" t="inlineStr">
        <is>
          <t>Black</t>
        </is>
      </c>
      <c r="I151" s="85" t="n">
        <v>107</v>
      </c>
      <c r="J151" s="32" t="inlineStr">
        <is>
          <t>B0CSFV4FXW (48%), B0CSFV69Q1 (13%), B0CSFW55XL (12%), B0CSFWH14D (5%), B0F291FC32 (4%)</t>
        </is>
      </c>
      <c r="K151" s="86" t="n">
        <v>15.98</v>
      </c>
      <c r="L151" s="86" t="n">
        <v>19.99</v>
      </c>
      <c r="M151" s="87">
        <f>IF(AND(ISNUMBER(L151),ISNUMBER(K151),N(K151)&gt;0),L151/K151-1,"")</f>
        <v/>
      </c>
      <c r="N151" s="88">
        <f>IF(M151="","No List Price",IF(M151&lt;=0,"At/below price",IF(M151&lt;=0.12,"&lt;=12% STR zone",IF(M151&lt;=0.25,"12-25%","&gt;25% over"))))</f>
        <v/>
      </c>
      <c r="O151" s="86" t="n"/>
      <c r="P151" s="89">
        <f>IF(AND(ISNUMBER(K151),ISNUMBER(O151),N(O151)&gt;0),K151/O151-1,"")</f>
        <v/>
      </c>
      <c r="Q151" s="32" t="inlineStr">
        <is>
          <t>No price for us</t>
        </is>
      </c>
      <c r="R151" s="85" t="n">
        <v>4306</v>
      </c>
      <c r="S151" s="85" t="n">
        <v>208</v>
      </c>
      <c r="T151" s="90">
        <f>IF(AND(ISNUMBER(K151),ISNUMBER(S151)),K151*S151*52/12,"")</f>
        <v/>
      </c>
      <c r="U151" s="91" t="n">
        <v>4.4</v>
      </c>
      <c r="V151" s="85" t="n">
        <v>1858</v>
      </c>
      <c r="W151" s="92" t="n">
        <v>46307</v>
      </c>
      <c r="X151" s="92" t="n">
        <v>45307</v>
      </c>
      <c r="Y151" s="84" t="inlineStr">
        <is>
          <t>FBA</t>
        </is>
      </c>
      <c r="Z151" s="84" t="inlineStr">
        <is>
          <t>CN</t>
        </is>
      </c>
      <c r="AA151" s="85" t="n">
        <v>179643</v>
      </c>
      <c r="AB151" s="85" t="n">
        <v>2252</v>
      </c>
      <c r="AC151" s="93" t="n">
        <v>0.4557323781054652</v>
      </c>
      <c r="AD151" s="93" t="n">
        <v>0.5442676753338563</v>
      </c>
      <c r="AE151" s="32" t="inlineStr">
        <is>
          <t>shee</t>
        </is>
      </c>
      <c r="AF151" s="93" t="n">
        <v>0.9239714322294773</v>
      </c>
      <c r="AG151" s="93" t="n">
        <v>0.4045968949527675</v>
      </c>
      <c r="AH151" s="93" t="n"/>
      <c r="AI151" s="93" t="n">
        <v>0.02756578324788609</v>
      </c>
      <c r="AJ151" s="85" t="n"/>
      <c r="AK151" s="85" t="n"/>
      <c r="AL151" s="85" t="n"/>
      <c r="AM151" s="85" t="n"/>
      <c r="AN151" s="85" t="n"/>
      <c r="AO151" s="85" t="n"/>
      <c r="AP151" s="94" t="n">
        <v>1.118721461187214</v>
      </c>
      <c r="AQ151" s="89" t="n">
        <v>0.04072948328267478</v>
      </c>
      <c r="AR151" s="95" t="inlineStr">
        <is>
          <t>Y</t>
        </is>
      </c>
      <c r="AS151" s="95" t="inlineStr">
        <is>
          <t>List Price</t>
        </is>
      </c>
      <c r="AT151" s="96" t="n">
        <v>19.99</v>
      </c>
      <c r="AU151" s="96" t="n">
        <v>15.98</v>
      </c>
      <c r="AV151" s="95" t="inlineStr">
        <is>
          <t>Limited time deal</t>
        </is>
      </c>
      <c r="AW151" s="95" t="inlineStr">
        <is>
          <t>Y</t>
        </is>
      </c>
      <c r="AX151" s="95" t="inlineStr">
        <is>
          <t>2026-10-13 12:12:30</t>
        </is>
      </c>
      <c r="AY151" s="97" t="inlineStr">
        <is>
          <t>Price cut only</t>
        </is>
      </c>
      <c r="AZ151" s="97" t="inlineStr">
        <is>
          <t>11-20 to 12-01</t>
        </is>
      </c>
      <c r="BA151" s="98" t="n">
        <v>15.99</v>
      </c>
      <c r="BB151" s="98" t="n">
        <v>15.18</v>
      </c>
      <c r="BC151" s="87">
        <f>IF(AND(ISNUMBER(BA151),ISNUMBER(BB151),N(BA151)&gt;0),1-BB151/BA151,"")</f>
        <v/>
      </c>
      <c r="BD151" s="99" t="n">
        <v>8356</v>
      </c>
      <c r="BE151" s="99" t="n">
        <v>4609</v>
      </c>
      <c r="BF151" s="100">
        <f>IF(AND(ISNUMBER(BD151),ISNUMBER(BE151),N(BE151)&gt;0),BD151/BE151,"")</f>
        <v/>
      </c>
      <c r="BG151" s="97" t="inlineStr">
        <is>
          <t>N</t>
        </is>
      </c>
      <c r="BH151" s="97" t="inlineStr">
        <is>
          <t>Prime Exclusive 11-01 to 12-05; Lightning Deal 11-09 to 11-09; Prime Exclusive already running before BFCM week; List Price $19.99</t>
        </is>
      </c>
    </row>
    <row r="152" ht="62" customHeight="1">
      <c r="A152" s="10">
        <f>_xlfn.IMAGE("https://images-na.ssl-images-amazon.com/images/I/71PMIXXTc0L.jpg")</f>
        <v/>
      </c>
      <c r="B152" s="84" t="inlineStr">
        <is>
          <t>Lanest Housing</t>
        </is>
      </c>
      <c r="C152" s="32" t="inlineStr">
        <is>
          <t>Lanest Housing Silk Satin Sheets, Queen Size Satin Bed Sheet Set with Deep Pockets, Cooling Soft and Hypoallergenic Satin Sheets Queen - Light Gray</t>
        </is>
      </c>
      <c r="D152" s="84" t="inlineStr">
        <is>
          <t>Untiered</t>
        </is>
      </c>
      <c r="E152" s="84" t="inlineStr">
        <is>
          <t>B0DC3MX1DP</t>
        </is>
      </c>
      <c r="F152" s="84" t="inlineStr">
        <is>
          <t>B082B5CY3D</t>
        </is>
      </c>
      <c r="G152" s="84" t="inlineStr">
        <is>
          <t>Queen</t>
        </is>
      </c>
      <c r="H152" s="84" t="inlineStr">
        <is>
          <t>Gray</t>
        </is>
      </c>
      <c r="I152" s="85" t="n">
        <v>154</v>
      </c>
      <c r="J152" s="32" t="inlineStr">
        <is>
          <t>B082B5CY3D (41%), B07VWFV7MB (21%), B07VTSWJPH (21%)</t>
        </is>
      </c>
      <c r="K152" s="86" t="n">
        <v>22.99</v>
      </c>
      <c r="L152" s="86" t="n"/>
      <c r="M152" s="87">
        <f>IF(AND(ISNUMBER(L152),ISNUMBER(K152),N(K152)&gt;0),L152/K152-1,"")</f>
        <v/>
      </c>
      <c r="N152" s="88">
        <f>IF(M152="","No List Price",IF(M152&lt;=0,"At/below price",IF(M152&lt;=0.12,"&lt;=12% STR zone",IF(M152&lt;=0.25,"12-25%","&gt;25% over"))))</f>
        <v/>
      </c>
      <c r="O152" s="86" t="n"/>
      <c r="P152" s="89">
        <f>IF(AND(ISNUMBER(K152),ISNUMBER(O152),N(O152)&gt;0),K152/O152-1,"")</f>
        <v/>
      </c>
      <c r="Q152" s="32" t="inlineStr">
        <is>
          <t>No price for us</t>
        </is>
      </c>
      <c r="R152" s="85" t="n">
        <v>4671</v>
      </c>
      <c r="S152" s="85" t="n">
        <v>208</v>
      </c>
      <c r="T152" s="90">
        <f>IF(AND(ISNUMBER(K152),ISNUMBER(S152)),K152*S152*52/12,"")</f>
        <v/>
      </c>
      <c r="U152" s="91" t="n">
        <v>4.3</v>
      </c>
      <c r="V152" s="85" t="n">
        <v>5837</v>
      </c>
      <c r="W152" s="92" t="n">
        <v>46307</v>
      </c>
      <c r="X152" s="92" t="n">
        <v>43803</v>
      </c>
      <c r="Y152" s="84" t="inlineStr">
        <is>
          <t>FBA</t>
        </is>
      </c>
      <c r="Z152" s="84" t="inlineStr">
        <is>
          <t>CN</t>
        </is>
      </c>
      <c r="AA152" s="85" t="n">
        <v>163454</v>
      </c>
      <c r="AB152" s="85" t="n">
        <v>1240</v>
      </c>
      <c r="AC152" s="93" t="n">
        <v>0.511816095659941</v>
      </c>
      <c r="AD152" s="93" t="n">
        <v>0.488184002226926</v>
      </c>
      <c r="AE152" s="32" t="inlineStr">
        <is>
          <t>silk sheets</t>
        </is>
      </c>
      <c r="AF152" s="93" t="n">
        <v>0.9357923330111224</v>
      </c>
      <c r="AG152" s="93" t="n">
        <v>0.9225470162859275</v>
      </c>
      <c r="AH152" s="93" t="n"/>
      <c r="AI152" s="93" t="n">
        <v>0.002850955008748639</v>
      </c>
      <c r="AJ152" s="85" t="n"/>
      <c r="AK152" s="85" t="n"/>
      <c r="AL152" s="85" t="n"/>
      <c r="AM152" s="85" t="n"/>
      <c r="AN152" s="85" t="n"/>
      <c r="AO152" s="85" t="n"/>
      <c r="AP152" s="94" t="n">
        <v>0.4183908045977011</v>
      </c>
      <c r="AQ152" s="89" t="n">
        <v>1.815972222222222</v>
      </c>
      <c r="AR152" s="95" t="inlineStr">
        <is>
          <t>N</t>
        </is>
      </c>
      <c r="AS152" s="95" t="inlineStr">
        <is>
          <t>none</t>
        </is>
      </c>
      <c r="AT152" s="101" t="n"/>
      <c r="AU152" s="96" t="n">
        <v>22.99</v>
      </c>
      <c r="AV152" s="95" t="inlineStr">
        <is>
          <t>none</t>
        </is>
      </c>
      <c r="AW152" s="95" t="inlineStr">
        <is>
          <t>Y</t>
        </is>
      </c>
      <c r="AX152" s="95" t="inlineStr">
        <is>
          <t>2026-10-13 12:13:12</t>
        </is>
      </c>
      <c r="AY152" s="97" t="inlineStr">
        <is>
          <t>Prime Exclusive Discount</t>
        </is>
      </c>
      <c r="AZ152" s="97" t="inlineStr">
        <is>
          <t>11-20 to 11-27</t>
        </is>
      </c>
      <c r="BA152" s="98" t="n">
        <v>19.99</v>
      </c>
      <c r="BB152" s="98" t="n">
        <v>17.99</v>
      </c>
      <c r="BC152" s="87">
        <f>IF(AND(ISNUMBER(BA152),ISNUMBER(BB152),N(BA152)&gt;0),1-BB152/BA152,"")</f>
        <v/>
      </c>
      <c r="BD152" s="99" t="n">
        <v>3675</v>
      </c>
      <c r="BE152" s="99" t="n">
        <v>3550</v>
      </c>
      <c r="BF152" s="100">
        <f>IF(AND(ISNUMBER(BD152),ISNUMBER(BE152),N(BE152)&gt;0),BD152/BE152,"")</f>
        <v/>
      </c>
      <c r="BG152" s="97" t="inlineStr">
        <is>
          <t>Y</t>
        </is>
      </c>
      <c r="BH152" s="97" t="inlineStr">
        <is>
          <t>Buy Box RAISED in BFCM week (median $27.79 vs $19.99 before); List Price $37.99</t>
        </is>
      </c>
    </row>
    <row r="153" ht="62" customHeight="1">
      <c r="A153" s="10">
        <f>_xlfn.IMAGE("https://images-na.ssl-images-amazon.com/images/I/810d6GzTlfL.jpg")</f>
        <v/>
      </c>
      <c r="B153" s="84" t="inlineStr">
        <is>
          <t>FreshCulture</t>
        </is>
      </c>
      <c r="C153" s="32" t="inlineStr">
        <is>
          <t>Satin Sheets</t>
        </is>
      </c>
      <c r="D153" s="84" t="inlineStr">
        <is>
          <t>Untiered</t>
        </is>
      </c>
      <c r="E153" s="84" t="inlineStr">
        <is>
          <t>B0D9B18P6N</t>
        </is>
      </c>
      <c r="F153" s="84" t="inlineStr">
        <is>
          <t>B0D9BD63QH</t>
        </is>
      </c>
      <c r="G153" s="84" t="n"/>
      <c r="H153" s="84" t="n"/>
      <c r="I153" s="85" t="n">
        <v>54</v>
      </c>
      <c r="J153" s="32" t="inlineStr">
        <is>
          <t>B0D9BD63QH (41%), B0D9BCKF76 (23%), B0D9BBSLJ5 (8%), B0D9BFR53D (6%), B0D9B9HFLQ (5%)</t>
        </is>
      </c>
      <c r="K153" s="86" t="n">
        <v>23.99</v>
      </c>
      <c r="L153" s="86" t="n"/>
      <c r="M153" s="87">
        <f>IF(AND(ISNUMBER(L153),ISNUMBER(K153),N(K153)&gt;0),L153/K153-1,"")</f>
        <v/>
      </c>
      <c r="N153" s="88">
        <f>IF(M153="","No List Price",IF(M153&lt;=0,"At/below price",IF(M153&lt;=0.12,"&lt;=12% STR zone",IF(M153&lt;=0.25,"12-25%","&gt;25% over"))))</f>
        <v/>
      </c>
      <c r="O153" s="86" t="n"/>
      <c r="P153" s="89">
        <f>IF(AND(ISNUMBER(K153),ISNUMBER(O153),N(O153)&gt;0),K153/O153-1,"")</f>
        <v/>
      </c>
      <c r="Q153" s="32" t="inlineStr">
        <is>
          <t>No price for us</t>
        </is>
      </c>
      <c r="R153" s="85" t="n">
        <v>17918</v>
      </c>
      <c r="S153" s="85" t="n">
        <v>104</v>
      </c>
      <c r="T153" s="90">
        <f>IF(AND(ISNUMBER(K153),ISNUMBER(S153)),K153*S153*52/12,"")</f>
        <v/>
      </c>
      <c r="U153" s="91" t="n">
        <v>4.4</v>
      </c>
      <c r="V153" s="85" t="n">
        <v>780</v>
      </c>
      <c r="W153" s="92" t="n">
        <v>46307</v>
      </c>
      <c r="X153" s="92" t="n"/>
      <c r="Y153" s="84" t="n"/>
      <c r="Z153" s="84" t="n"/>
      <c r="AA153" s="85" t="n">
        <v>99046</v>
      </c>
      <c r="AB153" s="85" t="n">
        <v>1117</v>
      </c>
      <c r="AC153" s="93" t="n">
        <v>0.9634387880378817</v>
      </c>
      <c r="AD153" s="93" t="n">
        <v>0.0365612119621186</v>
      </c>
      <c r="AE153" s="32" t="inlineStr">
        <is>
          <t>silk sheets</t>
        </is>
      </c>
      <c r="AF153" s="93" t="n">
        <v>0.6526159562223613</v>
      </c>
      <c r="AG153" s="93" t="n"/>
      <c r="AH153" s="93" t="n"/>
      <c r="AI153" s="93" t="n">
        <v>0.05489368576217112</v>
      </c>
      <c r="AJ153" s="85" t="n"/>
      <c r="AK153" s="85" t="n"/>
      <c r="AL153" s="85" t="n"/>
      <c r="AM153" s="85" t="n"/>
      <c r="AN153" s="85" t="n"/>
      <c r="AO153" s="85" t="n"/>
      <c r="AP153" s="94" t="n"/>
      <c r="AQ153" s="89" t="n"/>
      <c r="AR153" s="95" t="inlineStr">
        <is>
          <t>N</t>
        </is>
      </c>
      <c r="AS153" s="95" t="inlineStr">
        <is>
          <t>none</t>
        </is>
      </c>
      <c r="AT153" s="101" t="n"/>
      <c r="AU153" s="96" t="n">
        <v>23.99</v>
      </c>
      <c r="AV153" s="95" t="inlineStr">
        <is>
          <t>none</t>
        </is>
      </c>
      <c r="AW153" s="95" t="inlineStr">
        <is>
          <t>Y</t>
        </is>
      </c>
      <c r="AX153" s="95" t="inlineStr">
        <is>
          <t>2026-10-13 12:12:46</t>
        </is>
      </c>
      <c r="AY153" s="97" t="inlineStr">
        <is>
          <t>Prime Exclusive Discount</t>
        </is>
      </c>
      <c r="AZ153" s="97" t="inlineStr">
        <is>
          <t>11-24 to 11-24</t>
        </is>
      </c>
      <c r="BA153" s="98" t="n">
        <v>23.99</v>
      </c>
      <c r="BB153" s="98" t="n">
        <v>18.69</v>
      </c>
      <c r="BC153" s="87">
        <f>IF(AND(ISNUMBER(BA153),ISNUMBER(BB153),N(BA153)&gt;0),1-BB153/BA153,"")</f>
        <v/>
      </c>
      <c r="BD153" s="99" t="n">
        <v>37399</v>
      </c>
      <c r="BE153" s="99" t="n">
        <v>26864</v>
      </c>
      <c r="BF153" s="100">
        <f>IF(AND(ISNUMBER(BD153),ISNUMBER(BE153),N(BE153)&gt;0),BD153/BE153,"")</f>
        <v/>
      </c>
      <c r="BG153" s="97" t="inlineStr">
        <is>
          <t>Y</t>
        </is>
      </c>
      <c r="BH153" s="97" t="inlineStr">
        <is>
          <t>List Price $34.99</t>
        </is>
      </c>
    </row>
    <row r="154" ht="62" customHeight="1">
      <c r="A154" s="10">
        <f>_xlfn.IMAGE("https://images-na.ssl-images-amazon.com/images/I/71TbH0l5XfL.jpg")</f>
        <v/>
      </c>
      <c r="B154" s="84" t="inlineStr">
        <is>
          <t>P Pothuiny</t>
        </is>
      </c>
      <c r="C154" s="32" t="inlineStr">
        <is>
          <t>P Pothuiny 6-Piece Queen Satin Sheet Set Burgundy Silky Sheets</t>
        </is>
      </c>
      <c r="D154" s="84" t="inlineStr">
        <is>
          <t>Untiered</t>
        </is>
      </c>
      <c r="E154" s="84" t="inlineStr">
        <is>
          <t>B096P2MYZQ</t>
        </is>
      </c>
      <c r="F154" s="84" t="inlineStr">
        <is>
          <t>B08QMF6D5W</t>
        </is>
      </c>
      <c r="G154" s="84" t="inlineStr">
        <is>
          <t>Queen</t>
        </is>
      </c>
      <c r="H154" s="84" t="inlineStr">
        <is>
          <t>Burgundy</t>
        </is>
      </c>
      <c r="I154" s="85" t="n">
        <v>47</v>
      </c>
      <c r="J154" s="32" t="inlineStr">
        <is>
          <t>B08QMF6D5W (52%), B08QMSJFYZ (19%), B08QMYV2YR (10%)</t>
        </is>
      </c>
      <c r="K154" s="86" t="n">
        <v>26.99</v>
      </c>
      <c r="L154" s="86" t="n"/>
      <c r="M154" s="87">
        <f>IF(AND(ISNUMBER(L154),ISNUMBER(K154),N(K154)&gt;0),L154/K154-1,"")</f>
        <v/>
      </c>
      <c r="N154" s="88">
        <f>IF(M154="","No List Price",IF(M154&lt;=0,"At/below price",IF(M154&lt;=0.12,"&lt;=12% STR zone",IF(M154&lt;=0.25,"12-25%","&gt;25% over"))))</f>
        <v/>
      </c>
      <c r="O154" s="86" t="n"/>
      <c r="P154" s="89">
        <f>IF(AND(ISNUMBER(K154),ISNUMBER(O154),N(O154)&gt;0),K154/O154-1,"")</f>
        <v/>
      </c>
      <c r="Q154" s="32" t="inlineStr">
        <is>
          <t>No price for us</t>
        </is>
      </c>
      <c r="R154" s="85" t="n">
        <v>20031</v>
      </c>
      <c r="S154" s="85" t="n">
        <v>104</v>
      </c>
      <c r="T154" s="90">
        <f>IF(AND(ISNUMBER(K154),ISNUMBER(S154)),K154*S154*52/12,"")</f>
        <v/>
      </c>
      <c r="U154" s="91" t="n">
        <v>4.4</v>
      </c>
      <c r="V154" s="85" t="n">
        <v>4031</v>
      </c>
      <c r="W154" s="92" t="n">
        <v>46307</v>
      </c>
      <c r="X154" s="92" t="n">
        <v>44180</v>
      </c>
      <c r="Y154" s="84" t="inlineStr">
        <is>
          <t>FBA</t>
        </is>
      </c>
      <c r="Z154" s="84" t="inlineStr">
        <is>
          <t>CN</t>
        </is>
      </c>
      <c r="AA154" s="85" t="n">
        <v>66544</v>
      </c>
      <c r="AB154" s="85" t="n">
        <v>832</v>
      </c>
      <c r="AC154" s="93" t="n">
        <v>0.9166959214955518</v>
      </c>
      <c r="AD154" s="93" t="n">
        <v>0.08330407850444821</v>
      </c>
      <c r="AE154" s="32" t="inlineStr">
        <is>
          <t>silk sheets</t>
        </is>
      </c>
      <c r="AF154" s="93" t="n">
        <v>0.1859972349122385</v>
      </c>
      <c r="AG154" s="93" t="n">
        <v>0.5380349843712431</v>
      </c>
      <c r="AH154" s="93" t="n"/>
      <c r="AI154" s="93" t="n">
        <v>0.01920533782159173</v>
      </c>
      <c r="AJ154" s="85" t="n"/>
      <c r="AK154" s="85" t="n"/>
      <c r="AL154" s="85" t="n"/>
      <c r="AM154" s="85" t="n"/>
      <c r="AN154" s="85" t="n"/>
      <c r="AO154" s="85" t="n"/>
      <c r="AP154" s="94" t="n">
        <v>1.171497584541063</v>
      </c>
      <c r="AQ154" s="89" t="n">
        <v>0.608009708737864</v>
      </c>
      <c r="AR154" s="95" t="inlineStr">
        <is>
          <t>N</t>
        </is>
      </c>
      <c r="AS154" s="95" t="inlineStr">
        <is>
          <t>none</t>
        </is>
      </c>
      <c r="AT154" s="101" t="n"/>
      <c r="AU154" s="96" t="n">
        <v>26.99</v>
      </c>
      <c r="AV154" s="95" t="inlineStr">
        <is>
          <t>none</t>
        </is>
      </c>
      <c r="AW154" s="95" t="inlineStr">
        <is>
          <t>Y</t>
        </is>
      </c>
      <c r="AX154" s="95" t="inlineStr">
        <is>
          <t>2026-10-13 12:13:35</t>
        </is>
      </c>
      <c r="AY154" s="97" t="inlineStr">
        <is>
          <t>Prime Exclusive Discount</t>
        </is>
      </c>
      <c r="AZ154" s="97" t="inlineStr">
        <is>
          <t>11-01 to 12-01</t>
        </is>
      </c>
      <c r="BA154" s="98" t="n">
        <v>29.99</v>
      </c>
      <c r="BB154" s="98" t="n">
        <v>24.95</v>
      </c>
      <c r="BC154" s="87">
        <f>IF(AND(ISNUMBER(BA154),ISNUMBER(BB154),N(BA154)&gt;0),1-BB154/BA154,"")</f>
        <v/>
      </c>
      <c r="BD154" s="99" t="n">
        <v>19773</v>
      </c>
      <c r="BE154" s="99" t="n">
        <v>19113</v>
      </c>
      <c r="BF154" s="100">
        <f>IF(AND(ISNUMBER(BD154),ISNUMBER(BE154),N(BE154)&gt;0),BD154/BE154,"")</f>
        <v/>
      </c>
      <c r="BG154" s="97" t="inlineStr">
        <is>
          <t>N</t>
        </is>
      </c>
      <c r="BH154" s="97" t="inlineStr">
        <is>
          <t>Prime Exclusive already running before BFCM week; Buy Box RAISED in BFCM week (median $31.99 vs $29.99 before); List Price $48.99</t>
        </is>
      </c>
    </row>
    <row r="155" ht="62" customHeight="1">
      <c r="A155" s="10">
        <f>_xlfn.IMAGE("https://images-na.ssl-images-amazon.com/images/I/81zMSoUAMJL.jpg")</f>
        <v/>
      </c>
      <c r="B155" s="84" t="inlineStr">
        <is>
          <t>Bedsure</t>
        </is>
      </c>
      <c r="C155" s="32" t="inlineStr">
        <is>
          <t>Satin Sheets</t>
        </is>
      </c>
      <c r="D155" s="84" t="inlineStr">
        <is>
          <t>Untiered</t>
        </is>
      </c>
      <c r="E155" s="84" t="inlineStr">
        <is>
          <t>B0DCZYNBYS</t>
        </is>
      </c>
      <c r="F155" s="84" t="inlineStr">
        <is>
          <t>B0CJ8RYNTS</t>
        </is>
      </c>
      <c r="G155" s="84" t="n"/>
      <c r="H155" s="84" t="n"/>
      <c r="I155" s="85" t="n">
        <v>32</v>
      </c>
      <c r="J155" s="32" t="inlineStr">
        <is>
          <t>B0CJ8SSQ6B (37%), B0CJ8RDYQ7 (17%), B0CJ8RYNTS (17%), B0CL4FSC1R (9%), B0CJ8SB44M (7%)</t>
        </is>
      </c>
      <c r="K155" s="86" t="n">
        <v>19.99</v>
      </c>
      <c r="L155" s="86" t="n"/>
      <c r="M155" s="87">
        <f>IF(AND(ISNUMBER(L155),ISNUMBER(K155),N(K155)&gt;0),L155/K155-1,"")</f>
        <v/>
      </c>
      <c r="N155" s="88">
        <f>IF(M155="","No List Price",IF(M155&lt;=0,"At/below price",IF(M155&lt;=0.12,"&lt;=12% STR zone",IF(M155&lt;=0.25,"12-25%","&gt;25% over"))))</f>
        <v/>
      </c>
      <c r="O155" s="86" t="n"/>
      <c r="P155" s="89">
        <f>IF(AND(ISNUMBER(K155),ISNUMBER(O155),N(O155)&gt;0),K155/O155-1,"")</f>
        <v/>
      </c>
      <c r="Q155" s="32" t="inlineStr">
        <is>
          <t>No price for us</t>
        </is>
      </c>
      <c r="R155" s="85" t="n">
        <v>22342</v>
      </c>
      <c r="S155" s="85" t="n">
        <v>92</v>
      </c>
      <c r="T155" s="90">
        <f>IF(AND(ISNUMBER(K155),ISNUMBER(S155)),K155*S155*52/12,"")</f>
        <v/>
      </c>
      <c r="U155" s="91" t="n">
        <v>4.3</v>
      </c>
      <c r="V155" s="85" t="n">
        <v>2745</v>
      </c>
      <c r="W155" s="92" t="n">
        <v>46307</v>
      </c>
      <c r="X155" s="92" t="n"/>
      <c r="Y155" s="84" t="n"/>
      <c r="Z155" s="84" t="n"/>
      <c r="AA155" s="85" t="n">
        <v>89691</v>
      </c>
      <c r="AB155" s="85" t="n">
        <v>1094</v>
      </c>
      <c r="AC155" s="93" t="n">
        <v>0.6850140036347012</v>
      </c>
      <c r="AD155" s="93" t="n">
        <v>0.3149859963652986</v>
      </c>
      <c r="AE155" s="32" t="inlineStr">
        <is>
          <t>satin sheets</t>
        </is>
      </c>
      <c r="AF155" s="93" t="n">
        <v>0.7987311993399561</v>
      </c>
      <c r="AG155" s="93" t="n">
        <v>0.4455742493672721</v>
      </c>
      <c r="AH155" s="93" t="n"/>
      <c r="AI155" s="93" t="n">
        <v>0.011428125452944</v>
      </c>
      <c r="AJ155" s="85" t="n"/>
      <c r="AK155" s="85" t="n"/>
      <c r="AL155" s="85" t="n"/>
      <c r="AM155" s="85" t="n"/>
      <c r="AN155" s="85" t="n"/>
      <c r="AO155" s="85" t="n"/>
      <c r="AP155" s="94" t="n">
        <v>1.528846153846154</v>
      </c>
      <c r="AQ155" s="89" t="n">
        <v>0.1557377049180328</v>
      </c>
      <c r="AR155" s="95" t="inlineStr">
        <is>
          <t>N</t>
        </is>
      </c>
      <c r="AS155" s="95" t="inlineStr">
        <is>
          <t>none</t>
        </is>
      </c>
      <c r="AT155" s="101" t="n"/>
      <c r="AU155" s="96" t="n">
        <v>19.99</v>
      </c>
      <c r="AV155" s="95" t="inlineStr">
        <is>
          <t>none</t>
        </is>
      </c>
      <c r="AW155" s="95" t="inlineStr">
        <is>
          <t>Y</t>
        </is>
      </c>
      <c r="AX155" s="95" t="inlineStr">
        <is>
          <t>2026-10-13 12:12:37</t>
        </is>
      </c>
      <c r="AY155" s="97" t="inlineStr">
        <is>
          <t>Prime Exclusive Discount</t>
        </is>
      </c>
      <c r="AZ155" s="97" t="inlineStr">
        <is>
          <t>11-08 to 12-04</t>
        </is>
      </c>
      <c r="BA155" s="98" t="n">
        <v>22.39</v>
      </c>
      <c r="BB155" s="98" t="n">
        <v>20.99</v>
      </c>
      <c r="BC155" s="87">
        <f>IF(AND(ISNUMBER(BA155),ISNUMBER(BB155),N(BA155)&gt;0),1-BB155/BA155,"")</f>
        <v/>
      </c>
      <c r="BD155" s="99" t="n">
        <v>4549</v>
      </c>
      <c r="BE155" s="99" t="n">
        <v>5323</v>
      </c>
      <c r="BF155" s="100">
        <f>IF(AND(ISNUMBER(BD155),ISNUMBER(BE155),N(BE155)&gt;0),BD155/BE155,"")</f>
        <v/>
      </c>
      <c r="BG155" s="97" t="inlineStr">
        <is>
          <t>N</t>
        </is>
      </c>
      <c r="BH155" s="97" t="inlineStr">
        <is>
          <t>Prime Exclusive already running before BFCM week; Buy Box RAISED in BFCM week (median $28.99 vs $24.99 before); List Price $44.99</t>
        </is>
      </c>
    </row>
    <row r="156" ht="62" customHeight="1">
      <c r="A156" s="10">
        <f>_xlfn.IMAGE("https://images-na.ssl-images-amazon.com/images/I/81zLU1W0e8L.jpg")</f>
        <v/>
      </c>
      <c r="B156" s="84" t="inlineStr">
        <is>
          <t>Pure Bedding</t>
        </is>
      </c>
      <c r="C156" s="32" t="inlineStr">
        <is>
          <t>Pure Bedding Satin Sheets Queen [4-Piece, Black] Hotel Luxury Silky Bed Sheets - Extra Soft 1800 Microfiber Sheet Set, Wrinkle, Fade, Deep Pocket Fitted Sheet, Flat Sheet, Pillow Cases</t>
        </is>
      </c>
      <c r="D156" s="84" t="inlineStr">
        <is>
          <t>Untiered</t>
        </is>
      </c>
      <c r="E156" s="84" t="inlineStr">
        <is>
          <t>B0FMPQYB2J</t>
        </is>
      </c>
      <c r="F156" s="84" t="inlineStr">
        <is>
          <t>B083G81VSH</t>
        </is>
      </c>
      <c r="G156" s="84" t="inlineStr">
        <is>
          <t>Queen</t>
        </is>
      </c>
      <c r="H156" s="84" t="inlineStr">
        <is>
          <t>Black</t>
        </is>
      </c>
      <c r="I156" s="85" t="n">
        <v>146</v>
      </c>
      <c r="J156" s="32" t="inlineStr">
        <is>
          <t>B083G81VSH (53%), B07QVMQHD8 (25%), B0FMZWLSSM (4%)</t>
        </is>
      </c>
      <c r="K156" s="86" t="n">
        <v>20.99</v>
      </c>
      <c r="L156" s="86" t="n"/>
      <c r="M156" s="87">
        <f>IF(AND(ISNUMBER(L156),ISNUMBER(K156),N(K156)&gt;0),L156/K156-1,"")</f>
        <v/>
      </c>
      <c r="N156" s="88">
        <f>IF(M156="","No List Price",IF(M156&lt;=0,"At/below price",IF(M156&lt;=0.12,"&lt;=12% STR zone",IF(M156&lt;=0.25,"12-25%","&gt;25% over"))))</f>
        <v/>
      </c>
      <c r="O156" s="86" t="n"/>
      <c r="P156" s="89">
        <f>IF(AND(ISNUMBER(K156),ISNUMBER(O156),N(O156)&gt;0),K156/O156-1,"")</f>
        <v/>
      </c>
      <c r="Q156" s="32" t="inlineStr">
        <is>
          <t>No price for us</t>
        </is>
      </c>
      <c r="R156" s="85" t="n">
        <v>30991</v>
      </c>
      <c r="S156" s="85" t="n">
        <v>92</v>
      </c>
      <c r="T156" s="90">
        <f>IF(AND(ISNUMBER(K156),ISNUMBER(S156)),K156*S156*52/12,"")</f>
        <v/>
      </c>
      <c r="U156" s="91" t="n">
        <v>4.4</v>
      </c>
      <c r="V156" s="85" t="n">
        <v>9828</v>
      </c>
      <c r="W156" s="92" t="n">
        <v>46307</v>
      </c>
      <c r="X156" s="92" t="n">
        <v>43833</v>
      </c>
      <c r="Y156" s="84" t="inlineStr">
        <is>
          <t>AMZ</t>
        </is>
      </c>
      <c r="Z156" s="84" t="inlineStr">
        <is>
          <t>(Amazon)</t>
        </is>
      </c>
      <c r="AA156" s="85" t="n">
        <v>119531</v>
      </c>
      <c r="AB156" s="85" t="n">
        <v>1524</v>
      </c>
      <c r="AC156" s="93" t="n">
        <v>0.6204180681162206</v>
      </c>
      <c r="AD156" s="93" t="n">
        <v>0.3795819318837791</v>
      </c>
      <c r="AE156" s="32" t="inlineStr">
        <is>
          <t>satin sheets</t>
        </is>
      </c>
      <c r="AF156" s="93" t="n">
        <v>0.7968142155591437</v>
      </c>
      <c r="AG156" s="93" t="n"/>
      <c r="AH156" s="93" t="n"/>
      <c r="AI156" s="93" t="n">
        <v>0.001480787410797199</v>
      </c>
      <c r="AJ156" s="85" t="n"/>
      <c r="AK156" s="85" t="n"/>
      <c r="AL156" s="85" t="n"/>
      <c r="AM156" s="85" t="n"/>
      <c r="AN156" s="85" t="n"/>
      <c r="AO156" s="85" t="n"/>
      <c r="AP156" s="94" t="n">
        <v>0.7574960547080484</v>
      </c>
      <c r="AQ156" s="89" t="n">
        <v>-0.08414376321353068</v>
      </c>
      <c r="AR156" s="95" t="inlineStr">
        <is>
          <t>N</t>
        </is>
      </c>
      <c r="AS156" s="95" t="inlineStr">
        <is>
          <t>none</t>
        </is>
      </c>
      <c r="AT156" s="101" t="n"/>
      <c r="AU156" s="96" t="n">
        <v>20.99</v>
      </c>
      <c r="AV156" s="95" t="inlineStr">
        <is>
          <t>none</t>
        </is>
      </c>
      <c r="AW156" s="95" t="inlineStr">
        <is>
          <t>Y</t>
        </is>
      </c>
      <c r="AX156" s="95" t="inlineStr">
        <is>
          <t>2026-10-13 12:13:39</t>
        </is>
      </c>
      <c r="AY156" s="97" t="inlineStr">
        <is>
          <t>Price cut only</t>
        </is>
      </c>
      <c r="AZ156" s="97" t="inlineStr">
        <is>
          <t>11-26 to 12-01</t>
        </is>
      </c>
      <c r="BA156" s="98" t="n">
        <v>18.99</v>
      </c>
      <c r="BB156" s="98" t="n">
        <v>17.54</v>
      </c>
      <c r="BC156" s="87">
        <f>IF(AND(ISNUMBER(BA156),ISNUMBER(BB156),N(BA156)&gt;0),1-BB156/BA156,"")</f>
        <v/>
      </c>
      <c r="BD156" s="99" t="n">
        <v>18619</v>
      </c>
      <c r="BE156" s="99" t="n">
        <v>22404</v>
      </c>
      <c r="BF156" s="100">
        <f>IF(AND(ISNUMBER(BD156),ISNUMBER(BE156),N(BE156)&gt;0),BD156/BE156,"")</f>
        <v/>
      </c>
      <c r="BG156" s="97" t="inlineStr">
        <is>
          <t>N</t>
        </is>
      </c>
      <c r="BH156" s="97" t="inlineStr">
        <is>
          <t>Buy Box RAISED in BFCM week (median $20.02 vs $18.99 before); List Price $32.99</t>
        </is>
      </c>
    </row>
    <row r="157" ht="62" customHeight="1">
      <c r="A157" s="10">
        <f>_xlfn.IMAGE("https://images-na.ssl-images-amazon.com/images/I/71ZrkfMtWLL.jpg")</f>
        <v/>
      </c>
      <c r="B157" s="84" t="inlineStr">
        <is>
          <t>SiinvdaBZX</t>
        </is>
      </c>
      <c r="C157" s="32" t="inlineStr">
        <is>
          <t>SiinvdaBZX 4Pcs Satin Sheet Set Queen Size 15-Inch Deep Pocket, Beige</t>
        </is>
      </c>
      <c r="D157" s="84" t="inlineStr">
        <is>
          <t>Untiered</t>
        </is>
      </c>
      <c r="E157" s="84" t="inlineStr">
        <is>
          <t>B0DD37S32L</t>
        </is>
      </c>
      <c r="F157" s="84" t="inlineStr">
        <is>
          <t>B08JP9DG5Z</t>
        </is>
      </c>
      <c r="G157" s="84" t="inlineStr">
        <is>
          <t>Queen</t>
        </is>
      </c>
      <c r="H157" s="84" t="inlineStr">
        <is>
          <t>Beige</t>
        </is>
      </c>
      <c r="I157" s="85" t="n">
        <v>96</v>
      </c>
      <c r="J157" s="32" t="inlineStr">
        <is>
          <t>B08JP9DG5Z (57%), B09QPFBSD4 (12%), B09QP9LCFM (7%), B08JPQ3JJK (4%)</t>
        </is>
      </c>
      <c r="K157" s="86" t="n">
        <v>22.99</v>
      </c>
      <c r="L157" s="86" t="n"/>
      <c r="M157" s="87">
        <f>IF(AND(ISNUMBER(L157),ISNUMBER(K157),N(K157)&gt;0),L157/K157-1,"")</f>
        <v/>
      </c>
      <c r="N157" s="88">
        <f>IF(M157="","No List Price",IF(M157&lt;=0,"At/below price",IF(M157&lt;=0.12,"&lt;=12% STR zone",IF(M157&lt;=0.25,"12-25%","&gt;25% over"))))</f>
        <v/>
      </c>
      <c r="O157" s="86" t="n"/>
      <c r="P157" s="89">
        <f>IF(AND(ISNUMBER(K157),ISNUMBER(O157),N(O157)&gt;0),K157/O157-1,"")</f>
        <v/>
      </c>
      <c r="Q157" s="32" t="inlineStr">
        <is>
          <t>No price for us</t>
        </is>
      </c>
      <c r="R157" s="85" t="n">
        <v>23154</v>
      </c>
      <c r="S157" s="85" t="n">
        <v>92</v>
      </c>
      <c r="T157" s="90">
        <f>IF(AND(ISNUMBER(K157),ISNUMBER(S157)),K157*S157*52/12,"")</f>
        <v/>
      </c>
      <c r="U157" s="91" t="n">
        <v>4.4</v>
      </c>
      <c r="V157" s="85" t="n">
        <v>6981</v>
      </c>
      <c r="W157" s="92" t="n">
        <v>46307</v>
      </c>
      <c r="X157" s="92" t="n">
        <v>44096</v>
      </c>
      <c r="Y157" s="84" t="inlineStr">
        <is>
          <t>FBA</t>
        </is>
      </c>
      <c r="Z157" s="84" t="inlineStr">
        <is>
          <t>CN</t>
        </is>
      </c>
      <c r="AA157" s="85" t="n">
        <v>47722</v>
      </c>
      <c r="AB157" s="85" t="n">
        <v>1085</v>
      </c>
      <c r="AC157" s="93" t="n">
        <v>0.8752176061355349</v>
      </c>
      <c r="AD157" s="93" t="n">
        <v>0.1247823938644651</v>
      </c>
      <c r="AE157" s="32" t="inlineStr">
        <is>
          <t>silk sheets</t>
        </is>
      </c>
      <c r="AF157" s="93" t="n">
        <v>0.6122543061900172</v>
      </c>
      <c r="AG157" s="93" t="n">
        <v>0.0001885922635262562</v>
      </c>
      <c r="AH157" s="93" t="n">
        <v>0.01083357780478605</v>
      </c>
      <c r="AI157" s="93" t="n">
        <v>0.004777670675998491</v>
      </c>
      <c r="AJ157" s="85" t="n"/>
      <c r="AK157" s="85" t="n"/>
      <c r="AL157" s="85" t="n"/>
      <c r="AM157" s="85" t="n"/>
      <c r="AN157" s="85" t="n"/>
      <c r="AO157" s="85" t="n"/>
      <c r="AP157" s="94" t="n">
        <v>1.035928143712575</v>
      </c>
      <c r="AQ157" s="89" t="n">
        <v>-0.05882352941176483</v>
      </c>
      <c r="AR157" s="95" t="inlineStr">
        <is>
          <t>N</t>
        </is>
      </c>
      <c r="AS157" s="95" t="inlineStr">
        <is>
          <t>none</t>
        </is>
      </c>
      <c r="AT157" s="101" t="n"/>
      <c r="AU157" s="96" t="n">
        <v>22.99</v>
      </c>
      <c r="AV157" s="95" t="inlineStr">
        <is>
          <t>none</t>
        </is>
      </c>
      <c r="AW157" s="95" t="inlineStr">
        <is>
          <t>Y</t>
        </is>
      </c>
      <c r="AX157" s="95" t="inlineStr">
        <is>
          <t>2026-10-13 12:13:45</t>
        </is>
      </c>
      <c r="AY157" s="97" t="inlineStr">
        <is>
          <t>Prime Exclusive Discount</t>
        </is>
      </c>
      <c r="AZ157" s="97" t="inlineStr">
        <is>
          <t>11-01 to 12-01</t>
        </is>
      </c>
      <c r="BA157" s="98" t="n">
        <v>24.49</v>
      </c>
      <c r="BB157" s="98" t="n">
        <v>21.59</v>
      </c>
      <c r="BC157" s="87">
        <f>IF(AND(ISNUMBER(BA157),ISNUMBER(BB157),N(BA157)&gt;0),1-BB157/BA157,"")</f>
        <v/>
      </c>
      <c r="BD157" s="99" t="n">
        <v>20848</v>
      </c>
      <c r="BE157" s="99" t="n">
        <v>20750</v>
      </c>
      <c r="BF157" s="100">
        <f>IF(AND(ISNUMBER(BD157),ISNUMBER(BE157),N(BE157)&gt;0),BD157/BE157,"")</f>
        <v/>
      </c>
      <c r="BG157" s="97" t="inlineStr">
        <is>
          <t>N</t>
        </is>
      </c>
      <c r="BH157" s="97" t="inlineStr">
        <is>
          <t>Prime Exclusive already running before BFCM week; Buy Box RAISED in BFCM week (median $26.99 vs $24.49 before); List Price $52.59</t>
        </is>
      </c>
    </row>
    <row r="158" ht="62" customHeight="1">
      <c r="A158" s="10">
        <f>_xlfn.IMAGE("https://images-na.ssl-images-amazon.com/images/I/71d2-R2XfJL.jpg")</f>
        <v/>
      </c>
      <c r="B158" s="84" t="inlineStr">
        <is>
          <t>VACVELT</t>
        </is>
      </c>
      <c r="C158" s="32" t="inlineStr">
        <is>
          <t>VACVELT 3pcs Queen Black Extra Deep Pocket Satin Fitted Sheet Set</t>
        </is>
      </c>
      <c r="D158" s="84" t="inlineStr">
        <is>
          <t>Untiered</t>
        </is>
      </c>
      <c r="E158" s="84" t="inlineStr">
        <is>
          <t>B0BWJ4PYLN</t>
        </is>
      </c>
      <c r="F158" s="84" t="inlineStr">
        <is>
          <t>B0BWJ4MLLZ</t>
        </is>
      </c>
      <c r="G158" s="84" t="inlineStr">
        <is>
          <t>Queen</t>
        </is>
      </c>
      <c r="H158" s="84" t="inlineStr">
        <is>
          <t>Black</t>
        </is>
      </c>
      <c r="I158" s="85" t="n">
        <v>40</v>
      </c>
      <c r="J158" s="32" t="inlineStr">
        <is>
          <t>B0BWJ4MLLZ (83%)</t>
        </is>
      </c>
      <c r="K158" s="86" t="n">
        <v>18.99</v>
      </c>
      <c r="L158" s="86" t="n"/>
      <c r="M158" s="87">
        <f>IF(AND(ISNUMBER(L158),ISNUMBER(K158),N(K158)&gt;0),L158/K158-1,"")</f>
        <v/>
      </c>
      <c r="N158" s="88">
        <f>IF(M158="","No List Price",IF(M158&lt;=0,"At/below price",IF(M158&lt;=0.12,"&lt;=12% STR zone",IF(M158&lt;=0.25,"12-25%","&gt;25% over"))))</f>
        <v/>
      </c>
      <c r="O158" s="86" t="n"/>
      <c r="P158" s="89">
        <f>IF(AND(ISNUMBER(K158),ISNUMBER(O158),N(O158)&gt;0),K158/O158-1,"")</f>
        <v/>
      </c>
      <c r="Q158" s="32" t="inlineStr">
        <is>
          <t>No price for us</t>
        </is>
      </c>
      <c r="R158" s="85" t="n">
        <v>49291</v>
      </c>
      <c r="S158" s="85" t="n">
        <v>92</v>
      </c>
      <c r="T158" s="90">
        <f>IF(AND(ISNUMBER(K158),ISNUMBER(S158)),K158*S158*52/12,"")</f>
        <v/>
      </c>
      <c r="U158" s="91" t="n">
        <v>4.2</v>
      </c>
      <c r="V158" s="85" t="n">
        <v>747</v>
      </c>
      <c r="W158" s="92" t="n">
        <v>46307</v>
      </c>
      <c r="X158" s="92" t="n">
        <v>44979</v>
      </c>
      <c r="Y158" s="84" t="inlineStr">
        <is>
          <t>FBA</t>
        </is>
      </c>
      <c r="Z158" s="84" t="inlineStr">
        <is>
          <t>CN</t>
        </is>
      </c>
      <c r="AA158" s="85" t="n">
        <v>25451</v>
      </c>
      <c r="AB158" s="85" t="n">
        <v>677</v>
      </c>
      <c r="AC158" s="93" t="n">
        <v>0.9999606773800636</v>
      </c>
      <c r="AD158" s="93" t="n">
        <v>3.932261993634828e-05</v>
      </c>
      <c r="AE158" s="32" t="inlineStr">
        <is>
          <t>satin sheets</t>
        </is>
      </c>
      <c r="AF158" s="93" t="n">
        <v>0.175985226513693</v>
      </c>
      <c r="AG158" s="93" t="n"/>
      <c r="AH158" s="93" t="n"/>
      <c r="AI158" s="93" t="n">
        <v>0</v>
      </c>
      <c r="AJ158" s="85" t="n"/>
      <c r="AK158" s="85" t="n"/>
      <c r="AL158" s="85" t="n"/>
      <c r="AM158" s="85" t="n"/>
      <c r="AN158" s="85" t="n"/>
      <c r="AO158" s="85" t="n"/>
      <c r="AP158" s="94" t="n">
        <v>1.145341614906832</v>
      </c>
      <c r="AQ158" s="89" t="n">
        <v>0.1112500000000001</v>
      </c>
      <c r="AR158" s="95" t="inlineStr">
        <is>
          <t>N</t>
        </is>
      </c>
      <c r="AS158" s="95" t="inlineStr">
        <is>
          <t>none</t>
        </is>
      </c>
      <c r="AT158" s="101" t="n"/>
      <c r="AU158" s="96" t="n">
        <v>18.99</v>
      </c>
      <c r="AV158" s="95" t="inlineStr">
        <is>
          <t>none</t>
        </is>
      </c>
      <c r="AW158" s="95" t="inlineStr">
        <is>
          <t>Y</t>
        </is>
      </c>
      <c r="AX158" s="95" t="inlineStr">
        <is>
          <t>2026-10-13 12:13:51</t>
        </is>
      </c>
      <c r="AY158" s="97" t="inlineStr">
        <is>
          <t>Prime Exclusive Discount</t>
        </is>
      </c>
      <c r="AZ158" s="97" t="inlineStr">
        <is>
          <t>11-01 to 12-01</t>
        </is>
      </c>
      <c r="BA158" s="98" t="n">
        <v>25.99</v>
      </c>
      <c r="BB158" s="98" t="n">
        <v>17.15</v>
      </c>
      <c r="BC158" s="87">
        <f>IF(AND(ISNUMBER(BA158),ISNUMBER(BB158),N(BA158)&gt;0),1-BB158/BA158,"")</f>
        <v/>
      </c>
      <c r="BD158" s="99" t="n">
        <v>56482</v>
      </c>
      <c r="BE158" s="99" t="n">
        <v>55960</v>
      </c>
      <c r="BF158" s="100">
        <f>IF(AND(ISNUMBER(BD158),ISNUMBER(BE158),N(BE158)&gt;0),BD158/BE158,"")</f>
        <v/>
      </c>
      <c r="BG158" s="97" t="inlineStr">
        <is>
          <t>N</t>
        </is>
      </c>
      <c r="BH158" s="97" t="inlineStr">
        <is>
          <t>Prime Exclusive already running before BFCM week; List Price $47.98</t>
        </is>
      </c>
    </row>
    <row r="159" ht="62" customHeight="1">
      <c r="A159" s="10">
        <f>_xlfn.IMAGE("https://images-na.ssl-images-amazon.com/images/I/71r48b+Sh9L.jpg")</f>
        <v/>
      </c>
      <c r="B159" s="84" t="inlineStr">
        <is>
          <t>GOLAL</t>
        </is>
      </c>
      <c r="C159" s="32" t="inlineStr">
        <is>
          <t>GOLAL Satin Sheets Full Size - 4 Pieces Luxury Silky Soft Bed Sheets, Wrinkle-Free Black Satin Silk Sheet Set with 1 Deep Pocket Fitted Sheet, 1 Flat Sheet, 2 Pillow Cases</t>
        </is>
      </c>
      <c r="D159" s="84" t="inlineStr">
        <is>
          <t>Untiered</t>
        </is>
      </c>
      <c r="E159" s="84" t="inlineStr">
        <is>
          <t>B0B1Q2JG5X</t>
        </is>
      </c>
      <c r="F159" s="84" t="inlineStr">
        <is>
          <t>B09G17SQXF</t>
        </is>
      </c>
      <c r="G159" s="84" t="inlineStr">
        <is>
          <t>Full</t>
        </is>
      </c>
      <c r="H159" s="84" t="inlineStr">
        <is>
          <t>Black</t>
        </is>
      </c>
      <c r="I159" s="85" t="n">
        <v>94</v>
      </c>
      <c r="J159" s="32" t="inlineStr">
        <is>
          <t>B09G17XZC5 (35%), B09G17SQXF (27%), B09G18ZJ9S (10%), B09G18GFJL (10%)</t>
        </is>
      </c>
      <c r="K159" s="86" t="n">
        <v>21.99</v>
      </c>
      <c r="L159" s="86" t="n"/>
      <c r="M159" s="87">
        <f>IF(AND(ISNUMBER(L159),ISNUMBER(K159),N(K159)&gt;0),L159/K159-1,"")</f>
        <v/>
      </c>
      <c r="N159" s="88">
        <f>IF(M159="","No List Price",IF(M159&lt;=0,"At/below price",IF(M159&lt;=0.12,"&lt;=12% STR zone",IF(M159&lt;=0.25,"12-25%","&gt;25% over"))))</f>
        <v/>
      </c>
      <c r="O159" s="86" t="n"/>
      <c r="P159" s="89">
        <f>IF(AND(ISNUMBER(K159),ISNUMBER(O159),N(O159)&gt;0),K159/O159-1,"")</f>
        <v/>
      </c>
      <c r="Q159" s="32" t="inlineStr">
        <is>
          <t>No price for us</t>
        </is>
      </c>
      <c r="R159" s="85" t="n">
        <v>132024</v>
      </c>
      <c r="S159" s="85" t="n">
        <v>81</v>
      </c>
      <c r="T159" s="90">
        <f>IF(AND(ISNUMBER(K159),ISNUMBER(S159)),K159*S159*52/12,"")</f>
        <v/>
      </c>
      <c r="U159" s="91" t="n">
        <v>4.4</v>
      </c>
      <c r="V159" s="85" t="n">
        <v>3943</v>
      </c>
      <c r="W159" s="92" t="n">
        <v>46307</v>
      </c>
      <c r="X159" s="92" t="n">
        <v>44451</v>
      </c>
      <c r="Y159" s="84" t="inlineStr">
        <is>
          <t>FBA</t>
        </is>
      </c>
      <c r="Z159" s="84" t="inlineStr">
        <is>
          <t>CN</t>
        </is>
      </c>
      <c r="AA159" s="85" t="n">
        <v>48561</v>
      </c>
      <c r="AB159" s="85" t="n">
        <v>615</v>
      </c>
      <c r="AC159" s="93" t="n">
        <v>0.6641788183933609</v>
      </c>
      <c r="AD159" s="93" t="n">
        <v>0.3358211816066392</v>
      </c>
      <c r="AE159" s="32" t="inlineStr">
        <is>
          <t>satin sheets queen size</t>
        </is>
      </c>
      <c r="AF159" s="93" t="n">
        <v>0.6905747410473425</v>
      </c>
      <c r="AG159" s="93" t="n">
        <v>0.432960606247812</v>
      </c>
      <c r="AH159" s="93" t="n"/>
      <c r="AI159" s="93" t="n">
        <v>0.005930685117687033</v>
      </c>
      <c r="AJ159" s="85" t="n"/>
      <c r="AK159" s="85" t="n"/>
      <c r="AL159" s="85" t="n"/>
      <c r="AM159" s="85" t="n"/>
      <c r="AN159" s="85" t="n"/>
      <c r="AO159" s="85" t="n"/>
      <c r="AP159" s="94" t="n">
        <v>0.8779220779220779</v>
      </c>
      <c r="AQ159" s="89" t="n">
        <v>0.803921568627451</v>
      </c>
      <c r="AR159" s="95" t="inlineStr">
        <is>
          <t>N</t>
        </is>
      </c>
      <c r="AS159" s="95" t="inlineStr">
        <is>
          <t>none</t>
        </is>
      </c>
      <c r="AT159" s="101" t="n"/>
      <c r="AU159" s="96" t="n">
        <v>21.99</v>
      </c>
      <c r="AV159" s="95" t="inlineStr">
        <is>
          <t>none</t>
        </is>
      </c>
      <c r="AW159" s="95" t="inlineStr">
        <is>
          <t>Y</t>
        </is>
      </c>
      <c r="AX159" s="95" t="inlineStr">
        <is>
          <t>2026-10-13 12:12:50</t>
        </is>
      </c>
      <c r="AY159" s="97" t="inlineStr">
        <is>
          <t>Prime Exclusive Discount</t>
        </is>
      </c>
      <c r="AZ159" s="97" t="inlineStr">
        <is>
          <t>11-27 to 11-27</t>
        </is>
      </c>
      <c r="BA159" s="98" t="n">
        <v>16.05</v>
      </c>
      <c r="BB159" s="98" t="n">
        <v>17.59</v>
      </c>
      <c r="BC159" s="87">
        <f>IF(AND(ISNUMBER(BA159),ISNUMBER(BB159),N(BA159)&gt;0),1-BB159/BA159,"")</f>
        <v/>
      </c>
      <c r="BD159" s="99" t="n">
        <v>5577</v>
      </c>
      <c r="BE159" s="99" t="n">
        <v>12758</v>
      </c>
      <c r="BF159" s="100">
        <f>IF(AND(ISNUMBER(BD159),ISNUMBER(BE159),N(BE159)&gt;0),BD159/BE159,"")</f>
        <v/>
      </c>
      <c r="BG159" s="97" t="inlineStr">
        <is>
          <t>N</t>
        </is>
      </c>
      <c r="BH159" s="97" t="inlineStr">
        <is>
          <t>Coupon 10%, 5% (11-01 to 12-05); Buy Box RAISED in BFCM week (median $21.99 vs $16.05 before); List Price $24.99</t>
        </is>
      </c>
    </row>
    <row r="160" ht="62" customHeight="1">
      <c r="A160" s="10">
        <f>_xlfn.IMAGE("https://images-na.ssl-images-amazon.com/images/I/61QL2B3WPsL.jpg")</f>
        <v/>
      </c>
      <c r="B160" s="84" t="inlineStr">
        <is>
          <t>Cobedzy</t>
        </is>
      </c>
      <c r="C160" s="32" t="inlineStr">
        <is>
          <t>Satin Sheets</t>
        </is>
      </c>
      <c r="D160" s="84" t="inlineStr">
        <is>
          <t>Untiered</t>
        </is>
      </c>
      <c r="E160" s="84" t="inlineStr">
        <is>
          <t>B099PPQ7T3</t>
        </is>
      </c>
      <c r="F160" s="84" t="inlineStr">
        <is>
          <t>B087CSRQQ4</t>
        </is>
      </c>
      <c r="G160" s="84" t="n"/>
      <c r="H160" s="84" t="n"/>
      <c r="I160" s="85" t="n">
        <v>18</v>
      </c>
      <c r="J160" s="32" t="inlineStr">
        <is>
          <t>B087CSJ1FV (44%), B087CSRQQ4 (26%), B087CSNV9S (8%), B088CX6RW8 (4%)</t>
        </is>
      </c>
      <c r="K160" s="86" t="n">
        <v>27.99</v>
      </c>
      <c r="L160" s="86" t="n"/>
      <c r="M160" s="87">
        <f>IF(AND(ISNUMBER(L160),ISNUMBER(K160),N(K160)&gt;0),L160/K160-1,"")</f>
        <v/>
      </c>
      <c r="N160" s="88">
        <f>IF(M160="","No List Price",IF(M160&lt;=0,"At/below price",IF(M160&lt;=0.12,"&lt;=12% STR zone",IF(M160&lt;=0.25,"12-25%","&gt;25% over"))))</f>
        <v/>
      </c>
      <c r="O160" s="86" t="n"/>
      <c r="P160" s="89">
        <f>IF(AND(ISNUMBER(K160),ISNUMBER(O160),N(O160)&gt;0),K160/O160-1,"")</f>
        <v/>
      </c>
      <c r="Q160" s="32" t="inlineStr">
        <is>
          <t>No price for us</t>
        </is>
      </c>
      <c r="R160" s="85" t="n">
        <v>68667</v>
      </c>
      <c r="S160" s="85" t="n">
        <v>35</v>
      </c>
      <c r="T160" s="90">
        <f>IF(AND(ISNUMBER(K160),ISNUMBER(S160)),K160*S160*52/12,"")</f>
        <v/>
      </c>
      <c r="U160" s="91" t="n">
        <v>4.4</v>
      </c>
      <c r="V160" s="85" t="n">
        <v>2838</v>
      </c>
      <c r="W160" s="92" t="n">
        <v>46307</v>
      </c>
      <c r="X160" s="92" t="n"/>
      <c r="Y160" s="84" t="n"/>
      <c r="Z160" s="84" t="n"/>
      <c r="AA160" s="85" t="n">
        <v>21925</v>
      </c>
      <c r="AB160" s="85" t="n">
        <v>461</v>
      </c>
      <c r="AC160" s="93" t="n">
        <v>0.9295306681870016</v>
      </c>
      <c r="AD160" s="93" t="n">
        <v>0.07046991562143676</v>
      </c>
      <c r="AE160" s="32" t="inlineStr">
        <is>
          <t>satin sheets</t>
        </is>
      </c>
      <c r="AF160" s="93" t="n">
        <v>0.3978563283922463</v>
      </c>
      <c r="AG160" s="93" t="n"/>
      <c r="AH160" s="93" t="n"/>
      <c r="AI160" s="93" t="n">
        <v>0.01299885974914481</v>
      </c>
      <c r="AJ160" s="85" t="n"/>
      <c r="AK160" s="85" t="n"/>
      <c r="AL160" s="85" t="n"/>
      <c r="AM160" s="85" t="n"/>
      <c r="AN160" s="85" t="n"/>
      <c r="AO160" s="85" t="n"/>
      <c r="AP160" s="94" t="n">
        <v>0.8934169278996865</v>
      </c>
      <c r="AQ160" s="89" t="n">
        <v>-0.4259740259740259</v>
      </c>
      <c r="AR160" s="95" t="inlineStr">
        <is>
          <t>Y</t>
        </is>
      </c>
      <c r="AS160" s="95" t="inlineStr">
        <is>
          <t>Typical price</t>
        </is>
      </c>
      <c r="AT160" s="96" t="n">
        <v>26.99</v>
      </c>
      <c r="AU160" s="96" t="n">
        <v>24.99</v>
      </c>
      <c r="AV160" s="95" t="inlineStr">
        <is>
          <t>none</t>
        </is>
      </c>
      <c r="AW160" s="95" t="inlineStr">
        <is>
          <t>Y</t>
        </is>
      </c>
      <c r="AX160" s="95" t="inlineStr">
        <is>
          <t>2026-10-13 12:12:40</t>
        </is>
      </c>
      <c r="AY160" s="97" t="inlineStr">
        <is>
          <t>Price cut only</t>
        </is>
      </c>
      <c r="AZ160" s="97" t="inlineStr">
        <is>
          <t>11-20 to 12-01</t>
        </is>
      </c>
      <c r="BA160" s="98" t="n">
        <v>27.99</v>
      </c>
      <c r="BB160" s="98" t="n">
        <v>22.39</v>
      </c>
      <c r="BC160" s="87">
        <f>IF(AND(ISNUMBER(BA160),ISNUMBER(BB160),N(BA160)&gt;0),1-BB160/BA160,"")</f>
        <v/>
      </c>
      <c r="BD160" s="99" t="n">
        <v>39293</v>
      </c>
      <c r="BE160" s="99" t="n">
        <v>27923</v>
      </c>
      <c r="BF160" s="100">
        <f>IF(AND(ISNUMBER(BD160),ISNUMBER(BE160),N(BE160)&gt;0),BD160/BE160,"")</f>
        <v/>
      </c>
      <c r="BG160" s="97" t="inlineStr">
        <is>
          <t>N</t>
        </is>
      </c>
      <c r="BH160" s="97" t="inlineStr">
        <is>
          <t>List Price $38.99</t>
        </is>
      </c>
    </row>
    <row r="161" ht="62" customHeight="1">
      <c r="A161" s="10">
        <f>_xlfn.IMAGE("https://images-na.ssl-images-amazon.com/images/I/813TGJ9FKjL.jpg")</f>
        <v/>
      </c>
      <c r="B161" s="84" t="inlineStr">
        <is>
          <t>Horbaunal</t>
        </is>
      </c>
      <c r="C161" s="32" t="inlineStr">
        <is>
          <t>Horbaunal 6 Piece Satin Sheet Set Queen, Emerald Green Queen Bed Sheets</t>
        </is>
      </c>
      <c r="D161" s="84" t="inlineStr">
        <is>
          <t>Untiered</t>
        </is>
      </c>
      <c r="E161" s="84" t="inlineStr">
        <is>
          <t>B0B4MQCT87</t>
        </is>
      </c>
      <c r="F161" s="84" t="inlineStr">
        <is>
          <t>B0B4MQ1PP1</t>
        </is>
      </c>
      <c r="G161" s="84" t="inlineStr">
        <is>
          <t>Queen</t>
        </is>
      </c>
      <c r="H161" s="84" t="inlineStr">
        <is>
          <t>Green</t>
        </is>
      </c>
      <c r="I161" s="85" t="n">
        <v>23</v>
      </c>
      <c r="J161" s="32" t="inlineStr"/>
      <c r="K161" s="86" t="n">
        <v>28.99</v>
      </c>
      <c r="L161" s="86" t="n"/>
      <c r="M161" s="87">
        <f>IF(AND(ISNUMBER(L161),ISNUMBER(K161),N(K161)&gt;0),L161/K161-1,"")</f>
        <v/>
      </c>
      <c r="N161" s="88">
        <f>IF(M161="","No List Price",IF(M161&lt;=0,"At/below price",IF(M161&lt;=0.12,"&lt;=12% STR zone",IF(M161&lt;=0.25,"12-25%","&gt;25% over"))))</f>
        <v/>
      </c>
      <c r="O161" s="86" t="n"/>
      <c r="P161" s="89">
        <f>IF(AND(ISNUMBER(K161),ISNUMBER(O161),N(O161)&gt;0),K161/O161-1,"")</f>
        <v/>
      </c>
      <c r="Q161" s="32" t="inlineStr">
        <is>
          <t>No price for us</t>
        </is>
      </c>
      <c r="R161" s="85" t="n">
        <v>110638</v>
      </c>
      <c r="S161" s="85" t="n">
        <v>35</v>
      </c>
      <c r="T161" s="90">
        <f>IF(AND(ISNUMBER(K161),ISNUMBER(S161)),K161*S161*52/12,"")</f>
        <v/>
      </c>
      <c r="U161" s="91" t="n">
        <v>4.4</v>
      </c>
      <c r="V161" s="85" t="n">
        <v>772</v>
      </c>
      <c r="W161" s="92" t="n">
        <v>46307</v>
      </c>
      <c r="X161" s="92" t="n">
        <v>44733</v>
      </c>
      <c r="Y161" s="84" t="inlineStr">
        <is>
          <t>FBA</t>
        </is>
      </c>
      <c r="Z161" s="84" t="inlineStr">
        <is>
          <t>CN</t>
        </is>
      </c>
      <c r="AA161" s="85" t="n"/>
      <c r="AB161" s="85" t="n"/>
      <c r="AC161" s="93" t="n"/>
      <c r="AD161" s="93" t="n"/>
      <c r="AE161" s="32" t="n"/>
      <c r="AF161" s="93" t="n"/>
      <c r="AG161" s="93" t="n"/>
      <c r="AH161" s="93" t="n"/>
      <c r="AI161" s="93" t="n"/>
      <c r="AJ161" s="85" t="n"/>
      <c r="AK161" s="85" t="n"/>
      <c r="AL161" s="85" t="n"/>
      <c r="AM161" s="85" t="n"/>
      <c r="AN161" s="85" t="n"/>
      <c r="AO161" s="85" t="n"/>
      <c r="AP161" s="94" t="n"/>
      <c r="AQ161" s="89" t="n"/>
      <c r="AR161" s="95" t="inlineStr">
        <is>
          <t>N</t>
        </is>
      </c>
      <c r="AS161" s="95" t="inlineStr">
        <is>
          <t>none</t>
        </is>
      </c>
      <c r="AT161" s="101" t="n"/>
      <c r="AU161" s="96" t="n">
        <v>28.99</v>
      </c>
      <c r="AV161" s="95" t="inlineStr">
        <is>
          <t>none</t>
        </is>
      </c>
      <c r="AW161" s="95" t="inlineStr">
        <is>
          <t>Y</t>
        </is>
      </c>
      <c r="AX161" s="95" t="inlineStr">
        <is>
          <t>2026-10-13 12:13:05</t>
        </is>
      </c>
      <c r="AY161" s="97" t="inlineStr">
        <is>
          <t>Prime Exclusive Discount</t>
        </is>
      </c>
      <c r="AZ161" s="97" t="inlineStr">
        <is>
          <t>11-01 to 12-01</t>
        </is>
      </c>
      <c r="BA161" s="98" t="n">
        <v>33.43</v>
      </c>
      <c r="BB161" s="98" t="n">
        <v>28.87</v>
      </c>
      <c r="BC161" s="87">
        <f>IF(AND(ISNUMBER(BA161),ISNUMBER(BB161),N(BA161)&gt;0),1-BB161/BA161,"")</f>
        <v/>
      </c>
      <c r="BD161" s="99" t="n">
        <v>93675</v>
      </c>
      <c r="BE161" s="99" t="n">
        <v>83926</v>
      </c>
      <c r="BF161" s="100">
        <f>IF(AND(ISNUMBER(BD161),ISNUMBER(BE161),N(BE161)&gt;0),BD161/BE161,"")</f>
        <v/>
      </c>
      <c r="BG161" s="97" t="inlineStr">
        <is>
          <t>N</t>
        </is>
      </c>
      <c r="BH161" s="97" t="inlineStr">
        <is>
          <t>Prime Exclusive already running before BFCM week; Buy Box RAISED in BFCM week (median $37.99 vs $33.43 before); List Price $45.49</t>
        </is>
      </c>
    </row>
    <row r="162" ht="62" customHeight="1">
      <c r="A162" s="10">
        <f>_xlfn.IMAGE("https://images-na.ssl-images-amazon.com/images/I/71MADUOjsFL.jpg")</f>
        <v/>
      </c>
      <c r="B162" s="84" t="inlineStr">
        <is>
          <t>Sasttie</t>
        </is>
      </c>
      <c r="C162" s="32" t="inlineStr">
        <is>
          <t>Sasttie Satin Sheets Queen Size - 4 Pieces Luxury Soft Black Silky Bed Sheets Set with Pillowcases - Smooth Silk-Like Satin Fabric, Reinforced 14 Inches Pocket, Oeko-Tex Certified</t>
        </is>
      </c>
      <c r="D162" s="84" t="inlineStr">
        <is>
          <t>Untiered</t>
        </is>
      </c>
      <c r="E162" s="84" t="inlineStr">
        <is>
          <t>B0F2H9HX69</t>
        </is>
      </c>
      <c r="F162" s="84" t="inlineStr">
        <is>
          <t>B0F2H8LPB3</t>
        </is>
      </c>
      <c r="G162" s="84" t="inlineStr">
        <is>
          <t>Queen</t>
        </is>
      </c>
      <c r="H162" s="84" t="inlineStr">
        <is>
          <t>Black</t>
        </is>
      </c>
      <c r="I162" s="85" t="n">
        <v>47</v>
      </c>
      <c r="J162" s="32" t="inlineStr">
        <is>
          <t>B0F2H8LPB3 (57%), B0F2H92RZ5 (13%), B0F2H9HRJJ (11%)</t>
        </is>
      </c>
      <c r="K162" s="86" t="n">
        <v>15.99</v>
      </c>
      <c r="L162" s="86" t="n"/>
      <c r="M162" s="87">
        <f>IF(AND(ISNUMBER(L162),ISNUMBER(K162),N(K162)&gt;0),L162/K162-1,"")</f>
        <v/>
      </c>
      <c r="N162" s="88">
        <f>IF(M162="","No List Price",IF(M162&lt;=0,"At/below price",IF(M162&lt;=0.12,"&lt;=12% STR zone",IF(M162&lt;=0.25,"12-25%","&gt;25% over"))))</f>
        <v/>
      </c>
      <c r="O162" s="86" t="n"/>
      <c r="P162" s="89">
        <f>IF(AND(ISNUMBER(K162),ISNUMBER(O162),N(O162)&gt;0),K162/O162-1,"")</f>
        <v/>
      </c>
      <c r="Q162" s="32" t="inlineStr">
        <is>
          <t>No price for us</t>
        </is>
      </c>
      <c r="R162" s="85" t="n">
        <v>58723</v>
      </c>
      <c r="S162" s="85" t="n">
        <v>35</v>
      </c>
      <c r="T162" s="90">
        <f>IF(AND(ISNUMBER(K162),ISNUMBER(S162)),K162*S162*52/12,"")</f>
        <v/>
      </c>
      <c r="U162" s="91" t="n">
        <v>4.5</v>
      </c>
      <c r="V162" s="85" t="n">
        <v>968</v>
      </c>
      <c r="W162" s="92" t="n">
        <v>46307</v>
      </c>
      <c r="X162" s="92" t="n">
        <v>45742</v>
      </c>
      <c r="Y162" s="84" t="inlineStr">
        <is>
          <t>FBA</t>
        </is>
      </c>
      <c r="Z162" s="84" t="inlineStr">
        <is>
          <t>CN</t>
        </is>
      </c>
      <c r="AA162" s="85" t="n">
        <v>26952</v>
      </c>
      <c r="AB162" s="85" t="n">
        <v>504</v>
      </c>
      <c r="AC162" s="93" t="n">
        <v>0.9879767104482041</v>
      </c>
      <c r="AD162" s="93" t="n">
        <v>0.01202328955179578</v>
      </c>
      <c r="AE162" s="32" t="inlineStr">
        <is>
          <t>satin sheets</t>
        </is>
      </c>
      <c r="AF162" s="93" t="n"/>
      <c r="AG162" s="93" t="n">
        <v>0.004081329771445533</v>
      </c>
      <c r="AH162" s="93" t="n">
        <v>0.1173567824280202</v>
      </c>
      <c r="AI162" s="93" t="n"/>
      <c r="AJ162" s="85" t="n"/>
      <c r="AK162" s="85" t="n"/>
      <c r="AL162" s="85" t="n"/>
      <c r="AM162" s="85" t="n"/>
      <c r="AN162" s="85" t="n"/>
      <c r="AO162" s="85" t="n"/>
      <c r="AP162" s="94" t="n">
        <v>1.063356164383562</v>
      </c>
      <c r="AQ162" s="89" t="n">
        <v>-0.1631084543125534</v>
      </c>
      <c r="AR162" s="95" t="inlineStr">
        <is>
          <t>N</t>
        </is>
      </c>
      <c r="AS162" s="95" t="inlineStr">
        <is>
          <t>none</t>
        </is>
      </c>
      <c r="AT162" s="101" t="n"/>
      <c r="AU162" s="96" t="n">
        <v>15.99</v>
      </c>
      <c r="AV162" s="95" t="inlineStr">
        <is>
          <t>none</t>
        </is>
      </c>
      <c r="AW162" s="95" t="inlineStr">
        <is>
          <t>Y</t>
        </is>
      </c>
      <c r="AX162" s="95" t="inlineStr">
        <is>
          <t>2026-10-13 12:13:42</t>
        </is>
      </c>
      <c r="AY162" s="97" t="inlineStr">
        <is>
          <t>Prime Exclusive Discount</t>
        </is>
      </c>
      <c r="AZ162" s="97" t="inlineStr">
        <is>
          <t>11-08 to 12-05</t>
        </is>
      </c>
      <c r="BA162" s="98" t="n">
        <v>15.99</v>
      </c>
      <c r="BB162" s="98" t="n">
        <v>15.98</v>
      </c>
      <c r="BC162" s="87">
        <f>IF(AND(ISNUMBER(BA162),ISNUMBER(BB162),N(BA162)&gt;0),1-BB162/BA162,"")</f>
        <v/>
      </c>
      <c r="BD162" s="99" t="n">
        <v>71449</v>
      </c>
      <c r="BE162" s="99" t="n">
        <v>98796</v>
      </c>
      <c r="BF162" s="100">
        <f>IF(AND(ISNUMBER(BD162),ISNUMBER(BE162),N(BE162)&gt;0),BD162/BE162,"")</f>
        <v/>
      </c>
      <c r="BG162" s="97" t="inlineStr">
        <is>
          <t>N</t>
        </is>
      </c>
      <c r="BH162" s="97" t="inlineStr">
        <is>
          <t>Prime Exclusive already running before BFCM week; Buy Box RAISED in BFCM week (median $19.99 vs $16.99 before); List Price $19.98</t>
        </is>
      </c>
    </row>
    <row r="163" ht="62" customHeight="1">
      <c r="A163" s="39" t="inlineStr">
        <is>
          <t>IMAGE MISSING</t>
        </is>
      </c>
      <c r="B163" s="84" t="inlineStr">
        <is>
          <t>VACVELT</t>
        </is>
      </c>
      <c r="C163" s="32" t="inlineStr">
        <is>
          <t>Satin Sheets</t>
        </is>
      </c>
      <c r="D163" s="84" t="inlineStr">
        <is>
          <t>Untiered</t>
        </is>
      </c>
      <c r="E163" s="84" t="inlineStr">
        <is>
          <t>B0C9T1VY8J</t>
        </is>
      </c>
      <c r="F163" s="84" t="inlineStr">
        <is>
          <t>B0C1GJZB6F</t>
        </is>
      </c>
      <c r="G163" s="84" t="n"/>
      <c r="H163" s="84" t="n"/>
      <c r="I163" s="85" t="n">
        <v>35</v>
      </c>
      <c r="J163" s="32" t="inlineStr">
        <is>
          <t>B0C1GN34VQ (59%), B0C1GJZB6F (15%), B0C1GN34VL (8%)</t>
        </is>
      </c>
      <c r="K163" s="86" t="n">
        <v>21.99</v>
      </c>
      <c r="L163" s="86" t="n"/>
      <c r="M163" s="87">
        <f>IF(AND(ISNUMBER(L163),ISNUMBER(K163),N(K163)&gt;0),L163/K163-1,"")</f>
        <v/>
      </c>
      <c r="N163" s="88">
        <f>IF(M163="","No List Price",IF(M163&lt;=0,"At/below price",IF(M163&lt;=0.12,"&lt;=12% STR zone",IF(M163&lt;=0.25,"12-25%","&gt;25% over"))))</f>
        <v/>
      </c>
      <c r="O163" s="86" t="n"/>
      <c r="P163" s="89">
        <f>IF(AND(ISNUMBER(K163),ISNUMBER(O163),N(O163)&gt;0),K163/O163-1,"")</f>
        <v/>
      </c>
      <c r="Q163" s="32" t="inlineStr">
        <is>
          <t>No price for us</t>
        </is>
      </c>
      <c r="R163" s="85" t="n">
        <v>57010</v>
      </c>
      <c r="S163" s="85" t="n">
        <v>35</v>
      </c>
      <c r="T163" s="90">
        <f>IF(AND(ISNUMBER(K163),ISNUMBER(S163)),K163*S163*52/12,"")</f>
        <v/>
      </c>
      <c r="U163" s="91" t="n">
        <v>4.5</v>
      </c>
      <c r="V163" s="85" t="n">
        <v>1017</v>
      </c>
      <c r="W163" s="92" t="n">
        <v>46307</v>
      </c>
      <c r="X163" s="92" t="n"/>
      <c r="Y163" s="84" t="n"/>
      <c r="Z163" s="84" t="n"/>
      <c r="AA163" s="85" t="n">
        <v>23621</v>
      </c>
      <c r="AB163" s="85" t="n">
        <v>569</v>
      </c>
      <c r="AC163" s="93" t="n">
        <v>0.9628617755387157</v>
      </c>
      <c r="AD163" s="93" t="n">
        <v>0.03713822446128445</v>
      </c>
      <c r="AE163" s="32" t="inlineStr">
        <is>
          <t>satin sheets</t>
        </is>
      </c>
      <c r="AF163" s="93" t="n">
        <v>0.08949663435078956</v>
      </c>
      <c r="AG163" s="93" t="n"/>
      <c r="AH163" s="93" t="n"/>
      <c r="AI163" s="93" t="n">
        <v>0.02341137123745819</v>
      </c>
      <c r="AJ163" s="85" t="n"/>
      <c r="AK163" s="85" t="n"/>
      <c r="AL163" s="85" t="n"/>
      <c r="AM163" s="85" t="n"/>
      <c r="AN163" s="85" t="n"/>
      <c r="AO163" s="85" t="n"/>
      <c r="AP163" s="94" t="n">
        <v>1</v>
      </c>
      <c r="AQ163" s="89" t="n">
        <v>0.2448979591836733</v>
      </c>
      <c r="AR163" s="95" t="inlineStr">
        <is>
          <t>N</t>
        </is>
      </c>
      <c r="AS163" s="95" t="inlineStr">
        <is>
          <t>none</t>
        </is>
      </c>
      <c r="AT163" s="101" t="n"/>
      <c r="AU163" s="96" t="n">
        <v>21.99</v>
      </c>
      <c r="AV163" s="95" t="inlineStr">
        <is>
          <t>none</t>
        </is>
      </c>
      <c r="AW163" s="95" t="inlineStr">
        <is>
          <t>Y</t>
        </is>
      </c>
      <c r="AX163" s="95" t="inlineStr">
        <is>
          <t>2026-10-13 12:13:48</t>
        </is>
      </c>
      <c r="AY163" s="97" t="inlineStr">
        <is>
          <t>Prime Exclusive Discount</t>
        </is>
      </c>
      <c r="AZ163" s="97" t="inlineStr">
        <is>
          <t>11-18 to 12-05</t>
        </is>
      </c>
      <c r="BA163" s="98" t="n">
        <v>20.99</v>
      </c>
      <c r="BB163" s="98" t="n">
        <v>17.67</v>
      </c>
      <c r="BC163" s="87">
        <f>IF(AND(ISNUMBER(BA163),ISNUMBER(BB163),N(BA163)&gt;0),1-BB163/BA163,"")</f>
        <v/>
      </c>
      <c r="BD163" s="99" t="n">
        <v>56350</v>
      </c>
      <c r="BE163" s="99" t="n">
        <v>47030</v>
      </c>
      <c r="BF163" s="100">
        <f>IF(AND(ISNUMBER(BD163),ISNUMBER(BE163),N(BE163)&gt;0),BD163/BE163,"")</f>
        <v/>
      </c>
      <c r="BG163" s="97" t="inlineStr">
        <is>
          <t>N</t>
        </is>
      </c>
      <c r="BH163" s="97" t="inlineStr">
        <is>
          <t>Prime Exclusive already running before BFCM week; Buy Box RAISED in BFCM week (median $25.99 vs $20.99 before); List Price $46.38</t>
        </is>
      </c>
    </row>
    <row r="164" ht="62" customHeight="1">
      <c r="A164" s="39" t="inlineStr">
        <is>
          <t>IMAGE MISSING</t>
        </is>
      </c>
      <c r="B164" s="84" t="inlineStr">
        <is>
          <t>Vonty</t>
        </is>
      </c>
      <c r="C164" s="32" t="inlineStr">
        <is>
          <t>Satin Sheets</t>
        </is>
      </c>
      <c r="D164" s="84" t="inlineStr">
        <is>
          <t>Untiered</t>
        </is>
      </c>
      <c r="E164" s="84" t="inlineStr">
        <is>
          <t>B0BDDJM9RW</t>
        </is>
      </c>
      <c r="F164" s="84" t="inlineStr">
        <is>
          <t>B0BDDGJ38X</t>
        </is>
      </c>
      <c r="G164" s="84" t="n"/>
      <c r="H164" s="84" t="n"/>
      <c r="I164" s="85" t="n">
        <v>22</v>
      </c>
      <c r="J164" s="32" t="inlineStr">
        <is>
          <t>B0BDDGJ38X (81%)</t>
        </is>
      </c>
      <c r="K164" s="86" t="n">
        <v>30.99</v>
      </c>
      <c r="L164" s="86" t="n"/>
      <c r="M164" s="87">
        <f>IF(AND(ISNUMBER(L164),ISNUMBER(K164),N(K164)&gt;0),L164/K164-1,"")</f>
        <v/>
      </c>
      <c r="N164" s="88">
        <f>IF(M164="","No List Price",IF(M164&lt;=0,"At/below price",IF(M164&lt;=0.12,"&lt;=12% STR zone",IF(M164&lt;=0.25,"12-25%","&gt;25% over"))))</f>
        <v/>
      </c>
      <c r="O164" s="86" t="n"/>
      <c r="P164" s="89">
        <f>IF(AND(ISNUMBER(K164),ISNUMBER(O164),N(O164)&gt;0),K164/O164-1,"")</f>
        <v/>
      </c>
      <c r="Q164" s="32" t="inlineStr">
        <is>
          <t>No price for us</t>
        </is>
      </c>
      <c r="R164" s="85" t="n">
        <v>83620</v>
      </c>
      <c r="S164" s="85" t="n">
        <v>35</v>
      </c>
      <c r="T164" s="90">
        <f>IF(AND(ISNUMBER(K164),ISNUMBER(S164)),K164*S164*52/12,"")</f>
        <v/>
      </c>
      <c r="U164" s="91" t="n">
        <v>4.2</v>
      </c>
      <c r="V164" s="85" t="n">
        <v>909</v>
      </c>
      <c r="W164" s="92" t="n">
        <v>46307</v>
      </c>
      <c r="X164" s="92" t="n"/>
      <c r="Y164" s="84" t="n"/>
      <c r="Z164" s="84" t="n"/>
      <c r="AA164" s="85" t="n">
        <v>11441</v>
      </c>
      <c r="AB164" s="85" t="n">
        <v>382</v>
      </c>
      <c r="AC164" s="93" t="n">
        <v>0.9484301110042829</v>
      </c>
      <c r="AD164" s="93" t="n">
        <v>0.05156988899571716</v>
      </c>
      <c r="AE164" s="32" t="inlineStr">
        <is>
          <t>silk sheets</t>
        </is>
      </c>
      <c r="AF164" s="93" t="n">
        <v>0.06502928065728521</v>
      </c>
      <c r="AG164" s="93" t="n"/>
      <c r="AH164" s="93" t="n"/>
      <c r="AI164" s="93" t="n"/>
      <c r="AJ164" s="85" t="n"/>
      <c r="AK164" s="85" t="n"/>
      <c r="AL164" s="85" t="n"/>
      <c r="AM164" s="85" t="n"/>
      <c r="AN164" s="85" t="n"/>
      <c r="AO164" s="85" t="n"/>
      <c r="AP164" s="94" t="n">
        <v>0.9861111111111112</v>
      </c>
      <c r="AQ164" s="89" t="n">
        <v>0.4680851063829787</v>
      </c>
      <c r="AR164" s="95" t="inlineStr">
        <is>
          <t>N</t>
        </is>
      </c>
      <c r="AS164" s="95" t="inlineStr">
        <is>
          <t>none</t>
        </is>
      </c>
      <c r="AT164" s="101" t="n"/>
      <c r="AU164" s="96" t="n">
        <v>30.99</v>
      </c>
      <c r="AV164" s="95" t="inlineStr">
        <is>
          <t>none</t>
        </is>
      </c>
      <c r="AW164" s="95" t="inlineStr">
        <is>
          <t>Y</t>
        </is>
      </c>
      <c r="AX164" s="95" t="inlineStr">
        <is>
          <t>2026-10-13 23:44:43</t>
        </is>
      </c>
      <c r="AY164" s="102" t="n"/>
      <c r="AZ164" s="102" t="n"/>
      <c r="BA164" s="101" t="n"/>
      <c r="BB164" s="101" t="n"/>
      <c r="BC164" s="87">
        <f>IF(AND(ISNUMBER(BA164),ISNUMBER(BB164),N(BA164)&gt;0),1-BB164/BA164,"")</f>
        <v/>
      </c>
      <c r="BD164" s="103" t="n"/>
      <c r="BE164" s="103" t="n"/>
      <c r="BF164" s="100">
        <f>IF(AND(ISNUMBER(BD164),ISNUMBER(BE164),N(BE164)&gt;0),BD164/BE164,"")</f>
        <v/>
      </c>
      <c r="BG164" s="102" t="n"/>
      <c r="BH164" s="102" t="n"/>
    </row>
    <row r="165" ht="62" customHeight="1">
      <c r="A165" s="39" t="inlineStr">
        <is>
          <t>IMAGE MISSING</t>
        </is>
      </c>
      <c r="B165" s="84" t="inlineStr">
        <is>
          <t>Homiest</t>
        </is>
      </c>
      <c r="C165" s="32" t="inlineStr">
        <is>
          <t>Satin Sheets</t>
        </is>
      </c>
      <c r="D165" s="84" t="inlineStr">
        <is>
          <t>Untiered</t>
        </is>
      </c>
      <c r="E165" s="84" t="inlineStr">
        <is>
          <t>B0DYJKM99H</t>
        </is>
      </c>
      <c r="F165" s="84" t="inlineStr">
        <is>
          <t>B0DYJHHJQL</t>
        </is>
      </c>
      <c r="G165" s="84" t="n"/>
      <c r="H165" s="84" t="n"/>
      <c r="I165" s="85" t="n"/>
      <c r="J165" s="32" t="inlineStr"/>
      <c r="K165" s="86" t="n">
        <v>27.99</v>
      </c>
      <c r="L165" s="86" t="n"/>
      <c r="M165" s="87">
        <f>IF(AND(ISNUMBER(L165),ISNUMBER(K165),N(K165)&gt;0),L165/K165-1,"")</f>
        <v/>
      </c>
      <c r="N165" s="88">
        <f>IF(M165="","No List Price",IF(M165&lt;=0,"At/below price",IF(M165&lt;=0.12,"&lt;=12% STR zone",IF(M165&lt;=0.25,"12-25%","&gt;25% over"))))</f>
        <v/>
      </c>
      <c r="O165" s="86" t="n"/>
      <c r="P165" s="89">
        <f>IF(AND(ISNUMBER(K165),ISNUMBER(O165),N(O165)&gt;0),K165/O165-1,"")</f>
        <v/>
      </c>
      <c r="Q165" s="32" t="inlineStr">
        <is>
          <t>No price for us</t>
        </is>
      </c>
      <c r="R165" s="85" t="n">
        <v>89437</v>
      </c>
      <c r="S165" s="85" t="n">
        <v>18</v>
      </c>
      <c r="T165" s="90">
        <f>IF(AND(ISNUMBER(K165),ISNUMBER(S165)),K165*S165*52/12,"")</f>
        <v/>
      </c>
      <c r="U165" s="91" t="n">
        <v>4.5</v>
      </c>
      <c r="V165" s="85" t="n">
        <v>205</v>
      </c>
      <c r="W165" s="92" t="n">
        <v>46307</v>
      </c>
      <c r="X165" s="92" t="n"/>
      <c r="Y165" s="84" t="n"/>
      <c r="Z165" s="84" t="n"/>
      <c r="AA165" s="85" t="n"/>
      <c r="AB165" s="85" t="n"/>
      <c r="AC165" s="93" t="n"/>
      <c r="AD165" s="93" t="n"/>
      <c r="AE165" s="32" t="n"/>
      <c r="AF165" s="93" t="n"/>
      <c r="AG165" s="93" t="n"/>
      <c r="AH165" s="93" t="n"/>
      <c r="AI165" s="93" t="n"/>
      <c r="AJ165" s="85" t="n"/>
      <c r="AK165" s="85" t="n"/>
      <c r="AL165" s="85" t="n"/>
      <c r="AM165" s="85" t="n"/>
      <c r="AN165" s="85" t="n"/>
      <c r="AO165" s="85" t="n"/>
      <c r="AP165" s="94" t="n"/>
      <c r="AQ165" s="89" t="n"/>
      <c r="AR165" s="95" t="inlineStr">
        <is>
          <t>N</t>
        </is>
      </c>
      <c r="AS165" s="95" t="inlineStr">
        <is>
          <t>none</t>
        </is>
      </c>
      <c r="AT165" s="101" t="n"/>
      <c r="AU165" s="96" t="n">
        <v>27.99</v>
      </c>
      <c r="AV165" s="95" t="inlineStr">
        <is>
          <t>none</t>
        </is>
      </c>
      <c r="AW165" s="95" t="inlineStr">
        <is>
          <t>Y</t>
        </is>
      </c>
      <c r="AX165" s="95" t="inlineStr">
        <is>
          <t>2026-10-13 12:12:53</t>
        </is>
      </c>
      <c r="AY165" s="97" t="inlineStr">
        <is>
          <t>None</t>
        </is>
      </c>
      <c r="AZ165" s="102" t="n"/>
      <c r="BA165" s="98" t="n">
        <v>28.99</v>
      </c>
      <c r="BB165" s="98" t="n">
        <v>28.99</v>
      </c>
      <c r="BC165" s="87">
        <f>IF(AND(ISNUMBER(BA165),ISNUMBER(BB165),N(BA165)&gt;0),1-BB165/BA165,"")</f>
        <v/>
      </c>
      <c r="BD165" s="99" t="n">
        <v>63419</v>
      </c>
      <c r="BE165" s="99" t="n">
        <v>61469</v>
      </c>
      <c r="BF165" s="100">
        <f>IF(AND(ISNUMBER(BD165),ISNUMBER(BE165),N(BE165)&gt;0),BD165/BE165,"")</f>
        <v/>
      </c>
      <c r="BG165" s="97" t="inlineStr">
        <is>
          <t>N</t>
        </is>
      </c>
      <c r="BH165" s="97" t="inlineStr">
        <is>
          <t>List Price $34.99</t>
        </is>
      </c>
    </row>
    <row r="166" ht="62" customHeight="1">
      <c r="A166" s="39" t="inlineStr">
        <is>
          <t>IMAGE MISSING</t>
        </is>
      </c>
      <c r="B166" s="84" t="inlineStr">
        <is>
          <t>HommxJF</t>
        </is>
      </c>
      <c r="C166" s="32" t="inlineStr">
        <is>
          <t>Satin Sheets</t>
        </is>
      </c>
      <c r="D166" s="84" t="inlineStr">
        <is>
          <t>Untiered</t>
        </is>
      </c>
      <c r="E166" s="84" t="inlineStr">
        <is>
          <t>B0BJZT93SL</t>
        </is>
      </c>
      <c r="F166" s="84" t="inlineStr">
        <is>
          <t>B09V52BVJB</t>
        </is>
      </c>
      <c r="G166" s="84" t="n"/>
      <c r="H166" s="84" t="n"/>
      <c r="I166" s="85" t="n">
        <v>32</v>
      </c>
      <c r="J166" s="32" t="inlineStr">
        <is>
          <t>B09V52BVJB (55%), B0BCKD5X64 (25%), B09V52C9M9 (10%)</t>
        </is>
      </c>
      <c r="K166" s="86" t="n">
        <v>24.99</v>
      </c>
      <c r="L166" s="86" t="n"/>
      <c r="M166" s="87">
        <f>IF(AND(ISNUMBER(L166),ISNUMBER(K166),N(K166)&gt;0),L166/K166-1,"")</f>
        <v/>
      </c>
      <c r="N166" s="88">
        <f>IF(M166="","No List Price",IF(M166&lt;=0,"At/below price",IF(M166&lt;=0.12,"&lt;=12% STR zone",IF(M166&lt;=0.25,"12-25%","&gt;25% over"))))</f>
        <v/>
      </c>
      <c r="O166" s="86" t="n"/>
      <c r="P166" s="89">
        <f>IF(AND(ISNUMBER(K166),ISNUMBER(O166),N(O166)&gt;0),K166/O166-1,"")</f>
        <v/>
      </c>
      <c r="Q166" s="32" t="inlineStr">
        <is>
          <t>No price for us</t>
        </is>
      </c>
      <c r="R166" s="85" t="n">
        <v>180867</v>
      </c>
      <c r="S166" s="85" t="n">
        <v>18</v>
      </c>
      <c r="T166" s="90">
        <f>IF(AND(ISNUMBER(K166),ISNUMBER(S166)),K166*S166*52/12,"")</f>
        <v/>
      </c>
      <c r="U166" s="91" t="n">
        <v>4.3</v>
      </c>
      <c r="V166" s="85" t="n">
        <v>1032</v>
      </c>
      <c r="W166" s="92" t="n">
        <v>46307</v>
      </c>
      <c r="X166" s="92" t="n"/>
      <c r="Y166" s="84" t="n"/>
      <c r="Z166" s="84" t="n"/>
      <c r="AA166" s="85" t="n">
        <v>16567</v>
      </c>
      <c r="AB166" s="85" t="n">
        <v>357</v>
      </c>
      <c r="AC166" s="93" t="n">
        <v>0.8554338745699279</v>
      </c>
      <c r="AD166" s="93" t="n">
        <v>0.1445661254300719</v>
      </c>
      <c r="AE166" s="32" t="inlineStr">
        <is>
          <t>satin sheets</t>
        </is>
      </c>
      <c r="AF166" s="93" t="n">
        <v>0.2936560632582845</v>
      </c>
      <c r="AG166" s="93" t="n">
        <v>0.02323896903482827</v>
      </c>
      <c r="AH166" s="93" t="n"/>
      <c r="AI166" s="93" t="n"/>
      <c r="AJ166" s="85" t="n"/>
      <c r="AK166" s="85" t="n"/>
      <c r="AL166" s="85" t="n"/>
      <c r="AM166" s="85" t="n"/>
      <c r="AN166" s="85" t="n"/>
      <c r="AO166" s="85" t="n"/>
      <c r="AP166" s="94" t="n">
        <v>1.017857142857143</v>
      </c>
      <c r="AQ166" s="89" t="n">
        <v>0.4723247232472323</v>
      </c>
      <c r="AR166" s="95" t="inlineStr">
        <is>
          <t>N</t>
        </is>
      </c>
      <c r="AS166" s="95" t="inlineStr">
        <is>
          <t>none</t>
        </is>
      </c>
      <c r="AT166" s="101" t="n"/>
      <c r="AU166" s="96" t="n">
        <v>24.99</v>
      </c>
      <c r="AV166" s="95" t="inlineStr">
        <is>
          <t>none</t>
        </is>
      </c>
      <c r="AW166" s="95" t="inlineStr">
        <is>
          <t>Y</t>
        </is>
      </c>
      <c r="AX166" s="95" t="inlineStr">
        <is>
          <t>2026-10-13 12:13:02</t>
        </is>
      </c>
      <c r="AY166" s="97" t="inlineStr">
        <is>
          <t>None</t>
        </is>
      </c>
      <c r="AZ166" s="102" t="n"/>
      <c r="BA166" s="98" t="n">
        <v>24.99</v>
      </c>
      <c r="BB166" s="98" t="n">
        <v>24.99</v>
      </c>
      <c r="BC166" s="87">
        <f>IF(AND(ISNUMBER(BA166),ISNUMBER(BB166),N(BA166)&gt;0),1-BB166/BA166,"")</f>
        <v/>
      </c>
      <c r="BD166" s="99" t="n">
        <v>107701</v>
      </c>
      <c r="BE166" s="99" t="n">
        <v>90023</v>
      </c>
      <c r="BF166" s="100">
        <f>IF(AND(ISNUMBER(BD166),ISNUMBER(BE166),N(BE166)&gt;0),BD166/BE166,"")</f>
        <v/>
      </c>
      <c r="BG166" s="97" t="inlineStr">
        <is>
          <t>N</t>
        </is>
      </c>
      <c r="BH166" s="97" t="inlineStr">
        <is>
          <t>List Price $26.99</t>
        </is>
      </c>
    </row>
    <row r="167" ht="62" customHeight="1">
      <c r="A167" s="10">
        <f>_xlfn.IMAGE("https://images-na.ssl-images-amazon.com/images/I/81HS7e6wrTL.jpg")</f>
        <v/>
      </c>
      <c r="B167" s="84" t="inlineStr">
        <is>
          <t>Madison Park</t>
        </is>
      </c>
      <c r="C167" s="32" t="inlineStr">
        <is>
          <t>Satin Sheets</t>
        </is>
      </c>
      <c r="D167" s="84" t="inlineStr">
        <is>
          <t>Untiered</t>
        </is>
      </c>
      <c r="E167" s="84" t="inlineStr">
        <is>
          <t>B0DJ2HJ9M4</t>
        </is>
      </c>
      <c r="F167" s="84" t="inlineStr">
        <is>
          <t>B09HVCPNLX</t>
        </is>
      </c>
      <c r="G167" s="84" t="n"/>
      <c r="H167" s="84" t="n"/>
      <c r="I167" s="85" t="n">
        <v>44</v>
      </c>
      <c r="J167" s="32" t="inlineStr">
        <is>
          <t>B0C5CG12M2 (27%), B09HVCPNLX (24%), B0C25NTWCM (18%), B09HVDQ982 (9%), B0DDQ6PNMP (7%)</t>
        </is>
      </c>
      <c r="K167" s="86" t="n">
        <v>26.99</v>
      </c>
      <c r="L167" s="86" t="n"/>
      <c r="M167" s="87">
        <f>IF(AND(ISNUMBER(L167),ISNUMBER(K167),N(K167)&gt;0),L167/K167-1,"")</f>
        <v/>
      </c>
      <c r="N167" s="88">
        <f>IF(M167="","No List Price",IF(M167&lt;=0,"At/below price",IF(M167&lt;=0.12,"&lt;=12% STR zone",IF(M167&lt;=0.25,"12-25%","&gt;25% over"))))</f>
        <v/>
      </c>
      <c r="O167" s="86" t="n"/>
      <c r="P167" s="89">
        <f>IF(AND(ISNUMBER(K167),ISNUMBER(O167),N(O167)&gt;0),K167/O167-1,"")</f>
        <v/>
      </c>
      <c r="Q167" s="32" t="inlineStr">
        <is>
          <t>No price for us</t>
        </is>
      </c>
      <c r="R167" s="85" t="n">
        <v>76753</v>
      </c>
      <c r="S167" s="85" t="n">
        <v>18</v>
      </c>
      <c r="T167" s="90">
        <f>IF(AND(ISNUMBER(K167),ISNUMBER(S167)),K167*S167*52/12,"")</f>
        <v/>
      </c>
      <c r="U167" s="91" t="n">
        <v>4.5</v>
      </c>
      <c r="V167" s="85" t="n">
        <v>127</v>
      </c>
      <c r="W167" s="92" t="n">
        <v>46307</v>
      </c>
      <c r="X167" s="92" t="n"/>
      <c r="Y167" s="84" t="n"/>
      <c r="Z167" s="84" t="n"/>
      <c r="AA167" s="85" t="n">
        <v>35631</v>
      </c>
      <c r="AB167" s="85" t="n">
        <v>592</v>
      </c>
      <c r="AC167" s="93" t="n">
        <v>0.9497345738261626</v>
      </c>
      <c r="AD167" s="93" t="n">
        <v>0.05026542617383739</v>
      </c>
      <c r="AE167" s="32" t="inlineStr">
        <is>
          <t>satin sheets</t>
        </is>
      </c>
      <c r="AF167" s="93" t="n">
        <v>0.305408211950268</v>
      </c>
      <c r="AG167" s="93" t="n"/>
      <c r="AH167" s="93" t="n"/>
      <c r="AI167" s="93" t="n">
        <v>0</v>
      </c>
      <c r="AJ167" s="85" t="n"/>
      <c r="AK167" s="85" t="n"/>
      <c r="AL167" s="85" t="n"/>
      <c r="AM167" s="85" t="n"/>
      <c r="AN167" s="85" t="n"/>
      <c r="AO167" s="85" t="n"/>
      <c r="AP167" s="94" t="n">
        <v>0.6901408450704226</v>
      </c>
      <c r="AQ167" s="89" t="n">
        <v>0.1848341232227488</v>
      </c>
      <c r="AR167" s="95" t="inlineStr">
        <is>
          <t>N</t>
        </is>
      </c>
      <c r="AS167" s="95" t="inlineStr">
        <is>
          <t>none</t>
        </is>
      </c>
      <c r="AT167" s="101" t="n"/>
      <c r="AU167" s="96" t="n">
        <v>26.99</v>
      </c>
      <c r="AV167" s="95" t="inlineStr">
        <is>
          <t>none</t>
        </is>
      </c>
      <c r="AW167" s="95" t="inlineStr">
        <is>
          <t>Y</t>
        </is>
      </c>
      <c r="AX167" s="95" t="inlineStr">
        <is>
          <t>2026-10-13 12:13:26</t>
        </is>
      </c>
      <c r="AY167" s="97" t="inlineStr">
        <is>
          <t>None</t>
        </is>
      </c>
      <c r="AZ167" s="102" t="n"/>
      <c r="BA167" s="98" t="n">
        <v>30.99</v>
      </c>
      <c r="BB167" s="98" t="n">
        <v>30.99</v>
      </c>
      <c r="BC167" s="87">
        <f>IF(AND(ISNUMBER(BA167),ISNUMBER(BB167),N(BA167)&gt;0),1-BB167/BA167,"")</f>
        <v/>
      </c>
      <c r="BD167" s="99" t="n">
        <v>38276</v>
      </c>
      <c r="BE167" s="99" t="n">
        <v>39554</v>
      </c>
      <c r="BF167" s="100">
        <f>IF(AND(ISNUMBER(BD167),ISNUMBER(BE167),N(BE167)&gt;0),BD167/BE167,"")</f>
        <v/>
      </c>
      <c r="BG167" s="97" t="inlineStr">
        <is>
          <t>N</t>
        </is>
      </c>
      <c r="BH167" s="97" t="inlineStr">
        <is>
          <t>List Price $35.99</t>
        </is>
      </c>
    </row>
    <row r="168" ht="62" customHeight="1">
      <c r="A168" s="39" t="inlineStr">
        <is>
          <t>IMAGE MISSING</t>
        </is>
      </c>
      <c r="B168" s="84" t="inlineStr">
        <is>
          <t>MK Home</t>
        </is>
      </c>
      <c r="C168" s="32" t="inlineStr">
        <is>
          <t>Satin Sheets</t>
        </is>
      </c>
      <c r="D168" s="84" t="inlineStr">
        <is>
          <t>Untiered</t>
        </is>
      </c>
      <c r="E168" s="84" t="inlineStr">
        <is>
          <t>B07H522QXD</t>
        </is>
      </c>
      <c r="F168" s="84" t="inlineStr">
        <is>
          <t>B07FGFRZ94</t>
        </is>
      </c>
      <c r="G168" s="84" t="n"/>
      <c r="H168" s="84" t="n"/>
      <c r="I168" s="85" t="n"/>
      <c r="J168" s="32" t="inlineStr"/>
      <c r="K168" s="86" t="n">
        <v>18.99</v>
      </c>
      <c r="L168" s="86" t="n"/>
      <c r="M168" s="87">
        <f>IF(AND(ISNUMBER(L168),ISNUMBER(K168),N(K168)&gt;0),L168/K168-1,"")</f>
        <v/>
      </c>
      <c r="N168" s="88">
        <f>IF(M168="","No List Price",IF(M168&lt;=0,"At/below price",IF(M168&lt;=0.12,"&lt;=12% STR zone",IF(M168&lt;=0.25,"12-25%","&gt;25% over"))))</f>
        <v/>
      </c>
      <c r="O168" s="86" t="n"/>
      <c r="P168" s="89">
        <f>IF(AND(ISNUMBER(K168),ISNUMBER(O168),N(O168)&gt;0),K168/O168-1,"")</f>
        <v/>
      </c>
      <c r="Q168" s="32" t="inlineStr">
        <is>
          <t>No price for us</t>
        </is>
      </c>
      <c r="R168" s="85" t="n">
        <v>59039</v>
      </c>
      <c r="S168" s="85" t="n">
        <v>18</v>
      </c>
      <c r="T168" s="90">
        <f>IF(AND(ISNUMBER(K168),ISNUMBER(S168)),K168*S168*52/12,"")</f>
        <v/>
      </c>
      <c r="U168" s="91" t="n">
        <v>4.3</v>
      </c>
      <c r="V168" s="85" t="n">
        <v>10761</v>
      </c>
      <c r="W168" s="92" t="n">
        <v>46307</v>
      </c>
      <c r="X168" s="92" t="n"/>
      <c r="Y168" s="84" t="n"/>
      <c r="Z168" s="84" t="n"/>
      <c r="AA168" s="85" t="n"/>
      <c r="AB168" s="85" t="n"/>
      <c r="AC168" s="93" t="n"/>
      <c r="AD168" s="93" t="n"/>
      <c r="AE168" s="32" t="n"/>
      <c r="AF168" s="93" t="n"/>
      <c r="AG168" s="93" t="n"/>
      <c r="AH168" s="93" t="n"/>
      <c r="AI168" s="93" t="n"/>
      <c r="AJ168" s="85" t="n"/>
      <c r="AK168" s="85" t="n"/>
      <c r="AL168" s="85" t="n"/>
      <c r="AM168" s="85" t="n"/>
      <c r="AN168" s="85" t="n"/>
      <c r="AO168" s="85" t="n"/>
      <c r="AP168" s="94" t="n"/>
      <c r="AQ168" s="89" t="n"/>
      <c r="AR168" s="95" t="inlineStr">
        <is>
          <t>N</t>
        </is>
      </c>
      <c r="AS168" s="95" t="inlineStr">
        <is>
          <t>none</t>
        </is>
      </c>
      <c r="AT168" s="101" t="n"/>
      <c r="AU168" s="96" t="n">
        <v>18.99</v>
      </c>
      <c r="AV168" s="95" t="inlineStr">
        <is>
          <t>none</t>
        </is>
      </c>
      <c r="AW168" s="95" t="inlineStr">
        <is>
          <t>Y</t>
        </is>
      </c>
      <c r="AX168" s="95" t="inlineStr">
        <is>
          <t>2026-10-13 12:13:19</t>
        </is>
      </c>
      <c r="AY168" s="97" t="inlineStr">
        <is>
          <t>None</t>
        </is>
      </c>
      <c r="AZ168" s="102" t="n"/>
      <c r="BA168" s="98" t="n">
        <v>28.99</v>
      </c>
      <c r="BB168" s="98" t="n">
        <v>28.99</v>
      </c>
      <c r="BC168" s="87">
        <f>IF(AND(ISNUMBER(BA168),ISNUMBER(BB168),N(BA168)&gt;0),1-BB168/BA168,"")</f>
        <v/>
      </c>
      <c r="BD168" s="99" t="n">
        <v>72573</v>
      </c>
      <c r="BE168" s="99" t="n">
        <v>103377</v>
      </c>
      <c r="BF168" s="100">
        <f>IF(AND(ISNUMBER(BD168),ISNUMBER(BE168),N(BE168)&gt;0),BD168/BE168,"")</f>
        <v/>
      </c>
      <c r="BG168" s="97" t="inlineStr">
        <is>
          <t>N</t>
        </is>
      </c>
      <c r="BH168" s="97" t="inlineStr">
        <is>
          <t>List Price $59.99</t>
        </is>
      </c>
    </row>
    <row r="169" ht="62" customHeight="1">
      <c r="A169" s="39" t="inlineStr">
        <is>
          <t>IMAGE MISSING</t>
        </is>
      </c>
      <c r="B169" s="84" t="inlineStr">
        <is>
          <t>VACVELT</t>
        </is>
      </c>
      <c r="C169" s="32" t="inlineStr">
        <is>
          <t>Satin Sheets</t>
        </is>
      </c>
      <c r="D169" s="84" t="inlineStr">
        <is>
          <t>Untiered</t>
        </is>
      </c>
      <c r="E169" s="84" t="inlineStr">
        <is>
          <t>B0F7XQDVJY</t>
        </is>
      </c>
      <c r="F169" s="84" t="inlineStr">
        <is>
          <t>B0F7XRNKQY</t>
        </is>
      </c>
      <c r="G169" s="84" t="n"/>
      <c r="H169" s="84" t="n"/>
      <c r="I169" s="85" t="n">
        <v>31</v>
      </c>
      <c r="J169" s="32" t="inlineStr">
        <is>
          <t>B0F7XRNKQY (46%), B0F7XR7CJX (14%), B0F7XQPKCG (8%), B0F7XQLX2P (6%), B0F7XR8JYF (4%)</t>
        </is>
      </c>
      <c r="K169" s="86" t="n">
        <v>17.99</v>
      </c>
      <c r="L169" s="86" t="n"/>
      <c r="M169" s="87">
        <f>IF(AND(ISNUMBER(L169),ISNUMBER(K169),N(K169)&gt;0),L169/K169-1,"")</f>
        <v/>
      </c>
      <c r="N169" s="88">
        <f>IF(M169="","No List Price",IF(M169&lt;=0,"At/below price",IF(M169&lt;=0.12,"&lt;=12% STR zone",IF(M169&lt;=0.25,"12-25%","&gt;25% over"))))</f>
        <v/>
      </c>
      <c r="O169" s="86" t="n"/>
      <c r="P169" s="89">
        <f>IF(AND(ISNUMBER(K169),ISNUMBER(O169),N(O169)&gt;0),K169/O169-1,"")</f>
        <v/>
      </c>
      <c r="Q169" s="32" t="inlineStr">
        <is>
          <t>No price for us</t>
        </is>
      </c>
      <c r="R169" s="85" t="n">
        <v>79028</v>
      </c>
      <c r="S169" s="85" t="n">
        <v>18</v>
      </c>
      <c r="T169" s="90">
        <f>IF(AND(ISNUMBER(K169),ISNUMBER(S169)),K169*S169*52/12,"")</f>
        <v/>
      </c>
      <c r="U169" s="91" t="n">
        <v>4.4</v>
      </c>
      <c r="V169" s="85" t="n">
        <v>209</v>
      </c>
      <c r="W169" s="92" t="n">
        <v>46307</v>
      </c>
      <c r="X169" s="92" t="n"/>
      <c r="Y169" s="84" t="n"/>
      <c r="Z169" s="84" t="n"/>
      <c r="AA169" s="85" t="n">
        <v>21912</v>
      </c>
      <c r="AB169" s="85" t="n">
        <v>632</v>
      </c>
      <c r="AC169" s="93" t="n">
        <v>0.9845742834976268</v>
      </c>
      <c r="AD169" s="93" t="n">
        <v>0.01542586254107338</v>
      </c>
      <c r="AE169" s="32" t="inlineStr">
        <is>
          <t>silk sheets</t>
        </is>
      </c>
      <c r="AF169" s="93" t="n">
        <v>0.004518072289156626</v>
      </c>
      <c r="AG169" s="93" t="n"/>
      <c r="AH169" s="93" t="n"/>
      <c r="AI169" s="93" t="n"/>
      <c r="AJ169" s="85" t="n"/>
      <c r="AK169" s="85" t="n"/>
      <c r="AL169" s="85" t="n"/>
      <c r="AM169" s="85" t="n"/>
      <c r="AN169" s="85" t="n"/>
      <c r="AO169" s="85" t="n"/>
      <c r="AP169" s="94" t="n">
        <v>1.707818930041152</v>
      </c>
      <c r="AQ169" s="89" t="n">
        <v>1.91358024691358</v>
      </c>
      <c r="AR169" s="95" t="inlineStr">
        <is>
          <t>N</t>
        </is>
      </c>
      <c r="AS169" s="95" t="inlineStr">
        <is>
          <t>none</t>
        </is>
      </c>
      <c r="AT169" s="101" t="n"/>
      <c r="AU169" s="96" t="n">
        <v>17.99</v>
      </c>
      <c r="AV169" s="95" t="inlineStr">
        <is>
          <t>none</t>
        </is>
      </c>
      <c r="AW169" s="95" t="inlineStr">
        <is>
          <t>Y</t>
        </is>
      </c>
      <c r="AX169" s="95" t="inlineStr">
        <is>
          <t>2026-10-13 12:13:54</t>
        </is>
      </c>
      <c r="AY169" s="97" t="inlineStr">
        <is>
          <t>None</t>
        </is>
      </c>
      <c r="AZ169" s="102" t="n"/>
      <c r="BA169" s="98" t="n">
        <v>20.99</v>
      </c>
      <c r="BB169" s="98" t="n">
        <v>19.99</v>
      </c>
      <c r="BC169" s="87">
        <f>IF(AND(ISNUMBER(BA169),ISNUMBER(BB169),N(BA169)&gt;0),1-BB169/BA169,"")</f>
        <v/>
      </c>
      <c r="BD169" s="99" t="n">
        <v>110546</v>
      </c>
      <c r="BE169" s="99" t="n">
        <v>96255</v>
      </c>
      <c r="BF169" s="100">
        <f>IF(AND(ISNUMBER(BD169),ISNUMBER(BE169),N(BE169)&gt;0),BD169/BE169,"")</f>
        <v/>
      </c>
      <c r="BG169" s="97" t="inlineStr">
        <is>
          <t>N</t>
        </is>
      </c>
      <c r="BH169" s="97" t="inlineStr">
        <is>
          <t>List Price $19.99</t>
        </is>
      </c>
    </row>
    <row r="170" ht="62" customHeight="1">
      <c r="A170" s="39" t="inlineStr">
        <is>
          <t>IMAGE MISSING</t>
        </is>
      </c>
      <c r="B170" s="84" t="inlineStr">
        <is>
          <t>Candoury</t>
        </is>
      </c>
      <c r="C170" s="32" t="inlineStr">
        <is>
          <t>Satin Sheets</t>
        </is>
      </c>
      <c r="D170" s="84" t="inlineStr">
        <is>
          <t>Untiered</t>
        </is>
      </c>
      <c r="E170" s="84" t="inlineStr">
        <is>
          <t>B08RHZ9TMQ</t>
        </is>
      </c>
      <c r="F170" s="84" t="inlineStr">
        <is>
          <t>B08JKWGXZ9</t>
        </is>
      </c>
      <c r="G170" s="84" t="n"/>
      <c r="H170" s="84" t="n"/>
      <c r="I170" s="85" t="n"/>
      <c r="J170" s="32" t="inlineStr"/>
      <c r="K170" s="86" t="n">
        <v>15.99</v>
      </c>
      <c r="L170" s="86" t="n"/>
      <c r="M170" s="87">
        <f>IF(AND(ISNUMBER(L170),ISNUMBER(K170),N(K170)&gt;0),L170/K170-1,"")</f>
        <v/>
      </c>
      <c r="N170" s="88">
        <f>IF(M170="","No List Price",IF(M170&lt;=0,"At/below price",IF(M170&lt;=0.12,"&lt;=12% STR zone",IF(M170&lt;=0.25,"12-25%","&gt;25% over"))))</f>
        <v/>
      </c>
      <c r="O170" s="86" t="n"/>
      <c r="P170" s="89">
        <f>IF(AND(ISNUMBER(K170),ISNUMBER(O170),N(O170)&gt;0),K170/O170-1,"")</f>
        <v/>
      </c>
      <c r="Q170" s="32" t="inlineStr">
        <is>
          <t>No price for us</t>
        </is>
      </c>
      <c r="R170" s="85" t="n">
        <v>420044</v>
      </c>
      <c r="S170" s="85" t="n">
        <v>5</v>
      </c>
      <c r="T170" s="90">
        <f>IF(AND(ISNUMBER(K170),ISNUMBER(S170)),K170*S170*52/12,"")</f>
        <v/>
      </c>
      <c r="U170" s="91" t="n">
        <v>4.3</v>
      </c>
      <c r="V170" s="85" t="n">
        <v>5277</v>
      </c>
      <c r="W170" s="92" t="n">
        <v>46279</v>
      </c>
      <c r="X170" s="92" t="n"/>
      <c r="Y170" s="84" t="n"/>
      <c r="Z170" s="84" t="n"/>
      <c r="AA170" s="85" t="n"/>
      <c r="AB170" s="85" t="n"/>
      <c r="AC170" s="93" t="n"/>
      <c r="AD170" s="93" t="n"/>
      <c r="AE170" s="32" t="n"/>
      <c r="AF170" s="93" t="n"/>
      <c r="AG170" s="93" t="n"/>
      <c r="AH170" s="93" t="n"/>
      <c r="AI170" s="93" t="n"/>
      <c r="AJ170" s="85" t="n"/>
      <c r="AK170" s="85" t="n"/>
      <c r="AL170" s="85" t="n"/>
      <c r="AM170" s="85" t="n"/>
      <c r="AN170" s="85" t="n"/>
      <c r="AO170" s="85" t="n"/>
      <c r="AP170" s="94" t="n"/>
      <c r="AQ170" s="89" t="n"/>
      <c r="AR170" s="95" t="inlineStr">
        <is>
          <t>N</t>
        </is>
      </c>
      <c r="AS170" s="95" t="inlineStr">
        <is>
          <t>none</t>
        </is>
      </c>
      <c r="AT170" s="101" t="n"/>
      <c r="AU170" s="101" t="n"/>
      <c r="AV170" s="95" t="inlineStr">
        <is>
          <t>none</t>
        </is>
      </c>
      <c r="AW170" s="95" t="inlineStr">
        <is>
          <t>N</t>
        </is>
      </c>
      <c r="AX170" s="95" t="inlineStr">
        <is>
          <t>2026-10-13 23:44:25</t>
        </is>
      </c>
      <c r="AY170" s="102" t="n"/>
      <c r="AZ170" s="102" t="n"/>
      <c r="BA170" s="101" t="n"/>
      <c r="BB170" s="101" t="n"/>
      <c r="BC170" s="87">
        <f>IF(AND(ISNUMBER(BA170),ISNUMBER(BB170),N(BA170)&gt;0),1-BB170/BA170,"")</f>
        <v/>
      </c>
      <c r="BD170" s="103" t="n"/>
      <c r="BE170" s="103" t="n"/>
      <c r="BF170" s="100">
        <f>IF(AND(ISNUMBER(BD170),ISNUMBER(BE170),N(BE170)&gt;0),BD170/BE170,"")</f>
        <v/>
      </c>
      <c r="BG170" s="102" t="n"/>
      <c r="BH170" s="102" t="n"/>
    </row>
    <row r="171" ht="62" customHeight="1">
      <c r="A171" s="10">
        <f>_xlfn.IMAGE("https://images-na.ssl-images-amazon.com/images/I/71Upo7a638S.jpg")</f>
        <v/>
      </c>
      <c r="B171" s="84" t="inlineStr">
        <is>
          <t>Homiest</t>
        </is>
      </c>
      <c r="C171" s="32" t="inlineStr">
        <is>
          <t>Satin Sheets</t>
        </is>
      </c>
      <c r="D171" s="84" t="inlineStr">
        <is>
          <t>Untiered</t>
        </is>
      </c>
      <c r="E171" s="84" t="inlineStr">
        <is>
          <t>B07XBR22W1</t>
        </is>
      </c>
      <c r="F171" s="84" t="inlineStr">
        <is>
          <t>B0B5Z2B9NN</t>
        </is>
      </c>
      <c r="G171" s="84" t="n"/>
      <c r="H171" s="84" t="n"/>
      <c r="I171" s="85" t="n">
        <v>70</v>
      </c>
      <c r="J171" s="32" t="inlineStr">
        <is>
          <t>B07VTMDK79 (19%), B0C2824DHT (16%), B07XPVHHP9 (9%), B07HN29LH1 (6%), B0B2QZ8NKY (5%)</t>
        </is>
      </c>
      <c r="K171" s="86" t="n">
        <v>21.99</v>
      </c>
      <c r="L171" s="86" t="n">
        <v>25.99</v>
      </c>
      <c r="M171" s="87">
        <f>IF(AND(ISNUMBER(L171),ISNUMBER(K171),N(K171)&gt;0),L171/K171-1,"")</f>
        <v/>
      </c>
      <c r="N171" s="88">
        <f>IF(M171="","No List Price",IF(M171&lt;=0,"At/below price",IF(M171&lt;=0.12,"&lt;=12% STR zone",IF(M171&lt;=0.25,"12-25%","&gt;25% over"))))</f>
        <v/>
      </c>
      <c r="O171" s="86" t="n"/>
      <c r="P171" s="89">
        <f>IF(AND(ISNUMBER(K171),ISNUMBER(O171),N(O171)&gt;0),K171/O171-1,"")</f>
        <v/>
      </c>
      <c r="Q171" s="32" t="inlineStr">
        <is>
          <t>No price for us</t>
        </is>
      </c>
      <c r="R171" s="85" t="n">
        <v>28165</v>
      </c>
      <c r="S171" s="85" t="n">
        <v>5</v>
      </c>
      <c r="T171" s="90">
        <f>IF(AND(ISNUMBER(K171),ISNUMBER(S171)),K171*S171*52/12,"")</f>
        <v/>
      </c>
      <c r="U171" s="91" t="n">
        <v>4.4</v>
      </c>
      <c r="V171" s="85" t="n">
        <v>12125</v>
      </c>
      <c r="W171" s="92" t="n">
        <v>46307</v>
      </c>
      <c r="X171" s="92" t="n"/>
      <c r="Y171" s="84" t="n"/>
      <c r="Z171" s="84" t="n"/>
      <c r="AA171" s="85" t="n">
        <v>20002</v>
      </c>
      <c r="AB171" s="85" t="n">
        <v>618</v>
      </c>
      <c r="AC171" s="93" t="n">
        <v>1</v>
      </c>
      <c r="AD171" s="93" t="n">
        <v>0</v>
      </c>
      <c r="AE171" s="32" t="inlineStr">
        <is>
          <t>satin sheets</t>
        </is>
      </c>
      <c r="AF171" s="93" t="n">
        <v>0.08344165583441655</v>
      </c>
      <c r="AG171" s="93" t="n"/>
      <c r="AH171" s="93" t="n"/>
      <c r="AI171" s="93" t="n">
        <v>0.02124787521247875</v>
      </c>
      <c r="AJ171" s="85" t="n"/>
      <c r="AK171" s="85" t="n"/>
      <c r="AL171" s="85" t="n"/>
      <c r="AM171" s="85" t="n"/>
      <c r="AN171" s="85" t="n"/>
      <c r="AO171" s="85" t="n"/>
      <c r="AP171" s="94" t="n"/>
      <c r="AQ171" s="89" t="n"/>
      <c r="AR171" s="95" t="inlineStr">
        <is>
          <t>Y</t>
        </is>
      </c>
      <c r="AS171" s="95" t="inlineStr">
        <is>
          <t>Typical price</t>
        </is>
      </c>
      <c r="AT171" s="96" t="n">
        <v>25.99</v>
      </c>
      <c r="AU171" s="96" t="n">
        <v>23.99</v>
      </c>
      <c r="AV171" s="95" t="inlineStr">
        <is>
          <t>none</t>
        </is>
      </c>
      <c r="AW171" s="95" t="inlineStr">
        <is>
          <t>Y</t>
        </is>
      </c>
      <c r="AX171" s="95" t="inlineStr">
        <is>
          <t>2026-10-13 12:12:56</t>
        </is>
      </c>
      <c r="AY171" s="97" t="inlineStr">
        <is>
          <t>Prime Exclusive Discount</t>
        </is>
      </c>
      <c r="AZ171" s="97" t="inlineStr">
        <is>
          <t>11-04 to 12-05</t>
        </is>
      </c>
      <c r="BA171" s="98" t="n">
        <v>23.39</v>
      </c>
      <c r="BB171" s="98" t="n">
        <v>21.32</v>
      </c>
      <c r="BC171" s="87">
        <f>IF(AND(ISNUMBER(BA171),ISNUMBER(BB171),N(BA171)&gt;0),1-BB171/BA171,"")</f>
        <v/>
      </c>
      <c r="BD171" s="99" t="n">
        <v>20924</v>
      </c>
      <c r="BE171" s="99" t="n">
        <v>20898</v>
      </c>
      <c r="BF171" s="100">
        <f>IF(AND(ISNUMBER(BD171),ISNUMBER(BE171),N(BE171)&gt;0),BD171/BE171,"")</f>
        <v/>
      </c>
      <c r="BG171" s="97" t="inlineStr">
        <is>
          <t>N</t>
        </is>
      </c>
      <c r="BH171" s="97" t="inlineStr">
        <is>
          <t>Prime Exclusive already running before BFCM week; List Price $52.78</t>
        </is>
      </c>
    </row>
    <row r="172" ht="62" customHeight="1">
      <c r="A172" s="39" t="inlineStr">
        <is>
          <t>IMAGE MISSING</t>
        </is>
      </c>
      <c r="B172" s="84" t="inlineStr">
        <is>
          <t>Manyshofu</t>
        </is>
      </c>
      <c r="C172" s="32" t="inlineStr">
        <is>
          <t>Satin Sheets</t>
        </is>
      </c>
      <c r="D172" s="84" t="inlineStr">
        <is>
          <t>Untiered</t>
        </is>
      </c>
      <c r="E172" s="84" t="inlineStr">
        <is>
          <t>B09YQW7HBK</t>
        </is>
      </c>
      <c r="F172" s="84" t="inlineStr">
        <is>
          <t>B09S5RNLN9</t>
        </is>
      </c>
      <c r="G172" s="84" t="n"/>
      <c r="H172" s="84" t="n"/>
      <c r="I172" s="85" t="n"/>
      <c r="J172" s="32" t="inlineStr"/>
      <c r="K172" s="86" t="n">
        <v>28.99</v>
      </c>
      <c r="L172" s="86" t="n"/>
      <c r="M172" s="87">
        <f>IF(AND(ISNUMBER(L172),ISNUMBER(K172),N(K172)&gt;0),L172/K172-1,"")</f>
        <v/>
      </c>
      <c r="N172" s="88">
        <f>IF(M172="","No List Price",IF(M172&lt;=0,"At/below price",IF(M172&lt;=0.12,"&lt;=12% STR zone",IF(M172&lt;=0.25,"12-25%","&gt;25% over"))))</f>
        <v/>
      </c>
      <c r="O172" s="86" t="n"/>
      <c r="P172" s="89">
        <f>IF(AND(ISNUMBER(K172),ISNUMBER(O172),N(O172)&gt;0),K172/O172-1,"")</f>
        <v/>
      </c>
      <c r="Q172" s="32" t="inlineStr">
        <is>
          <t>No price for us</t>
        </is>
      </c>
      <c r="R172" s="85" t="n">
        <v>300374</v>
      </c>
      <c r="S172" s="85" t="n">
        <v>5</v>
      </c>
      <c r="T172" s="90">
        <f>IF(AND(ISNUMBER(K172),ISNUMBER(S172)),K172*S172*52/12,"")</f>
        <v/>
      </c>
      <c r="U172" s="91" t="n">
        <v>4.3</v>
      </c>
      <c r="V172" s="85" t="n">
        <v>907</v>
      </c>
      <c r="W172" s="92" t="n">
        <v>46307</v>
      </c>
      <c r="X172" s="92" t="n"/>
      <c r="Y172" s="84" t="n"/>
      <c r="Z172" s="84" t="n"/>
      <c r="AA172" s="85" t="n"/>
      <c r="AB172" s="85" t="n"/>
      <c r="AC172" s="93" t="n"/>
      <c r="AD172" s="93" t="n"/>
      <c r="AE172" s="32" t="n"/>
      <c r="AF172" s="93" t="n"/>
      <c r="AG172" s="93" t="n"/>
      <c r="AH172" s="93" t="n"/>
      <c r="AI172" s="93" t="n"/>
      <c r="AJ172" s="85" t="n"/>
      <c r="AK172" s="85" t="n"/>
      <c r="AL172" s="85" t="n"/>
      <c r="AM172" s="85" t="n"/>
      <c r="AN172" s="85" t="n"/>
      <c r="AO172" s="85" t="n"/>
      <c r="AP172" s="94" t="n"/>
      <c r="AQ172" s="89" t="n"/>
      <c r="AR172" s="95" t="inlineStr">
        <is>
          <t>N</t>
        </is>
      </c>
      <c r="AS172" s="95" t="inlineStr">
        <is>
          <t>none</t>
        </is>
      </c>
      <c r="AT172" s="101" t="n"/>
      <c r="AU172" s="96" t="n">
        <v>28.99</v>
      </c>
      <c r="AV172" s="95" t="inlineStr">
        <is>
          <t>none</t>
        </is>
      </c>
      <c r="AW172" s="95" t="inlineStr">
        <is>
          <t>Y</t>
        </is>
      </c>
      <c r="AX172" s="95" t="inlineStr">
        <is>
          <t>2026-10-13 12:13:29</t>
        </is>
      </c>
      <c r="AY172" s="97" t="inlineStr">
        <is>
          <t>None</t>
        </is>
      </c>
      <c r="AZ172" s="102" t="n"/>
      <c r="BA172" s="98" t="n">
        <v>35.99</v>
      </c>
      <c r="BB172" s="98" t="n">
        <v>43.99</v>
      </c>
      <c r="BC172" s="87">
        <f>IF(AND(ISNUMBER(BA172),ISNUMBER(BB172),N(BA172)&gt;0),1-BB172/BA172,"")</f>
        <v/>
      </c>
      <c r="BD172" s="99" t="n">
        <v>162880</v>
      </c>
      <c r="BE172" s="99" t="n">
        <v>197382</v>
      </c>
      <c r="BF172" s="100">
        <f>IF(AND(ISNUMBER(BD172),ISNUMBER(BE172),N(BE172)&gt;0),BD172/BE172,"")</f>
        <v/>
      </c>
      <c r="BG172" s="97" t="inlineStr">
        <is>
          <t>Y</t>
        </is>
      </c>
      <c r="BH172" s="97" t="inlineStr">
        <is>
          <t>Buy Box RAISED in BFCM week (median $43.99 vs $35.99 before); List Price $46.99</t>
        </is>
      </c>
    </row>
    <row r="173" ht="62" customHeight="1">
      <c r="A173" s="39" t="inlineStr">
        <is>
          <t>IMAGE MISSING</t>
        </is>
      </c>
      <c r="B173" s="84" t="inlineStr">
        <is>
          <t>Martex</t>
        </is>
      </c>
      <c r="C173" s="32" t="inlineStr">
        <is>
          <t>Satin Sheets</t>
        </is>
      </c>
      <c r="D173" s="84" t="inlineStr">
        <is>
          <t>Untiered</t>
        </is>
      </c>
      <c r="E173" s="84" t="inlineStr">
        <is>
          <t>B0DLGX8P9D</t>
        </is>
      </c>
      <c r="F173" s="84" t="inlineStr">
        <is>
          <t>B07X49LFDC</t>
        </is>
      </c>
      <c r="G173" s="84" t="n"/>
      <c r="H173" s="84" t="n"/>
      <c r="I173" s="85" t="n"/>
      <c r="J173" s="32" t="inlineStr"/>
      <c r="K173" s="86" t="n">
        <v>25.99</v>
      </c>
      <c r="L173" s="86" t="n"/>
      <c r="M173" s="87">
        <f>IF(AND(ISNUMBER(L173),ISNUMBER(K173),N(K173)&gt;0),L173/K173-1,"")</f>
        <v/>
      </c>
      <c r="N173" s="88">
        <f>IF(M173="","No List Price",IF(M173&lt;=0,"At/below price",IF(M173&lt;=0.12,"&lt;=12% STR zone",IF(M173&lt;=0.25,"12-25%","&gt;25% over"))))</f>
        <v/>
      </c>
      <c r="O173" s="86" t="n"/>
      <c r="P173" s="89">
        <f>IF(AND(ISNUMBER(K173),ISNUMBER(O173),N(O173)&gt;0),K173/O173-1,"")</f>
        <v/>
      </c>
      <c r="Q173" s="32" t="inlineStr">
        <is>
          <t>No price for us</t>
        </is>
      </c>
      <c r="R173" s="85" t="n">
        <v>52458</v>
      </c>
      <c r="S173" s="85" t="n">
        <v>5</v>
      </c>
      <c r="T173" s="90">
        <f>IF(AND(ISNUMBER(K173),ISNUMBER(S173)),K173*S173*52/12,"")</f>
        <v/>
      </c>
      <c r="U173" s="91" t="n">
        <v>4.3</v>
      </c>
      <c r="V173" s="85" t="n">
        <v>2260</v>
      </c>
      <c r="W173" s="92" t="n">
        <v>46307</v>
      </c>
      <c r="X173" s="92" t="n"/>
      <c r="Y173" s="84" t="n"/>
      <c r="Z173" s="84" t="n"/>
      <c r="AA173" s="85" t="n"/>
      <c r="AB173" s="85" t="n"/>
      <c r="AC173" s="93" t="n"/>
      <c r="AD173" s="93" t="n"/>
      <c r="AE173" s="32" t="n"/>
      <c r="AF173" s="93" t="n"/>
      <c r="AG173" s="93" t="n"/>
      <c r="AH173" s="93" t="n"/>
      <c r="AI173" s="93" t="n"/>
      <c r="AJ173" s="85" t="n"/>
      <c r="AK173" s="85" t="n"/>
      <c r="AL173" s="85" t="n"/>
      <c r="AM173" s="85" t="n"/>
      <c r="AN173" s="85" t="n"/>
      <c r="AO173" s="85" t="n"/>
      <c r="AP173" s="94" t="n"/>
      <c r="AQ173" s="89" t="n"/>
      <c r="AR173" s="95" t="inlineStr">
        <is>
          <t>Y</t>
        </is>
      </c>
      <c r="AS173" s="95" t="inlineStr">
        <is>
          <t>Typical price</t>
        </is>
      </c>
      <c r="AT173" s="96" t="n">
        <v>26.99</v>
      </c>
      <c r="AU173" s="96" t="n">
        <v>22.99</v>
      </c>
      <c r="AV173" s="95" t="inlineStr">
        <is>
          <t>none</t>
        </is>
      </c>
      <c r="AW173" s="95" t="inlineStr">
        <is>
          <t>Y</t>
        </is>
      </c>
      <c r="AX173" s="95" t="inlineStr">
        <is>
          <t>2026-10-13 12:13:32</t>
        </is>
      </c>
      <c r="AY173" s="97" t="inlineStr">
        <is>
          <t>None</t>
        </is>
      </c>
      <c r="AZ173" s="102" t="n"/>
      <c r="BA173" s="98" t="n">
        <v>23.21</v>
      </c>
      <c r="BB173" s="98" t="n">
        <v>26.99</v>
      </c>
      <c r="BC173" s="87">
        <f>IF(AND(ISNUMBER(BA173),ISNUMBER(BB173),N(BA173)&gt;0),1-BB173/BA173,"")</f>
        <v/>
      </c>
      <c r="BD173" s="99" t="n">
        <v>29868</v>
      </c>
      <c r="BE173" s="99" t="n">
        <v>28928</v>
      </c>
      <c r="BF173" s="100">
        <f>IF(AND(ISNUMBER(BD173),ISNUMBER(BE173),N(BE173)&gt;0),BD173/BE173,"")</f>
        <v/>
      </c>
      <c r="BG173" s="97" t="inlineStr">
        <is>
          <t>N</t>
        </is>
      </c>
      <c r="BH173" s="97" t="inlineStr">
        <is>
          <t>Buy Box RAISED in BFCM week (median $26.99 vs $23.21 before); List Price $34.99</t>
        </is>
      </c>
    </row>
    <row r="175" ht="20" customHeight="1">
      <c r="A175" s="54" t="inlineStr">
        <is>
          <t>5 · WHAT THIS MEANS FOR BFCM</t>
        </is>
      </c>
    </row>
    <row r="176" ht="30" customHeight="1">
      <c r="A176" s="104" t="inlineStr">
        <is>
          <t>•  Who sells most: BEDELITE ~1,963/wk at $17.99; Love's cabin ~809/wk at $16.13 (List $19.99, +24%); MR&amp;HM ~809/wk at $19.99; CozyLux ~347/wk at $13.99 (List $18.99, +36%); BEDELITE ~208/wk at $15.98 (List $19.99, +25%). Tracked rivals ~5,286 units/wk; we sell ~0/wk (0.0% of the tracked set).</t>
        </is>
      </c>
    </row>
    <row r="177" ht="18" customHeight="1">
      <c r="A177" s="104" t="inlineStr">
        <is>
          <t>•  Strikethrough: 4 of 27 rivals set a List Price above price; 0 within 12%.</t>
        </is>
      </c>
    </row>
    <row r="178" ht="18" customHeight="1">
      <c r="A178" s="104" t="inlineStr">
        <is>
          <t>•  Price: 0 of 27 rivals sit below our price today (same size where the title states one). Cheapest strong rivals: .</t>
        </is>
      </c>
    </row>
    <row r="179" ht="30" customHeight="1">
      <c r="A179" s="104" t="inlineStr">
        <is>
          <t>•  Strikethrough on the page today (Oct 13 check): 8 of 27 checked rivals show one: BEDELITE List Price $19.99 vs $17.99 (+11%), Love's cabin List Price $19.99 vs $16.13 (+24%) with deal, MR&amp;HM List Price $28.99 vs $19.99 (+45%), CozyLux List Price $18.99 vs $13.99 (+36%) with deal, BEDELITE List Price $19.99 vs $15.98 (+25%) with deal, Cobedzy Typical price $26.99 vs $24.99 (+8%).</t>
        </is>
      </c>
    </row>
    <row r="180" ht="30" customHeight="1">
      <c r="A180" s="104" t="inlineStr">
        <is>
          <t>•  BFCM 2025, 25 rivals with Keepa history: Prime Exclusive Discount 13, None 8, Price cut only 4. Median depth vs their Nov 1-19 price 5%; median BSR lift 1.03x. 11 raised their Buy Box in BFCM week, so their deal looked deeper than it was.</t>
        </is>
      </c>
    </row>
    <row r="181" ht="18" customHeight="1">
      <c r="A181" s="104" t="inlineStr">
        <is>
          <t>•  2 rivals not in the Keepa pulls yet (yellow BFCM 2025 columns) - remaining P2 batches, AGENT_PROMPTS Prompt 2.</t>
        </is>
      </c>
    </row>
  </sheetData>
  <autoFilter ref="B146:BH173"/>
  <mergeCells count="62">
    <mergeCell ref="A137:C137"/>
    <mergeCell ref="A15:BH15"/>
    <mergeCell ref="K145:W145"/>
    <mergeCell ref="L5:Q5"/>
    <mergeCell ref="A1:BH1"/>
    <mergeCell ref="X145:Z145"/>
    <mergeCell ref="A178:BH178"/>
    <mergeCell ref="Q11:T11"/>
    <mergeCell ref="A136:C136"/>
    <mergeCell ref="L8:Q8"/>
    <mergeCell ref="A139:C139"/>
    <mergeCell ref="L4:Q4"/>
    <mergeCell ref="D7:I7"/>
    <mergeCell ref="C2:BH2"/>
    <mergeCell ref="A13:D13"/>
    <mergeCell ref="I13:L13"/>
    <mergeCell ref="A16:BH16"/>
    <mergeCell ref="D4:I4"/>
    <mergeCell ref="L10:Q10"/>
    <mergeCell ref="E12:H12"/>
    <mergeCell ref="Q13:T13"/>
    <mergeCell ref="A177:BH177"/>
    <mergeCell ref="D9:I9"/>
    <mergeCell ref="U12:X12"/>
    <mergeCell ref="L9:Q9"/>
    <mergeCell ref="Q12:T12"/>
    <mergeCell ref="AY145:BH145"/>
    <mergeCell ref="A11:D11"/>
    <mergeCell ref="I11:L11"/>
    <mergeCell ref="D8:I8"/>
    <mergeCell ref="L6:Q6"/>
    <mergeCell ref="A3:BH3"/>
    <mergeCell ref="A4:B9"/>
    <mergeCell ref="A145:H145"/>
    <mergeCell ref="T6:Y6"/>
    <mergeCell ref="A179:BH179"/>
    <mergeCell ref="AR145:AX145"/>
    <mergeCell ref="D5:I5"/>
    <mergeCell ref="A175:BH175"/>
    <mergeCell ref="M11:P11"/>
    <mergeCell ref="U11:X11"/>
    <mergeCell ref="A135:BH135"/>
    <mergeCell ref="A181:BH181"/>
    <mergeCell ref="A144:BH144"/>
    <mergeCell ref="A140:BH140"/>
    <mergeCell ref="E13:H13"/>
    <mergeCell ref="A180:BH180"/>
    <mergeCell ref="D10:I10"/>
    <mergeCell ref="L7:Q7"/>
    <mergeCell ref="T5:Y5"/>
    <mergeCell ref="A138:C138"/>
    <mergeCell ref="A12:D12"/>
    <mergeCell ref="M13:P13"/>
    <mergeCell ref="AA145:AQ145"/>
    <mergeCell ref="I12:L12"/>
    <mergeCell ref="U13:X13"/>
    <mergeCell ref="M12:P12"/>
    <mergeCell ref="T4:Y4"/>
    <mergeCell ref="D6:I6"/>
    <mergeCell ref="E11:H11"/>
    <mergeCell ref="A143:BH143"/>
    <mergeCell ref="A176:BH176"/>
  </mergeCells>
  <conditionalFormatting sqref="N147:N173">
    <cfRule type="expression" priority="1" dxfId="1">
      <formula>N147="&lt;=12% STR zone"</formula>
    </cfRule>
  </conditionalFormatting>
  <conditionalFormatting sqref="W147:W173">
    <cfRule type="expression" priority="2" dxfId="0">
      <formula>AND(ISNUMBER(W147),W147&lt;DATE(2026,10,6))</formula>
    </cfRule>
  </conditionalFormatting>
  <conditionalFormatting sqref="Q147:Q173">
    <cfRule type="expression" priority="3" dxfId="0">
      <formula>ISNUMBER(SEARCH("STALE",Q147))</formula>
    </cfRule>
  </conditionalFormatting>
  <conditionalFormatting sqref="P147:P173">
    <cfRule type="expression" priority="4" dxfId="0">
      <formula>AND(ISNUMBER(P147),P147&lt;0)</formula>
    </cfRule>
  </conditionalFormatting>
  <dataValidations count="3">
    <dataValidation sqref="AR147:AR173 BG147:BG173" showDropDown="0" showInputMessage="0" showErrorMessage="0" allowBlank="1" type="list">
      <formula1>"Y,N"</formula1>
    </dataValidation>
    <dataValidation sqref="AS147:AS173" showDropDown="0" showInputMessage="0" showErrorMessage="0" allowBlank="1" type="list">
      <formula1>"List Price,Typical price,Was price,None"</formula1>
    </dataValidation>
    <dataValidation sqref="AY147:AY173"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0.xml><?xml version="1.0" encoding="utf-8"?>
<worksheet xmlns="http://schemas.openxmlformats.org/spreadsheetml/2006/main">
  <sheetPr>
    <outlinePr summaryBelow="1" summaryRight="1"/>
    <pageSetUpPr/>
  </sheetPr>
  <dimension ref="A1:BH131"/>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Amazon.com (US)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 Softer Than Silk | Luxury 1 Pc Set</t>
        </is>
      </c>
      <c r="K4" s="11" t="inlineStr">
        <is>
          <t>Sizes</t>
        </is>
      </c>
      <c r="L4" s="55" t="inlineStr">
        <is>
          <t>Full, King, Queen, Twin</t>
        </is>
      </c>
      <c r="S4" s="11" t="inlineStr">
        <is>
          <t>Break-even ACoS</t>
        </is>
      </c>
      <c r="T4" s="55" t="inlineStr">
        <is>
          <t>31%</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759</t>
        </is>
      </c>
    </row>
    <row r="6" ht="22" customHeight="1">
      <c r="C6" s="11" t="inlineStr">
        <is>
          <t>Marketplace</t>
        </is>
      </c>
      <c r="D6" s="55" t="inlineStr">
        <is>
          <t>Amazon.com (US)</t>
        </is>
      </c>
      <c r="K6" s="11" t="inlineStr">
        <is>
          <t>Price now, best child</t>
        </is>
      </c>
      <c r="L6" s="55" t="inlineStr">
        <is>
          <t>$21.95 (Helium 10 Xray, 2026-10-13)</t>
        </is>
      </c>
      <c r="S6" s="11" t="inlineStr">
        <is>
          <t>Command Center product ASIN</t>
        </is>
      </c>
      <c r="T6" s="55" t="inlineStr">
        <is>
          <t>B0DBVZV66D (one of our child ASINs, not the Amazon parent)</t>
        </is>
      </c>
    </row>
    <row r="7" ht="22" customHeight="1">
      <c r="C7" s="11" t="inlineStr">
        <is>
          <t>Parent ASIN (Amazon)</t>
        </is>
      </c>
      <c r="D7" s="55" t="inlineStr">
        <is>
          <t>B0DZ17NCJ4</t>
        </is>
      </c>
      <c r="K7" s="11" t="inlineStr">
        <is>
          <t>Rating / reviews now</t>
        </is>
      </c>
      <c r="L7" s="55" t="inlineStr">
        <is>
          <t>4.5 / 1,284 (Helium 10 Xray, 2026-10-13)</t>
        </is>
      </c>
    </row>
    <row r="8" ht="22" customHeight="1">
      <c r="C8" s="11" t="inlineStr">
        <is>
          <t>Best-selling child ASIN</t>
        </is>
      </c>
      <c r="D8" s="55" t="inlineStr">
        <is>
          <t>B0DBW1PNJ8</t>
        </is>
      </c>
      <c r="K8" s="11" t="inlineStr">
        <is>
          <t>Live prices held</t>
        </is>
      </c>
      <c r="L8" s="55" t="inlineStr">
        <is>
          <t>68 of 68 variations</t>
        </is>
      </c>
    </row>
    <row r="9" ht="22" customHeight="1">
      <c r="C9" s="11" t="inlineStr">
        <is>
          <t>Stage</t>
        </is>
      </c>
      <c r="D9" s="55" t="inlineStr">
        <is>
          <t>Maintenance</t>
        </is>
      </c>
      <c r="K9" s="11" t="inlineStr">
        <is>
          <t>Blended price (Command Center)</t>
        </is>
      </c>
      <c r="L9" s="55" t="inlineStr">
        <is>
          <t>$19.34 - fee feed as of 2026-03-30, STALE</t>
        </is>
      </c>
    </row>
    <row r="10">
      <c r="C10" s="11" t="inlineStr">
        <is>
          <t>Total variations (SKUs)</t>
        </is>
      </c>
      <c r="D10" s="55" t="n">
        <v>68</v>
      </c>
      <c r="K10" s="11" t="inlineStr">
        <is>
          <t>Contribution / unit</t>
        </is>
      </c>
      <c r="L10" s="55" t="inlineStr">
        <is>
          <t>$5.91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2.47x</t>
        </is>
      </c>
      <c r="E12" s="57" t="inlineStr">
        <is>
          <t>7.8%</t>
        </is>
      </c>
      <c r="I12" s="57" t="inlineStr">
        <is>
          <t>1.51x</t>
        </is>
      </c>
      <c r="M12" s="57" t="inlineStr">
        <is>
          <t>14</t>
        </is>
      </c>
      <c r="Q12" s="57" t="inlineStr">
        <is>
          <t>13</t>
        </is>
      </c>
      <c r="U12" s="57" t="inlineStr">
        <is>
          <t>0</t>
        </is>
      </c>
    </row>
    <row r="13">
      <c r="A13" s="58" t="inlineStr">
        <is>
          <t>daily sales, BFCM wk vs 30 days before (SellerBoard actual)</t>
        </is>
      </c>
      <c r="E13" s="58" t="inlineStr">
        <is>
          <t>vs 11.2%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 Softer Than Silk | Luxury 1 Pc Set</t>
        </is>
      </c>
      <c r="E18" s="32" t="inlineStr">
        <is>
          <t>Queen</t>
        </is>
      </c>
      <c r="F18" s="32" t="inlineStr">
        <is>
          <t>Black</t>
        </is>
      </c>
      <c r="G18" s="60" t="n">
        <v>21.95</v>
      </c>
      <c r="H18" s="32" t="inlineStr">
        <is>
          <t>Helium 10 Xray, 2026-10-13</t>
        </is>
      </c>
      <c r="I18" s="61" t="n">
        <v>17.95</v>
      </c>
      <c r="J18" s="62" t="inlineStr">
        <is>
          <t>2026-03-30</t>
        </is>
      </c>
      <c r="K18" s="33" t="n">
        <v>5.24</v>
      </c>
      <c r="L18" s="63" t="n">
        <v>0.2919220055710307</v>
      </c>
      <c r="M18" s="64" t="n">
        <v>80</v>
      </c>
      <c r="N18" s="32" t="inlineStr">
        <is>
          <t>Active</t>
        </is>
      </c>
      <c r="O18" s="32" t="inlineStr">
        <is>
          <t>Yes (12%)</t>
        </is>
      </c>
      <c r="P18" s="65" t="n">
        <v>4.5</v>
      </c>
      <c r="Q18" s="64" t="n">
        <v>1284</v>
      </c>
      <c r="R18" s="64" t="n">
        <v>29175</v>
      </c>
      <c r="S18" s="64" t="n">
        <v>204</v>
      </c>
      <c r="T18" s="32" t="n"/>
    </row>
    <row r="19" ht="62" customHeight="1">
      <c r="A19" s="10">
        <f>_xlfn.IMAGE("https://m.media-amazon.com/images/I/71TuVlzH09L.jpg")</f>
        <v/>
      </c>
      <c r="B19" s="32" t="inlineStr">
        <is>
          <t>B0DBW19GXY</t>
        </is>
      </c>
      <c r="C19" s="32" t="inlineStr">
        <is>
          <t>SATIN-FITTED-QUEEN-GREY</t>
        </is>
      </c>
      <c r="D19" s="32" t="inlineStr">
        <is>
          <t>DECOLURE Satin Fitted Sheet Queen Size | Softer Than Silk | Luxury 1 Pc Set | Gentle on Hair &amp; Skin | Silky, Smooth Satin Weave | 15 In Deep Pocket w Corner Straps | Fitted Sheet Only | Grey</t>
        </is>
      </c>
      <c r="E19" s="32" t="inlineStr">
        <is>
          <t>Queen</t>
        </is>
      </c>
      <c r="F19" s="32" t="inlineStr">
        <is>
          <t>Grey</t>
        </is>
      </c>
      <c r="G19" s="60" t="n">
        <v>21.95</v>
      </c>
      <c r="H19" s="32" t="inlineStr">
        <is>
          <t>Helium 10 Xray, 2026-10-13</t>
        </is>
      </c>
      <c r="I19" s="61" t="n">
        <v>17.95</v>
      </c>
      <c r="J19" s="62" t="inlineStr">
        <is>
          <t>2026-03-30</t>
        </is>
      </c>
      <c r="K19" s="33" t="n">
        <v>3.87</v>
      </c>
      <c r="L19" s="63" t="n">
        <v>0.2155988857938719</v>
      </c>
      <c r="M19" s="64" t="n">
        <v>49</v>
      </c>
      <c r="N19" s="32" t="inlineStr">
        <is>
          <t>Active</t>
        </is>
      </c>
      <c r="O19" s="32" t="n"/>
      <c r="P19" s="65" t="n">
        <v>4.5</v>
      </c>
      <c r="Q19" s="64" t="n">
        <v>1284</v>
      </c>
      <c r="R19" s="64" t="n">
        <v>29175</v>
      </c>
      <c r="S19" s="64" t="n">
        <v>70</v>
      </c>
      <c r="T19" s="32" t="n"/>
    </row>
    <row r="20" ht="62" customHeight="1">
      <c r="A20" s="10">
        <f>_xlfn.IMAGE("https://m.media-amazon.com/images/I/71bgU8vMQnL.jpg")</f>
        <v/>
      </c>
      <c r="B20" s="32" t="inlineStr">
        <is>
          <t>B0DBVZPPJ6</t>
        </is>
      </c>
      <c r="C20" s="32" t="inlineStr">
        <is>
          <t>SATIN-FITTED-QUEEN-PURPLE</t>
        </is>
      </c>
      <c r="D20" s="32" t="inlineStr">
        <is>
          <t>DECOLURE Satin Fitted Sheet Queen Size | Softer Than Silk | Luxury 1 Pc Set</t>
        </is>
      </c>
      <c r="E20" s="32" t="inlineStr">
        <is>
          <t>Queen</t>
        </is>
      </c>
      <c r="F20" s="32" t="inlineStr">
        <is>
          <t>Purple</t>
        </is>
      </c>
      <c r="G20" s="60" t="n">
        <v>21.95</v>
      </c>
      <c r="H20" s="32" t="inlineStr">
        <is>
          <t>Helium 10 Xray, 2026-10-13</t>
        </is>
      </c>
      <c r="I20" s="61" t="n">
        <v>24.95</v>
      </c>
      <c r="J20" s="62" t="inlineStr">
        <is>
          <t>2026-03-30</t>
        </is>
      </c>
      <c r="K20" s="33" t="n">
        <v>10.72</v>
      </c>
      <c r="L20" s="63" t="n">
        <v>0.4296593186372746</v>
      </c>
      <c r="M20" s="64" t="n">
        <v>49</v>
      </c>
      <c r="N20" s="32" t="inlineStr">
        <is>
          <t>Active</t>
        </is>
      </c>
      <c r="O20" s="32" t="inlineStr">
        <is>
          <t>Yes (14%)</t>
        </is>
      </c>
      <c r="P20" s="65" t="n">
        <v>4.5</v>
      </c>
      <c r="Q20" s="64" t="n">
        <v>1284</v>
      </c>
      <c r="R20" s="64" t="n">
        <v>29169</v>
      </c>
      <c r="S20" s="64" t="n">
        <v>78</v>
      </c>
      <c r="T20" s="32" t="n"/>
    </row>
    <row r="21" ht="62" customHeight="1">
      <c r="A21" s="10">
        <f>_xlfn.IMAGE("https://m.media-amazon.com/images/I/71iVJQHaIBL.jpg")</f>
        <v/>
      </c>
      <c r="B21" s="32" t="inlineStr">
        <is>
          <t>B0DBVZ1Z2R</t>
        </is>
      </c>
      <c r="C21" s="32" t="inlineStr">
        <is>
          <t>SATIN-FITTED-KING-WHITE</t>
        </is>
      </c>
      <c r="D21" s="32" t="inlineStr">
        <is>
          <t>DECOLURE Satin Fitted Sheet King Size | Softer Than Silk | Luxury 1 Pc Set</t>
        </is>
      </c>
      <c r="E21" s="32" t="inlineStr">
        <is>
          <t>King</t>
        </is>
      </c>
      <c r="F21" s="32" t="inlineStr">
        <is>
          <t>White</t>
        </is>
      </c>
      <c r="G21" s="60" t="n">
        <v>22.95</v>
      </c>
      <c r="H21" s="32" t="inlineStr">
        <is>
          <t>Helium 10 Xray, 2026-10-13</t>
        </is>
      </c>
      <c r="I21" s="61" t="n">
        <v>19.95</v>
      </c>
      <c r="J21" s="62" t="inlineStr">
        <is>
          <t>2026-03-30</t>
        </is>
      </c>
      <c r="K21" s="33" t="n">
        <v>5.480000000000001</v>
      </c>
      <c r="L21" s="63" t="n">
        <v>0.27468671679198</v>
      </c>
      <c r="M21" s="64" t="n">
        <v>38</v>
      </c>
      <c r="N21" s="32" t="inlineStr">
        <is>
          <t>Active</t>
        </is>
      </c>
      <c r="O21" s="32" t="n"/>
      <c r="P21" s="65" t="n">
        <v>4.5</v>
      </c>
      <c r="Q21" s="64" t="n">
        <v>1284</v>
      </c>
      <c r="R21" s="64" t="n">
        <v>29169</v>
      </c>
      <c r="S21" s="64" t="n">
        <v>35</v>
      </c>
      <c r="T21" s="32" t="n"/>
    </row>
    <row r="22" ht="62" customHeight="1">
      <c r="A22" s="10">
        <f>_xlfn.IMAGE("https://m.media-amazon.com/images/I/81mTp2BYSlL.jpg")</f>
        <v/>
      </c>
      <c r="B22" s="32" t="inlineStr">
        <is>
          <t>B0DBVYJJZ6</t>
        </is>
      </c>
      <c r="C22" s="32" t="inlineStr">
        <is>
          <t>SATIN-FITTED-QUEEN-RED</t>
        </is>
      </c>
      <c r="D22" s="32" t="inlineStr">
        <is>
          <t>DECOLURE Satin Fitted Sheet Queen Size | Softer Than Silk | Luxury 1 Pc Set</t>
        </is>
      </c>
      <c r="E22" s="32" t="inlineStr">
        <is>
          <t>Queen</t>
        </is>
      </c>
      <c r="F22" s="32" t="inlineStr">
        <is>
          <t>Red</t>
        </is>
      </c>
      <c r="G22" s="60" t="n">
        <v>21.95</v>
      </c>
      <c r="H22" s="32" t="inlineStr">
        <is>
          <t>Helium 10 Xray, 2026-10-13</t>
        </is>
      </c>
      <c r="I22" s="61" t="n">
        <v>17.95</v>
      </c>
      <c r="J22" s="62" t="inlineStr">
        <is>
          <t>2026-03-30</t>
        </is>
      </c>
      <c r="K22" s="33" t="n">
        <v>4.990000000000001</v>
      </c>
      <c r="L22" s="63" t="n">
        <v>0.2779944289693594</v>
      </c>
      <c r="M22" s="64" t="n">
        <v>31</v>
      </c>
      <c r="N22" s="32" t="inlineStr">
        <is>
          <t>Active</t>
        </is>
      </c>
      <c r="O22" s="32" t="n"/>
      <c r="P22" s="65" t="n">
        <v>4.5</v>
      </c>
      <c r="Q22" s="64" t="n">
        <v>1284</v>
      </c>
      <c r="R22" s="64" t="n">
        <v>29169</v>
      </c>
      <c r="S22" s="64" t="n">
        <v>35</v>
      </c>
      <c r="T22" s="32" t="n"/>
    </row>
    <row r="23" ht="62" customHeight="1">
      <c r="A23" s="10">
        <f>_xlfn.IMAGE("https://m.media-amazon.com/images/I/81Zp5JX8nUL.jpg")</f>
        <v/>
      </c>
      <c r="B23" s="32" t="inlineStr">
        <is>
          <t>B0DBW151XC</t>
        </is>
      </c>
      <c r="C23" s="32" t="inlineStr">
        <is>
          <t>SATIN-FITTED-QUEEN-DARK-GREEN</t>
        </is>
      </c>
      <c r="D23" s="32" t="inlineStr">
        <is>
          <t>DECOLURE Satin Fitted Sheet Queen Size | Softer Than Silk | Luxury 1 Pc Set</t>
        </is>
      </c>
      <c r="E23" s="32" t="inlineStr">
        <is>
          <t>Queen</t>
        </is>
      </c>
      <c r="F23" s="32" t="inlineStr">
        <is>
          <t>Dark Green</t>
        </is>
      </c>
      <c r="G23" s="60" t="n">
        <v>21.95</v>
      </c>
      <c r="H23" s="32" t="inlineStr">
        <is>
          <t>Helium 10 Xray, 2026-10-13</t>
        </is>
      </c>
      <c r="I23" s="61" t="n">
        <v>17.95</v>
      </c>
      <c r="J23" s="62" t="inlineStr">
        <is>
          <t>2026-03-30</t>
        </is>
      </c>
      <c r="K23" s="33" t="n">
        <v>4.920000000000001</v>
      </c>
      <c r="L23" s="63" t="n">
        <v>0.2740947075208914</v>
      </c>
      <c r="M23" s="64" t="n">
        <v>30</v>
      </c>
      <c r="N23" s="32" t="inlineStr">
        <is>
          <t>Active</t>
        </is>
      </c>
      <c r="O23" s="32" t="n"/>
      <c r="P23" s="65" t="n">
        <v>4.5</v>
      </c>
      <c r="Q23" s="64" t="n">
        <v>1284</v>
      </c>
      <c r="R23" s="64" t="n">
        <v>29169</v>
      </c>
      <c r="S23" s="64" t="n">
        <v>8</v>
      </c>
      <c r="T23" s="32" t="n"/>
    </row>
    <row r="24" ht="62" customHeight="1">
      <c r="A24" s="10">
        <f>_xlfn.IMAGE("https://m.media-amazon.com/images/I/81NguKiiueL.jpg")</f>
        <v/>
      </c>
      <c r="B24" s="32" t="inlineStr">
        <is>
          <t>B0DBW1NX31</t>
        </is>
      </c>
      <c r="C24" s="32" t="inlineStr">
        <is>
          <t>SATIN-FITTED-QUEEN-SAGE-GREEN</t>
        </is>
      </c>
      <c r="D24" s="32" t="inlineStr">
        <is>
          <t>DECOLURE Satin Fitted Sheet Queen Size | Softer Than Silk | Luxury 1 Pc Set</t>
        </is>
      </c>
      <c r="E24" s="32" t="inlineStr">
        <is>
          <t>Queen</t>
        </is>
      </c>
      <c r="F24" s="32" t="inlineStr">
        <is>
          <t>Sage Green</t>
        </is>
      </c>
      <c r="G24" s="60" t="n">
        <v>21.95</v>
      </c>
      <c r="H24" s="32" t="inlineStr">
        <is>
          <t>Helium 10 Xray, 2026-10-13</t>
        </is>
      </c>
      <c r="I24" s="61" t="n">
        <v>17.95</v>
      </c>
      <c r="J24" s="62" t="inlineStr">
        <is>
          <t>2026-03-30</t>
        </is>
      </c>
      <c r="K24" s="33" t="n">
        <v>5.239999999999999</v>
      </c>
      <c r="L24" s="63" t="n">
        <v>0.2919220055710306</v>
      </c>
      <c r="M24" s="64" t="n">
        <v>24</v>
      </c>
      <c r="N24" s="32" t="inlineStr">
        <is>
          <t>Active</t>
        </is>
      </c>
      <c r="O24" s="32" t="n"/>
      <c r="P24" s="65" t="n">
        <v>4.5</v>
      </c>
      <c r="Q24" s="64" t="n">
        <v>1284</v>
      </c>
      <c r="R24" s="64" t="n">
        <v>29175</v>
      </c>
      <c r="S24" s="64" t="n">
        <v>33</v>
      </c>
      <c r="T24" s="32" t="n"/>
    </row>
    <row r="25" ht="62" customHeight="1">
      <c r="A25" s="10">
        <f>_xlfn.IMAGE("https://m.media-amazon.com/images/I/71q7X0GjqSL.jpg")</f>
        <v/>
      </c>
      <c r="B25" s="32" t="inlineStr">
        <is>
          <t>B0DBVZYXY9</t>
        </is>
      </c>
      <c r="C25" s="32" t="inlineStr">
        <is>
          <t>SATIN-FITTED-QUEEN-NAVY-BLUE</t>
        </is>
      </c>
      <c r="D25" s="32" t="inlineStr">
        <is>
          <t>DECOLURE Satin Fitted Sheet Queen Size | Softer Than Silk | Luxury 1 Pc Set</t>
        </is>
      </c>
      <c r="E25" s="32" t="inlineStr">
        <is>
          <t>Queen</t>
        </is>
      </c>
      <c r="F25" s="32" t="inlineStr">
        <is>
          <t>Navy Blue</t>
        </is>
      </c>
      <c r="G25" s="60" t="n">
        <v>21.95</v>
      </c>
      <c r="H25" s="32" t="inlineStr">
        <is>
          <t>Helium 10 Xray, 2026-10-13</t>
        </is>
      </c>
      <c r="I25" s="61" t="n">
        <v>17.95</v>
      </c>
      <c r="J25" s="62" t="inlineStr">
        <is>
          <t>2026-03-30</t>
        </is>
      </c>
      <c r="K25" s="33" t="n">
        <v>4.859999999999999</v>
      </c>
      <c r="L25" s="63" t="n">
        <v>0.2707520891364902</v>
      </c>
      <c r="M25" s="64" t="n">
        <v>20</v>
      </c>
      <c r="N25" s="32" t="inlineStr">
        <is>
          <t>Active</t>
        </is>
      </c>
      <c r="O25" s="32" t="n"/>
      <c r="P25" s="65" t="n">
        <v>4.5</v>
      </c>
      <c r="Q25" s="64" t="n">
        <v>1284</v>
      </c>
      <c r="R25" s="64" t="n">
        <v>29175</v>
      </c>
      <c r="S25" s="64" t="n">
        <v>30</v>
      </c>
      <c r="T25" s="32" t="n"/>
    </row>
    <row r="26" ht="62" customHeight="1">
      <c r="A26" s="10">
        <f>_xlfn.IMAGE("https://m.media-amazon.com/images/I/71bgU8vMQnL.jpg")</f>
        <v/>
      </c>
      <c r="B26" s="32" t="inlineStr">
        <is>
          <t>B0DBVZJTGS</t>
        </is>
      </c>
      <c r="C26" s="32" t="inlineStr">
        <is>
          <t>SATIN-FITTED-KING-PURPLE</t>
        </is>
      </c>
      <c r="D26" s="32" t="inlineStr">
        <is>
          <t>DECOLURE Satin Fitted Sheet King Size | Softer Than Silk | Luxury 1 Pc Set</t>
        </is>
      </c>
      <c r="E26" s="32" t="inlineStr">
        <is>
          <t>King</t>
        </is>
      </c>
      <c r="F26" s="32" t="inlineStr">
        <is>
          <t>Purple</t>
        </is>
      </c>
      <c r="G26" s="60" t="n">
        <v>22.95</v>
      </c>
      <c r="H26" s="32" t="inlineStr">
        <is>
          <t>Helium 10 Xray, 2026-10-13</t>
        </is>
      </c>
      <c r="I26" s="61" t="n">
        <v>19.95</v>
      </c>
      <c r="J26" s="62" t="inlineStr">
        <is>
          <t>2026-03-30</t>
        </is>
      </c>
      <c r="K26" s="33" t="n">
        <v>5.8</v>
      </c>
      <c r="L26" s="63" t="n">
        <v>0.2907268170426065</v>
      </c>
      <c r="M26" s="64" t="n">
        <v>18</v>
      </c>
      <c r="N26" s="32" t="inlineStr">
        <is>
          <t>Active</t>
        </is>
      </c>
      <c r="O26" s="32" t="n"/>
      <c r="P26" s="65" t="n">
        <v>4.5</v>
      </c>
      <c r="Q26" s="64" t="n">
        <v>1284</v>
      </c>
      <c r="R26" s="64" t="n">
        <v>29175</v>
      </c>
      <c r="S26" s="64" t="n">
        <v>4</v>
      </c>
      <c r="T26" s="32" t="n"/>
    </row>
    <row r="27" ht="62" customHeight="1">
      <c r="A27" s="10">
        <f>_xlfn.IMAGE("https://m.media-amazon.com/images/I/714ktb3sY+L.jpg")</f>
        <v/>
      </c>
      <c r="B27" s="32" t="inlineStr">
        <is>
          <t>B0DBW2G5JS</t>
        </is>
      </c>
      <c r="C27" s="32" t="inlineStr">
        <is>
          <t>SATIN-FITTED-KING-IVORY</t>
        </is>
      </c>
      <c r="D27" s="32" t="inlineStr">
        <is>
          <t>DECOLURE Satin Fitted Sheet King Size | Softer Than Silk | Luxury 1 Pc Set</t>
        </is>
      </c>
      <c r="E27" s="32" t="inlineStr">
        <is>
          <t>King</t>
        </is>
      </c>
      <c r="F27" s="32" t="inlineStr">
        <is>
          <t>Ivory</t>
        </is>
      </c>
      <c r="G27" s="60" t="n">
        <v>22.95</v>
      </c>
      <c r="H27" s="32" t="inlineStr">
        <is>
          <t>Helium 10 Xray, 2026-10-13</t>
        </is>
      </c>
      <c r="I27" s="61" t="n">
        <v>19.95</v>
      </c>
      <c r="J27" s="62" t="inlineStr">
        <is>
          <t>2026-03-30</t>
        </is>
      </c>
      <c r="K27" s="33" t="n">
        <v>5.190000000000001</v>
      </c>
      <c r="L27" s="63" t="n">
        <v>0.2601503759398497</v>
      </c>
      <c r="M27" s="64" t="n">
        <v>17</v>
      </c>
      <c r="N27" s="32" t="inlineStr">
        <is>
          <t>Active</t>
        </is>
      </c>
      <c r="O27" s="32" t="n"/>
      <c r="P27" s="65" t="n">
        <v>4.5</v>
      </c>
      <c r="Q27" s="64" t="n">
        <v>1284</v>
      </c>
      <c r="R27" s="64" t="n">
        <v>29175</v>
      </c>
      <c r="S27" s="64" t="n">
        <v>3</v>
      </c>
      <c r="T27" s="32" t="n"/>
    </row>
    <row r="28" ht="62" customHeight="1">
      <c r="A28" s="10">
        <f>_xlfn.IMAGE("https://m.media-amazon.com/images/I/71q7X0GjqSL.jpg")</f>
        <v/>
      </c>
      <c r="B28" s="32" t="inlineStr">
        <is>
          <t>B0DBW336HD</t>
        </is>
      </c>
      <c r="C28" s="32" t="inlineStr">
        <is>
          <t>SATIN-FITTED-KING-NAVY-BLUE</t>
        </is>
      </c>
      <c r="D28" s="32" t="inlineStr">
        <is>
          <t>DECOLURE Satin Fitted Sheet King Size | Softer Than Silk | Luxury 1 Pc Set</t>
        </is>
      </c>
      <c r="E28" s="32" t="inlineStr">
        <is>
          <t>King</t>
        </is>
      </c>
      <c r="F28" s="32" t="inlineStr">
        <is>
          <t>Navy Blue</t>
        </is>
      </c>
      <c r="G28" s="60" t="n">
        <v>22.95</v>
      </c>
      <c r="H28" s="32" t="inlineStr">
        <is>
          <t>Helium 10 Xray, 2026-10-13</t>
        </is>
      </c>
      <c r="I28" s="61" t="n">
        <v>19.95</v>
      </c>
      <c r="J28" s="62" t="inlineStr">
        <is>
          <t>2026-03-30</t>
        </is>
      </c>
      <c r="K28" s="33" t="n">
        <v>5.45</v>
      </c>
      <c r="L28" s="63" t="n">
        <v>0.2731829573934837</v>
      </c>
      <c r="M28" s="64" t="n">
        <v>17</v>
      </c>
      <c r="N28" s="32" t="inlineStr">
        <is>
          <t>Active</t>
        </is>
      </c>
      <c r="O28" s="32" t="n"/>
      <c r="P28" s="65" t="n">
        <v>4.5</v>
      </c>
      <c r="Q28" s="64" t="n">
        <v>1284</v>
      </c>
      <c r="R28" s="64" t="n">
        <v>29169</v>
      </c>
      <c r="S28" s="64" t="n">
        <v>4</v>
      </c>
      <c r="T28" s="32" t="n"/>
    </row>
    <row r="29" ht="62" customHeight="1">
      <c r="A29" s="10">
        <f>_xlfn.IMAGE("https://m.media-amazon.com/images/I/81mTp2BYSlL.jpg")</f>
        <v/>
      </c>
      <c r="B29" s="32" t="inlineStr">
        <is>
          <t>B0DBW1M6RN</t>
        </is>
      </c>
      <c r="C29" s="32" t="inlineStr">
        <is>
          <t>SATIN-FITTED-KING-RED</t>
        </is>
      </c>
      <c r="D29" s="32" t="inlineStr">
        <is>
          <t>DECOLURE Satin Fitted Sheet King Size | Softer Than Silk | Luxury 1 Pc Set</t>
        </is>
      </c>
      <c r="E29" s="32" t="inlineStr">
        <is>
          <t>King</t>
        </is>
      </c>
      <c r="F29" s="32" t="inlineStr">
        <is>
          <t>Red</t>
        </is>
      </c>
      <c r="G29" s="60" t="n">
        <v>22.95</v>
      </c>
      <c r="H29" s="32" t="inlineStr">
        <is>
          <t>Helium 10 Xray, 2026-10-13</t>
        </is>
      </c>
      <c r="I29" s="61" t="n">
        <v>19.95</v>
      </c>
      <c r="J29" s="62" t="inlineStr">
        <is>
          <t>2026-03-30</t>
        </is>
      </c>
      <c r="K29" s="33" t="n">
        <v>5.730000000000001</v>
      </c>
      <c r="L29" s="63" t="n">
        <v>0.287218045112782</v>
      </c>
      <c r="M29" s="64" t="n">
        <v>17</v>
      </c>
      <c r="N29" s="32" t="inlineStr">
        <is>
          <t>Active</t>
        </is>
      </c>
      <c r="O29" s="32" t="inlineStr">
        <is>
          <t>Yes (13%)</t>
        </is>
      </c>
      <c r="P29" s="65" t="n">
        <v>4.5</v>
      </c>
      <c r="Q29" s="64" t="n">
        <v>1284</v>
      </c>
      <c r="R29" s="64" t="n">
        <v>29169</v>
      </c>
      <c r="S29" s="64" t="n">
        <v>3</v>
      </c>
      <c r="T29" s="32" t="n"/>
    </row>
    <row r="30" ht="62" customHeight="1">
      <c r="A30" s="10">
        <f>_xlfn.IMAGE("https://m.media-amazon.com/images/I/81hiVG9bW0L.jpg")</f>
        <v/>
      </c>
      <c r="B30" s="32" t="inlineStr">
        <is>
          <t>B0DBW47GVG</t>
        </is>
      </c>
      <c r="C30" s="32" t="inlineStr">
        <is>
          <t>SATIN-FITTED-QUEEN-PINK</t>
        </is>
      </c>
      <c r="D30" s="32" t="inlineStr">
        <is>
          <t>DECOLURE Satin Fitted Sheet Queen Size | Softer Than Silk | Luxury 1 Pc Set</t>
        </is>
      </c>
      <c r="E30" s="32" t="inlineStr">
        <is>
          <t>Queen</t>
        </is>
      </c>
      <c r="F30" s="32" t="inlineStr">
        <is>
          <t>Pink</t>
        </is>
      </c>
      <c r="G30" s="60" t="n">
        <v>21.95</v>
      </c>
      <c r="H30" s="32" t="inlineStr">
        <is>
          <t>Helium 10 Xray, 2026-10-13</t>
        </is>
      </c>
      <c r="I30" s="61" t="n">
        <v>24.95</v>
      </c>
      <c r="J30" s="62" t="inlineStr">
        <is>
          <t>2026-03-30</t>
        </is>
      </c>
      <c r="K30" s="33" t="n">
        <v>10.62</v>
      </c>
      <c r="L30" s="63" t="n">
        <v>0.4256513026052104</v>
      </c>
      <c r="M30" s="64" t="n">
        <v>16</v>
      </c>
      <c r="N30" s="32" t="inlineStr">
        <is>
          <t>Active</t>
        </is>
      </c>
      <c r="O30" s="32" t="n"/>
      <c r="P30" s="65" t="n">
        <v>4.5</v>
      </c>
      <c r="Q30" s="64" t="n">
        <v>1284</v>
      </c>
      <c r="R30" s="64" t="n">
        <v>29175</v>
      </c>
      <c r="S30" s="64" t="n">
        <v>30</v>
      </c>
      <c r="T30" s="32" t="n"/>
    </row>
    <row r="31" ht="62" customHeight="1">
      <c r="A31" s="10">
        <f>_xlfn.IMAGE("https://m.media-amazon.com/images/I/81URVcoc9pL.jpg")</f>
        <v/>
      </c>
      <c r="B31" s="32" t="inlineStr">
        <is>
          <t>B0DBVZBLDK</t>
        </is>
      </c>
      <c r="C31" s="32" t="inlineStr">
        <is>
          <t>SATIN-FITTED-QUEEN-BLUSH-PINK</t>
        </is>
      </c>
      <c r="D31" s="32" t="inlineStr">
        <is>
          <t>DECOLURE Satin Fitted Sheet Queen Size | Softer Than Silk | Luxury 1 Pc Set</t>
        </is>
      </c>
      <c r="E31" s="32" t="inlineStr">
        <is>
          <t>Queen</t>
        </is>
      </c>
      <c r="F31" s="32" t="inlineStr">
        <is>
          <t>Blush Pink</t>
        </is>
      </c>
      <c r="G31" s="60" t="n">
        <v>21.95</v>
      </c>
      <c r="H31" s="32" t="inlineStr">
        <is>
          <t>Helium 10 Xray, 2026-10-13</t>
        </is>
      </c>
      <c r="I31" s="61" t="n">
        <v>17.95</v>
      </c>
      <c r="J31" s="62" t="inlineStr">
        <is>
          <t>2026-03-30</t>
        </is>
      </c>
      <c r="K31" s="33" t="n">
        <v>5.109999999999999</v>
      </c>
      <c r="L31" s="63" t="n">
        <v>0.2846796657381616</v>
      </c>
      <c r="M31" s="64" t="n">
        <v>15</v>
      </c>
      <c r="N31" s="32" t="inlineStr">
        <is>
          <t>Active</t>
        </is>
      </c>
      <c r="O31" s="32" t="n"/>
      <c r="P31" s="65" t="n">
        <v>4.5</v>
      </c>
      <c r="Q31" s="64" t="n">
        <v>1284</v>
      </c>
      <c r="R31" s="64" t="n">
        <v>29169</v>
      </c>
      <c r="S31" s="64" t="n">
        <v>24</v>
      </c>
      <c r="T31" s="32" t="n"/>
    </row>
    <row r="32" ht="62" customHeight="1">
      <c r="A32" s="10">
        <f>_xlfn.IMAGE("https://m.media-amazon.com/images/I/818qIvZ2yIL.jpg")</f>
        <v/>
      </c>
      <c r="B32" s="32" t="inlineStr">
        <is>
          <t>B0DBVZZH8S</t>
        </is>
      </c>
      <c r="C32" s="32" t="inlineStr">
        <is>
          <t>SATIN-FITTED-QUEEN-GOLD</t>
        </is>
      </c>
      <c r="D32" s="32" t="inlineStr">
        <is>
          <t>DECOLURE Satin Fitted Sheet Queen Size | Softer Than Silk | Luxury 1 Pc Set</t>
        </is>
      </c>
      <c r="E32" s="32" t="inlineStr">
        <is>
          <t>Queen</t>
        </is>
      </c>
      <c r="F32" s="32" t="inlineStr">
        <is>
          <t>Gold</t>
        </is>
      </c>
      <c r="G32" s="60" t="n">
        <v>21.95</v>
      </c>
      <c r="H32" s="32" t="inlineStr">
        <is>
          <t>Helium 10 Xray, 2026-10-13</t>
        </is>
      </c>
      <c r="I32" s="61" t="n">
        <v>17.95</v>
      </c>
      <c r="J32" s="62" t="inlineStr">
        <is>
          <t>2026-03-30</t>
        </is>
      </c>
      <c r="K32" s="33" t="n">
        <v>4.61</v>
      </c>
      <c r="L32" s="63" t="n">
        <v>0.256824512534819</v>
      </c>
      <c r="M32" s="64" t="n">
        <v>15</v>
      </c>
      <c r="N32" s="32" t="inlineStr">
        <is>
          <t>Active</t>
        </is>
      </c>
      <c r="O32" s="32" t="n"/>
      <c r="P32" s="65" t="n">
        <v>4.5</v>
      </c>
      <c r="Q32" s="64" t="n">
        <v>1284</v>
      </c>
      <c r="R32" s="64" t="n">
        <v>29169</v>
      </c>
      <c r="S32" s="64" t="n">
        <v>5</v>
      </c>
      <c r="T32" s="32" t="n"/>
    </row>
    <row r="33" ht="62" customHeight="1">
      <c r="A33" s="10">
        <f>_xlfn.IMAGE("https://m.media-amazon.com/images/I/81r1IG1mOIL.jpg")</f>
        <v/>
      </c>
      <c r="B33" s="32" t="inlineStr">
        <is>
          <t>B0DBW47GVH</t>
        </is>
      </c>
      <c r="C33" s="32" t="inlineStr">
        <is>
          <t>SATIN-FITTED-QUEEN-LAVENDER</t>
        </is>
      </c>
      <c r="D33" s="32" t="inlineStr">
        <is>
          <t>DECOLURE Satin Fitted Sheet Queen Size | Softer Than Silk | Luxury 1 Pc Set</t>
        </is>
      </c>
      <c r="E33" s="32" t="inlineStr">
        <is>
          <t>Queen</t>
        </is>
      </c>
      <c r="F33" s="32" t="inlineStr">
        <is>
          <t>Lavender</t>
        </is>
      </c>
      <c r="G33" s="60" t="n">
        <v>21.95</v>
      </c>
      <c r="H33" s="32" t="inlineStr">
        <is>
          <t>Helium 10 Xray, 2026-10-13</t>
        </is>
      </c>
      <c r="I33" s="61" t="n">
        <v>17.95</v>
      </c>
      <c r="J33" s="62" t="inlineStr">
        <is>
          <t>2026-03-30</t>
        </is>
      </c>
      <c r="K33" s="33" t="n">
        <v>4.910000000000001</v>
      </c>
      <c r="L33" s="63" t="n">
        <v>0.2735376044568246</v>
      </c>
      <c r="M33" s="64" t="n">
        <v>15</v>
      </c>
      <c r="N33" s="32" t="inlineStr">
        <is>
          <t>Active</t>
        </is>
      </c>
      <c r="O33" s="32" t="n"/>
      <c r="P33" s="65" t="n">
        <v>4.5</v>
      </c>
      <c r="Q33" s="64" t="n">
        <v>1284</v>
      </c>
      <c r="R33" s="64" t="n">
        <v>29175</v>
      </c>
      <c r="S33" s="64" t="n">
        <v>8</v>
      </c>
      <c r="T33" s="32" t="n"/>
    </row>
    <row r="34" ht="62" customHeight="1">
      <c r="A34" s="10">
        <f>_xlfn.IMAGE("https://m.media-amazon.com/images/I/81NguKiiueL.jpg")</f>
        <v/>
      </c>
      <c r="B34" s="32" t="inlineStr">
        <is>
          <t>B0DBW2LXQY</t>
        </is>
      </c>
      <c r="C34" s="32" t="inlineStr">
        <is>
          <t>SATIN-FITTED-FULL-SAGE-GREEN</t>
        </is>
      </c>
      <c r="D34" s="32" t="inlineStr">
        <is>
          <t>DECOLURE Satin Fitted Sheet Full Size | Softer Than Silk | Luxury 1 Pc Set</t>
        </is>
      </c>
      <c r="E34" s="32" t="inlineStr">
        <is>
          <t>Full</t>
        </is>
      </c>
      <c r="F34" s="32" t="inlineStr">
        <is>
          <t>Sage Green</t>
        </is>
      </c>
      <c r="G34" s="60" t="n">
        <v>20.95</v>
      </c>
      <c r="H34" s="32" t="inlineStr">
        <is>
          <t>Helium 10 Xray, 2026-10-13</t>
        </is>
      </c>
      <c r="I34" s="61" t="n">
        <v>17.95</v>
      </c>
      <c r="J34" s="62" t="inlineStr">
        <is>
          <t>2026-03-30</t>
        </is>
      </c>
      <c r="K34" s="33" t="n">
        <v>5.44</v>
      </c>
      <c r="L34" s="63" t="n">
        <v>0.3030640668523677</v>
      </c>
      <c r="M34" s="64" t="n">
        <v>14</v>
      </c>
      <c r="N34" s="32" t="inlineStr">
        <is>
          <t>Active</t>
        </is>
      </c>
      <c r="O34" s="32" t="n"/>
      <c r="P34" s="65" t="n">
        <v>4.5</v>
      </c>
      <c r="Q34" s="64" t="n">
        <v>1284</v>
      </c>
      <c r="R34" s="64" t="n">
        <v>29169</v>
      </c>
      <c r="S34" s="64" t="n">
        <v>11</v>
      </c>
      <c r="T34" s="32" t="n"/>
    </row>
    <row r="35" ht="62" customHeight="1">
      <c r="A35" s="10">
        <f>_xlfn.IMAGE("https://m.media-amazon.com/images/I/81RiAVYjy-L.jpg")</f>
        <v/>
      </c>
      <c r="B35" s="32" t="inlineStr">
        <is>
          <t>B0DBVYF4DM</t>
        </is>
      </c>
      <c r="C35" s="32" t="inlineStr">
        <is>
          <t>SATIN-FITTED-KING-STONE-GREY</t>
        </is>
      </c>
      <c r="D35" s="32" t="inlineStr">
        <is>
          <t>DECOLURE Satin Fitted Sheet King Size | Softer Than Silk | Luxury 1 Pc Set</t>
        </is>
      </c>
      <c r="E35" s="32" t="inlineStr">
        <is>
          <t>King</t>
        </is>
      </c>
      <c r="F35" s="32" t="inlineStr">
        <is>
          <t>Stone Grey</t>
        </is>
      </c>
      <c r="G35" s="60" t="n">
        <v>22.95</v>
      </c>
      <c r="H35" s="32" t="inlineStr">
        <is>
          <t>SellerBoard listing price, 2026-10-14</t>
        </is>
      </c>
      <c r="I35" s="61" t="n">
        <v>19.95</v>
      </c>
      <c r="J35" s="62" t="inlineStr">
        <is>
          <t>2026-03-30</t>
        </is>
      </c>
      <c r="K35" s="33" t="n">
        <v>5.610000000000002</v>
      </c>
      <c r="L35" s="63" t="n">
        <v>0.2812030075187971</v>
      </c>
      <c r="M35" s="64" t="n">
        <v>14</v>
      </c>
      <c r="N35" s="32" t="inlineStr">
        <is>
          <t>Inactive</t>
        </is>
      </c>
      <c r="O35" s="32" t="n"/>
      <c r="P35" s="65" t="n"/>
      <c r="Q35" s="64" t="n"/>
      <c r="R35" s="64" t="n"/>
      <c r="S35" s="64" t="n"/>
      <c r="T35" s="32" t="n"/>
    </row>
    <row r="36" ht="62" customHeight="1">
      <c r="A36" s="10">
        <f>_xlfn.IMAGE("https://m.media-amazon.com/images/I/812QjIl2c0L.jpg")</f>
        <v/>
      </c>
      <c r="B36" s="32" t="inlineStr">
        <is>
          <t>B0DBVZV66D</t>
        </is>
      </c>
      <c r="C36" s="32" t="inlineStr">
        <is>
          <t>SATIN-FITTED-FULL-BABY-BLUE</t>
        </is>
      </c>
      <c r="D36" s="32" t="inlineStr">
        <is>
          <t>DECOLURE Satin Fitted Sheet Full Size | Softer Than Silk | Luxury 1 Pc Set</t>
        </is>
      </c>
      <c r="E36" s="32" t="inlineStr">
        <is>
          <t>Full</t>
        </is>
      </c>
      <c r="F36" s="32" t="inlineStr">
        <is>
          <t>Baby Blue</t>
        </is>
      </c>
      <c r="G36" s="60" t="n">
        <v>20.95</v>
      </c>
      <c r="H36" s="32" t="inlineStr">
        <is>
          <t>Helium 10 Xray, 2026-10-13</t>
        </is>
      </c>
      <c r="I36" s="61" t="n">
        <v>17.95</v>
      </c>
      <c r="J36" s="62" t="inlineStr">
        <is>
          <t>2026-03-30</t>
        </is>
      </c>
      <c r="K36" s="33" t="n">
        <v>5.220000000000001</v>
      </c>
      <c r="L36" s="63" t="n">
        <v>0.290807799442897</v>
      </c>
      <c r="M36" s="64" t="n">
        <v>13</v>
      </c>
      <c r="N36" s="32" t="inlineStr">
        <is>
          <t>Active</t>
        </is>
      </c>
      <c r="O36" s="32" t="n"/>
      <c r="P36" s="65" t="n">
        <v>4.5</v>
      </c>
      <c r="Q36" s="64" t="n">
        <v>1284</v>
      </c>
      <c r="R36" s="64" t="n">
        <v>29169</v>
      </c>
      <c r="S36" s="64" t="n">
        <v>8</v>
      </c>
      <c r="T36" s="32" t="n"/>
    </row>
    <row r="37" ht="62" customHeight="1">
      <c r="A37" s="10">
        <f>_xlfn.IMAGE("https://m.media-amazon.com/images/I/81RiAVYjy-L.jpg")</f>
        <v/>
      </c>
      <c r="B37" s="32" t="inlineStr">
        <is>
          <t>B0DBVZZZ7B</t>
        </is>
      </c>
      <c r="C37" s="32" t="inlineStr">
        <is>
          <t>SATIN-FITTED-FULL-STONE-GREY</t>
        </is>
      </c>
      <c r="D37" s="32" t="inlineStr">
        <is>
          <t>DECOLURE Satin Fitted Sheet Full Size | Softer Than Silk | Luxury 1 Pc Set</t>
        </is>
      </c>
      <c r="E37" s="32" t="inlineStr">
        <is>
          <t>Full</t>
        </is>
      </c>
      <c r="F37" s="32" t="inlineStr">
        <is>
          <t>Stone Grey</t>
        </is>
      </c>
      <c r="G37" s="60" t="n">
        <v>20.95</v>
      </c>
      <c r="H37" s="32" t="inlineStr">
        <is>
          <t>Helium 10 Xray, 2026-10-13</t>
        </is>
      </c>
      <c r="I37" s="61" t="n">
        <v>17.95</v>
      </c>
      <c r="J37" s="62" t="inlineStr">
        <is>
          <t>2026-03-30</t>
        </is>
      </c>
      <c r="K37" s="33" t="n">
        <v>5.259999999999999</v>
      </c>
      <c r="L37" s="63" t="n">
        <v>0.2930362116991643</v>
      </c>
      <c r="M37" s="64" t="n">
        <v>12</v>
      </c>
      <c r="N37" s="32" t="inlineStr">
        <is>
          <t>Active</t>
        </is>
      </c>
      <c r="O37" s="32" t="n"/>
      <c r="P37" s="65" t="n">
        <v>4.5</v>
      </c>
      <c r="Q37" s="64" t="n">
        <v>1284</v>
      </c>
      <c r="R37" s="64" t="n">
        <v>29175</v>
      </c>
      <c r="S37" s="64" t="n">
        <v>8</v>
      </c>
      <c r="T37" s="32" t="n"/>
    </row>
    <row r="38" ht="62" customHeight="1">
      <c r="A38" s="10">
        <f>_xlfn.IMAGE("https://m.media-amazon.com/images/I/81r1IG1mOIL.jpg")</f>
        <v/>
      </c>
      <c r="B38" s="32" t="inlineStr">
        <is>
          <t>B0DBW1NXMH</t>
        </is>
      </c>
      <c r="C38" s="32" t="inlineStr">
        <is>
          <t>SATIN-FITTED-FULL-LAVENDER</t>
        </is>
      </c>
      <c r="D38" s="32" t="inlineStr">
        <is>
          <t>DECOLURE Satin Fitted Sheet Full Size | Softer Than Silk | Luxury 1 Pc Set</t>
        </is>
      </c>
      <c r="E38" s="32" t="inlineStr">
        <is>
          <t>Full</t>
        </is>
      </c>
      <c r="F38" s="32" t="inlineStr">
        <is>
          <t>Lavender</t>
        </is>
      </c>
      <c r="G38" s="60" t="n">
        <v>20.95</v>
      </c>
      <c r="H38" s="32" t="inlineStr">
        <is>
          <t>Helium 10 Xray, 2026-10-13</t>
        </is>
      </c>
      <c r="I38" s="61" t="n">
        <v>17.95</v>
      </c>
      <c r="J38" s="62" t="inlineStr">
        <is>
          <t>2026-03-30</t>
        </is>
      </c>
      <c r="K38" s="33" t="n">
        <v>5.529999999999999</v>
      </c>
      <c r="L38" s="63" t="n">
        <v>0.3080779944289693</v>
      </c>
      <c r="M38" s="64" t="n">
        <v>11</v>
      </c>
      <c r="N38" s="32" t="inlineStr">
        <is>
          <t>Active</t>
        </is>
      </c>
      <c r="O38" s="32" t="inlineStr">
        <is>
          <t>Yes (11%)</t>
        </is>
      </c>
      <c r="P38" s="65" t="n">
        <v>4.5</v>
      </c>
      <c r="Q38" s="64" t="n">
        <v>1284</v>
      </c>
      <c r="R38" s="64" t="n">
        <v>29169</v>
      </c>
      <c r="S38" s="64" t="n">
        <v>8</v>
      </c>
      <c r="T38" s="32" t="n"/>
    </row>
    <row r="39" ht="62" customHeight="1">
      <c r="A39" s="10">
        <f>_xlfn.IMAGE("https://m.media-amazon.com/images/I/71bgU8vMQnL.jpg")</f>
        <v/>
      </c>
      <c r="B39" s="32" t="inlineStr">
        <is>
          <t>B0DBVZGV7Y</t>
        </is>
      </c>
      <c r="C39" s="32" t="inlineStr">
        <is>
          <t>SATIN-FITTED-FULL-PURPLE</t>
        </is>
      </c>
      <c r="D39" s="32" t="inlineStr">
        <is>
          <t>DECOLURE Satin Fitted Sheet Full Size | Softer Than Silk | Luxury 1 Pc Set</t>
        </is>
      </c>
      <c r="E39" s="32" t="inlineStr">
        <is>
          <t>Full</t>
        </is>
      </c>
      <c r="F39" s="32" t="inlineStr">
        <is>
          <t>Purple</t>
        </is>
      </c>
      <c r="G39" s="60" t="n">
        <v>20.95</v>
      </c>
      <c r="H39" s="32" t="inlineStr">
        <is>
          <t>Helium 10 Xray, 2026-10-13</t>
        </is>
      </c>
      <c r="I39" s="61" t="n">
        <v>17.95</v>
      </c>
      <c r="J39" s="62" t="inlineStr">
        <is>
          <t>2026-03-30</t>
        </is>
      </c>
      <c r="K39" s="33" t="n">
        <v>5.609999999999999</v>
      </c>
      <c r="L39" s="63" t="n">
        <v>0.3125348189415041</v>
      </c>
      <c r="M39" s="64" t="n">
        <v>11</v>
      </c>
      <c r="N39" s="32" t="inlineStr">
        <is>
          <t>Active</t>
        </is>
      </c>
      <c r="O39" s="32" t="n"/>
      <c r="P39" s="65" t="n">
        <v>4.5</v>
      </c>
      <c r="Q39" s="64" t="n">
        <v>1284</v>
      </c>
      <c r="R39" s="64" t="n">
        <v>29175</v>
      </c>
      <c r="S39" s="64" t="n">
        <v>8</v>
      </c>
      <c r="T39" s="32" t="n"/>
    </row>
    <row r="40" ht="62" customHeight="1">
      <c r="A40" s="10">
        <f>_xlfn.IMAGE("https://m.media-amazon.com/images/I/81Zp5JX8nUL.jpg")</f>
        <v/>
      </c>
      <c r="B40" s="32" t="inlineStr">
        <is>
          <t>B0DBVYYWX3</t>
        </is>
      </c>
      <c r="C40" s="32" t="inlineStr">
        <is>
          <t>SATIN-FITTED-KING-DARK-GREEN</t>
        </is>
      </c>
      <c r="D40" s="32" t="inlineStr">
        <is>
          <t>DECOLURE Satin Fitted Sheet King Size | Softer Than Silk | Luxury 1 Pc Set</t>
        </is>
      </c>
      <c r="E40" s="32" t="inlineStr">
        <is>
          <t>King</t>
        </is>
      </c>
      <c r="F40" s="32" t="inlineStr">
        <is>
          <t>Dark Green</t>
        </is>
      </c>
      <c r="G40" s="60" t="n">
        <v>22.95</v>
      </c>
      <c r="H40" s="32" t="inlineStr">
        <is>
          <t>Helium 10 Xray, 2026-10-13</t>
        </is>
      </c>
      <c r="I40" s="61" t="n">
        <v>19.95</v>
      </c>
      <c r="J40" s="62" t="inlineStr">
        <is>
          <t>2026-03-30</t>
        </is>
      </c>
      <c r="K40" s="33" t="n">
        <v>5.590000000000002</v>
      </c>
      <c r="L40" s="63" t="n">
        <v>0.2802005012531329</v>
      </c>
      <c r="M40" s="64" t="n">
        <v>11</v>
      </c>
      <c r="N40" s="32" t="inlineStr">
        <is>
          <t>Active</t>
        </is>
      </c>
      <c r="O40" s="32" t="n"/>
      <c r="P40" s="65" t="n">
        <v>4.5</v>
      </c>
      <c r="Q40" s="64" t="n">
        <v>1284</v>
      </c>
      <c r="R40" s="64" t="n">
        <v>29169</v>
      </c>
      <c r="S40" s="64" t="n">
        <v>5</v>
      </c>
      <c r="T40" s="32" t="n"/>
    </row>
    <row r="41" ht="62" customHeight="1">
      <c r="A41" s="39" t="inlineStr">
        <is>
          <t>IMAGE MISSING</t>
        </is>
      </c>
      <c r="B41" s="32" t="inlineStr">
        <is>
          <t>B0DBVY6P25</t>
        </is>
      </c>
      <c r="C41" s="32" t="inlineStr">
        <is>
          <t>SATIN-FITTED-KING-GREY</t>
        </is>
      </c>
      <c r="D41" s="32" t="n"/>
      <c r="E41" s="32" t="inlineStr">
        <is>
          <t>King</t>
        </is>
      </c>
      <c r="F41" s="32" t="inlineStr">
        <is>
          <t>Grey</t>
        </is>
      </c>
      <c r="G41" s="60" t="n">
        <v>22.95</v>
      </c>
      <c r="H41" s="32" t="inlineStr">
        <is>
          <t>SellerBoard listing price, 2026-10-14</t>
        </is>
      </c>
      <c r="I41" s="61" t="n">
        <v>18.95</v>
      </c>
      <c r="J41" s="62" t="inlineStr">
        <is>
          <t>2026-03-30</t>
        </is>
      </c>
      <c r="K41" s="33" t="n">
        <v>4.699999999999999</v>
      </c>
      <c r="L41" s="63" t="n">
        <v>0.2480211081794195</v>
      </c>
      <c r="M41" s="64" t="n">
        <v>11</v>
      </c>
      <c r="N41" s="32" t="n"/>
      <c r="O41" s="32" t="n"/>
      <c r="P41" s="65" t="n"/>
      <c r="Q41" s="64" t="n"/>
      <c r="R41" s="64" t="n"/>
      <c r="S41" s="64" t="n"/>
      <c r="T41" s="32" t="n"/>
    </row>
    <row r="42" ht="62" customHeight="1">
      <c r="A42" s="10">
        <f>_xlfn.IMAGE("https://m.media-amazon.com/images/I/81r1IG1mOIL.jpg")</f>
        <v/>
      </c>
      <c r="B42" s="32" t="inlineStr">
        <is>
          <t>B0DBW1FPBT</t>
        </is>
      </c>
      <c r="C42" s="32" t="inlineStr">
        <is>
          <t>SATIN-FITTED-KING-LAVENDER</t>
        </is>
      </c>
      <c r="D42" s="32" t="inlineStr">
        <is>
          <t>DECOLURE Satin Fitted Sheet King Size | Softer Than Silk | Luxury 1 Pc Set</t>
        </is>
      </c>
      <c r="E42" s="32" t="inlineStr">
        <is>
          <t>King</t>
        </is>
      </c>
      <c r="F42" s="32" t="inlineStr">
        <is>
          <t>Lavender</t>
        </is>
      </c>
      <c r="G42" s="60" t="n">
        <v>22.95</v>
      </c>
      <c r="H42" s="32" t="inlineStr">
        <is>
          <t>Helium 10 Xray, 2026-10-13</t>
        </is>
      </c>
      <c r="I42" s="61" t="n">
        <v>19.95</v>
      </c>
      <c r="J42" s="62" t="inlineStr">
        <is>
          <t>2026-03-30</t>
        </is>
      </c>
      <c r="K42" s="33" t="n">
        <v>5.63</v>
      </c>
      <c r="L42" s="63" t="n">
        <v>0.2822055137844612</v>
      </c>
      <c r="M42" s="64" t="n">
        <v>11</v>
      </c>
      <c r="N42" s="32" t="inlineStr">
        <is>
          <t>Active</t>
        </is>
      </c>
      <c r="O42" s="32" t="n"/>
      <c r="P42" s="65" t="n">
        <v>4.5</v>
      </c>
      <c r="Q42" s="64" t="n">
        <v>1284</v>
      </c>
      <c r="R42" s="64" t="n">
        <v>29169</v>
      </c>
      <c r="S42" s="64" t="n">
        <v>3</v>
      </c>
      <c r="T42" s="32" t="n"/>
    </row>
    <row r="43" ht="62" customHeight="1">
      <c r="A43" s="10">
        <f>_xlfn.IMAGE("https://m.media-amazon.com/images/I/81hiVG9bW0L.jpg")</f>
        <v/>
      </c>
      <c r="B43" s="32" t="inlineStr">
        <is>
          <t>B0DBW17V8N</t>
        </is>
      </c>
      <c r="C43" s="32" t="inlineStr">
        <is>
          <t>SATIN-FITTED-KING-PINK</t>
        </is>
      </c>
      <c r="D43" s="32" t="inlineStr">
        <is>
          <t>DECOLURE Satin Fitted Sheet King Size | Softer Than Silk | Luxury 1 Pc Set</t>
        </is>
      </c>
      <c r="E43" s="32" t="inlineStr">
        <is>
          <t>King</t>
        </is>
      </c>
      <c r="F43" s="32" t="inlineStr">
        <is>
          <t>Pink</t>
        </is>
      </c>
      <c r="G43" s="60" t="n">
        <v>22.95</v>
      </c>
      <c r="H43" s="32" t="inlineStr">
        <is>
          <t>Helium 10 Xray, 2026-10-13</t>
        </is>
      </c>
      <c r="I43" s="61" t="n">
        <v>19.95</v>
      </c>
      <c r="J43" s="62" t="inlineStr">
        <is>
          <t>2026-03-30</t>
        </is>
      </c>
      <c r="K43" s="33" t="n">
        <v>5.440000000000002</v>
      </c>
      <c r="L43" s="63" t="n">
        <v>0.2726817042606517</v>
      </c>
      <c r="M43" s="64" t="n">
        <v>11</v>
      </c>
      <c r="N43" s="32" t="inlineStr">
        <is>
          <t>Active</t>
        </is>
      </c>
      <c r="O43" s="32" t="n"/>
      <c r="P43" s="65" t="n">
        <v>4.5</v>
      </c>
      <c r="Q43" s="64" t="n">
        <v>1284</v>
      </c>
      <c r="R43" s="64" t="n">
        <v>29169</v>
      </c>
      <c r="S43" s="64" t="n">
        <v>4</v>
      </c>
      <c r="T43" s="32" t="n"/>
    </row>
    <row r="44" ht="62" customHeight="1">
      <c r="A44" s="10">
        <f>_xlfn.IMAGE("https://m.media-amazon.com/images/I/81mTp2BYSlL.jpg")</f>
        <v/>
      </c>
      <c r="B44" s="32" t="inlineStr">
        <is>
          <t>B0DBW3YBV4</t>
        </is>
      </c>
      <c r="C44" s="32" t="inlineStr">
        <is>
          <t>SATIN-FITTED-FULL-RED</t>
        </is>
      </c>
      <c r="D44" s="32" t="inlineStr">
        <is>
          <t>DECOLURE Satin Fitted Sheet Full Size | Softer Than Silk | Luxury 1 Pc Set</t>
        </is>
      </c>
      <c r="E44" s="32" t="inlineStr">
        <is>
          <t>Full</t>
        </is>
      </c>
      <c r="F44" s="32" t="inlineStr">
        <is>
          <t>Red</t>
        </is>
      </c>
      <c r="G44" s="60" t="n">
        <v>20.95</v>
      </c>
      <c r="H44" s="32" t="inlineStr">
        <is>
          <t>Helium 10 Xray, 2026-10-13</t>
        </is>
      </c>
      <c r="I44" s="61" t="n">
        <v>17.95</v>
      </c>
      <c r="J44" s="62" t="inlineStr">
        <is>
          <t>2026-03-30</t>
        </is>
      </c>
      <c r="K44" s="33" t="n">
        <v>5.36</v>
      </c>
      <c r="L44" s="63" t="n">
        <v>0.2986072423398329</v>
      </c>
      <c r="M44" s="64" t="n">
        <v>10</v>
      </c>
      <c r="N44" s="32" t="inlineStr">
        <is>
          <t>Active</t>
        </is>
      </c>
      <c r="O44" s="32" t="n"/>
      <c r="P44" s="65" t="n">
        <v>4.5</v>
      </c>
      <c r="Q44" s="64" t="n">
        <v>1284</v>
      </c>
      <c r="R44" s="64" t="n">
        <v>29169</v>
      </c>
      <c r="S44" s="64" t="n">
        <v>8</v>
      </c>
      <c r="T44" s="32" t="n"/>
    </row>
    <row r="45" ht="62" customHeight="1">
      <c r="A45" s="10">
        <f>_xlfn.IMAGE("https://m.media-amazon.com/images/I/71APUp+JE3L.jpg")</f>
        <v/>
      </c>
      <c r="B45" s="32" t="inlineStr">
        <is>
          <t>B0DBW13VVR</t>
        </is>
      </c>
      <c r="C45" s="32" t="inlineStr">
        <is>
          <t>SATIN-FITTED-KING-BLACK</t>
        </is>
      </c>
      <c r="D45" s="32" t="inlineStr">
        <is>
          <t>DECOLURE Satin Fitted Sheet King Size | Softer Than Silk | Luxury 1 Pc Set</t>
        </is>
      </c>
      <c r="E45" s="32" t="inlineStr">
        <is>
          <t>King</t>
        </is>
      </c>
      <c r="F45" s="32" t="inlineStr">
        <is>
          <t>Black</t>
        </is>
      </c>
      <c r="G45" s="60" t="n">
        <v>22.95</v>
      </c>
      <c r="H45" s="32" t="inlineStr">
        <is>
          <t>Helium 10 Xray, 2026-10-13</t>
        </is>
      </c>
      <c r="I45" s="61" t="n">
        <v>19.95</v>
      </c>
      <c r="J45" s="62" t="inlineStr">
        <is>
          <t>2026-03-30</t>
        </is>
      </c>
      <c r="K45" s="33" t="n">
        <v>5.350000000000001</v>
      </c>
      <c r="L45" s="63" t="n">
        <v>0.268170426065163</v>
      </c>
      <c r="M45" s="64" t="n">
        <v>10</v>
      </c>
      <c r="N45" s="32" t="inlineStr">
        <is>
          <t>Inactive</t>
        </is>
      </c>
      <c r="O45" s="32" t="n"/>
      <c r="P45" s="65" t="n">
        <v>4.5</v>
      </c>
      <c r="Q45" s="64" t="n">
        <v>1284</v>
      </c>
      <c r="R45" s="64" t="n">
        <v>29169</v>
      </c>
      <c r="S45" s="64" t="n">
        <v>79</v>
      </c>
      <c r="T45" s="32" t="n"/>
    </row>
    <row r="46" ht="62" customHeight="1">
      <c r="A46" s="10">
        <f>_xlfn.IMAGE("https://m.media-amazon.com/images/I/71JA-96z1+L.jpg")</f>
        <v/>
      </c>
      <c r="B46" s="32" t="inlineStr">
        <is>
          <t>B0DBVZKXNX</t>
        </is>
      </c>
      <c r="C46" s="32" t="inlineStr">
        <is>
          <t>SATIN-FITTED-KING-ROSEWOOD</t>
        </is>
      </c>
      <c r="D46" s="32" t="inlineStr">
        <is>
          <t>DECOLURE Satin Fitted Sheet King Size | Softer Than Silk | Luxury 1 Pc Set</t>
        </is>
      </c>
      <c r="E46" s="32" t="inlineStr">
        <is>
          <t>King</t>
        </is>
      </c>
      <c r="F46" s="32" t="inlineStr">
        <is>
          <t>Rosewood</t>
        </is>
      </c>
      <c r="G46" s="60" t="n">
        <v>22.95</v>
      </c>
      <c r="H46" s="32" t="inlineStr">
        <is>
          <t>Helium 10 Xray, 2026-10-13</t>
        </is>
      </c>
      <c r="I46" s="61" t="n">
        <v>19.95</v>
      </c>
      <c r="J46" s="62" t="inlineStr">
        <is>
          <t>2026-03-30</t>
        </is>
      </c>
      <c r="K46" s="33" t="n">
        <v>5.300000000000002</v>
      </c>
      <c r="L46" s="63" t="n">
        <v>0.2656641604010026</v>
      </c>
      <c r="M46" s="64" t="n">
        <v>10</v>
      </c>
      <c r="N46" s="32" t="inlineStr">
        <is>
          <t>Active</t>
        </is>
      </c>
      <c r="O46" s="32" t="n"/>
      <c r="P46" s="65" t="n">
        <v>4.5</v>
      </c>
      <c r="Q46" s="64" t="n">
        <v>1284</v>
      </c>
      <c r="R46" s="64" t="n">
        <v>29169</v>
      </c>
      <c r="S46" s="64" t="n">
        <v>3</v>
      </c>
      <c r="T46" s="32" t="n"/>
    </row>
    <row r="47" ht="62" customHeight="1">
      <c r="A47" s="10">
        <f>_xlfn.IMAGE("https://m.media-amazon.com/images/I/71iVJQHaIBL.jpg")</f>
        <v/>
      </c>
      <c r="B47" s="32" t="inlineStr">
        <is>
          <t>B0DBW157CR</t>
        </is>
      </c>
      <c r="C47" s="32" t="inlineStr">
        <is>
          <t>SATIN-FITTED-QUEEN-WHITE</t>
        </is>
      </c>
      <c r="D47" s="32" t="inlineStr">
        <is>
          <t>DECOLURE Satin Fitted Sheet Queen Size | Softer Than Silk | Luxury 1 Pc Set</t>
        </is>
      </c>
      <c r="E47" s="32" t="inlineStr">
        <is>
          <t>Queen</t>
        </is>
      </c>
      <c r="F47" s="32" t="inlineStr">
        <is>
          <t>White</t>
        </is>
      </c>
      <c r="G47" s="60" t="n">
        <v>21.95</v>
      </c>
      <c r="H47" s="32" t="inlineStr">
        <is>
          <t>SellerBoard listing price, 2026-10-14</t>
        </is>
      </c>
      <c r="I47" s="61" t="n">
        <v>17.95</v>
      </c>
      <c r="J47" s="62" t="inlineStr">
        <is>
          <t>2026-03-30</t>
        </is>
      </c>
      <c r="K47" s="33" t="n">
        <v>4.869999999999999</v>
      </c>
      <c r="L47" s="63" t="n">
        <v>0.271309192200557</v>
      </c>
      <c r="M47" s="64" t="n">
        <v>10</v>
      </c>
      <c r="N47" s="32" t="inlineStr">
        <is>
          <t>Active</t>
        </is>
      </c>
      <c r="O47" s="32" t="n"/>
      <c r="P47" s="65" t="n"/>
      <c r="Q47" s="64" t="n"/>
      <c r="R47" s="64" t="n"/>
      <c r="S47" s="64" t="n"/>
      <c r="T47" s="32" t="n"/>
    </row>
    <row r="48" ht="62" customHeight="1">
      <c r="A48" s="10">
        <f>_xlfn.IMAGE("https://m.media-amazon.com/images/I/71TuVlzH09L.jpg")</f>
        <v/>
      </c>
      <c r="B48" s="32" t="inlineStr">
        <is>
          <t>B0DBW17ZJP</t>
        </is>
      </c>
      <c r="C48" s="32" t="inlineStr">
        <is>
          <t>SATIN-FITTED-FULL-GREY</t>
        </is>
      </c>
      <c r="D48" s="32" t="inlineStr">
        <is>
          <t>DECOLURE Satin Fitted Sheet Full Size | Softer Than Silk | Luxury 1 Pc Set</t>
        </is>
      </c>
      <c r="E48" s="32" t="inlineStr">
        <is>
          <t>Full</t>
        </is>
      </c>
      <c r="F48" s="32" t="inlineStr">
        <is>
          <t>Grey</t>
        </is>
      </c>
      <c r="G48" s="60" t="n">
        <v>20.95</v>
      </c>
      <c r="H48" s="32" t="inlineStr">
        <is>
          <t>Helium 10 Xray, 2026-10-13</t>
        </is>
      </c>
      <c r="I48" s="61" t="n">
        <v>17.95</v>
      </c>
      <c r="J48" s="62" t="inlineStr">
        <is>
          <t>2026-03-30</t>
        </is>
      </c>
      <c r="K48" s="33" t="n">
        <v>5.09</v>
      </c>
      <c r="L48" s="63" t="n">
        <v>0.2835654596100279</v>
      </c>
      <c r="M48" s="64" t="n">
        <v>9</v>
      </c>
      <c r="N48" s="32" t="inlineStr">
        <is>
          <t>Active</t>
        </is>
      </c>
      <c r="O48" s="32" t="inlineStr">
        <is>
          <t>Yes (13%)</t>
        </is>
      </c>
      <c r="P48" s="65" t="n">
        <v>4.5</v>
      </c>
      <c r="Q48" s="64" t="n">
        <v>1284</v>
      </c>
      <c r="R48" s="64" t="n">
        <v>29169</v>
      </c>
      <c r="S48" s="64" t="n">
        <v>10</v>
      </c>
      <c r="T48" s="32" t="n"/>
    </row>
    <row r="49" ht="62" customHeight="1">
      <c r="A49" s="10">
        <f>_xlfn.IMAGE("https://m.media-amazon.com/images/I/818qIvZ2yIL.jpg")</f>
        <v/>
      </c>
      <c r="B49" s="32" t="inlineStr">
        <is>
          <t>B0DBW6FFG1</t>
        </is>
      </c>
      <c r="C49" s="32" t="inlineStr">
        <is>
          <t>SATIN-FITTED-KING-GOLD</t>
        </is>
      </c>
      <c r="D49" s="32" t="inlineStr">
        <is>
          <t>DECOLURE Satin Fitted Sheet King Size | Softer Than Silk | Luxury 1 Pc Set</t>
        </is>
      </c>
      <c r="E49" s="32" t="inlineStr">
        <is>
          <t>King</t>
        </is>
      </c>
      <c r="F49" s="32" t="inlineStr">
        <is>
          <t>Gold</t>
        </is>
      </c>
      <c r="G49" s="60" t="n">
        <v>22.95</v>
      </c>
      <c r="H49" s="32" t="inlineStr">
        <is>
          <t>Helium 10 Xray, 2026-10-13</t>
        </is>
      </c>
      <c r="I49" s="61" t="n">
        <v>19.95</v>
      </c>
      <c r="J49" s="62" t="inlineStr">
        <is>
          <t>2026-03-30</t>
        </is>
      </c>
      <c r="K49" s="33" t="n">
        <v>5.94</v>
      </c>
      <c r="L49" s="63" t="n">
        <v>0.2977443609022556</v>
      </c>
      <c r="M49" s="64" t="n">
        <v>9</v>
      </c>
      <c r="N49" s="32" t="inlineStr">
        <is>
          <t>Active</t>
        </is>
      </c>
      <c r="O49" s="32" t="n"/>
      <c r="P49" s="65" t="n">
        <v>4.5</v>
      </c>
      <c r="Q49" s="64" t="n">
        <v>1284</v>
      </c>
      <c r="R49" s="64" t="n">
        <v>29175</v>
      </c>
      <c r="S49" s="64" t="n">
        <v>3</v>
      </c>
      <c r="T49" s="32" t="n"/>
    </row>
    <row r="50" ht="62" customHeight="1">
      <c r="A50" s="10">
        <f>_xlfn.IMAGE("https://m.media-amazon.com/images/I/81NguKiiueL.jpg")</f>
        <v/>
      </c>
      <c r="B50" s="32" t="inlineStr">
        <is>
          <t>B0DBVZGV7Z</t>
        </is>
      </c>
      <c r="C50" s="32" t="inlineStr">
        <is>
          <t>SATIN-FITTED-KING-SAGE-GREEN</t>
        </is>
      </c>
      <c r="D50" s="32" t="inlineStr">
        <is>
          <t>DECOLURE Satin Fitted Sheet King Size | Softer Than Silk | Luxury 1 Pc Set</t>
        </is>
      </c>
      <c r="E50" s="32" t="inlineStr">
        <is>
          <t>King</t>
        </is>
      </c>
      <c r="F50" s="32" t="inlineStr">
        <is>
          <t>Sage Green</t>
        </is>
      </c>
      <c r="G50" s="60" t="n">
        <v>22.95</v>
      </c>
      <c r="H50" s="32" t="inlineStr">
        <is>
          <t>Helium 10 Xray, 2026-10-13</t>
        </is>
      </c>
      <c r="I50" s="61" t="n">
        <v>19.95</v>
      </c>
      <c r="J50" s="62" t="inlineStr">
        <is>
          <t>2026-03-30</t>
        </is>
      </c>
      <c r="K50" s="33" t="n">
        <v>5.94</v>
      </c>
      <c r="L50" s="63" t="n">
        <v>0.2977443609022556</v>
      </c>
      <c r="M50" s="64" t="n">
        <v>9</v>
      </c>
      <c r="N50" s="32" t="inlineStr">
        <is>
          <t>Active</t>
        </is>
      </c>
      <c r="O50" s="32" t="n"/>
      <c r="P50" s="65" t="n">
        <v>4.5</v>
      </c>
      <c r="Q50" s="64" t="n">
        <v>1284</v>
      </c>
      <c r="R50" s="64" t="n">
        <v>29175</v>
      </c>
      <c r="S50" s="64" t="n">
        <v>4</v>
      </c>
      <c r="T50" s="32" t="n"/>
    </row>
    <row r="51" ht="62" customHeight="1">
      <c r="A51" s="10">
        <f>_xlfn.IMAGE("https://m.media-amazon.com/images/I/81NguKiiueL.jpg")</f>
        <v/>
      </c>
      <c r="B51" s="32" t="inlineStr">
        <is>
          <t>B0DBVZ9QZC</t>
        </is>
      </c>
      <c r="C51" s="32" t="inlineStr">
        <is>
          <t>SATIN-FITTED-TWIN-SAGE-GREEN</t>
        </is>
      </c>
      <c r="D51" s="32" t="inlineStr">
        <is>
          <t>DECOLURE Satin Fitted Sheet Twin Size | Softer Than Silk | Luxury 1 Pc Set</t>
        </is>
      </c>
      <c r="E51" s="32" t="inlineStr">
        <is>
          <t>Twin</t>
        </is>
      </c>
      <c r="F51" s="32" t="inlineStr">
        <is>
          <t>Sage Green</t>
        </is>
      </c>
      <c r="G51" s="60" t="n">
        <v>19.95</v>
      </c>
      <c r="H51" s="32" t="inlineStr">
        <is>
          <t>Helium 10 Xray, 2026-10-13</t>
        </is>
      </c>
      <c r="I51" s="61" t="n">
        <v>22.95</v>
      </c>
      <c r="J51" s="62" t="inlineStr">
        <is>
          <t>2026-03-30</t>
        </is>
      </c>
      <c r="K51" s="33" t="n">
        <v>10.27</v>
      </c>
      <c r="L51" s="63" t="n">
        <v>0.4474945533769062</v>
      </c>
      <c r="M51" s="64" t="n">
        <v>8</v>
      </c>
      <c r="N51" s="32" t="inlineStr">
        <is>
          <t>Active</t>
        </is>
      </c>
      <c r="O51" s="32" t="n"/>
      <c r="P51" s="65" t="n">
        <v>4.5</v>
      </c>
      <c r="Q51" s="64" t="n">
        <v>1284</v>
      </c>
      <c r="R51" s="64" t="n">
        <v>29169</v>
      </c>
      <c r="S51" s="64" t="n">
        <v>17</v>
      </c>
      <c r="T51" s="32" t="n"/>
    </row>
    <row r="52" ht="62" customHeight="1">
      <c r="A52" s="10">
        <f>_xlfn.IMAGE("https://m.media-amazon.com/images/I/81hiVG9bW0L.jpg")</f>
        <v/>
      </c>
      <c r="B52" s="32" t="inlineStr">
        <is>
          <t>B0DBVZRZ4H</t>
        </is>
      </c>
      <c r="C52" s="32" t="inlineStr">
        <is>
          <t>SATIN-FITTED-FULL-PINK</t>
        </is>
      </c>
      <c r="D52" s="32" t="inlineStr">
        <is>
          <t>DECOLURE Satin Fitted Sheet Full Size | Softer Than Silk | Luxury 1 Pc Set</t>
        </is>
      </c>
      <c r="E52" s="32" t="inlineStr">
        <is>
          <t>Full</t>
        </is>
      </c>
      <c r="F52" s="32" t="inlineStr">
        <is>
          <t>Pink</t>
        </is>
      </c>
      <c r="G52" s="60" t="n">
        <v>20.95</v>
      </c>
      <c r="H52" s="32" t="inlineStr">
        <is>
          <t>Helium 10 Xray, 2026-10-13</t>
        </is>
      </c>
      <c r="I52" s="61" t="n">
        <v>17.95</v>
      </c>
      <c r="J52" s="62" t="inlineStr">
        <is>
          <t>2026-03-30</t>
        </is>
      </c>
      <c r="K52" s="33" t="n">
        <v>5.290000000000001</v>
      </c>
      <c r="L52" s="63" t="n">
        <v>0.294707520891365</v>
      </c>
      <c r="M52" s="64" t="n">
        <v>7</v>
      </c>
      <c r="N52" s="32" t="inlineStr">
        <is>
          <t>Active</t>
        </is>
      </c>
      <c r="O52" s="32" t="n"/>
      <c r="P52" s="65" t="n">
        <v>4.5</v>
      </c>
      <c r="Q52" s="64" t="n">
        <v>1284</v>
      </c>
      <c r="R52" s="64" t="n">
        <v>29175</v>
      </c>
      <c r="S52" s="64" t="n">
        <v>9</v>
      </c>
      <c r="T52" s="32" t="n"/>
    </row>
    <row r="53" ht="62" customHeight="1">
      <c r="A53" s="10">
        <f>_xlfn.IMAGE("https://m.media-amazon.com/images/I/71iVJQHaIBL.jpg")</f>
        <v/>
      </c>
      <c r="B53" s="32" t="inlineStr">
        <is>
          <t>B0DBW27P8P</t>
        </is>
      </c>
      <c r="C53" s="32" t="inlineStr">
        <is>
          <t>SATIN-FITTED-FULL-WHITE</t>
        </is>
      </c>
      <c r="D53" s="32" t="inlineStr">
        <is>
          <t>DECOLURE Satin Fitted Sheet Full Size | Softer Than Silk | Luxury 1 Pc Set</t>
        </is>
      </c>
      <c r="E53" s="32" t="inlineStr">
        <is>
          <t>Full</t>
        </is>
      </c>
      <c r="F53" s="32" t="inlineStr">
        <is>
          <t>White</t>
        </is>
      </c>
      <c r="G53" s="60" t="n">
        <v>20.95</v>
      </c>
      <c r="H53" s="32" t="inlineStr">
        <is>
          <t>SellerBoard listing price, 2026-10-14</t>
        </is>
      </c>
      <c r="I53" s="61" t="n">
        <v>17.95</v>
      </c>
      <c r="J53" s="62" t="inlineStr">
        <is>
          <t>2026-03-30</t>
        </is>
      </c>
      <c r="K53" s="33" t="n">
        <v>5.289999999999999</v>
      </c>
      <c r="L53" s="63" t="n">
        <v>0.2947075208913649</v>
      </c>
      <c r="M53" s="64" t="n">
        <v>7</v>
      </c>
      <c r="N53" s="32" t="inlineStr">
        <is>
          <t>Active</t>
        </is>
      </c>
      <c r="O53" s="32" t="n"/>
      <c r="P53" s="65" t="n"/>
      <c r="Q53" s="64" t="n"/>
      <c r="R53" s="64" t="n"/>
      <c r="S53" s="64" t="n"/>
      <c r="T53" s="32" t="n"/>
    </row>
    <row r="54" ht="62" customHeight="1">
      <c r="A54" s="10">
        <f>_xlfn.IMAGE("https://m.media-amazon.com/images/I/81hiVG9bW0L.jpg")</f>
        <v/>
      </c>
      <c r="B54" s="32" t="inlineStr">
        <is>
          <t>B0DBW2HDDZ</t>
        </is>
      </c>
      <c r="C54" s="32" t="inlineStr">
        <is>
          <t>SATIN-FITTED-TWIN-PINK</t>
        </is>
      </c>
      <c r="D54" s="32" t="inlineStr">
        <is>
          <t>DECOLURE Satin Fitted Sheet Twin Size | Softer Than Silk | Luxury 1 Pc Set</t>
        </is>
      </c>
      <c r="E54" s="32" t="inlineStr">
        <is>
          <t>Twin</t>
        </is>
      </c>
      <c r="F54" s="32" t="inlineStr">
        <is>
          <t>Pink</t>
        </is>
      </c>
      <c r="G54" s="60" t="n">
        <v>19.95</v>
      </c>
      <c r="H54" s="32" t="inlineStr">
        <is>
          <t>Helium 10 Xray, 2026-10-13</t>
        </is>
      </c>
      <c r="I54" s="61" t="n">
        <v>22.95</v>
      </c>
      <c r="J54" s="62" t="inlineStr">
        <is>
          <t>2026-03-30</t>
        </is>
      </c>
      <c r="K54" s="33" t="n">
        <v>10.23</v>
      </c>
      <c r="L54" s="63" t="n">
        <v>0.4457516339869281</v>
      </c>
      <c r="M54" s="64" t="n">
        <v>7</v>
      </c>
      <c r="N54" s="32" t="inlineStr">
        <is>
          <t>Active</t>
        </is>
      </c>
      <c r="O54" s="32" t="inlineStr">
        <is>
          <t>Yes (11%)</t>
        </is>
      </c>
      <c r="P54" s="65" t="n">
        <v>4.5</v>
      </c>
      <c r="Q54" s="64" t="n">
        <v>1284</v>
      </c>
      <c r="R54" s="64" t="n">
        <v>29169</v>
      </c>
      <c r="S54" s="64" t="n">
        <v>20</v>
      </c>
      <c r="T54" s="32" t="n"/>
    </row>
    <row r="55" ht="62" customHeight="1">
      <c r="A55" s="10">
        <f>_xlfn.IMAGE("https://m.media-amazon.com/images/I/71bgU8vMQnL.jpg")</f>
        <v/>
      </c>
      <c r="B55" s="32" t="inlineStr">
        <is>
          <t>B0DBW1M6RR</t>
        </is>
      </c>
      <c r="C55" s="32" t="inlineStr">
        <is>
          <t>SATIN-FITTED-TWIN-PURPLE</t>
        </is>
      </c>
      <c r="D55" s="32" t="inlineStr">
        <is>
          <t>DECOLURE Satin Fitted Sheet Twin Size | Softer Than Silk | Luxury 1 Pc Set</t>
        </is>
      </c>
      <c r="E55" s="32" t="inlineStr">
        <is>
          <t>Twin</t>
        </is>
      </c>
      <c r="F55" s="32" t="inlineStr">
        <is>
          <t>Purple</t>
        </is>
      </c>
      <c r="G55" s="60" t="n">
        <v>19.95</v>
      </c>
      <c r="H55" s="32" t="inlineStr">
        <is>
          <t>Helium 10 Xray, 2026-10-13</t>
        </is>
      </c>
      <c r="I55" s="61" t="n">
        <v>22.95</v>
      </c>
      <c r="J55" s="62" t="inlineStr">
        <is>
          <t>2026-03-30</t>
        </is>
      </c>
      <c r="K55" s="33" t="n">
        <v>10.38</v>
      </c>
      <c r="L55" s="63" t="n">
        <v>0.4522875816993464</v>
      </c>
      <c r="M55" s="64" t="n">
        <v>7</v>
      </c>
      <c r="N55" s="32" t="inlineStr">
        <is>
          <t>Active</t>
        </is>
      </c>
      <c r="O55" s="32" t="n"/>
      <c r="P55" s="65" t="n">
        <v>4.5</v>
      </c>
      <c r="Q55" s="64" t="n">
        <v>1284</v>
      </c>
      <c r="R55" s="64" t="n">
        <v>29175</v>
      </c>
      <c r="S55" s="64" t="n">
        <v>18</v>
      </c>
      <c r="T55" s="32" t="n"/>
    </row>
    <row r="56" ht="62" customHeight="1">
      <c r="A56" s="10">
        <f>_xlfn.IMAGE("https://m.media-amazon.com/images/I/714ktb3sY+L.jpg")</f>
        <v/>
      </c>
      <c r="B56" s="32" t="inlineStr">
        <is>
          <t>B0DBW2GW4S</t>
        </is>
      </c>
      <c r="C56" s="32" t="inlineStr">
        <is>
          <t>SATIN-FITTED-FULL-IVORY</t>
        </is>
      </c>
      <c r="D56" s="32" t="inlineStr">
        <is>
          <t>DECOLURE Satin Fitted Sheet Full Size | Softer Than Silk | Luxury 1 Pc Set</t>
        </is>
      </c>
      <c r="E56" s="32" t="inlineStr">
        <is>
          <t>Full</t>
        </is>
      </c>
      <c r="F56" s="32" t="inlineStr">
        <is>
          <t>Ivory</t>
        </is>
      </c>
      <c r="G56" s="60" t="n">
        <v>20.95</v>
      </c>
      <c r="H56" s="32" t="inlineStr">
        <is>
          <t>Helium 10 Xray, 2026-10-13</t>
        </is>
      </c>
      <c r="I56" s="61" t="n">
        <v>17.95</v>
      </c>
      <c r="J56" s="62" t="inlineStr">
        <is>
          <t>2026-03-30</t>
        </is>
      </c>
      <c r="K56" s="33" t="n">
        <v>5.309999999999999</v>
      </c>
      <c r="L56" s="63" t="n">
        <v>0.2958217270194985</v>
      </c>
      <c r="M56" s="64" t="n">
        <v>6</v>
      </c>
      <c r="N56" s="32" t="inlineStr">
        <is>
          <t>Active</t>
        </is>
      </c>
      <c r="O56" s="32" t="n"/>
      <c r="P56" s="65" t="n">
        <v>4.5</v>
      </c>
      <c r="Q56" s="64" t="n">
        <v>1284</v>
      </c>
      <c r="R56" s="64" t="n">
        <v>29169</v>
      </c>
      <c r="S56" s="64" t="n">
        <v>8</v>
      </c>
      <c r="T56" s="32" t="n"/>
    </row>
    <row r="57" ht="62" customHeight="1">
      <c r="A57" s="10">
        <f>_xlfn.IMAGE("https://m.media-amazon.com/images/I/71q7X0GjqSL.jpg")</f>
        <v/>
      </c>
      <c r="B57" s="32" t="inlineStr">
        <is>
          <t>B0DBVYHGK1</t>
        </is>
      </c>
      <c r="C57" s="32" t="inlineStr">
        <is>
          <t>SATIN-FITTED-FULL-NAVY-BLUE</t>
        </is>
      </c>
      <c r="D57" s="32" t="inlineStr">
        <is>
          <t>DECOLURE Satin Fitted Sheet Full Size | Softer Than Silk | Luxury 1 Pc Set</t>
        </is>
      </c>
      <c r="E57" s="32" t="inlineStr">
        <is>
          <t>Full</t>
        </is>
      </c>
      <c r="F57" s="32" t="inlineStr">
        <is>
          <t>Navy Blue</t>
        </is>
      </c>
      <c r="G57" s="60" t="n">
        <v>20.95</v>
      </c>
      <c r="H57" s="32" t="inlineStr">
        <is>
          <t>Helium 10 Xray, 2026-10-13</t>
        </is>
      </c>
      <c r="I57" s="61" t="n">
        <v>17.95</v>
      </c>
      <c r="J57" s="62" t="inlineStr">
        <is>
          <t>2026-03-30</t>
        </is>
      </c>
      <c r="K57" s="33" t="n">
        <v>5.48</v>
      </c>
      <c r="L57" s="63" t="n">
        <v>0.3052924791086351</v>
      </c>
      <c r="M57" s="64" t="n">
        <v>6</v>
      </c>
      <c r="N57" s="32" t="inlineStr">
        <is>
          <t>Active</t>
        </is>
      </c>
      <c r="O57" s="32" t="n"/>
      <c r="P57" s="65" t="n">
        <v>4.5</v>
      </c>
      <c r="Q57" s="64" t="n">
        <v>1284</v>
      </c>
      <c r="R57" s="64" t="n">
        <v>29169</v>
      </c>
      <c r="S57" s="64" t="n">
        <v>10</v>
      </c>
      <c r="T57" s="32" t="n"/>
    </row>
    <row r="58" ht="62" customHeight="1">
      <c r="A58" s="10">
        <f>_xlfn.IMAGE("https://m.media-amazon.com/images/I/81oKLEMiMUL.jpg")</f>
        <v/>
      </c>
      <c r="B58" s="32" t="inlineStr">
        <is>
          <t>B0DBVZ1Z2S</t>
        </is>
      </c>
      <c r="C58" s="32" t="inlineStr">
        <is>
          <t>SATIN-FITTED-FULL-SEA-TEAL</t>
        </is>
      </c>
      <c r="D58" s="32" t="inlineStr">
        <is>
          <t>DECOLURE Satin Fitted Sheet Full Size | Softer Than Silk | Luxury 1 Pc Set</t>
        </is>
      </c>
      <c r="E58" s="32" t="inlineStr">
        <is>
          <t>Full</t>
        </is>
      </c>
      <c r="F58" s="32" t="inlineStr">
        <is>
          <t>Sea Teal</t>
        </is>
      </c>
      <c r="G58" s="60" t="n">
        <v>20.95</v>
      </c>
      <c r="H58" s="32" t="inlineStr">
        <is>
          <t>Helium 10 Xray, 2026-10-13</t>
        </is>
      </c>
      <c r="I58" s="61" t="n">
        <v>17.95</v>
      </c>
      <c r="J58" s="62" t="inlineStr">
        <is>
          <t>2026-03-30</t>
        </is>
      </c>
      <c r="K58" s="33" t="n">
        <v>4.9</v>
      </c>
      <c r="L58" s="63" t="n">
        <v>0.2729805013927577</v>
      </c>
      <c r="M58" s="64" t="n">
        <v>6</v>
      </c>
      <c r="N58" s="32" t="inlineStr">
        <is>
          <t>Active</t>
        </is>
      </c>
      <c r="O58" s="32" t="n"/>
      <c r="P58" s="65" t="n">
        <v>4.5</v>
      </c>
      <c r="Q58" s="64" t="n">
        <v>1284</v>
      </c>
      <c r="R58" s="64" t="n">
        <v>29169</v>
      </c>
      <c r="S58" s="64" t="n">
        <v>8</v>
      </c>
      <c r="T58" s="32" t="n"/>
    </row>
    <row r="59" ht="62" customHeight="1">
      <c r="A59" s="10">
        <f>_xlfn.IMAGE("https://m.media-amazon.com/images/I/81URVcoc9pL.jpg")</f>
        <v/>
      </c>
      <c r="B59" s="32" t="inlineStr">
        <is>
          <t>B0DBVZZD7X</t>
        </is>
      </c>
      <c r="C59" s="32" t="inlineStr">
        <is>
          <t>SATIN-FITTED-KING-BLUSH-PINK</t>
        </is>
      </c>
      <c r="D59" s="32" t="inlineStr">
        <is>
          <t>DECOLURE Satin Fitted Sheet King Size | Softer Than Silk | Luxury 1 Pc Set</t>
        </is>
      </c>
      <c r="E59" s="32" t="inlineStr">
        <is>
          <t>King</t>
        </is>
      </c>
      <c r="F59" s="32" t="inlineStr">
        <is>
          <t>Blush Pink</t>
        </is>
      </c>
      <c r="G59" s="60" t="n">
        <v>22.95</v>
      </c>
      <c r="H59" s="32" t="inlineStr">
        <is>
          <t>Helium 10 Xray, 2026-10-13</t>
        </is>
      </c>
      <c r="I59" s="61" t="n">
        <v>19.95</v>
      </c>
      <c r="J59" s="62" t="inlineStr">
        <is>
          <t>2026-03-30</t>
        </is>
      </c>
      <c r="K59" s="33" t="n">
        <v>4.68</v>
      </c>
      <c r="L59" s="63" t="n">
        <v>0.2345864661654135</v>
      </c>
      <c r="M59" s="64" t="n">
        <v>6</v>
      </c>
      <c r="N59" s="32" t="inlineStr">
        <is>
          <t>Active</t>
        </is>
      </c>
      <c r="O59" s="32" t="n"/>
      <c r="P59" s="65" t="n">
        <v>4.5</v>
      </c>
      <c r="Q59" s="64" t="n">
        <v>1284</v>
      </c>
      <c r="R59" s="64" t="n">
        <v>29175</v>
      </c>
      <c r="S59" s="64" t="n">
        <v>4</v>
      </c>
      <c r="T59" s="32" t="n"/>
    </row>
    <row r="60" ht="62" customHeight="1">
      <c r="A60" s="10">
        <f>_xlfn.IMAGE("https://m.media-amazon.com/images/I/71iVJQHaIBL.jpg")</f>
        <v/>
      </c>
      <c r="B60" s="32" t="inlineStr">
        <is>
          <t>B0DBVZSNZ4</t>
        </is>
      </c>
      <c r="C60" s="32" t="inlineStr">
        <is>
          <t>SATIN-FITTED-TWIN-WHITE</t>
        </is>
      </c>
      <c r="D60" s="32" t="inlineStr">
        <is>
          <t>DECOLURE Satin Fitted Sheet Twin Size | Softer Than Silk | Luxury 1 Pc Set</t>
        </is>
      </c>
      <c r="E60" s="32" t="inlineStr">
        <is>
          <t>Twin</t>
        </is>
      </c>
      <c r="F60" s="32" t="inlineStr">
        <is>
          <t>White</t>
        </is>
      </c>
      <c r="G60" s="60" t="n">
        <v>19.95</v>
      </c>
      <c r="H60" s="32" t="inlineStr">
        <is>
          <t>Helium 10 Xray, 2026-10-13</t>
        </is>
      </c>
      <c r="I60" s="61" t="n">
        <v>22.95</v>
      </c>
      <c r="J60" s="62" t="inlineStr">
        <is>
          <t>2026-03-30</t>
        </is>
      </c>
      <c r="K60" s="33" t="n">
        <v>10.38</v>
      </c>
      <c r="L60" s="63" t="n">
        <v>0.4522875816993464</v>
      </c>
      <c r="M60" s="64" t="n">
        <v>6</v>
      </c>
      <c r="N60" s="32" t="inlineStr">
        <is>
          <t>Active</t>
        </is>
      </c>
      <c r="O60" s="32" t="n"/>
      <c r="P60" s="65" t="n">
        <v>4.5</v>
      </c>
      <c r="Q60" s="64" t="n">
        <v>1284</v>
      </c>
      <c r="R60" s="64" t="n">
        <v>29175</v>
      </c>
      <c r="S60" s="64" t="n">
        <v>14</v>
      </c>
      <c r="T60" s="32" t="n"/>
    </row>
    <row r="61" ht="62" customHeight="1">
      <c r="A61" s="10">
        <f>_xlfn.IMAGE("https://m.media-amazon.com/images/I/81URVcoc9pL.jpg")</f>
        <v/>
      </c>
      <c r="B61" s="32" t="inlineStr">
        <is>
          <t>B0DBVZNLSM</t>
        </is>
      </c>
      <c r="C61" s="32" t="inlineStr">
        <is>
          <t>SATIN-FITTED-FULL-BLUSH-PINK</t>
        </is>
      </c>
      <c r="D61" s="32" t="inlineStr">
        <is>
          <t>DECOLURE Satin Fitted Sheet Full Size | Softer Than Silk | Luxury 1 Pc Set</t>
        </is>
      </c>
      <c r="E61" s="32" t="inlineStr">
        <is>
          <t>Full</t>
        </is>
      </c>
      <c r="F61" s="32" t="inlineStr">
        <is>
          <t>Blush Pink</t>
        </is>
      </c>
      <c r="G61" s="60" t="n">
        <v>20.95</v>
      </c>
      <c r="H61" s="32" t="inlineStr">
        <is>
          <t>Helium 10 Xray, 2026-10-13</t>
        </is>
      </c>
      <c r="I61" s="61" t="n">
        <v>17.95</v>
      </c>
      <c r="J61" s="62" t="inlineStr">
        <is>
          <t>2026-03-30</t>
        </is>
      </c>
      <c r="K61" s="33" t="n">
        <v>5.299999999999999</v>
      </c>
      <c r="L61" s="63" t="n">
        <v>0.2952646239554317</v>
      </c>
      <c r="M61" s="64" t="n">
        <v>5</v>
      </c>
      <c r="N61" s="32" t="inlineStr">
        <is>
          <t>Active</t>
        </is>
      </c>
      <c r="O61" s="32" t="n"/>
      <c r="P61" s="65" t="n">
        <v>4.5</v>
      </c>
      <c r="Q61" s="64" t="n">
        <v>1284</v>
      </c>
      <c r="R61" s="64" t="n">
        <v>29169</v>
      </c>
      <c r="S61" s="64" t="n">
        <v>11</v>
      </c>
      <c r="T61" s="32" t="n"/>
    </row>
    <row r="62" ht="62" customHeight="1">
      <c r="A62" s="10">
        <f>_xlfn.IMAGE("https://m.media-amazon.com/images/I/812QjIl2c0L.jpg")</f>
        <v/>
      </c>
      <c r="B62" s="32" t="inlineStr">
        <is>
          <t>B0DBVZQZXV</t>
        </is>
      </c>
      <c r="C62" s="32" t="inlineStr">
        <is>
          <t>SATIN-FITTED-TWIN-BABY-BLUE</t>
        </is>
      </c>
      <c r="D62" s="32" t="inlineStr">
        <is>
          <t>DECOLURE Satin Fitted Sheet Twin Size | Softer Than Silk | Luxury 1 Pc Set</t>
        </is>
      </c>
      <c r="E62" s="32" t="inlineStr">
        <is>
          <t>Twin</t>
        </is>
      </c>
      <c r="F62" s="32" t="inlineStr">
        <is>
          <t>Baby Blue</t>
        </is>
      </c>
      <c r="G62" s="60" t="n">
        <v>19.95</v>
      </c>
      <c r="H62" s="32" t="inlineStr">
        <is>
          <t>Helium 10 Xray, 2026-10-13</t>
        </is>
      </c>
      <c r="I62" s="61" t="n">
        <v>16.95</v>
      </c>
      <c r="J62" s="62" t="inlineStr">
        <is>
          <t>2026-03-30</t>
        </is>
      </c>
      <c r="K62" s="33" t="n">
        <v>5.290000000000001</v>
      </c>
      <c r="L62" s="63" t="n">
        <v>0.3120943952802361</v>
      </c>
      <c r="M62" s="64" t="n">
        <v>5</v>
      </c>
      <c r="N62" s="32" t="inlineStr">
        <is>
          <t>Active</t>
        </is>
      </c>
      <c r="O62" s="32" t="n"/>
      <c r="P62" s="65" t="n">
        <v>4.5</v>
      </c>
      <c r="Q62" s="64" t="n">
        <v>1284</v>
      </c>
      <c r="R62" s="64" t="n">
        <v>29175</v>
      </c>
      <c r="S62" s="64" t="n">
        <v>15</v>
      </c>
      <c r="T62" s="32" t="n"/>
    </row>
    <row r="63" ht="62" customHeight="1">
      <c r="A63" s="10">
        <f>_xlfn.IMAGE("https://m.media-amazon.com/images/I/81URVcoc9pL.jpg")</f>
        <v/>
      </c>
      <c r="B63" s="32" t="inlineStr">
        <is>
          <t>B0DBVZMMPN</t>
        </is>
      </c>
      <c r="C63" s="32" t="inlineStr">
        <is>
          <t>SATIN-FITTED-TWIN-BLUSH-PINK</t>
        </is>
      </c>
      <c r="D63" s="32" t="inlineStr">
        <is>
          <t>DECOLURE Satin Fitted Sheet Twin Size | Softer Than Silk | Luxury 1 Pc Set</t>
        </is>
      </c>
      <c r="E63" s="32" t="inlineStr">
        <is>
          <t>Twin</t>
        </is>
      </c>
      <c r="F63" s="32" t="inlineStr">
        <is>
          <t>Blush Pink</t>
        </is>
      </c>
      <c r="G63" s="60" t="n">
        <v>19.95</v>
      </c>
      <c r="H63" s="32" t="inlineStr">
        <is>
          <t>Helium 10 Xray, 2026-10-13</t>
        </is>
      </c>
      <c r="I63" s="61" t="n">
        <v>22.95</v>
      </c>
      <c r="J63" s="62" t="inlineStr">
        <is>
          <t>2026-03-30</t>
        </is>
      </c>
      <c r="K63" s="33" t="n">
        <v>10.75</v>
      </c>
      <c r="L63" s="63" t="n">
        <v>0.4684095860566448</v>
      </c>
      <c r="M63" s="64" t="n">
        <v>5</v>
      </c>
      <c r="N63" s="32" t="inlineStr">
        <is>
          <t>Active</t>
        </is>
      </c>
      <c r="O63" s="32" t="n"/>
      <c r="P63" s="65" t="n">
        <v>4.5</v>
      </c>
      <c r="Q63" s="64" t="n">
        <v>1284</v>
      </c>
      <c r="R63" s="64" t="n">
        <v>29169</v>
      </c>
      <c r="S63" s="64" t="n">
        <v>15</v>
      </c>
      <c r="T63" s="32" t="n"/>
    </row>
    <row r="64" ht="62" customHeight="1">
      <c r="A64" s="10">
        <f>_xlfn.IMAGE("https://m.media-amazon.com/images/I/812QjIl2c0L.jpg")</f>
        <v/>
      </c>
      <c r="B64" s="32" t="inlineStr">
        <is>
          <t>B0DBW19662</t>
        </is>
      </c>
      <c r="C64" s="32" t="inlineStr">
        <is>
          <t>SATIN-FITTED-QUEEN-BABY-BLUE</t>
        </is>
      </c>
      <c r="D64" s="32" t="inlineStr">
        <is>
          <t>DECOLURE Satin Fitted Sheet Queen Size | Softer Than Silk | Luxury 1 Pc Set</t>
        </is>
      </c>
      <c r="E64" s="32" t="inlineStr">
        <is>
          <t>Queen</t>
        </is>
      </c>
      <c r="F64" s="32" t="inlineStr">
        <is>
          <t>Baby Blue</t>
        </is>
      </c>
      <c r="G64" s="60" t="n">
        <v>21.95</v>
      </c>
      <c r="H64" s="32" t="inlineStr">
        <is>
          <t>SellerBoard listing price, 2026-10-14</t>
        </is>
      </c>
      <c r="I64" s="61" t="n">
        <v>17.95</v>
      </c>
      <c r="J64" s="62" t="inlineStr">
        <is>
          <t>2026-03-30</t>
        </is>
      </c>
      <c r="K64" s="33" t="n">
        <v>4.75</v>
      </c>
      <c r="L64" s="63" t="n">
        <v>0.2646239554317549</v>
      </c>
      <c r="M64" s="64" t="n">
        <v>4</v>
      </c>
      <c r="N64" s="32" t="inlineStr">
        <is>
          <t>Inactive</t>
        </is>
      </c>
      <c r="O64" s="32" t="n"/>
      <c r="P64" s="65" t="n"/>
      <c r="Q64" s="64" t="n"/>
      <c r="R64" s="64" t="n"/>
      <c r="S64" s="64" t="n"/>
      <c r="T64" s="32" t="n"/>
    </row>
    <row r="65" ht="62" customHeight="1">
      <c r="A65" s="10">
        <f>_xlfn.IMAGE("https://m.media-amazon.com/images/I/71q7X0GjqSL.jpg")</f>
        <v/>
      </c>
      <c r="B65" s="32" t="inlineStr">
        <is>
          <t>B0DBW1ZHFR</t>
        </is>
      </c>
      <c r="C65" s="32" t="inlineStr">
        <is>
          <t>SATIN-FITTED-TWIN-NAVY-BLUE</t>
        </is>
      </c>
      <c r="D65" s="32" t="inlineStr">
        <is>
          <t>DECOLURE Satin Fitted Sheet Twin Size | Softer Than Silk | Luxury 1 Pc Set</t>
        </is>
      </c>
      <c r="E65" s="32" t="inlineStr">
        <is>
          <t>Twin</t>
        </is>
      </c>
      <c r="F65" s="32" t="inlineStr">
        <is>
          <t>Navy Blue</t>
        </is>
      </c>
      <c r="G65" s="60" t="n">
        <v>19.95</v>
      </c>
      <c r="H65" s="32" t="inlineStr">
        <is>
          <t>Helium 10 Xray, 2026-10-13</t>
        </is>
      </c>
      <c r="I65" s="61" t="n">
        <v>16.95</v>
      </c>
      <c r="J65" s="62" t="inlineStr">
        <is>
          <t>2026-03-30</t>
        </is>
      </c>
      <c r="K65" s="33" t="n">
        <v>5.42</v>
      </c>
      <c r="L65" s="63" t="n">
        <v>0.3197640117994101</v>
      </c>
      <c r="M65" s="64" t="n">
        <v>4</v>
      </c>
      <c r="N65" s="32" t="inlineStr">
        <is>
          <t>Active</t>
        </is>
      </c>
      <c r="O65" s="32" t="n"/>
      <c r="P65" s="65" t="n">
        <v>4.5</v>
      </c>
      <c r="Q65" s="64" t="n">
        <v>1284</v>
      </c>
      <c r="R65" s="64" t="n">
        <v>29169</v>
      </c>
      <c r="S65" s="64" t="n">
        <v>14</v>
      </c>
      <c r="T65" s="32" t="n"/>
    </row>
    <row r="66" ht="62" customHeight="1">
      <c r="A66" s="10">
        <f>_xlfn.IMAGE("https://m.media-amazon.com/images/I/81mTp2BYSlL.jpg")</f>
        <v/>
      </c>
      <c r="B66" s="32" t="inlineStr">
        <is>
          <t>B0DBW1FRHC</t>
        </is>
      </c>
      <c r="C66" s="32" t="inlineStr">
        <is>
          <t>SATIN-FITTED-TWIN-RED</t>
        </is>
      </c>
      <c r="D66" s="32" t="inlineStr">
        <is>
          <t>DECOLURE Satin Fitted Sheet Twin Size | Softer Than Silk | Luxury 1 Pc Set</t>
        </is>
      </c>
      <c r="E66" s="32" t="inlineStr">
        <is>
          <t>Twin</t>
        </is>
      </c>
      <c r="F66" s="32" t="inlineStr">
        <is>
          <t>Red</t>
        </is>
      </c>
      <c r="G66" s="60" t="n">
        <v>19.95</v>
      </c>
      <c r="H66" s="32" t="inlineStr">
        <is>
          <t>Helium 10 Xray, 2026-10-13</t>
        </is>
      </c>
      <c r="I66" s="61" t="n">
        <v>16.95</v>
      </c>
      <c r="J66" s="62" t="inlineStr">
        <is>
          <t>2026-03-30</t>
        </is>
      </c>
      <c r="K66" s="33" t="n">
        <v>4.920000000000002</v>
      </c>
      <c r="L66" s="63" t="n">
        <v>0.2902654867256638</v>
      </c>
      <c r="M66" s="64" t="n">
        <v>4</v>
      </c>
      <c r="N66" s="32" t="inlineStr">
        <is>
          <t>Active</t>
        </is>
      </c>
      <c r="O66" s="32" t="n"/>
      <c r="P66" s="65" t="n">
        <v>4.5</v>
      </c>
      <c r="Q66" s="64" t="n">
        <v>1284</v>
      </c>
      <c r="R66" s="64" t="n">
        <v>29169</v>
      </c>
      <c r="S66" s="64" t="n">
        <v>15</v>
      </c>
      <c r="T66" s="32" t="n"/>
    </row>
    <row r="67" ht="62" customHeight="1">
      <c r="A67" s="10">
        <f>_xlfn.IMAGE("https://m.media-amazon.com/images/I/81oKLEMiMUL.jpg")</f>
        <v/>
      </c>
      <c r="B67" s="32" t="inlineStr">
        <is>
          <t>B0DBW1M1HX</t>
        </is>
      </c>
      <c r="C67" s="32" t="inlineStr">
        <is>
          <t>SATIN-FITTED-TWIN-SEA-TEAL</t>
        </is>
      </c>
      <c r="D67" s="32" t="inlineStr">
        <is>
          <t>DECOLURE Satin Fitted Sheet Twin Size | Softer Than Silk | Luxury 1 Pc Set</t>
        </is>
      </c>
      <c r="E67" s="32" t="inlineStr">
        <is>
          <t>Twin</t>
        </is>
      </c>
      <c r="F67" s="32" t="inlineStr">
        <is>
          <t>Sea Teal</t>
        </is>
      </c>
      <c r="G67" s="60" t="n">
        <v>19.95</v>
      </c>
      <c r="H67" s="32" t="inlineStr">
        <is>
          <t>Helium 10 Xray, 2026-10-13</t>
        </is>
      </c>
      <c r="I67" s="61" t="n">
        <v>22.95</v>
      </c>
      <c r="J67" s="62" t="inlineStr">
        <is>
          <t>2026-03-30</t>
        </is>
      </c>
      <c r="K67" s="33" t="n">
        <v>9.329999999999998</v>
      </c>
      <c r="L67" s="63" t="n">
        <v>0.4065359477124183</v>
      </c>
      <c r="M67" s="64" t="n">
        <v>4</v>
      </c>
      <c r="N67" s="32" t="inlineStr">
        <is>
          <t>Active</t>
        </is>
      </c>
      <c r="O67" s="32" t="n"/>
      <c r="P67" s="65" t="n">
        <v>4.5</v>
      </c>
      <c r="Q67" s="64" t="n">
        <v>1284</v>
      </c>
      <c r="R67" s="64" t="n">
        <v>29169</v>
      </c>
      <c r="S67" s="64" t="n">
        <v>15</v>
      </c>
      <c r="T67" s="32" t="n"/>
    </row>
    <row r="68" ht="62" customHeight="1">
      <c r="A68" s="10">
        <f>_xlfn.IMAGE("https://m.media-amazon.com/images/I/81RiAVYjy-L.jpg")</f>
        <v/>
      </c>
      <c r="B68" s="32" t="inlineStr">
        <is>
          <t>B0DBW28W1W</t>
        </is>
      </c>
      <c r="C68" s="32" t="inlineStr">
        <is>
          <t>SATIN-FITTED-TWIN-STONE-GREY</t>
        </is>
      </c>
      <c r="D68" s="32" t="inlineStr">
        <is>
          <t>DECOLURE Satin Fitted Sheet Twin Size | Softer Than Silk | Luxury 1 Pc Set</t>
        </is>
      </c>
      <c r="E68" s="32" t="inlineStr">
        <is>
          <t>Twin</t>
        </is>
      </c>
      <c r="F68" s="32" t="inlineStr">
        <is>
          <t>Stone Grey</t>
        </is>
      </c>
      <c r="G68" s="60" t="n">
        <v>19.95</v>
      </c>
      <c r="H68" s="32" t="inlineStr">
        <is>
          <t>Helium 10 Xray, 2026-10-13</t>
        </is>
      </c>
      <c r="I68" s="61" t="n">
        <v>22.95</v>
      </c>
      <c r="J68" s="62" t="inlineStr">
        <is>
          <t>2026-03-30</t>
        </is>
      </c>
      <c r="K68" s="33" t="n">
        <v>10.38</v>
      </c>
      <c r="L68" s="63" t="n">
        <v>0.4522875816993464</v>
      </c>
      <c r="M68" s="64" t="n">
        <v>4</v>
      </c>
      <c r="N68" s="32" t="inlineStr">
        <is>
          <t>Active</t>
        </is>
      </c>
      <c r="O68" s="32" t="n"/>
      <c r="P68" s="65" t="n">
        <v>4.5</v>
      </c>
      <c r="Q68" s="64" t="n">
        <v>1284</v>
      </c>
      <c r="R68" s="64" t="n">
        <v>29169</v>
      </c>
      <c r="S68" s="64" t="n">
        <v>14</v>
      </c>
      <c r="T68" s="32" t="n"/>
    </row>
    <row r="69" ht="62" customHeight="1">
      <c r="A69" s="10">
        <f>_xlfn.IMAGE("https://m.media-amazon.com/images/I/818qIvZ2yIL.jpg")</f>
        <v/>
      </c>
      <c r="B69" s="32" t="inlineStr">
        <is>
          <t>B0DBVZ73F7</t>
        </is>
      </c>
      <c r="C69" s="32" t="inlineStr">
        <is>
          <t>SATIN-FITTED-FULL-GOLD</t>
        </is>
      </c>
      <c r="D69" s="32" t="inlineStr">
        <is>
          <t>DECOLURE Satin Fitted Sheet Full Size | Softer Than Silk | Luxury 1 Pc Set</t>
        </is>
      </c>
      <c r="E69" s="32" t="inlineStr">
        <is>
          <t>Full</t>
        </is>
      </c>
      <c r="F69" s="32" t="inlineStr">
        <is>
          <t>Gold</t>
        </is>
      </c>
      <c r="G69" s="60" t="n">
        <v>20.95</v>
      </c>
      <c r="H69" s="32" t="inlineStr">
        <is>
          <t>Helium 10 Xray, 2026-10-13</t>
        </is>
      </c>
      <c r="I69" s="61" t="n">
        <v>17.95</v>
      </c>
      <c r="J69" s="62" t="inlineStr">
        <is>
          <t>2026-03-30</t>
        </is>
      </c>
      <c r="K69" s="33" t="n">
        <v>4.670000000000001</v>
      </c>
      <c r="L69" s="63" t="n">
        <v>0.2601671309192201</v>
      </c>
      <c r="M69" s="64" t="n">
        <v>3</v>
      </c>
      <c r="N69" s="32" t="inlineStr">
        <is>
          <t>Active</t>
        </is>
      </c>
      <c r="O69" s="32" t="n"/>
      <c r="P69" s="65" t="n">
        <v>4.5</v>
      </c>
      <c r="Q69" s="64" t="n">
        <v>1284</v>
      </c>
      <c r="R69" s="64" t="n">
        <v>29169</v>
      </c>
      <c r="S69" s="64" t="n">
        <v>9</v>
      </c>
      <c r="T69" s="32" t="n"/>
    </row>
    <row r="70" ht="62" customHeight="1">
      <c r="A70" s="10">
        <f>_xlfn.IMAGE("https://m.media-amazon.com/images/I/81oKLEMiMUL.jpg")</f>
        <v/>
      </c>
      <c r="B70" s="32" t="inlineStr">
        <is>
          <t>B0DBW1NVHF</t>
        </is>
      </c>
      <c r="C70" s="32" t="inlineStr">
        <is>
          <t>SATIN-FITTED-QUEEN-SEA-TEAL</t>
        </is>
      </c>
      <c r="D70" s="32" t="inlineStr">
        <is>
          <t>DECOLURE Satin Fitted Sheet Queen Size | Softer Than Silk | Luxury 1 Pc Set</t>
        </is>
      </c>
      <c r="E70" s="32" t="inlineStr">
        <is>
          <t>Queen</t>
        </is>
      </c>
      <c r="F70" s="32" t="inlineStr">
        <is>
          <t>Sea Teal</t>
        </is>
      </c>
      <c r="G70" s="60" t="n">
        <v>21.95</v>
      </c>
      <c r="H70" s="32" t="inlineStr">
        <is>
          <t>SellerBoard listing price, 2026-10-14</t>
        </is>
      </c>
      <c r="I70" s="61" t="n">
        <v>17.95</v>
      </c>
      <c r="J70" s="62" t="inlineStr">
        <is>
          <t>2026-03-30</t>
        </is>
      </c>
      <c r="K70" s="33" t="n">
        <v>4.31</v>
      </c>
      <c r="L70" s="63" t="n">
        <v>0.2401114206128133</v>
      </c>
      <c r="M70" s="64" t="n">
        <v>3</v>
      </c>
      <c r="N70" s="32" t="inlineStr">
        <is>
          <t>Inactive</t>
        </is>
      </c>
      <c r="O70" s="32" t="n"/>
      <c r="P70" s="65" t="n"/>
      <c r="Q70" s="64" t="n"/>
      <c r="R70" s="64" t="n"/>
      <c r="S70" s="64" t="n"/>
      <c r="T70" s="32" t="n"/>
    </row>
    <row r="71" ht="62" customHeight="1">
      <c r="A71" s="10">
        <f>_xlfn.IMAGE("https://m.media-amazon.com/images/I/81Zp5JX8nUL.jpg")</f>
        <v/>
      </c>
      <c r="B71" s="32" t="inlineStr">
        <is>
          <t>B0DBW1NXMC</t>
        </is>
      </c>
      <c r="C71" s="32" t="inlineStr">
        <is>
          <t>SATIN-FITTED-TWIN-DARK-GREEN</t>
        </is>
      </c>
      <c r="D71" s="32" t="inlineStr">
        <is>
          <t>DECOLURE Satin Fitted Sheet Twin Size | Softer Than Silk | Luxury 1 Pc Set</t>
        </is>
      </c>
      <c r="E71" s="32" t="inlineStr">
        <is>
          <t>Twin</t>
        </is>
      </c>
      <c r="F71" s="32" t="inlineStr">
        <is>
          <t>Dark Green</t>
        </is>
      </c>
      <c r="G71" s="60" t="n">
        <v>19.95</v>
      </c>
      <c r="H71" s="32" t="inlineStr">
        <is>
          <t>Helium 10 Xray, 2026-10-13</t>
        </is>
      </c>
      <c r="I71" s="61" t="n">
        <v>16.95</v>
      </c>
      <c r="J71" s="62" t="inlineStr">
        <is>
          <t>2026-03-30</t>
        </is>
      </c>
      <c r="K71" s="33" t="n">
        <v>3.590000000000002</v>
      </c>
      <c r="L71" s="63" t="n">
        <v>0.2117994100294986</v>
      </c>
      <c r="M71" s="64" t="n">
        <v>3</v>
      </c>
      <c r="N71" s="32" t="inlineStr">
        <is>
          <t>Active</t>
        </is>
      </c>
      <c r="O71" s="32" t="n"/>
      <c r="P71" s="65" t="n">
        <v>4.5</v>
      </c>
      <c r="Q71" s="64" t="n">
        <v>1284</v>
      </c>
      <c r="R71" s="64" t="n">
        <v>29169</v>
      </c>
      <c r="S71" s="64" t="n">
        <v>14</v>
      </c>
      <c r="T71" s="32" t="n"/>
    </row>
    <row r="72" ht="62" customHeight="1">
      <c r="A72" s="10">
        <f>_xlfn.IMAGE("https://m.media-amazon.com/images/I/71TuVlzH09L.jpg")</f>
        <v/>
      </c>
      <c r="B72" s="32" t="inlineStr">
        <is>
          <t>B0DBW2LTK4</t>
        </is>
      </c>
      <c r="C72" s="32" t="inlineStr">
        <is>
          <t>SATIN-FITTED-TWIN-GREY</t>
        </is>
      </c>
      <c r="D72" s="32" t="inlineStr">
        <is>
          <t>DECOLURE Satin Fitted Sheet Twin Size | Softer Than Silk | Luxury 1 Pc Set</t>
        </is>
      </c>
      <c r="E72" s="32" t="inlineStr">
        <is>
          <t>Twin</t>
        </is>
      </c>
      <c r="F72" s="32" t="inlineStr">
        <is>
          <t>Grey</t>
        </is>
      </c>
      <c r="G72" s="60" t="n">
        <v>19.95</v>
      </c>
      <c r="H72" s="32" t="inlineStr">
        <is>
          <t>Helium 10 Xray, 2026-10-13</t>
        </is>
      </c>
      <c r="I72" s="61" t="n">
        <v>22.95</v>
      </c>
      <c r="J72" s="62" t="inlineStr">
        <is>
          <t>2026-03-30</t>
        </is>
      </c>
      <c r="K72" s="33" t="n">
        <v>10.53</v>
      </c>
      <c r="L72" s="63" t="n">
        <v>0.4588235294117646</v>
      </c>
      <c r="M72" s="64" t="n">
        <v>3</v>
      </c>
      <c r="N72" s="32" t="inlineStr">
        <is>
          <t>Active</t>
        </is>
      </c>
      <c r="O72" s="32" t="n"/>
      <c r="P72" s="65" t="n">
        <v>4.5</v>
      </c>
      <c r="Q72" s="64" t="n">
        <v>1284</v>
      </c>
      <c r="R72" s="64" t="n">
        <v>29169</v>
      </c>
      <c r="S72" s="64" t="n">
        <v>16</v>
      </c>
      <c r="T72" s="32" t="n"/>
    </row>
    <row r="73" ht="62" customHeight="1">
      <c r="A73" s="10">
        <f>_xlfn.IMAGE("https://m.media-amazon.com/images/I/714ktb3sY+L.jpg")</f>
        <v/>
      </c>
      <c r="B73" s="32" t="inlineStr">
        <is>
          <t>B0DBW6FW27</t>
        </is>
      </c>
      <c r="C73" s="32" t="inlineStr">
        <is>
          <t>SATIN-FITTED-TWIN-IVORY</t>
        </is>
      </c>
      <c r="D73" s="32" t="inlineStr">
        <is>
          <t>DECOLURE Satin Fitted Sheet Twin Size | Softer Than Silk | Luxury 1 Pc Set</t>
        </is>
      </c>
      <c r="E73" s="32" t="inlineStr">
        <is>
          <t>Twin</t>
        </is>
      </c>
      <c r="F73" s="32" t="inlineStr">
        <is>
          <t>Ivory</t>
        </is>
      </c>
      <c r="G73" s="60" t="n">
        <v>19.95</v>
      </c>
      <c r="H73" s="32" t="inlineStr">
        <is>
          <t>Helium 10 Xray, 2026-10-13</t>
        </is>
      </c>
      <c r="I73" s="61" t="n">
        <v>15.36</v>
      </c>
      <c r="J73" s="62" t="inlineStr">
        <is>
          <t>2026-03-30</t>
        </is>
      </c>
      <c r="K73" s="33" t="n">
        <v>3.129999999999999</v>
      </c>
      <c r="L73" s="63" t="n">
        <v>0.2037760416666666</v>
      </c>
      <c r="M73" s="64" t="n">
        <v>3</v>
      </c>
      <c r="N73" s="32" t="inlineStr">
        <is>
          <t>Active</t>
        </is>
      </c>
      <c r="O73" s="32" t="n"/>
      <c r="P73" s="65" t="n">
        <v>4.5</v>
      </c>
      <c r="Q73" s="64" t="n">
        <v>1284</v>
      </c>
      <c r="R73" s="64" t="n">
        <v>29169</v>
      </c>
      <c r="S73" s="64" t="n">
        <v>15</v>
      </c>
      <c r="T73" s="32" t="n"/>
    </row>
    <row r="74" ht="62" customHeight="1">
      <c r="A74" s="10">
        <f>_xlfn.IMAGE("https://m.media-amazon.com/images/I/81Zp5JX8nUL.jpg")</f>
        <v/>
      </c>
      <c r="B74" s="32" t="inlineStr">
        <is>
          <t>B0DBVXG561</t>
        </is>
      </c>
      <c r="C74" s="32" t="inlineStr">
        <is>
          <t>SATIN-FITTED-FULL-DARK-GREEN</t>
        </is>
      </c>
      <c r="D74" s="32" t="inlineStr">
        <is>
          <t>DECOLURE Satin Fitted Sheet Full Size | Softer Than Silk | Luxury 1 Pc Set</t>
        </is>
      </c>
      <c r="E74" s="32" t="inlineStr">
        <is>
          <t>Full</t>
        </is>
      </c>
      <c r="F74" s="32" t="inlineStr">
        <is>
          <t>Dark Green</t>
        </is>
      </c>
      <c r="G74" s="60" t="n">
        <v>20.95</v>
      </c>
      <c r="H74" s="32" t="inlineStr">
        <is>
          <t>Helium 10 Xray, 2026-10-13</t>
        </is>
      </c>
      <c r="I74" s="61" t="n">
        <v>17.95</v>
      </c>
      <c r="J74" s="62" t="inlineStr">
        <is>
          <t>2026-03-30</t>
        </is>
      </c>
      <c r="K74" s="33" t="n">
        <v>5.499999999999999</v>
      </c>
      <c r="L74" s="63" t="n">
        <v>0.3064066852367688</v>
      </c>
      <c r="M74" s="64" t="n">
        <v>2</v>
      </c>
      <c r="N74" s="32" t="inlineStr">
        <is>
          <t>Active</t>
        </is>
      </c>
      <c r="O74" s="32" t="inlineStr">
        <is>
          <t>Yes (10%)</t>
        </is>
      </c>
      <c r="P74" s="65" t="n">
        <v>4.5</v>
      </c>
      <c r="Q74" s="64" t="n">
        <v>1284</v>
      </c>
      <c r="R74" s="64" t="n">
        <v>29169</v>
      </c>
      <c r="S74" s="64" t="n">
        <v>10</v>
      </c>
      <c r="T74" s="32" t="n"/>
    </row>
    <row r="75" ht="62" customHeight="1">
      <c r="A75" s="10">
        <f>_xlfn.IMAGE("https://m.media-amazon.com/images/I/81r1IG1mOIL.jpg")</f>
        <v/>
      </c>
      <c r="B75" s="32" t="inlineStr">
        <is>
          <t>B0DBVZ9JMT</t>
        </is>
      </c>
      <c r="C75" s="32" t="inlineStr">
        <is>
          <t>SATIN-FITTED-TWIN-LAVENDER</t>
        </is>
      </c>
      <c r="D75" s="32" t="inlineStr">
        <is>
          <t>DECOLURE Satin Fitted Sheet Twin Size | Softer Than Silk | Luxury 1 Pc Set</t>
        </is>
      </c>
      <c r="E75" s="32" t="inlineStr">
        <is>
          <t>Twin</t>
        </is>
      </c>
      <c r="F75" s="32" t="inlineStr">
        <is>
          <t>Lavender</t>
        </is>
      </c>
      <c r="G75" s="60" t="n">
        <v>19.95</v>
      </c>
      <c r="H75" s="32" t="inlineStr">
        <is>
          <t>Helium 10 Xray, 2026-10-13</t>
        </is>
      </c>
      <c r="I75" s="61" t="n">
        <v>16.95</v>
      </c>
      <c r="J75" s="62" t="inlineStr">
        <is>
          <t>2026-03-30</t>
        </is>
      </c>
      <c r="K75" s="33" t="n">
        <v>5.42</v>
      </c>
      <c r="L75" s="63" t="n">
        <v>0.3197640117994101</v>
      </c>
      <c r="M75" s="64" t="n">
        <v>2</v>
      </c>
      <c r="N75" s="32" t="inlineStr">
        <is>
          <t>Active</t>
        </is>
      </c>
      <c r="O75" s="32" t="n"/>
      <c r="P75" s="65" t="n">
        <v>4.5</v>
      </c>
      <c r="Q75" s="64" t="n">
        <v>1284</v>
      </c>
      <c r="R75" s="64" t="n">
        <v>29169</v>
      </c>
      <c r="S75" s="64" t="n">
        <v>14</v>
      </c>
      <c r="T75" s="32" t="n"/>
    </row>
    <row r="76" ht="62" customHeight="1">
      <c r="A76" s="39" t="inlineStr">
        <is>
          <t>IMAGE MISSING</t>
        </is>
      </c>
      <c r="B76" s="32" t="inlineStr">
        <is>
          <t>B0DBVZBSHL</t>
        </is>
      </c>
      <c r="C76" s="32" t="inlineStr">
        <is>
          <t>SATIN-FITTED-KING-SEA-TEAL</t>
        </is>
      </c>
      <c r="D76" s="32" t="n"/>
      <c r="E76" s="32" t="inlineStr">
        <is>
          <t>King</t>
        </is>
      </c>
      <c r="F76" s="32" t="inlineStr">
        <is>
          <t>Sea Teal</t>
        </is>
      </c>
      <c r="G76" s="60" t="n">
        <v>22.95</v>
      </c>
      <c r="H76" s="32" t="inlineStr">
        <is>
          <t>SellerBoard listing price, 2026-10-14</t>
        </is>
      </c>
      <c r="I76" s="61" t="n">
        <v>19.95</v>
      </c>
      <c r="J76" s="62" t="inlineStr">
        <is>
          <t>2026-03-30</t>
        </is>
      </c>
      <c r="K76" s="33" t="n">
        <v>5.56</v>
      </c>
      <c r="L76" s="63" t="n">
        <v>0.2786967418546366</v>
      </c>
      <c r="M76" s="64" t="n">
        <v>1</v>
      </c>
      <c r="N76" s="32" t="n"/>
      <c r="O76" s="32" t="n"/>
      <c r="P76" s="65" t="n"/>
      <c r="Q76" s="64" t="n"/>
      <c r="R76" s="64" t="n"/>
      <c r="S76" s="64" t="n"/>
      <c r="T76" s="32" t="n"/>
    </row>
    <row r="77" ht="62" customHeight="1">
      <c r="A77" s="10">
        <f>_xlfn.IMAGE("https://m.media-amazon.com/images/I/714ktb3sY+L.jpg")</f>
        <v/>
      </c>
      <c r="B77" s="32" t="inlineStr">
        <is>
          <t>B0DBW128WH</t>
        </is>
      </c>
      <c r="C77" s="32" t="inlineStr">
        <is>
          <t>SATIN-FITTED-QUEEN-IVORY</t>
        </is>
      </c>
      <c r="D77" s="32" t="inlineStr">
        <is>
          <t>DECOLURE Satin Fitted Sheet Queen Size | Softer Than Silk | Luxury 1 Pc Set</t>
        </is>
      </c>
      <c r="E77" s="32" t="inlineStr">
        <is>
          <t>Queen</t>
        </is>
      </c>
      <c r="F77" s="32" t="inlineStr">
        <is>
          <t>Ivory</t>
        </is>
      </c>
      <c r="G77" s="60" t="n">
        <v>21.95</v>
      </c>
      <c r="H77" s="32" t="inlineStr">
        <is>
          <t>SellerBoard listing price, 2026-10-14</t>
        </is>
      </c>
      <c r="I77" s="61" t="n">
        <v>17.95</v>
      </c>
      <c r="J77" s="62" t="inlineStr">
        <is>
          <t>2026-03-30</t>
        </is>
      </c>
      <c r="K77" s="33" t="n">
        <v>4.659999999999999</v>
      </c>
      <c r="L77" s="63" t="n">
        <v>0.2596100278551532</v>
      </c>
      <c r="M77" s="64" t="n">
        <v>1</v>
      </c>
      <c r="N77" s="32" t="inlineStr">
        <is>
          <t>Inactive</t>
        </is>
      </c>
      <c r="O77" s="32" t="n"/>
      <c r="P77" s="65" t="n"/>
      <c r="Q77" s="64" t="n"/>
      <c r="R77" s="64" t="n"/>
      <c r="S77" s="64" t="n"/>
      <c r="T77" s="32" t="n"/>
    </row>
    <row r="78" ht="62" customHeight="1">
      <c r="A78" s="10">
        <f>_xlfn.IMAGE("https://m.media-amazon.com/images/I/71APUp+JE3L.jpg")</f>
        <v/>
      </c>
      <c r="B78" s="32" t="inlineStr">
        <is>
          <t>B0DBVZTM41</t>
        </is>
      </c>
      <c r="C78" s="32" t="inlineStr">
        <is>
          <t>SATIN-FITTED-FULL-BLACK</t>
        </is>
      </c>
      <c r="D78" s="32" t="inlineStr">
        <is>
          <t>DECOLURE Satin Fitted Sheet Full Size | Softer Than Silk | Luxury 1 Pc Set</t>
        </is>
      </c>
      <c r="E78" s="32" t="inlineStr">
        <is>
          <t>Full</t>
        </is>
      </c>
      <c r="F78" s="32" t="inlineStr">
        <is>
          <t>Black</t>
        </is>
      </c>
      <c r="G78" s="60" t="n">
        <v>20.95</v>
      </c>
      <c r="H78" s="32" t="inlineStr">
        <is>
          <t>SellerBoard listing price, 2026-10-14</t>
        </is>
      </c>
      <c r="I78" s="61" t="n">
        <v>17.95</v>
      </c>
      <c r="J78" s="62" t="inlineStr">
        <is>
          <t>2026-03-30</t>
        </is>
      </c>
      <c r="K78" s="33" t="n">
        <v>5.569999999999999</v>
      </c>
      <c r="L78" s="63" t="n">
        <v>0.3103064066852367</v>
      </c>
      <c r="M78" s="64" t="n"/>
      <c r="N78" s="32" t="inlineStr">
        <is>
          <t>Inactive</t>
        </is>
      </c>
      <c r="O78" s="32" t="n"/>
      <c r="P78" s="65" t="n"/>
      <c r="Q78" s="64" t="n"/>
      <c r="R78" s="64" t="n"/>
      <c r="S78" s="64" t="n"/>
      <c r="T78" s="32" t="n"/>
    </row>
    <row r="79" ht="62" customHeight="1">
      <c r="A79" s="10">
        <f>_xlfn.IMAGE("https://m.media-amazon.com/images/I/71JA-96z1+L.jpg")</f>
        <v/>
      </c>
      <c r="B79" s="32" t="inlineStr">
        <is>
          <t>B0DBW17KGC</t>
        </is>
      </c>
      <c r="C79" s="32" t="inlineStr">
        <is>
          <t>SATIN-FITTED-FULL-ROSEWOOD</t>
        </is>
      </c>
      <c r="D79" s="32" t="inlineStr">
        <is>
          <t>DECOLURE Satin Fitted Sheet Full Size | Softer Than Silk | Luxury 1 Pc Set</t>
        </is>
      </c>
      <c r="E79" s="32" t="inlineStr">
        <is>
          <t>Full</t>
        </is>
      </c>
      <c r="F79" s="32" t="inlineStr">
        <is>
          <t>Rosewood</t>
        </is>
      </c>
      <c r="G79" s="60" t="n">
        <v>17.95</v>
      </c>
      <c r="H79" s="32" t="inlineStr">
        <is>
          <t>SellerBoard listing price, 2026-10-14</t>
        </is>
      </c>
      <c r="I79" s="61" t="n">
        <v>17.95</v>
      </c>
      <c r="J79" s="62" t="inlineStr">
        <is>
          <t>2026-03-30</t>
        </is>
      </c>
      <c r="K79" s="33" t="n">
        <v>5.599999999999999</v>
      </c>
      <c r="L79" s="63" t="n">
        <v>0.3119777158774373</v>
      </c>
      <c r="M79" s="64" t="n"/>
      <c r="N79" s="32" t="inlineStr">
        <is>
          <t>Inactive</t>
        </is>
      </c>
      <c r="O79" s="32" t="n"/>
      <c r="P79" s="65" t="n"/>
      <c r="Q79" s="64" t="n"/>
      <c r="R79" s="64" t="n"/>
      <c r="S79" s="64" t="n"/>
      <c r="T79" s="32" t="n"/>
    </row>
    <row r="80" ht="62" customHeight="1">
      <c r="A80" s="39" t="inlineStr">
        <is>
          <t>IMAGE MISSING</t>
        </is>
      </c>
      <c r="B80" s="32" t="inlineStr">
        <is>
          <t>B0DBVY2YWN</t>
        </is>
      </c>
      <c r="C80" s="32" t="inlineStr">
        <is>
          <t>SATIN-FITTED-KING-BABY-BLUE</t>
        </is>
      </c>
      <c r="D80" s="32" t="n"/>
      <c r="E80" s="32" t="inlineStr">
        <is>
          <t>King</t>
        </is>
      </c>
      <c r="F80" s="32" t="inlineStr">
        <is>
          <t>Baby Blue</t>
        </is>
      </c>
      <c r="G80" s="60" t="n">
        <v>22.95</v>
      </c>
      <c r="H80" s="32" t="inlineStr">
        <is>
          <t>SellerBoard listing price, 2026-10-14</t>
        </is>
      </c>
      <c r="I80" s="61" t="n">
        <v>19.95</v>
      </c>
      <c r="J80" s="62" t="inlineStr">
        <is>
          <t>2026-03-30</t>
        </is>
      </c>
      <c r="K80" s="33" t="n">
        <v>5.680000000000002</v>
      </c>
      <c r="L80" s="63" t="n">
        <v>0.2847117794486217</v>
      </c>
      <c r="M80" s="64" t="n"/>
      <c r="N80" s="32" t="n"/>
      <c r="O80" s="32" t="n"/>
      <c r="P80" s="65" t="n"/>
      <c r="Q80" s="64" t="n"/>
      <c r="R80" s="64" t="n"/>
      <c r="S80" s="64" t="n"/>
      <c r="T80" s="32" t="n"/>
    </row>
    <row r="81" ht="62" customHeight="1">
      <c r="A81" s="10">
        <f>_xlfn.IMAGE("https://m.media-amazon.com/images/I/71JA-96z1+L.jpg")</f>
        <v/>
      </c>
      <c r="B81" s="32" t="inlineStr">
        <is>
          <t>B0DBW2HZBF</t>
        </is>
      </c>
      <c r="C81" s="32" t="inlineStr">
        <is>
          <t>SATIN-FITTED-QUEEN-ROSEWOOD</t>
        </is>
      </c>
      <c r="D81" s="32" t="inlineStr">
        <is>
          <t>DECOLURE Satin Fitted Sheet Queen Size | Softer Than Silk | Luxury 1 Pc Set</t>
        </is>
      </c>
      <c r="E81" s="32" t="inlineStr">
        <is>
          <t>Queen</t>
        </is>
      </c>
      <c r="F81" s="32" t="inlineStr">
        <is>
          <t>Rosewood</t>
        </is>
      </c>
      <c r="G81" s="60" t="n">
        <v>21.95</v>
      </c>
      <c r="H81" s="32" t="inlineStr">
        <is>
          <t>SellerBoard listing price, 2026-10-14</t>
        </is>
      </c>
      <c r="I81" s="61" t="n">
        <v>24.95</v>
      </c>
      <c r="J81" s="62" t="inlineStr">
        <is>
          <t>2026-03-30</t>
        </is>
      </c>
      <c r="K81" s="33" t="n">
        <v>10.35</v>
      </c>
      <c r="L81" s="63" t="n">
        <v>0.4148296593186374</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 Softer Than Silk | Luxury 1 Pc Set</t>
        </is>
      </c>
      <c r="E82" s="32" t="inlineStr">
        <is>
          <t>Queen</t>
        </is>
      </c>
      <c r="F82" s="32" t="inlineStr">
        <is>
          <t>Stone Grey</t>
        </is>
      </c>
      <c r="G82" s="60" t="n">
        <v>21.95</v>
      </c>
      <c r="H82" s="32" t="inlineStr">
        <is>
          <t>SellerBoard listing price, 2026-10-14</t>
        </is>
      </c>
      <c r="I82" s="61" t="n">
        <v>17.95</v>
      </c>
      <c r="J82" s="62" t="inlineStr">
        <is>
          <t>2026-03-30</t>
        </is>
      </c>
      <c r="K82" s="33" t="n">
        <v>4.29</v>
      </c>
      <c r="L82" s="63" t="n">
        <v>0.2389972144846797</v>
      </c>
      <c r="M82" s="64" t="n">
        <v>0</v>
      </c>
      <c r="N82" s="32" t="inlineStr">
        <is>
          <t>Inactive</t>
        </is>
      </c>
      <c r="O82" s="32" t="n"/>
      <c r="P82" s="65" t="n"/>
      <c r="Q82" s="64" t="n"/>
      <c r="R82" s="64" t="n"/>
      <c r="S82" s="64" t="n"/>
      <c r="T82" s="32" t="n"/>
    </row>
    <row r="83" ht="62" customHeight="1">
      <c r="A83" s="10">
        <f>_xlfn.IMAGE("https://m.media-amazon.com/images/I/71APUp+JE3L.jpg")</f>
        <v/>
      </c>
      <c r="B83" s="32" t="inlineStr">
        <is>
          <t>B0DBVZRL8V</t>
        </is>
      </c>
      <c r="C83" s="32" t="inlineStr">
        <is>
          <t>SATIN-FITTED-TWIN-BLACK</t>
        </is>
      </c>
      <c r="D83" s="32" t="inlineStr">
        <is>
          <t>DECOLURE Satin Fitted Sheet Twin Size | Softer Than Silk | Luxury 1 Pc Set</t>
        </is>
      </c>
      <c r="E83" s="32" t="inlineStr">
        <is>
          <t>Twin</t>
        </is>
      </c>
      <c r="F83" s="32" t="inlineStr">
        <is>
          <t>Black</t>
        </is>
      </c>
      <c r="G83" s="60" t="n">
        <v>19.95</v>
      </c>
      <c r="H83" s="32" t="inlineStr">
        <is>
          <t>SellerBoard listing price, 2026-10-14</t>
        </is>
      </c>
      <c r="I83" s="61" t="n">
        <v>16.95</v>
      </c>
      <c r="J83" s="62" t="inlineStr">
        <is>
          <t>2026-03-30</t>
        </is>
      </c>
      <c r="K83" s="33" t="n">
        <v>5.02</v>
      </c>
      <c r="L83" s="63" t="n">
        <v>0.2961651917404129</v>
      </c>
      <c r="M83" s="64" t="n">
        <v>0</v>
      </c>
      <c r="N83" s="32" t="inlineStr">
        <is>
          <t>Inactive</t>
        </is>
      </c>
      <c r="O83" s="32" t="n"/>
      <c r="P83" s="65" t="n"/>
      <c r="Q83" s="64" t="n"/>
      <c r="R83" s="64" t="n"/>
      <c r="S83" s="64" t="n"/>
      <c r="T83" s="32" t="n"/>
    </row>
    <row r="84" ht="62" customHeight="1">
      <c r="A84" s="10">
        <f>_xlfn.IMAGE("https://m.media-amazon.com/images/I/818qIvZ2yIL.jpg")</f>
        <v/>
      </c>
      <c r="B84" s="32" t="inlineStr">
        <is>
          <t>B0DBVZY5T2</t>
        </is>
      </c>
      <c r="C84" s="32" t="inlineStr">
        <is>
          <t>SATIN-FITTED-TWIN-GOLD</t>
        </is>
      </c>
      <c r="D84" s="32" t="inlineStr">
        <is>
          <t>DECOLURE Satin Fitted Sheet Twin Size | Softer Than Silk | Luxury 1 Pc Set</t>
        </is>
      </c>
      <c r="E84" s="32" t="inlineStr">
        <is>
          <t>Twin</t>
        </is>
      </c>
      <c r="F84" s="32" t="inlineStr">
        <is>
          <t>Gold</t>
        </is>
      </c>
      <c r="G84" s="60" t="n">
        <v>19.95</v>
      </c>
      <c r="H84" s="32" t="inlineStr">
        <is>
          <t>Helium 10 Xray, 2026-10-13</t>
        </is>
      </c>
      <c r="I84" s="61" t="n">
        <v>16.95</v>
      </c>
      <c r="J84" s="62" t="inlineStr">
        <is>
          <t>2026-03-30</t>
        </is>
      </c>
      <c r="K84" s="33" t="n">
        <v>4.23</v>
      </c>
      <c r="L84" s="63" t="n">
        <v>0.2495575221238938</v>
      </c>
      <c r="M84" s="64" t="n">
        <v>0</v>
      </c>
      <c r="N84" s="32" t="inlineStr">
        <is>
          <t>Active</t>
        </is>
      </c>
      <c r="O84" s="32" t="n"/>
      <c r="P84" s="65" t="n">
        <v>4.5</v>
      </c>
      <c r="Q84" s="64" t="n">
        <v>1284</v>
      </c>
      <c r="R84" s="64" t="n">
        <v>29175</v>
      </c>
      <c r="S84" s="64" t="n">
        <v>15</v>
      </c>
      <c r="T84" s="32" t="n"/>
    </row>
    <row r="85" ht="62" customHeight="1">
      <c r="A85" s="10">
        <f>_xlfn.IMAGE("https://m.media-amazon.com/images/I/71JA-96z1+L.jpg")</f>
        <v/>
      </c>
      <c r="B85" s="32" t="inlineStr">
        <is>
          <t>B0DBVY3FF2</t>
        </is>
      </c>
      <c r="C85" s="32" t="inlineStr">
        <is>
          <t>SATIN-FITTED-TWIN-ROSEWOOD</t>
        </is>
      </c>
      <c r="D85" s="32" t="inlineStr">
        <is>
          <t>DECOLURE Satin Fitted Sheet Twin Size | Softer Than Silk | Luxury 1 Pc Set</t>
        </is>
      </c>
      <c r="E85" s="32" t="inlineStr">
        <is>
          <t>Twin</t>
        </is>
      </c>
      <c r="F85" s="32" t="inlineStr">
        <is>
          <t>Rosewood</t>
        </is>
      </c>
      <c r="G85" s="60" t="n">
        <v>16.95</v>
      </c>
      <c r="H85" s="32" t="inlineStr">
        <is>
          <t>SellerBoard listing price, 2026-10-14</t>
        </is>
      </c>
      <c r="I85" s="61" t="n">
        <v>16.95</v>
      </c>
      <c r="J85" s="62" t="inlineStr">
        <is>
          <t>2026-03-30</t>
        </is>
      </c>
      <c r="K85" s="33" t="n">
        <v>4.97</v>
      </c>
      <c r="L85" s="63" t="n">
        <v>0.2932153392330383</v>
      </c>
      <c r="M85" s="64" t="n"/>
      <c r="N85" s="32" t="inlineStr">
        <is>
          <t>Inactive</t>
        </is>
      </c>
      <c r="O85" s="32" t="n"/>
      <c r="P85" s="65" t="n"/>
      <c r="Q85" s="64" t="n"/>
      <c r="R85" s="64" t="n"/>
      <c r="S85" s="64" t="n"/>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3357.949999999999</v>
      </c>
      <c r="E89" s="71" t="n">
        <v>7988.920000000001</v>
      </c>
      <c r="F89" s="72" t="n">
        <v>42</v>
      </c>
      <c r="G89" s="72" t="n">
        <v>11.19059283031569</v>
      </c>
      <c r="H89" s="71" t="n">
        <v>30006.9</v>
      </c>
      <c r="J89" s="73" t="n">
        <v>409</v>
      </c>
      <c r="K89" s="74" t="n">
        <v>15.63</v>
      </c>
    </row>
    <row r="90">
      <c r="A90" s="70" t="inlineStr">
        <is>
          <t>BFCM week Nov 20 - Dec 1, 2025 (12d)</t>
        </is>
      </c>
      <c r="B90" s="68" t="n"/>
      <c r="C90" s="69" t="n"/>
      <c r="D90" s="71" t="n">
        <v>2307.02</v>
      </c>
      <c r="E90" s="71" t="n">
        <v>6578.82</v>
      </c>
      <c r="F90" s="72" t="n">
        <v>35.1</v>
      </c>
      <c r="G90" s="72" t="n">
        <v>7.783778166607172</v>
      </c>
      <c r="H90" s="71" t="n">
        <v>29638.82</v>
      </c>
      <c r="J90" s="73" t="n">
        <v>387</v>
      </c>
      <c r="K90" s="74" t="n">
        <v>21.07</v>
      </c>
    </row>
    <row r="91">
      <c r="A91" s="70" t="inlineStr">
        <is>
          <t>December 2 - 31, 2025 (30d)</t>
        </is>
      </c>
      <c r="B91" s="68" t="n"/>
      <c r="C91" s="69" t="n"/>
      <c r="D91" s="71" t="n">
        <v>5470.020000000001</v>
      </c>
      <c r="E91" s="71" t="n">
        <v>14753.19</v>
      </c>
      <c r="F91" s="72" t="n">
        <v>37.1</v>
      </c>
      <c r="G91" s="72" t="n">
        <v>12.03836770014319</v>
      </c>
      <c r="H91" s="71" t="n">
        <v>45438.22</v>
      </c>
      <c r="J91" s="73" t="n">
        <v>724</v>
      </c>
      <c r="K91" s="74" t="n">
        <v>16.65</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30006.9</v>
      </c>
      <c r="E94" s="73" t="n">
        <v>1630</v>
      </c>
      <c r="F94" s="73" t="n">
        <v>1538</v>
      </c>
      <c r="G94" s="73" t="n">
        <v>92</v>
      </c>
      <c r="H94" s="71" t="n">
        <v>3372.27</v>
      </c>
      <c r="J94" s="75" t="n">
        <v>0.1123831518750687</v>
      </c>
      <c r="K94" s="73" t="n">
        <v>17028</v>
      </c>
      <c r="L94" s="75" t="n">
        <v>0.09572468874794456</v>
      </c>
      <c r="M94" s="76" t="n">
        <v>18.40914110429448</v>
      </c>
      <c r="N94" s="73" t="n">
        <v>95</v>
      </c>
    </row>
    <row r="95">
      <c r="A95" s="70" t="inlineStr">
        <is>
          <t>BFCM week Nov 20 - Dec 1, 2025 (12d)</t>
        </is>
      </c>
      <c r="B95" s="68" t="n"/>
      <c r="C95" s="69" t="n"/>
      <c r="D95" s="71" t="n">
        <v>29638.82</v>
      </c>
      <c r="E95" s="73" t="n">
        <v>1910</v>
      </c>
      <c r="F95" s="73" t="n">
        <v>1831</v>
      </c>
      <c r="G95" s="73" t="n">
        <v>79</v>
      </c>
      <c r="H95" s="71" t="n">
        <v>2317.83</v>
      </c>
      <c r="J95" s="75" t="n">
        <v>0.07820250603768976</v>
      </c>
      <c r="K95" s="73" t="n">
        <v>18981</v>
      </c>
      <c r="L95" s="75" t="n">
        <v>0.1006269427322059</v>
      </c>
      <c r="M95" s="76" t="n">
        <v>15.51770680628272</v>
      </c>
      <c r="N95" s="73" t="n">
        <v>35</v>
      </c>
    </row>
    <row r="96">
      <c r="A96" s="70" t="inlineStr">
        <is>
          <t>December 2 - 31, 2025 (30d)</t>
        </is>
      </c>
      <c r="B96" s="68" t="n"/>
      <c r="C96" s="69" t="n"/>
      <c r="D96" s="71" t="n">
        <v>45438.22</v>
      </c>
      <c r="E96" s="73" t="n">
        <v>2466</v>
      </c>
      <c r="F96" s="73" t="n">
        <v>2306</v>
      </c>
      <c r="G96" s="73" t="n">
        <v>160</v>
      </c>
      <c r="H96" s="71" t="n">
        <v>5539.42</v>
      </c>
      <c r="J96" s="75" t="n">
        <v>0.1219110255639415</v>
      </c>
      <c r="K96" s="73" t="n">
        <v>24008</v>
      </c>
      <c r="L96" s="75" t="n">
        <v>0.1027157614128624</v>
      </c>
      <c r="M96" s="76" t="n">
        <v>18.4258799675588</v>
      </c>
      <c r="N96" s="73" t="n">
        <v>180</v>
      </c>
    </row>
    <row r="97">
      <c r="A97" s="59" t="inlineStr">
        <is>
          <t>SellerBoard, Ecotero account, Amazon parent B0DZ17NCJ4 plus any of this product's child ASINs SellerBoard lists on their own, UTC days. Lift above uses these actual sales (2.47x; the ad-spend estimate was 2.47x).</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Lightning Deal 11-01 to 11-01 (cancelled, 60 variations); Lightning Deal 11-04 to 11-05 (cancelled, 60 variations); Lightning Deal 11-13 to 11-14 (cancelled, 60 variations); Best Deal 11-20 to 12-02 (ran, 66 variations, 1,865 units; Keepa lowest Buy Box during it $15.15 on B0DBW1PNJ8).</t>
        </is>
      </c>
    </row>
    <row r="99" ht="26" customHeight="1">
      <c r="A99" s="77" t="inlineStr">
        <is>
          <t>Stock in BFCM week 2025 (FBA inventory snapshots, child-ASIN level, revision 2): 0 of 68 variations hit zero FBA stock on at least one observed day; weighted by today's sales mix that is ~0.0% of variation-days lost. Snapshots missing: US Nov 26-27 and Dec 1 (Cyber Monday); CA Nov 24, 29-30.</t>
        </is>
      </c>
    </row>
    <row r="100">
      <c r="A100" s="59" t="inlineStr">
        <is>
          <t>Command Center visibility for our best child B0DBW1PNJ8: organic score 98.1 before BFCM 2025 → 70.8 in BFCM week; Prime Day 2026 78.0 → 84.0; Aug-Sep 2026 51.7.</t>
        </is>
      </c>
    </row>
    <row r="102" ht="20" customHeight="1">
      <c r="A102" s="54" t="inlineStr">
        <is>
          <t>4 · COMPETITOR LANDSCAPE (14 mapped)</t>
        </is>
      </c>
    </row>
    <row r="103">
      <c r="A103" s="59" t="inlineStr">
        <is>
          <t>Sorted by tier, then estimated weekly units. Green = Command Center price/sales; blue = Data Dive listing; purple = Command Center search strategy (ASINsight); yellow = fill from Keepa / page check.</t>
        </is>
      </c>
    </row>
    <row r="104">
      <c r="A104" s="78" t="inlineStr">
        <is>
          <t>COMPETITOR</t>
        </is>
      </c>
      <c r="I104" s="79" t="inlineStr">
        <is>
          <t>LISTING - Data Dive</t>
        </is>
      </c>
      <c r="J104" s="80" t="inlineStr">
        <is>
          <t>SEARCH STRATEGY - Command Center ASINsight</t>
        </is>
      </c>
      <c r="K104" s="81" t="inlineStr">
        <is>
          <t>PRICE &amp; SALES - Command Center snapshot (date per row)</t>
        </is>
      </c>
      <c r="X104" s="79" t="inlineStr">
        <is>
          <t>LISTING - Data Dive</t>
        </is>
      </c>
      <c r="AA104" s="80" t="inlineStr">
        <is>
          <t>SEARCH STRATEGY - Command Center ASINsight</t>
        </is>
      </c>
      <c r="AR104" s="82" t="inlineStr">
        <is>
          <t>STR NOW - Amazon page check (Oct 13, P1 + P2)</t>
        </is>
      </c>
      <c r="AY104" s="83" t="inlineStr">
        <is>
          <t>BFCM 2025 - Keepa (P1 filled; yellow = not pulled yet)</t>
        </is>
      </c>
    </row>
    <row r="105" ht="48" customHeight="1">
      <c r="A105" s="22" t="inlineStr">
        <is>
          <t>Image</t>
        </is>
      </c>
      <c r="B105" s="22" t="inlineStr">
        <is>
          <t>Brand</t>
        </is>
      </c>
      <c r="C105" s="22" t="inlineStr">
        <is>
          <t>Product title</t>
        </is>
      </c>
      <c r="D105" s="22" t="inlineStr">
        <is>
          <t>Tier</t>
        </is>
      </c>
      <c r="E105" s="22" t="inlineStr">
        <is>
          <t>Parent ASIN</t>
        </is>
      </c>
      <c r="F105" s="22" t="inlineStr">
        <is>
          <t>Tracked child ASIN</t>
        </is>
      </c>
      <c r="G105" s="22" t="inlineStr">
        <is>
          <t>Size (title)</t>
        </is>
      </c>
      <c r="H105" s="22" t="inlineStr">
        <is>
          <t>Colour (title)</t>
        </is>
      </c>
      <c r="I105" s="22" t="inlineStr">
        <is>
          <t>Variations</t>
        </is>
      </c>
      <c r="J105" s="22" t="inlineStr">
        <is>
          <t>Hero child ASINs (share of their visibility)</t>
        </is>
      </c>
      <c r="K105" s="22" t="inlineStr">
        <is>
          <t>Price ($)</t>
        </is>
      </c>
      <c r="L105" s="22" t="inlineStr">
        <is>
          <t>List Price ($)</t>
        </is>
      </c>
      <c r="M105" s="22" t="inlineStr">
        <is>
          <t>List Price % over</t>
        </is>
      </c>
      <c r="N105" s="22" t="inlineStr">
        <is>
          <t>STR band</t>
        </is>
      </c>
      <c r="O105" s="22" t="inlineStr">
        <is>
          <t>Our price, same size ($)</t>
        </is>
      </c>
      <c r="P105" s="22" t="inlineStr">
        <is>
          <t>Their price vs ours</t>
        </is>
      </c>
      <c r="Q105" s="22" t="inlineStr">
        <is>
          <t>Comparison basis</t>
        </is>
      </c>
      <c r="R105" s="22" t="inlineStr">
        <is>
          <t>BSR</t>
        </is>
      </c>
      <c r="S105" s="22" t="inlineStr">
        <is>
          <t>Est weekly units</t>
        </is>
      </c>
      <c r="T105" s="22" t="inlineStr">
        <is>
          <t>Est monthly revenue ($)</t>
        </is>
      </c>
      <c r="U105" s="22" t="inlineStr">
        <is>
          <t>Rating</t>
        </is>
      </c>
      <c r="V105" s="22" t="inlineStr">
        <is>
          <t>Reviews</t>
        </is>
      </c>
      <c r="W105" s="22" t="inlineStr">
        <is>
          <t>Snapshot date</t>
        </is>
      </c>
      <c r="X105" s="22" t="inlineStr">
        <is>
          <t>Listed</t>
        </is>
      </c>
      <c r="Y105" s="22" t="inlineStr">
        <is>
          <t>Fulfil.</t>
        </is>
      </c>
      <c r="Z105" s="22" t="inlineStr">
        <is>
          <t>Seller country</t>
        </is>
      </c>
      <c r="AA105" s="22" t="inlineStr">
        <is>
          <t>ASINsight 7d traffic</t>
        </is>
      </c>
      <c r="AB105" s="22" t="inlineStr">
        <is>
          <t>Keywords ranked</t>
        </is>
      </c>
      <c r="AC105" s="22" t="inlineStr">
        <is>
          <t>Organic share of traffic</t>
        </is>
      </c>
      <c r="AD105" s="22" t="inlineStr">
        <is>
          <t>Ad share of traffic</t>
        </is>
      </c>
      <c r="AE105" s="22" t="inlineStr">
        <is>
          <t>Top keyword</t>
        </is>
      </c>
      <c r="AF105" s="22" t="inlineStr">
        <is>
          <t>SP reach</t>
        </is>
      </c>
      <c r="AG105" s="22" t="inlineStr">
        <is>
          <t>SB reach</t>
        </is>
      </c>
      <c r="AH105" s="22" t="inlineStr">
        <is>
          <t>SB video reach</t>
        </is>
      </c>
      <c r="AI105" s="22" t="inlineStr">
        <is>
          <t>Amazon's Choice reach</t>
        </is>
      </c>
      <c r="AJ105" s="22" t="inlineStr">
        <is>
          <t>Shared keywords</t>
        </is>
      </c>
      <c r="AK105" s="22" t="inlineStr">
        <is>
          <t>We win</t>
        </is>
      </c>
      <c r="AL105" s="22" t="inlineStr">
        <is>
          <t>We lose</t>
        </is>
      </c>
      <c r="AM105" s="22" t="inlineStr">
        <is>
          <t>Their keywords we miss</t>
        </is>
      </c>
      <c r="AN105" s="22" t="inlineStr">
        <is>
          <t>KWs they advertise, we don't</t>
        </is>
      </c>
      <c r="AO105" s="22" t="inlineStr">
        <is>
          <t>KWs they out-advertise us</t>
        </is>
      </c>
      <c r="AP105" s="22" t="inlineStr">
        <is>
          <t>Prime Day 2026 organic vis lift</t>
        </is>
      </c>
      <c r="AQ105" s="22" t="inlineStr">
        <is>
          <t>Organic trend (Aug-Sep vs Q2)</t>
        </is>
      </c>
      <c r="AR105" s="22" t="inlineStr">
        <is>
          <t>STR showing now? (Y/N)</t>
        </is>
      </c>
      <c r="AS105" s="22" t="inlineStr">
        <is>
          <t>STR label</t>
        </is>
      </c>
      <c r="AT105" s="22" t="inlineStr">
        <is>
          <t>Strikethrough price ($)</t>
        </is>
      </c>
      <c r="AU105" s="22" t="inlineStr">
        <is>
          <t>Page price at check ($)</t>
        </is>
      </c>
      <c r="AV105" s="22" t="inlineStr">
        <is>
          <t>Deal / coupon now</t>
        </is>
      </c>
      <c r="AW105" s="22" t="inlineStr">
        <is>
          <t>Orderable now (Y/N)</t>
        </is>
      </c>
      <c r="AX105" s="22" t="inlineStr">
        <is>
          <t>Checked (ET)</t>
        </is>
      </c>
      <c r="AY105" s="22" t="inlineStr">
        <is>
          <t>BFCM 2025 deal type</t>
        </is>
      </c>
      <c r="AZ105" s="22" t="inlineStr">
        <is>
          <t>BFCM 2025 deal dates</t>
        </is>
      </c>
      <c r="BA105" s="22" t="inlineStr">
        <is>
          <t>Pre-event price ($)</t>
        </is>
      </c>
      <c r="BB105" s="22" t="inlineStr">
        <is>
          <t>BFCM 2025 low ($)</t>
        </is>
      </c>
      <c r="BC105" s="22" t="inlineStr">
        <is>
          <t>BFCM 2025 discount</t>
        </is>
      </c>
      <c r="BD105" s="22" t="inlineStr">
        <is>
          <t>BSR pre-event</t>
        </is>
      </c>
      <c r="BE105" s="22" t="inlineStr">
        <is>
          <t>BSR BFCM wk</t>
        </is>
      </c>
      <c r="BF105" s="22" t="inlineStr">
        <is>
          <t>BSR lift (x)</t>
        </is>
      </c>
      <c r="BG105" s="22" t="inlineStr">
        <is>
          <t>OOS in BFCM? (Y/N)</t>
        </is>
      </c>
      <c r="BH105" s="22" t="inlineStr">
        <is>
          <t>Notes</t>
        </is>
      </c>
    </row>
    <row r="106" ht="62" customHeight="1">
      <c r="A106" s="39" t="inlineStr">
        <is>
          <t>IMAGE MISSING</t>
        </is>
      </c>
      <c r="B106" s="84" t="inlineStr">
        <is>
          <t>BEDELITE</t>
        </is>
      </c>
      <c r="C106" s="32" t="inlineStr">
        <is>
          <t>Satin Fitted Sheet</t>
        </is>
      </c>
      <c r="D106" s="84" t="inlineStr">
        <is>
          <t>Beatable</t>
        </is>
      </c>
      <c r="E106" s="84" t="inlineStr">
        <is>
          <t>B0FNMFHHW7</t>
        </is>
      </c>
      <c r="F106" s="84" t="inlineStr">
        <is>
          <t>B0FL2BK9CR</t>
        </is>
      </c>
      <c r="G106" s="84" t="n"/>
      <c r="H106" s="84" t="n"/>
      <c r="I106" s="85" t="n">
        <v>30</v>
      </c>
      <c r="J106" s="32" t="inlineStr">
        <is>
          <t>B0FL2BK9CR (67%), B0FL2BLLVL (9%), B0FL2CPFYZ (8%)</t>
        </is>
      </c>
      <c r="K106" s="86" t="n">
        <v>13.99</v>
      </c>
      <c r="L106" s="86" t="n"/>
      <c r="M106" s="87">
        <f>IF(AND(ISNUMBER(L106),ISNUMBER(K106),N(K106)&gt;0),L106/K106-1,"")</f>
        <v/>
      </c>
      <c r="N106" s="88">
        <f>IF(M106="","No List Price",IF(M106&lt;=0,"At/below price",IF(M106&lt;=0.12,"&lt;=12% STR zone",IF(M106&lt;=0.25,"12-25%","&gt;25% over"))))</f>
        <v/>
      </c>
      <c r="O106" s="86" t="n">
        <v>21.95</v>
      </c>
      <c r="P106" s="89">
        <f>IF(AND(ISNUMBER(K106),ISNUMBER(O106),N(O106)&gt;0),K106/O106-1,"")</f>
        <v/>
      </c>
      <c r="Q106" s="32" t="inlineStr">
        <is>
          <t>Size not stated - vs our Queen. Ours live: Helium 10 Xray, 2026-10-13; 17 children</t>
        </is>
      </c>
      <c r="R106" s="85" t="n">
        <v>11489</v>
      </c>
      <c r="S106" s="85" t="n">
        <v>208</v>
      </c>
      <c r="T106" s="90">
        <f>IF(AND(ISNUMBER(K106),ISNUMBER(S106)),K106*S106*52/12,"")</f>
        <v/>
      </c>
      <c r="U106" s="91" t="n">
        <v>4.4</v>
      </c>
      <c r="V106" s="85" t="n">
        <v>528</v>
      </c>
      <c r="W106" s="92" t="n">
        <v>46307</v>
      </c>
      <c r="X106" s="92" t="n"/>
      <c r="Y106" s="84" t="n"/>
      <c r="Z106" s="84" t="n"/>
      <c r="AA106" s="85" t="n">
        <v>91747</v>
      </c>
      <c r="AB106" s="85" t="n">
        <v>1002</v>
      </c>
      <c r="AC106" s="93" t="n">
        <v>0.6396661122434514</v>
      </c>
      <c r="AD106" s="93" t="n">
        <v>0.3603339923921218</v>
      </c>
      <c r="AE106" s="32" t="inlineStr">
        <is>
          <t>silk sheets</t>
        </is>
      </c>
      <c r="AF106" s="93" t="n">
        <v>0.8237435556475962</v>
      </c>
      <c r="AG106" s="93" t="n"/>
      <c r="AH106" s="93" t="n"/>
      <c r="AI106" s="93" t="n">
        <v>0.0912291410073354</v>
      </c>
      <c r="AJ106" s="85" t="n">
        <v>416</v>
      </c>
      <c r="AK106" s="85" t="n">
        <v>171</v>
      </c>
      <c r="AL106" s="85" t="n">
        <v>219</v>
      </c>
      <c r="AM106" s="85" t="n">
        <v>586</v>
      </c>
      <c r="AN106" s="85" t="n">
        <v>93</v>
      </c>
      <c r="AO106" s="85" t="n">
        <v>16</v>
      </c>
      <c r="AP106" s="94" t="n">
        <v>1.227166276346604</v>
      </c>
      <c r="AQ106" s="89" t="n">
        <v>0.2799310938845823</v>
      </c>
      <c r="AR106" s="95" t="inlineStr">
        <is>
          <t>Y</t>
        </is>
      </c>
      <c r="AS106" s="95" t="inlineStr">
        <is>
          <t>List Price</t>
        </is>
      </c>
      <c r="AT106" s="96" t="n">
        <v>16.99</v>
      </c>
      <c r="AU106" s="96" t="n">
        <v>13.99</v>
      </c>
      <c r="AV106" s="95" t="inlineStr">
        <is>
          <t>none</t>
        </is>
      </c>
      <c r="AW106" s="95" t="inlineStr">
        <is>
          <t>Y</t>
        </is>
      </c>
      <c r="AX106" s="95" t="inlineStr">
        <is>
          <t>2026-10-13 12:12:33</t>
        </is>
      </c>
      <c r="AY106" s="97" t="inlineStr">
        <is>
          <t>Prime Exclusive Discount</t>
        </is>
      </c>
      <c r="AZ106" s="97" t="inlineStr">
        <is>
          <t>11-02 to 12-05</t>
        </is>
      </c>
      <c r="BA106" s="98" t="n">
        <v>13.59</v>
      </c>
      <c r="BB106" s="98" t="n">
        <v>12.74</v>
      </c>
      <c r="BC106" s="87">
        <f>IF(AND(ISNUMBER(BA106),ISNUMBER(BB106),N(BA106)&gt;0),1-BB106/BA106,"")</f>
        <v/>
      </c>
      <c r="BD106" s="99" t="n">
        <v>43633</v>
      </c>
      <c r="BE106" s="99" t="n">
        <v>39640</v>
      </c>
      <c r="BF106" s="100">
        <f>IF(AND(ISNUMBER(BD106),ISNUMBER(BE106),N(BE106)&gt;0),BD106/BE106,"")</f>
        <v/>
      </c>
      <c r="BG106" s="97" t="inlineStr">
        <is>
          <t>N</t>
        </is>
      </c>
      <c r="BH106" s="97" t="inlineStr">
        <is>
          <t>Prime Exclusive already running before BFCM week; Buy Box RAISED in BFCM week (median $16.99 vs $13.59 before); List Price $16.99</t>
        </is>
      </c>
    </row>
    <row r="107" ht="62" customHeight="1">
      <c r="A107" s="10">
        <f>_xlfn.IMAGE("https://images-na.ssl-images-amazon.com/images/I/71Jlvkv3rfL.jpg")</f>
        <v/>
      </c>
      <c r="B107" s="84" t="inlineStr">
        <is>
          <t>BEDELITE</t>
        </is>
      </c>
      <c r="C107" s="32" t="inlineStr">
        <is>
          <t>BEDELITE Satin Queen Fitted Sheet &amp; Pillowcases Set, Black, 3 Pieces</t>
        </is>
      </c>
      <c r="D107" s="84" t="inlineStr">
        <is>
          <t>Beatable</t>
        </is>
      </c>
      <c r="E107" s="84" t="inlineStr">
        <is>
          <t>B0FPCM7DL3</t>
        </is>
      </c>
      <c r="F107" s="84" t="inlineStr">
        <is>
          <t>B0CSFV4FXW</t>
        </is>
      </c>
      <c r="G107" s="84" t="inlineStr">
        <is>
          <t>Queen</t>
        </is>
      </c>
      <c r="H107" s="84" t="inlineStr">
        <is>
          <t>Black</t>
        </is>
      </c>
      <c r="I107" s="85" t="n">
        <v>107</v>
      </c>
      <c r="J107" s="32" t="inlineStr">
        <is>
          <t>B0CSFV4FXW (48%), B0CSFV69Q1 (13%), B0CSFW55XL (12%), B0CSFWH14D (5%), B0F291FC32 (4%)</t>
        </is>
      </c>
      <c r="K107" s="86" t="n">
        <v>15.98</v>
      </c>
      <c r="L107" s="86" t="n">
        <v>19.99</v>
      </c>
      <c r="M107" s="87">
        <f>IF(AND(ISNUMBER(L107),ISNUMBER(K107),N(K107)&gt;0),L107/K107-1,"")</f>
        <v/>
      </c>
      <c r="N107" s="88">
        <f>IF(M107="","No List Price",IF(M107&lt;=0,"At/below price",IF(M107&lt;=0.12,"&lt;=12% STR zone",IF(M107&lt;=0.25,"12-25%","&gt;25% over"))))</f>
        <v/>
      </c>
      <c r="O107" s="86" t="n">
        <v>21.95</v>
      </c>
      <c r="P107" s="89">
        <f>IF(AND(ISNUMBER(K107),ISNUMBER(O107),N(O107)&gt;0),K107/O107-1,"")</f>
        <v/>
      </c>
      <c r="Q107" s="32" t="inlineStr">
        <is>
          <t>Same size (Queen). Ours live: Helium 10 Xray, 2026-10-13; 17 children</t>
        </is>
      </c>
      <c r="R107" s="85" t="n">
        <v>4306</v>
      </c>
      <c r="S107" s="85" t="n">
        <v>208</v>
      </c>
      <c r="T107" s="90">
        <f>IF(AND(ISNUMBER(K107),ISNUMBER(S107)),K107*S107*52/12,"")</f>
        <v/>
      </c>
      <c r="U107" s="91" t="n">
        <v>4.4</v>
      </c>
      <c r="V107" s="85" t="n">
        <v>1858</v>
      </c>
      <c r="W107" s="92" t="n">
        <v>46307</v>
      </c>
      <c r="X107" s="92" t="n">
        <v>45307</v>
      </c>
      <c r="Y107" s="84" t="inlineStr">
        <is>
          <t>FBA</t>
        </is>
      </c>
      <c r="Z107" s="84" t="inlineStr">
        <is>
          <t>CN</t>
        </is>
      </c>
      <c r="AA107" s="85" t="n">
        <v>179643</v>
      </c>
      <c r="AB107" s="85" t="n">
        <v>2252</v>
      </c>
      <c r="AC107" s="93" t="n">
        <v>0.4557323781054652</v>
      </c>
      <c r="AD107" s="93" t="n">
        <v>0.5442676753338563</v>
      </c>
      <c r="AE107" s="32" t="inlineStr">
        <is>
          <t>shee</t>
        </is>
      </c>
      <c r="AF107" s="93" t="n">
        <v>0.9239714322294773</v>
      </c>
      <c r="AG107" s="93" t="n">
        <v>0.4045968949527675</v>
      </c>
      <c r="AH107" s="93" t="n"/>
      <c r="AI107" s="93" t="n">
        <v>0.02756578324788609</v>
      </c>
      <c r="AJ107" s="85" t="n">
        <v>502</v>
      </c>
      <c r="AK107" s="85" t="n">
        <v>197</v>
      </c>
      <c r="AL107" s="85" t="n">
        <v>259</v>
      </c>
      <c r="AM107" s="85" t="n">
        <v>1750</v>
      </c>
      <c r="AN107" s="85" t="n">
        <v>499</v>
      </c>
      <c r="AO107" s="85" t="n">
        <v>21</v>
      </c>
      <c r="AP107" s="94" t="n">
        <v>1.118721461187214</v>
      </c>
      <c r="AQ107" s="89" t="n">
        <v>0.04072948328267478</v>
      </c>
      <c r="AR107" s="95" t="inlineStr">
        <is>
          <t>Y</t>
        </is>
      </c>
      <c r="AS107" s="95" t="inlineStr">
        <is>
          <t>List Price</t>
        </is>
      </c>
      <c r="AT107" s="96" t="n">
        <v>19.99</v>
      </c>
      <c r="AU107" s="96" t="n">
        <v>15.98</v>
      </c>
      <c r="AV107" s="95" t="inlineStr">
        <is>
          <t>Limited time deal</t>
        </is>
      </c>
      <c r="AW107" s="95" t="inlineStr">
        <is>
          <t>Y</t>
        </is>
      </c>
      <c r="AX107" s="95" t="inlineStr">
        <is>
          <t>2026-10-13 12:12:30</t>
        </is>
      </c>
      <c r="AY107" s="97" t="inlineStr">
        <is>
          <t>Price cut only</t>
        </is>
      </c>
      <c r="AZ107" s="97" t="inlineStr">
        <is>
          <t>11-20 to 12-01</t>
        </is>
      </c>
      <c r="BA107" s="98" t="n">
        <v>15.99</v>
      </c>
      <c r="BB107" s="98" t="n">
        <v>15.18</v>
      </c>
      <c r="BC107" s="87">
        <f>IF(AND(ISNUMBER(BA107),ISNUMBER(BB107),N(BA107)&gt;0),1-BB107/BA107,"")</f>
        <v/>
      </c>
      <c r="BD107" s="99" t="n">
        <v>8356</v>
      </c>
      <c r="BE107" s="99" t="n">
        <v>4609</v>
      </c>
      <c r="BF107" s="100">
        <f>IF(AND(ISNUMBER(BD107),ISNUMBER(BE107),N(BE107)&gt;0),BD107/BE107,"")</f>
        <v/>
      </c>
      <c r="BG107" s="97" t="inlineStr">
        <is>
          <t>N</t>
        </is>
      </c>
      <c r="BH107" s="97" t="inlineStr">
        <is>
          <t>Prime Exclusive 11-01 to 12-05; Lightning Deal 11-09 to 11-09; Prime Exclusive already running before BFCM week; List Price $19.99</t>
        </is>
      </c>
    </row>
    <row r="108" ht="62" customHeight="1">
      <c r="A108" s="10">
        <f>_xlfn.IMAGE("https://images-na.ssl-images-amazon.com/images/I/71d2-R2XfJL.jpg")</f>
        <v/>
      </c>
      <c r="B108" s="84" t="inlineStr">
        <is>
          <t>VACVELT</t>
        </is>
      </c>
      <c r="C108" s="32" t="inlineStr">
        <is>
          <t>VACVELT 3pcs Queen Black Extra Deep Pocket Satin Fitted Sheet Set</t>
        </is>
      </c>
      <c r="D108" s="84" t="inlineStr">
        <is>
          <t>Beatable</t>
        </is>
      </c>
      <c r="E108" s="84" t="inlineStr">
        <is>
          <t>B0BWJ4PYLN</t>
        </is>
      </c>
      <c r="F108" s="84" t="inlineStr">
        <is>
          <t>B0BWJ4MLLZ</t>
        </is>
      </c>
      <c r="G108" s="84" t="inlineStr">
        <is>
          <t>Queen</t>
        </is>
      </c>
      <c r="H108" s="84" t="inlineStr">
        <is>
          <t>Black</t>
        </is>
      </c>
      <c r="I108" s="85" t="n">
        <v>40</v>
      </c>
      <c r="J108" s="32" t="inlineStr">
        <is>
          <t>B0BWJ4MLLZ (83%)</t>
        </is>
      </c>
      <c r="K108" s="86" t="n">
        <v>18.99</v>
      </c>
      <c r="L108" s="86" t="n"/>
      <c r="M108" s="87">
        <f>IF(AND(ISNUMBER(L108),ISNUMBER(K108),N(K108)&gt;0),L108/K108-1,"")</f>
        <v/>
      </c>
      <c r="N108" s="88">
        <f>IF(M108="","No List Price",IF(M108&lt;=0,"At/below price",IF(M108&lt;=0.12,"&lt;=12% STR zone",IF(M108&lt;=0.25,"12-25%","&gt;25% over"))))</f>
        <v/>
      </c>
      <c r="O108" s="86" t="n">
        <v>21.95</v>
      </c>
      <c r="P108" s="89">
        <f>IF(AND(ISNUMBER(K108),ISNUMBER(O108),N(O108)&gt;0),K108/O108-1,"")</f>
        <v/>
      </c>
      <c r="Q108" s="32" t="inlineStr">
        <is>
          <t>Same size (Queen). Ours live: Helium 10 Xray, 2026-10-13; 17 children</t>
        </is>
      </c>
      <c r="R108" s="85" t="n">
        <v>49291</v>
      </c>
      <c r="S108" s="85" t="n">
        <v>92</v>
      </c>
      <c r="T108" s="90">
        <f>IF(AND(ISNUMBER(K108),ISNUMBER(S108)),K108*S108*52/12,"")</f>
        <v/>
      </c>
      <c r="U108" s="91" t="n">
        <v>4.2</v>
      </c>
      <c r="V108" s="85" t="n">
        <v>747</v>
      </c>
      <c r="W108" s="92" t="n">
        <v>46307</v>
      </c>
      <c r="X108" s="92" t="n">
        <v>44979</v>
      </c>
      <c r="Y108" s="84" t="inlineStr">
        <is>
          <t>FBA</t>
        </is>
      </c>
      <c r="Z108" s="84" t="inlineStr">
        <is>
          <t>CN</t>
        </is>
      </c>
      <c r="AA108" s="85" t="n">
        <v>25451</v>
      </c>
      <c r="AB108" s="85" t="n">
        <v>677</v>
      </c>
      <c r="AC108" s="93" t="n">
        <v>0.9999606773800636</v>
      </c>
      <c r="AD108" s="93" t="n">
        <v>3.932261993634828e-05</v>
      </c>
      <c r="AE108" s="32" t="inlineStr">
        <is>
          <t>satin sheets</t>
        </is>
      </c>
      <c r="AF108" s="93" t="n">
        <v>0.175985226513693</v>
      </c>
      <c r="AG108" s="93" t="n"/>
      <c r="AH108" s="93" t="n"/>
      <c r="AI108" s="93" t="n">
        <v>0</v>
      </c>
      <c r="AJ108" s="85" t="n">
        <v>268</v>
      </c>
      <c r="AK108" s="85" t="n">
        <v>180</v>
      </c>
      <c r="AL108" s="85" t="n">
        <v>69</v>
      </c>
      <c r="AM108" s="85" t="n">
        <v>409</v>
      </c>
      <c r="AN108" s="85" t="n">
        <v>1</v>
      </c>
      <c r="AO108" s="85" t="n">
        <v>0</v>
      </c>
      <c r="AP108" s="94" t="n">
        <v>1.145341614906832</v>
      </c>
      <c r="AQ108" s="89" t="n">
        <v>0.1112500000000001</v>
      </c>
      <c r="AR108" s="95" t="inlineStr">
        <is>
          <t>N</t>
        </is>
      </c>
      <c r="AS108" s="95" t="inlineStr">
        <is>
          <t>none</t>
        </is>
      </c>
      <c r="AT108" s="101" t="n"/>
      <c r="AU108" s="96" t="n">
        <v>18.99</v>
      </c>
      <c r="AV108" s="95" t="inlineStr">
        <is>
          <t>none</t>
        </is>
      </c>
      <c r="AW108" s="95" t="inlineStr">
        <is>
          <t>Y</t>
        </is>
      </c>
      <c r="AX108" s="95" t="inlineStr">
        <is>
          <t>2026-10-13 12:13:51</t>
        </is>
      </c>
      <c r="AY108" s="97" t="inlineStr">
        <is>
          <t>Prime Exclusive Discount</t>
        </is>
      </c>
      <c r="AZ108" s="97" t="inlineStr">
        <is>
          <t>11-01 to 12-01</t>
        </is>
      </c>
      <c r="BA108" s="98" t="n">
        <v>25.99</v>
      </c>
      <c r="BB108" s="98" t="n">
        <v>17.15</v>
      </c>
      <c r="BC108" s="87">
        <f>IF(AND(ISNUMBER(BA108),ISNUMBER(BB108),N(BA108)&gt;0),1-BB108/BA108,"")</f>
        <v/>
      </c>
      <c r="BD108" s="99" t="n">
        <v>56482</v>
      </c>
      <c r="BE108" s="99" t="n">
        <v>55960</v>
      </c>
      <c r="BF108" s="100">
        <f>IF(AND(ISNUMBER(BD108),ISNUMBER(BE108),N(BE108)&gt;0),BD108/BE108,"")</f>
        <v/>
      </c>
      <c r="BG108" s="97" t="inlineStr">
        <is>
          <t>N</t>
        </is>
      </c>
      <c r="BH108" s="97" t="inlineStr">
        <is>
          <t>Prime Exclusive already running before BFCM week; List Price $47.98</t>
        </is>
      </c>
    </row>
    <row r="109" ht="62" customHeight="1">
      <c r="A109" s="10">
        <f>_xlfn.IMAGE("https://images-na.ssl-images-amazon.com/images/I/81MYmoOAtUL.jpg")</f>
        <v/>
      </c>
      <c r="B109" s="84" t="inlineStr">
        <is>
          <t>Homiest</t>
        </is>
      </c>
      <c r="C109" s="32" t="inlineStr">
        <is>
          <t>Satin Fitted Sheet</t>
        </is>
      </c>
      <c r="D109" s="84" t="inlineStr">
        <is>
          <t>Beatable</t>
        </is>
      </c>
      <c r="E109" s="84" t="inlineStr">
        <is>
          <t>B09WGRB6MD</t>
        </is>
      </c>
      <c r="F109" s="84" t="inlineStr">
        <is>
          <t>B09WHDR231</t>
        </is>
      </c>
      <c r="G109" s="84" t="n"/>
      <c r="H109" s="84" t="n"/>
      <c r="I109" s="85" t="n">
        <v>55</v>
      </c>
      <c r="J109" s="32" t="inlineStr">
        <is>
          <t>B09WH7J5F3 (30%), B09WGTH1M5 (24%), B09WH4B2BD (17%), B09WHDR231 (10%)</t>
        </is>
      </c>
      <c r="K109" s="86" t="n">
        <v>12.99</v>
      </c>
      <c r="L109" s="86" t="n"/>
      <c r="M109" s="87">
        <f>IF(AND(ISNUMBER(L109),ISNUMBER(K109),N(K109)&gt;0),L109/K109-1,"")</f>
        <v/>
      </c>
      <c r="N109" s="88">
        <f>IF(M109="","No List Price",IF(M109&lt;=0,"At/below price",IF(M109&lt;=0.12,"&lt;=12% STR zone",IF(M109&lt;=0.25,"12-25%","&gt;25% over"))))</f>
        <v/>
      </c>
      <c r="O109" s="86" t="n">
        <v>21.95</v>
      </c>
      <c r="P109" s="89">
        <f>IF(AND(ISNUMBER(K109),ISNUMBER(O109),N(O109)&gt;0),K109/O109-1,"")</f>
        <v/>
      </c>
      <c r="Q109" s="32" t="inlineStr">
        <is>
          <t>Size not stated - vs our Queen. Ours live: Helium 10 Xray, 2026-10-13; 17 children</t>
        </is>
      </c>
      <c r="R109" s="85" t="n">
        <v>18176</v>
      </c>
      <c r="S109" s="85" t="n">
        <v>35</v>
      </c>
      <c r="T109" s="90">
        <f>IF(AND(ISNUMBER(K109),ISNUMBER(S109)),K109*S109*52/12,"")</f>
        <v/>
      </c>
      <c r="U109" s="91" t="n">
        <v>4.7</v>
      </c>
      <c r="V109" s="85" t="n">
        <v>357</v>
      </c>
      <c r="W109" s="92" t="n">
        <v>46307</v>
      </c>
      <c r="X109" s="92" t="n"/>
      <c r="Y109" s="84" t="n"/>
      <c r="Z109" s="84" t="n"/>
      <c r="AA109" s="85" t="n">
        <v>41522</v>
      </c>
      <c r="AB109" s="85" t="n">
        <v>853</v>
      </c>
      <c r="AC109" s="93" t="n">
        <v>0.9561438081017288</v>
      </c>
      <c r="AD109" s="93" t="n">
        <v>0.04385634603342806</v>
      </c>
      <c r="AE109" s="32" t="inlineStr">
        <is>
          <t>satin sheets</t>
        </is>
      </c>
      <c r="AF109" s="93" t="n">
        <v>0.2673522470015895</v>
      </c>
      <c r="AG109" s="93" t="n"/>
      <c r="AH109" s="93" t="n"/>
      <c r="AI109" s="93" t="n">
        <v>0.009874283512354896</v>
      </c>
      <c r="AJ109" s="85" t="n">
        <v>416</v>
      </c>
      <c r="AK109" s="85" t="n">
        <v>221</v>
      </c>
      <c r="AL109" s="85" t="n">
        <v>157</v>
      </c>
      <c r="AM109" s="85" t="n">
        <v>437</v>
      </c>
      <c r="AN109" s="85" t="n">
        <v>23</v>
      </c>
      <c r="AO109" s="85" t="n">
        <v>2</v>
      </c>
      <c r="AP109" s="94" t="n">
        <v>0.960591133004926</v>
      </c>
      <c r="AQ109" s="89" t="n">
        <v>-0.1584158415841583</v>
      </c>
      <c r="AR109" s="95" t="inlineStr">
        <is>
          <t>N</t>
        </is>
      </c>
      <c r="AS109" s="95" t="inlineStr">
        <is>
          <t>none</t>
        </is>
      </c>
      <c r="AT109" s="101" t="n"/>
      <c r="AU109" s="96" t="n">
        <v>12.99</v>
      </c>
      <c r="AV109" s="95" t="inlineStr">
        <is>
          <t>none</t>
        </is>
      </c>
      <c r="AW109" s="95" t="inlineStr">
        <is>
          <t>Y</t>
        </is>
      </c>
      <c r="AX109" s="95" t="inlineStr">
        <is>
          <t>2026-10-13 12:12:59</t>
        </is>
      </c>
      <c r="AY109" s="97" t="inlineStr">
        <is>
          <t>Prime Exclusive Discount</t>
        </is>
      </c>
      <c r="AZ109" s="97" t="inlineStr">
        <is>
          <t>11-18 to 12-05</t>
        </is>
      </c>
      <c r="BA109" s="98" t="n">
        <v>12.99</v>
      </c>
      <c r="BB109" s="98" t="n">
        <v>10.94</v>
      </c>
      <c r="BC109" s="87">
        <f>IF(AND(ISNUMBER(BA109),ISNUMBER(BB109),N(BA109)&gt;0),1-BB109/BA109,"")</f>
        <v/>
      </c>
      <c r="BD109" s="99" t="n">
        <v>13619</v>
      </c>
      <c r="BE109" s="99" t="n">
        <v>16677</v>
      </c>
      <c r="BF109" s="100">
        <f>IF(AND(ISNUMBER(BD109),ISNUMBER(BE109),N(BE109)&gt;0),BD109/BE109,"")</f>
        <v/>
      </c>
      <c r="BG109" s="97" t="inlineStr">
        <is>
          <t>N</t>
        </is>
      </c>
      <c r="BH109" s="97" t="inlineStr">
        <is>
          <t>Prime Exclusive already running before BFCM week; Buy Box RAISED in BFCM week (median $14.99 vs $12.99 before); List Price $23.02</t>
        </is>
      </c>
    </row>
    <row r="110" ht="62" customHeight="1">
      <c r="A110" s="39" t="inlineStr">
        <is>
          <t>IMAGE MISSING</t>
        </is>
      </c>
      <c r="B110" s="84" t="inlineStr">
        <is>
          <t>VACVELT</t>
        </is>
      </c>
      <c r="C110" s="32" t="inlineStr">
        <is>
          <t>Satin Sheets</t>
        </is>
      </c>
      <c r="D110" s="84" t="inlineStr">
        <is>
          <t>Beatable</t>
        </is>
      </c>
      <c r="E110" s="84" t="inlineStr">
        <is>
          <t>B0F7XQDVJY</t>
        </is>
      </c>
      <c r="F110" s="84" t="inlineStr">
        <is>
          <t>B0F7XRNKQY</t>
        </is>
      </c>
      <c r="G110" s="84" t="n"/>
      <c r="H110" s="84" t="n"/>
      <c r="I110" s="85" t="n">
        <v>31</v>
      </c>
      <c r="J110" s="32" t="inlineStr">
        <is>
          <t>B0F7XRNKQY (46%), B0F7XR7CJX (14%), B0F7XQPKCG (8%), B0F7XQLX2P (6%), B0F7XR8JYF (4%)</t>
        </is>
      </c>
      <c r="K110" s="86" t="n">
        <v>17.99</v>
      </c>
      <c r="L110" s="86" t="n"/>
      <c r="M110" s="87">
        <f>IF(AND(ISNUMBER(L110),ISNUMBER(K110),N(K110)&gt;0),L110/K110-1,"")</f>
        <v/>
      </c>
      <c r="N110" s="88">
        <f>IF(M110="","No List Price",IF(M110&lt;=0,"At/below price",IF(M110&lt;=0.12,"&lt;=12% STR zone",IF(M110&lt;=0.25,"12-25%","&gt;25% over"))))</f>
        <v/>
      </c>
      <c r="O110" s="86" t="n">
        <v>21.95</v>
      </c>
      <c r="P110" s="89">
        <f>IF(AND(ISNUMBER(K110),ISNUMBER(O110),N(O110)&gt;0),K110/O110-1,"")</f>
        <v/>
      </c>
      <c r="Q110" s="32" t="inlineStr">
        <is>
          <t>Size not stated - vs our Queen. Ours live: Helium 10 Xray, 2026-10-13; 17 children</t>
        </is>
      </c>
      <c r="R110" s="85" t="n">
        <v>79028</v>
      </c>
      <c r="S110" s="85" t="n">
        <v>18</v>
      </c>
      <c r="T110" s="90">
        <f>IF(AND(ISNUMBER(K110),ISNUMBER(S110)),K110*S110*52/12,"")</f>
        <v/>
      </c>
      <c r="U110" s="91" t="n">
        <v>4.4</v>
      </c>
      <c r="V110" s="85" t="n">
        <v>209</v>
      </c>
      <c r="W110" s="92" t="n">
        <v>46307</v>
      </c>
      <c r="X110" s="92" t="n"/>
      <c r="Y110" s="84" t="n"/>
      <c r="Z110" s="84" t="n"/>
      <c r="AA110" s="85" t="n">
        <v>21912</v>
      </c>
      <c r="AB110" s="85" t="n">
        <v>632</v>
      </c>
      <c r="AC110" s="93" t="n">
        <v>0.9845742834976268</v>
      </c>
      <c r="AD110" s="93" t="n">
        <v>0.01542586254107338</v>
      </c>
      <c r="AE110" s="32" t="inlineStr">
        <is>
          <t>silk sheets</t>
        </is>
      </c>
      <c r="AF110" s="93" t="n">
        <v>0.004518072289156626</v>
      </c>
      <c r="AG110" s="93" t="n"/>
      <c r="AH110" s="93" t="n"/>
      <c r="AI110" s="93" t="n"/>
      <c r="AJ110" s="85" t="n">
        <v>341</v>
      </c>
      <c r="AK110" s="85" t="n">
        <v>231</v>
      </c>
      <c r="AL110" s="85" t="n">
        <v>85</v>
      </c>
      <c r="AM110" s="85" t="n">
        <v>291</v>
      </c>
      <c r="AN110" s="85" t="n">
        <v>9</v>
      </c>
      <c r="AO110" s="85" t="n">
        <v>2</v>
      </c>
      <c r="AP110" s="94" t="n">
        <v>1.707818930041152</v>
      </c>
      <c r="AQ110" s="89" t="n">
        <v>1.91358024691358</v>
      </c>
      <c r="AR110" s="95" t="inlineStr">
        <is>
          <t>N</t>
        </is>
      </c>
      <c r="AS110" s="95" t="inlineStr">
        <is>
          <t>none</t>
        </is>
      </c>
      <c r="AT110" s="101" t="n"/>
      <c r="AU110" s="96" t="n">
        <v>17.99</v>
      </c>
      <c r="AV110" s="95" t="inlineStr">
        <is>
          <t>none</t>
        </is>
      </c>
      <c r="AW110" s="95" t="inlineStr">
        <is>
          <t>Y</t>
        </is>
      </c>
      <c r="AX110" s="95" t="inlineStr">
        <is>
          <t>2026-10-13 12:13:54</t>
        </is>
      </c>
      <c r="AY110" s="97" t="inlineStr">
        <is>
          <t>None</t>
        </is>
      </c>
      <c r="AZ110" s="102" t="n"/>
      <c r="BA110" s="98" t="n">
        <v>20.99</v>
      </c>
      <c r="BB110" s="98" t="n">
        <v>19.99</v>
      </c>
      <c r="BC110" s="87">
        <f>IF(AND(ISNUMBER(BA110),ISNUMBER(BB110),N(BA110)&gt;0),1-BB110/BA110,"")</f>
        <v/>
      </c>
      <c r="BD110" s="99" t="n">
        <v>110546</v>
      </c>
      <c r="BE110" s="99" t="n">
        <v>96255</v>
      </c>
      <c r="BF110" s="100">
        <f>IF(AND(ISNUMBER(BD110),ISNUMBER(BE110),N(BE110)&gt;0),BD110/BE110,"")</f>
        <v/>
      </c>
      <c r="BG110" s="97" t="inlineStr">
        <is>
          <t>N</t>
        </is>
      </c>
      <c r="BH110" s="97" t="inlineStr">
        <is>
          <t>List Price $19.99</t>
        </is>
      </c>
    </row>
    <row r="111" ht="62" customHeight="1">
      <c r="A111" s="39" t="inlineStr">
        <is>
          <t>IMAGE MISSING</t>
        </is>
      </c>
      <c r="B111" s="84" t="inlineStr">
        <is>
          <t>NSGZ</t>
        </is>
      </c>
      <c r="C111" s="32" t="inlineStr">
        <is>
          <t>Satin Fitted Sheet</t>
        </is>
      </c>
      <c r="D111" s="84" t="inlineStr">
        <is>
          <t>Poor</t>
        </is>
      </c>
      <c r="E111" s="84" t="inlineStr">
        <is>
          <t>B0BV1JFXC4</t>
        </is>
      </c>
      <c r="F111" s="84" t="inlineStr">
        <is>
          <t>B0BV1HW54C</t>
        </is>
      </c>
      <c r="G111" s="84" t="n"/>
      <c r="H111" s="84" t="n"/>
      <c r="I111" s="85" t="n"/>
      <c r="J111" s="32" t="inlineStr"/>
      <c r="K111" s="86" t="n">
        <v>13.49</v>
      </c>
      <c r="L111" s="86" t="n"/>
      <c r="M111" s="87">
        <f>IF(AND(ISNUMBER(L111),ISNUMBER(K111),N(K111)&gt;0),L111/K111-1,"")</f>
        <v/>
      </c>
      <c r="N111" s="88">
        <f>IF(M111="","No List Price",IF(M111&lt;=0,"At/below price",IF(M111&lt;=0.12,"&lt;=12% STR zone",IF(M111&lt;=0.25,"12-25%","&gt;25% over"))))</f>
        <v/>
      </c>
      <c r="O111" s="86" t="n">
        <v>21.95</v>
      </c>
      <c r="P111" s="89">
        <f>IF(AND(ISNUMBER(K111),ISNUMBER(O111),N(O111)&gt;0),K111/O111-1,"")</f>
        <v/>
      </c>
      <c r="Q111" s="32" t="inlineStr">
        <is>
          <t>Size not stated - vs our Queen. Ours live: Helium 10 Xray, 2026-10-13; 17 children</t>
        </is>
      </c>
      <c r="R111" s="85" t="n">
        <v>49470</v>
      </c>
      <c r="S111" s="85" t="n">
        <v>81</v>
      </c>
      <c r="T111" s="90">
        <f>IF(AND(ISNUMBER(K111),ISNUMBER(S111)),K111*S111*52/12,"")</f>
        <v/>
      </c>
      <c r="U111" s="91" t="n">
        <v>4.4</v>
      </c>
      <c r="V111" s="85" t="n">
        <v>601</v>
      </c>
      <c r="W111" s="92" t="n">
        <v>46307</v>
      </c>
      <c r="X111" s="92" t="n"/>
      <c r="Y111" s="84" t="n"/>
      <c r="Z111" s="84" t="n"/>
      <c r="AA111" s="85" t="n"/>
      <c r="AB111" s="85" t="n"/>
      <c r="AC111" s="93" t="n"/>
      <c r="AD111" s="93" t="n"/>
      <c r="AE111" s="32" t="n"/>
      <c r="AF111" s="93" t="n"/>
      <c r="AG111" s="93" t="n"/>
      <c r="AH111" s="93" t="n"/>
      <c r="AI111" s="93" t="n"/>
      <c r="AJ111" s="85" t="n"/>
      <c r="AK111" s="85" t="n"/>
      <c r="AL111" s="85" t="n"/>
      <c r="AM111" s="85" t="n"/>
      <c r="AN111" s="85" t="n"/>
      <c r="AO111" s="85" t="n"/>
      <c r="AP111" s="94" t="n"/>
      <c r="AQ111" s="89" t="n"/>
      <c r="AR111" s="95" t="inlineStr">
        <is>
          <t>N</t>
        </is>
      </c>
      <c r="AS111" s="95" t="inlineStr">
        <is>
          <t>none</t>
        </is>
      </c>
      <c r="AT111" s="101" t="n"/>
      <c r="AU111" s="96" t="n">
        <v>13.49</v>
      </c>
      <c r="AV111" s="95" t="inlineStr">
        <is>
          <t>none</t>
        </is>
      </c>
      <c r="AW111" s="95" t="inlineStr">
        <is>
          <t>Y</t>
        </is>
      </c>
      <c r="AX111" s="95" t="inlineStr">
        <is>
          <t>2026-10-13 23:44:37</t>
        </is>
      </c>
      <c r="AY111" s="102" t="n"/>
      <c r="AZ111" s="102" t="n"/>
      <c r="BA111" s="101" t="n"/>
      <c r="BB111" s="101" t="n"/>
      <c r="BC111" s="87">
        <f>IF(AND(ISNUMBER(BA111),ISNUMBER(BB111),N(BA111)&gt;0),1-BB111/BA111,"")</f>
        <v/>
      </c>
      <c r="BD111" s="103" t="n"/>
      <c r="BE111" s="103" t="n"/>
      <c r="BF111" s="100">
        <f>IF(AND(ISNUMBER(BD111),ISNUMBER(BE111),N(BE111)&gt;0),BD111/BE111,"")</f>
        <v/>
      </c>
      <c r="BG111" s="102" t="n"/>
      <c r="BH111" s="102" t="n"/>
    </row>
    <row r="112" ht="62" customHeight="1">
      <c r="A112" s="39" t="inlineStr">
        <is>
          <t>IMAGE MISSING</t>
        </is>
      </c>
      <c r="B112" s="84" t="inlineStr">
        <is>
          <t>Bedsure</t>
        </is>
      </c>
      <c r="C112" s="32" t="inlineStr">
        <is>
          <t>Satin Fitted Sheet</t>
        </is>
      </c>
      <c r="D112" s="84" t="inlineStr">
        <is>
          <t>Poor</t>
        </is>
      </c>
      <c r="E112" s="84" t="inlineStr">
        <is>
          <t>B0DG238XCM</t>
        </is>
      </c>
      <c r="F112" s="84" t="inlineStr">
        <is>
          <t>B0DG2HRZKK</t>
        </is>
      </c>
      <c r="G112" s="84" t="n"/>
      <c r="H112" s="84" t="n"/>
      <c r="I112" s="85" t="n"/>
      <c r="J112" s="32" t="inlineStr"/>
      <c r="K112" s="86" t="n">
        <v>21.95</v>
      </c>
      <c r="L112" s="86" t="n"/>
      <c r="M112" s="87">
        <f>IF(AND(ISNUMBER(L112),ISNUMBER(K112),N(K112)&gt;0),L112/K112-1,"")</f>
        <v/>
      </c>
      <c r="N112" s="88">
        <f>IF(M112="","No List Price",IF(M112&lt;=0,"At/below price",IF(M112&lt;=0.12,"&lt;=12% STR zone",IF(M112&lt;=0.25,"12-25%","&gt;25% over"))))</f>
        <v/>
      </c>
      <c r="O112" s="86" t="n">
        <v>21.95</v>
      </c>
      <c r="P112" s="89">
        <f>IF(AND(ISNUMBER(K112),ISNUMBER(O112),N(O112)&gt;0),K112/O112-1,"")</f>
        <v/>
      </c>
      <c r="Q112" s="32" t="inlineStr">
        <is>
          <t>Size not stated - vs our Queen. Ours live: Helium 10 Xray, 2026-10-13; 17 children</t>
        </is>
      </c>
      <c r="R112" s="85" t="n">
        <v>732930</v>
      </c>
      <c r="S112" s="85" t="n">
        <v>5</v>
      </c>
      <c r="T112" s="90">
        <f>IF(AND(ISNUMBER(K112),ISNUMBER(S112)),K112*S112*52/12,"")</f>
        <v/>
      </c>
      <c r="U112" s="91" t="n">
        <v>4.5</v>
      </c>
      <c r="V112" s="85" t="n">
        <v>223</v>
      </c>
      <c r="W112" s="92" t="n">
        <v>46279</v>
      </c>
      <c r="X112" s="92" t="n"/>
      <c r="Y112" s="84" t="n"/>
      <c r="Z112" s="84" t="n"/>
      <c r="AA112" s="85" t="n"/>
      <c r="AB112" s="85" t="n"/>
      <c r="AC112" s="93" t="n"/>
      <c r="AD112" s="93" t="n"/>
      <c r="AE112" s="32" t="n"/>
      <c r="AF112" s="93" t="n"/>
      <c r="AG112" s="93" t="n"/>
      <c r="AH112" s="93" t="n"/>
      <c r="AI112" s="93" t="n"/>
      <c r="AJ112" s="85" t="n"/>
      <c r="AK112" s="85" t="n"/>
      <c r="AL112" s="85" t="n"/>
      <c r="AM112" s="85" t="n"/>
      <c r="AN112" s="85" t="n"/>
      <c r="AO112" s="85" t="n"/>
      <c r="AP112" s="94" t="n"/>
      <c r="AQ112" s="89" t="n"/>
      <c r="AR112" s="95" t="inlineStr">
        <is>
          <t>unknown</t>
        </is>
      </c>
      <c r="AS112" s="102" t="n"/>
      <c r="AT112" s="101" t="n"/>
      <c r="AU112" s="101" t="n"/>
      <c r="AV112" s="102" t="n"/>
      <c r="AW112" s="102" t="n"/>
      <c r="AX112" s="95" t="inlineStr">
        <is>
          <t>2026-10-13 23:44:22</t>
        </is>
      </c>
      <c r="AY112" s="102" t="n"/>
      <c r="AZ112" s="102" t="n"/>
      <c r="BA112" s="101" t="n"/>
      <c r="BB112" s="101" t="n"/>
      <c r="BC112" s="87">
        <f>IF(AND(ISNUMBER(BA112),ISNUMBER(BB112),N(BA112)&gt;0),1-BB112/BA112,"")</f>
        <v/>
      </c>
      <c r="BD112" s="103" t="n"/>
      <c r="BE112" s="103" t="n"/>
      <c r="BF112" s="100">
        <f>IF(AND(ISNUMBER(BD112),ISNUMBER(BE112),N(BE112)&gt;0),BD112/BE112,"")</f>
        <v/>
      </c>
      <c r="BG112" s="102" t="n"/>
      <c r="BH112" s="102" t="n"/>
    </row>
    <row r="113" ht="62" customHeight="1">
      <c r="A113" s="39" t="inlineStr">
        <is>
          <t>IMAGE MISSING</t>
        </is>
      </c>
      <c r="B113" s="84" t="inlineStr">
        <is>
          <t>Lirex</t>
        </is>
      </c>
      <c r="C113" s="32" t="inlineStr">
        <is>
          <t>Satin Fitted Sheet</t>
        </is>
      </c>
      <c r="D113" s="84" t="inlineStr">
        <is>
          <t>Poor</t>
        </is>
      </c>
      <c r="E113" s="84" t="inlineStr">
        <is>
          <t>B0D62YKYKZ</t>
        </is>
      </c>
      <c r="F113" s="84" t="inlineStr">
        <is>
          <t>B0D62TQYPX</t>
        </is>
      </c>
      <c r="G113" s="84" t="n"/>
      <c r="H113" s="84" t="n"/>
      <c r="I113" s="85" t="n"/>
      <c r="J113" s="32" t="inlineStr"/>
      <c r="K113" s="86" t="n">
        <v>12.99</v>
      </c>
      <c r="L113" s="86" t="n"/>
      <c r="M113" s="87">
        <f>IF(AND(ISNUMBER(L113),ISNUMBER(K113),N(K113)&gt;0),L113/K113-1,"")</f>
        <v/>
      </c>
      <c r="N113" s="88">
        <f>IF(M113="","No List Price",IF(M113&lt;=0,"At/below price",IF(M113&lt;=0.12,"&lt;=12% STR zone",IF(M113&lt;=0.25,"12-25%","&gt;25% over"))))</f>
        <v/>
      </c>
      <c r="O113" s="86" t="n">
        <v>21.95</v>
      </c>
      <c r="P113" s="89">
        <f>IF(AND(ISNUMBER(K113),ISNUMBER(O113),N(O113)&gt;0),K113/O113-1,"")</f>
        <v/>
      </c>
      <c r="Q113" s="32" t="inlineStr">
        <is>
          <t>Size not stated - vs our Queen. Ours live: Helium 10 Xray, 2026-10-13; 17 children</t>
        </is>
      </c>
      <c r="R113" s="85" t="n">
        <v>308243</v>
      </c>
      <c r="S113" s="85" t="n">
        <v>5</v>
      </c>
      <c r="T113" s="90">
        <f>IF(AND(ISNUMBER(K113),ISNUMBER(S113)),K113*S113*52/12,"")</f>
        <v/>
      </c>
      <c r="U113" s="91" t="n">
        <v>4.5</v>
      </c>
      <c r="V113" s="85" t="n">
        <v>733</v>
      </c>
      <c r="W113" s="92" t="n">
        <v>46307</v>
      </c>
      <c r="X113" s="92" t="n"/>
      <c r="Y113" s="84" t="n"/>
      <c r="Z113" s="84" t="n"/>
      <c r="AA113" s="85" t="n"/>
      <c r="AB113" s="85" t="n"/>
      <c r="AC113" s="93" t="n"/>
      <c r="AD113" s="93" t="n"/>
      <c r="AE113" s="32" t="n"/>
      <c r="AF113" s="93" t="n"/>
      <c r="AG113" s="93" t="n"/>
      <c r="AH113" s="93" t="n"/>
      <c r="AI113" s="93" t="n"/>
      <c r="AJ113" s="85" t="n"/>
      <c r="AK113" s="85" t="n"/>
      <c r="AL113" s="85" t="n"/>
      <c r="AM113" s="85" t="n"/>
      <c r="AN113" s="85" t="n"/>
      <c r="AO113" s="85" t="n"/>
      <c r="AP113" s="94" t="n"/>
      <c r="AQ113" s="89" t="n"/>
      <c r="AR113" s="95" t="inlineStr">
        <is>
          <t>N</t>
        </is>
      </c>
      <c r="AS113" s="95" t="inlineStr">
        <is>
          <t>none</t>
        </is>
      </c>
      <c r="AT113" s="101" t="n"/>
      <c r="AU113" s="96" t="n">
        <v>12.99</v>
      </c>
      <c r="AV113" s="95" t="inlineStr">
        <is>
          <t>none</t>
        </is>
      </c>
      <c r="AW113" s="95" t="inlineStr">
        <is>
          <t>Y</t>
        </is>
      </c>
      <c r="AX113" s="95" t="inlineStr">
        <is>
          <t>2026-10-13 23:44:31</t>
        </is>
      </c>
      <c r="AY113" s="102" t="n"/>
      <c r="AZ113" s="102" t="n"/>
      <c r="BA113" s="101" t="n"/>
      <c r="BB113" s="101" t="n"/>
      <c r="BC113" s="87">
        <f>IF(AND(ISNUMBER(BA113),ISNUMBER(BB113),N(BA113)&gt;0),1-BB113/BA113,"")</f>
        <v/>
      </c>
      <c r="BD113" s="103" t="n"/>
      <c r="BE113" s="103" t="n"/>
      <c r="BF113" s="100">
        <f>IF(AND(ISNUMBER(BD113),ISNUMBER(BE113),N(BE113)&gt;0),BD113/BE113,"")</f>
        <v/>
      </c>
      <c r="BG113" s="102" t="n"/>
      <c r="BH113" s="102" t="n"/>
    </row>
    <row r="114" ht="62" customHeight="1">
      <c r="A114" s="39" t="inlineStr">
        <is>
          <t>IMAGE MISSING</t>
        </is>
      </c>
      <c r="B114" s="84" t="inlineStr">
        <is>
          <t>Love's cabin</t>
        </is>
      </c>
      <c r="C114" s="32" t="inlineStr">
        <is>
          <t>Satin Fitted Sheet</t>
        </is>
      </c>
      <c r="D114" s="84" t="inlineStr">
        <is>
          <t>Poor</t>
        </is>
      </c>
      <c r="E114" s="84" t="inlineStr">
        <is>
          <t>B0DWSHT8CF</t>
        </is>
      </c>
      <c r="F114" s="84" t="inlineStr">
        <is>
          <t>B0DWSK45RC</t>
        </is>
      </c>
      <c r="G114" s="84" t="n"/>
      <c r="H114" s="84" t="n"/>
      <c r="I114" s="85" t="n"/>
      <c r="J114" s="32" t="inlineStr"/>
      <c r="K114" s="86" t="n">
        <v>18.38</v>
      </c>
      <c r="L114" s="86" t="n"/>
      <c r="M114" s="87">
        <f>IF(AND(ISNUMBER(L114),ISNUMBER(K114),N(K114)&gt;0),L114/K114-1,"")</f>
        <v/>
      </c>
      <c r="N114" s="88">
        <f>IF(M114="","No List Price",IF(M114&lt;=0,"At/below price",IF(M114&lt;=0.12,"&lt;=12% STR zone",IF(M114&lt;=0.25,"12-25%","&gt;25% over"))))</f>
        <v/>
      </c>
      <c r="O114" s="86" t="n">
        <v>21.95</v>
      </c>
      <c r="P114" s="89">
        <f>IF(AND(ISNUMBER(K114),ISNUMBER(O114),N(O114)&gt;0),K114/O114-1,"")</f>
        <v/>
      </c>
      <c r="Q114" s="32" t="inlineStr">
        <is>
          <t>Size not stated - vs our Queen. Ours live: Helium 10 Xray, 2026-10-13; 17 children</t>
        </is>
      </c>
      <c r="R114" s="85" t="n">
        <v>1112453</v>
      </c>
      <c r="S114" s="85" t="n">
        <v>5</v>
      </c>
      <c r="T114" s="90">
        <f>IF(AND(ISNUMBER(K114),ISNUMBER(S114)),K114*S114*52/12,"")</f>
        <v/>
      </c>
      <c r="U114" s="91" t="n">
        <v>4.3</v>
      </c>
      <c r="V114" s="85" t="n">
        <v>81</v>
      </c>
      <c r="W114" s="92" t="n">
        <v>46307</v>
      </c>
      <c r="X114" s="92" t="n"/>
      <c r="Y114" s="84" t="n"/>
      <c r="Z114" s="84" t="n"/>
      <c r="AA114" s="85" t="n"/>
      <c r="AB114" s="85" t="n"/>
      <c r="AC114" s="93" t="n"/>
      <c r="AD114" s="93" t="n"/>
      <c r="AE114" s="32" t="n"/>
      <c r="AF114" s="93" t="n"/>
      <c r="AG114" s="93" t="n"/>
      <c r="AH114" s="93" t="n"/>
      <c r="AI114" s="93" t="n"/>
      <c r="AJ114" s="85" t="n"/>
      <c r="AK114" s="85" t="n"/>
      <c r="AL114" s="85" t="n"/>
      <c r="AM114" s="85" t="n"/>
      <c r="AN114" s="85" t="n"/>
      <c r="AO114" s="85" t="n"/>
      <c r="AP114" s="94" t="n"/>
      <c r="AQ114" s="89" t="n"/>
      <c r="AR114" s="95" t="inlineStr">
        <is>
          <t>N</t>
        </is>
      </c>
      <c r="AS114" s="95" t="inlineStr">
        <is>
          <t>none</t>
        </is>
      </c>
      <c r="AT114" s="101" t="n"/>
      <c r="AU114" s="101" t="n"/>
      <c r="AV114" s="95" t="inlineStr">
        <is>
          <t>none</t>
        </is>
      </c>
      <c r="AW114" s="95" t="inlineStr">
        <is>
          <t>N</t>
        </is>
      </c>
      <c r="AX114" s="95" t="inlineStr">
        <is>
          <t>2026-10-13 23:44:34</t>
        </is>
      </c>
      <c r="AY114" s="102" t="n"/>
      <c r="AZ114" s="102" t="n"/>
      <c r="BA114" s="101" t="n"/>
      <c r="BB114" s="101" t="n"/>
      <c r="BC114" s="87">
        <f>IF(AND(ISNUMBER(BA114),ISNUMBER(BB114),N(BA114)&gt;0),1-BB114/BA114,"")</f>
        <v/>
      </c>
      <c r="BD114" s="103" t="n"/>
      <c r="BE114" s="103" t="n"/>
      <c r="BF114" s="100">
        <f>IF(AND(ISNUMBER(BD114),ISNUMBER(BE114),N(BE114)&gt;0),BD114/BE114,"")</f>
        <v/>
      </c>
      <c r="BG114" s="102" t="n"/>
      <c r="BH114" s="102" t="n"/>
    </row>
    <row r="115" ht="62" customHeight="1">
      <c r="A115" s="39" t="inlineStr">
        <is>
          <t>IMAGE MISSING</t>
        </is>
      </c>
      <c r="B115" s="84" t="inlineStr">
        <is>
          <t>P Pothuiny</t>
        </is>
      </c>
      <c r="C115" s="32" t="inlineStr">
        <is>
          <t>Satin Fitted Sheet</t>
        </is>
      </c>
      <c r="D115" s="84" t="inlineStr">
        <is>
          <t>Poor</t>
        </is>
      </c>
      <c r="E115" s="84" t="inlineStr">
        <is>
          <t>B0BFB5DFVB</t>
        </is>
      </c>
      <c r="F115" s="84" t="inlineStr">
        <is>
          <t>B09W5W7VCC</t>
        </is>
      </c>
      <c r="G115" s="84" t="n"/>
      <c r="H115" s="84" t="n"/>
      <c r="I115" s="85" t="n"/>
      <c r="J115" s="32" t="inlineStr"/>
      <c r="K115" s="86" t="n">
        <v>12.99</v>
      </c>
      <c r="L115" s="86" t="n"/>
      <c r="M115" s="87">
        <f>IF(AND(ISNUMBER(L115),ISNUMBER(K115),N(K115)&gt;0),L115/K115-1,"")</f>
        <v/>
      </c>
      <c r="N115" s="88">
        <f>IF(M115="","No List Price",IF(M115&lt;=0,"At/below price",IF(M115&lt;=0.12,"&lt;=12% STR zone",IF(M115&lt;=0.25,"12-25%","&gt;25% over"))))</f>
        <v/>
      </c>
      <c r="O115" s="86" t="n">
        <v>21.95</v>
      </c>
      <c r="P115" s="89">
        <f>IF(AND(ISNUMBER(K115),ISNUMBER(O115),N(O115)&gt;0),K115/O115-1,"")</f>
        <v/>
      </c>
      <c r="Q115" s="32" t="inlineStr">
        <is>
          <t>Size not stated - vs our Queen. Ours live: Helium 10 Xray, 2026-10-13; 17 children</t>
        </is>
      </c>
      <c r="R115" s="85" t="n"/>
      <c r="S115" s="85" t="n">
        <v>5</v>
      </c>
      <c r="T115" s="90">
        <f>IF(AND(ISNUMBER(K115),ISNUMBER(S115)),K115*S115*52/12,"")</f>
        <v/>
      </c>
      <c r="U115" s="91" t="n">
        <v>4.4</v>
      </c>
      <c r="V115" s="85" t="n">
        <v>8</v>
      </c>
      <c r="W115" s="92" t="n">
        <v>46307</v>
      </c>
      <c r="X115" s="92" t="n"/>
      <c r="Y115" s="84" t="n"/>
      <c r="Z115" s="84" t="n"/>
      <c r="AA115" s="85" t="n"/>
      <c r="AB115" s="85" t="n"/>
      <c r="AC115" s="93" t="n"/>
      <c r="AD115" s="93" t="n"/>
      <c r="AE115" s="32" t="n"/>
      <c r="AF115" s="93" t="n"/>
      <c r="AG115" s="93" t="n"/>
      <c r="AH115" s="93" t="n"/>
      <c r="AI115" s="93" t="n"/>
      <c r="AJ115" s="85" t="n"/>
      <c r="AK115" s="85" t="n"/>
      <c r="AL115" s="85" t="n"/>
      <c r="AM115" s="85" t="n"/>
      <c r="AN115" s="85" t="n"/>
      <c r="AO115" s="85" t="n"/>
      <c r="AP115" s="94" t="n"/>
      <c r="AQ115" s="89" t="n"/>
      <c r="AR115" s="95" t="inlineStr">
        <is>
          <t>N</t>
        </is>
      </c>
      <c r="AS115" s="95" t="inlineStr">
        <is>
          <t>none</t>
        </is>
      </c>
      <c r="AT115" s="101" t="n"/>
      <c r="AU115" s="101" t="n"/>
      <c r="AV115" s="95" t="inlineStr">
        <is>
          <t>none</t>
        </is>
      </c>
      <c r="AW115" s="95" t="inlineStr">
        <is>
          <t>N</t>
        </is>
      </c>
      <c r="AX115" s="95" t="inlineStr">
        <is>
          <t>2026-10-13 23:44:40</t>
        </is>
      </c>
      <c r="AY115" s="102" t="n"/>
      <c r="AZ115" s="102" t="n"/>
      <c r="BA115" s="101" t="n"/>
      <c r="BB115" s="101" t="n"/>
      <c r="BC115" s="87">
        <f>IF(AND(ISNUMBER(BA115),ISNUMBER(BB115),N(BA115)&gt;0),1-BB115/BA115,"")</f>
        <v/>
      </c>
      <c r="BD115" s="103" t="n"/>
      <c r="BE115" s="103" t="n"/>
      <c r="BF115" s="100">
        <f>IF(AND(ISNUMBER(BD115),ISNUMBER(BE115),N(BE115)&gt;0),BD115/BE115,"")</f>
        <v/>
      </c>
      <c r="BG115" s="102" t="n"/>
      <c r="BH115" s="102" t="n"/>
    </row>
    <row r="116" ht="62" customHeight="1">
      <c r="A116" s="10">
        <f>_xlfn.IMAGE("https://images-na.ssl-images-amazon.com/images/I/71ujt2CgaQL.jpg")</f>
        <v/>
      </c>
      <c r="B116" s="84" t="inlineStr">
        <is>
          <t>BEDELITE</t>
        </is>
      </c>
      <c r="C116" s="32" t="inlineStr">
        <is>
          <t>BEDELITE Satin Sheets Queen Size Bed Set, Black, 4 Pieces</t>
        </is>
      </c>
      <c r="D116" s="84" t="inlineStr">
        <is>
          <t>Untiered</t>
        </is>
      </c>
      <c r="E116" s="84" t="inlineStr">
        <is>
          <t>B0FNMNMZ9T</t>
        </is>
      </c>
      <c r="F116" s="84" t="inlineStr">
        <is>
          <t>B0CSFTRP2X</t>
        </is>
      </c>
      <c r="G116" s="84" t="inlineStr">
        <is>
          <t>Queen</t>
        </is>
      </c>
      <c r="H116" s="84" t="inlineStr">
        <is>
          <t>Black</t>
        </is>
      </c>
      <c r="I116" s="85" t="n">
        <v>141</v>
      </c>
      <c r="J116" s="32" t="inlineStr">
        <is>
          <t>B0CSFTRP2X (57%), B0CSFW9QKP (14%), B0CSFTZ5B9 (14%)</t>
        </is>
      </c>
      <c r="K116" s="86" t="n">
        <v>17.99</v>
      </c>
      <c r="L116" s="86" t="n"/>
      <c r="M116" s="87">
        <f>IF(AND(ISNUMBER(L116),ISNUMBER(K116),N(K116)&gt;0),L116/K116-1,"")</f>
        <v/>
      </c>
      <c r="N116" s="88">
        <f>IF(M116="","No List Price",IF(M116&lt;=0,"At/below price",IF(M116&lt;=0.12,"&lt;=12% STR zone",IF(M116&lt;=0.25,"12-25%","&gt;25% over"))))</f>
        <v/>
      </c>
      <c r="O116" s="86" t="n">
        <v>21.95</v>
      </c>
      <c r="P116" s="89">
        <f>IF(AND(ISNUMBER(K116),ISNUMBER(O116),N(O116)&gt;0),K116/O116-1,"")</f>
        <v/>
      </c>
      <c r="Q116" s="32" t="inlineStr">
        <is>
          <t>Same size (Queen). Ours live: Helium 10 Xray, 2026-10-13; 17 children</t>
        </is>
      </c>
      <c r="R116" s="85" t="n">
        <v>497</v>
      </c>
      <c r="S116" s="85" t="n">
        <v>1963</v>
      </c>
      <c r="T116" s="90">
        <f>IF(AND(ISNUMBER(K116),ISNUMBER(S116)),K116*S116*52/12,"")</f>
        <v/>
      </c>
      <c r="U116" s="91" t="n">
        <v>4.3</v>
      </c>
      <c r="V116" s="85" t="n">
        <v>6297</v>
      </c>
      <c r="W116" s="92" t="n">
        <v>46307</v>
      </c>
      <c r="X116" s="92" t="n">
        <v>45307</v>
      </c>
      <c r="Y116" s="84" t="inlineStr">
        <is>
          <t>FBA</t>
        </is>
      </c>
      <c r="Z116" s="84" t="inlineStr">
        <is>
          <t>CN</t>
        </is>
      </c>
      <c r="AA116" s="85" t="n">
        <v>997443</v>
      </c>
      <c r="AB116" s="85" t="n">
        <v>3432</v>
      </c>
      <c r="AC116" s="93" t="n">
        <v>0.8161266415223724</v>
      </c>
      <c r="AD116" s="93" t="n">
        <v>0.1838733681022371</v>
      </c>
      <c r="AE116" s="32" t="inlineStr">
        <is>
          <t>silk sheets</t>
        </is>
      </c>
      <c r="AF116" s="93" t="n">
        <v>0.7623814092634867</v>
      </c>
      <c r="AG116" s="93" t="n">
        <v>0.2406603685624141</v>
      </c>
      <c r="AH116" s="93" t="n">
        <v>0.1818179083917577</v>
      </c>
      <c r="AI116" s="93" t="n">
        <v>0.3718648584430388</v>
      </c>
      <c r="AJ116" s="85" t="n">
        <v>514</v>
      </c>
      <c r="AK116" s="85" t="n">
        <v>120</v>
      </c>
      <c r="AL116" s="85" t="n">
        <v>367</v>
      </c>
      <c r="AM116" s="85" t="n">
        <v>2918</v>
      </c>
      <c r="AN116" s="85" t="n">
        <v>308</v>
      </c>
      <c r="AO116" s="85" t="n">
        <v>1</v>
      </c>
      <c r="AP116" s="94" t="n">
        <v>1.114785561378903</v>
      </c>
      <c r="AQ116" s="89" t="n">
        <v>0.3117365084274004</v>
      </c>
      <c r="AR116" s="95" t="inlineStr">
        <is>
          <t>Y</t>
        </is>
      </c>
      <c r="AS116" s="95" t="inlineStr">
        <is>
          <t>List Price</t>
        </is>
      </c>
      <c r="AT116" s="96" t="n">
        <v>19.99</v>
      </c>
      <c r="AU116" s="96" t="n">
        <v>17.99</v>
      </c>
      <c r="AV116" s="95" t="inlineStr">
        <is>
          <t>none</t>
        </is>
      </c>
      <c r="AW116" s="95" t="inlineStr">
        <is>
          <t>Y</t>
        </is>
      </c>
      <c r="AX116" s="95" t="inlineStr">
        <is>
          <t>2026-10-13 12:12:27</t>
        </is>
      </c>
      <c r="AY116" s="97" t="inlineStr">
        <is>
          <t>Price cut only</t>
        </is>
      </c>
      <c r="AZ116" s="97" t="inlineStr">
        <is>
          <t>11-20 to 12-01</t>
        </is>
      </c>
      <c r="BA116" s="98" t="n">
        <v>17.99</v>
      </c>
      <c r="BB116" s="98" t="n">
        <v>17.09</v>
      </c>
      <c r="BC116" s="87">
        <f>IF(AND(ISNUMBER(BA116),ISNUMBER(BB116),N(BA116)&gt;0),1-BB116/BA116,"")</f>
        <v/>
      </c>
      <c r="BD116" s="99" t="n">
        <v>714</v>
      </c>
      <c r="BE116" s="99" t="n">
        <v>473</v>
      </c>
      <c r="BF116" s="100">
        <f>IF(AND(ISNUMBER(BD116),ISNUMBER(BE116),N(BE116)&gt;0),BD116/BE116,"")</f>
        <v/>
      </c>
      <c r="BG116" s="97" t="inlineStr">
        <is>
          <t>N</t>
        </is>
      </c>
      <c r="BH116" s="97" t="inlineStr">
        <is>
          <t>Prime Exclusive 11-01 to 12-05; Prime Exclusive already running before BFCM week; List Price $23.99</t>
        </is>
      </c>
    </row>
    <row r="117" ht="62" customHeight="1">
      <c r="A117" s="10">
        <f>_xlfn.IMAGE("https://images-na.ssl-images-amazon.com/images/I/81C-fXI71XL.jpg")</f>
        <v/>
      </c>
      <c r="B117" s="84" t="inlineStr">
        <is>
          <t>Love's cabin</t>
        </is>
      </c>
      <c r="C117" s="32" t="inlineStr">
        <is>
          <t>Love's cabin Satin Queen Sheets Set, 4 Pieces, Pink, 15" Deep Pocket</t>
        </is>
      </c>
      <c r="D117" s="84" t="inlineStr">
        <is>
          <t>Untiered</t>
        </is>
      </c>
      <c r="E117" s="84" t="inlineStr">
        <is>
          <t>B08DHTB63X</t>
        </is>
      </c>
      <c r="F117" s="84" t="inlineStr">
        <is>
          <t>B0BNMC5G8R</t>
        </is>
      </c>
      <c r="G117" s="84" t="inlineStr">
        <is>
          <t>Queen</t>
        </is>
      </c>
      <c r="H117" s="84" t="inlineStr">
        <is>
          <t>Pink</t>
        </is>
      </c>
      <c r="I117" s="85" t="n">
        <v>128</v>
      </c>
      <c r="J117" s="32" t="inlineStr">
        <is>
          <t>B0BNMC5G8R (45%), B0BNMCRSC6 (13%), B0CM5NFXX1 (9%), B0BNMVM5VM (5%), B0BNMD8S97 (4%)</t>
        </is>
      </c>
      <c r="K117" s="86" t="n">
        <v>16.13</v>
      </c>
      <c r="L117" s="86" t="n">
        <v>19.99</v>
      </c>
      <c r="M117" s="87">
        <f>IF(AND(ISNUMBER(L117),ISNUMBER(K117),N(K117)&gt;0),L117/K117-1,"")</f>
        <v/>
      </c>
      <c r="N117" s="88">
        <f>IF(M117="","No List Price",IF(M117&lt;=0,"At/below price",IF(M117&lt;=0.12,"&lt;=12% STR zone",IF(M117&lt;=0.25,"12-25%","&gt;25% over"))))</f>
        <v/>
      </c>
      <c r="O117" s="86" t="n">
        <v>21.95</v>
      </c>
      <c r="P117" s="89">
        <f>IF(AND(ISNUMBER(K117),ISNUMBER(O117),N(O117)&gt;0),K117/O117-1,"")</f>
        <v/>
      </c>
      <c r="Q117" s="32" t="inlineStr">
        <is>
          <t>Same size (Queen). Ours live: Helium 10 Xray, 2026-10-13; 17 children</t>
        </is>
      </c>
      <c r="R117" s="85" t="n">
        <v>949</v>
      </c>
      <c r="S117" s="85" t="n">
        <v>809</v>
      </c>
      <c r="T117" s="90">
        <f>IF(AND(ISNUMBER(K117),ISNUMBER(S117)),K117*S117*52/12,"")</f>
        <v/>
      </c>
      <c r="U117" s="91" t="n">
        <v>4.5</v>
      </c>
      <c r="V117" s="85" t="n">
        <v>5747</v>
      </c>
      <c r="W117" s="92" t="n">
        <v>46307</v>
      </c>
      <c r="X117" s="92" t="n">
        <v>44895</v>
      </c>
      <c r="Y117" s="84" t="inlineStr">
        <is>
          <t>FBA</t>
        </is>
      </c>
      <c r="Z117" s="84" t="inlineStr">
        <is>
          <t>CN</t>
        </is>
      </c>
      <c r="AA117" s="85" t="n">
        <v>385363</v>
      </c>
      <c r="AB117" s="85" t="n">
        <v>3599</v>
      </c>
      <c r="AC117" s="93" t="n">
        <v>0.8181775938530695</v>
      </c>
      <c r="AD117" s="93" t="n">
        <v>0.1818224144507905</v>
      </c>
      <c r="AE117" s="32" t="inlineStr">
        <is>
          <t>silk sheets</t>
        </is>
      </c>
      <c r="AF117" s="93" t="n">
        <v>0.8853963665427143</v>
      </c>
      <c r="AG117" s="93" t="n">
        <v>0.6095447668821345</v>
      </c>
      <c r="AH117" s="93" t="n">
        <v>0.07642664189348744</v>
      </c>
      <c r="AI117" s="93" t="n">
        <v>0.06371395281851137</v>
      </c>
      <c r="AJ117" s="85" t="n">
        <v>506</v>
      </c>
      <c r="AK117" s="85" t="n">
        <v>126</v>
      </c>
      <c r="AL117" s="85" t="n">
        <v>335</v>
      </c>
      <c r="AM117" s="85" t="n">
        <v>3093</v>
      </c>
      <c r="AN117" s="85" t="n">
        <v>375</v>
      </c>
      <c r="AO117" s="85" t="n">
        <v>5</v>
      </c>
      <c r="AP117" s="94" t="n">
        <v>1.036399938565504</v>
      </c>
      <c r="AQ117" s="89" t="n">
        <v>-0.1336111472848027</v>
      </c>
      <c r="AR117" s="95" t="inlineStr">
        <is>
          <t>Y</t>
        </is>
      </c>
      <c r="AS117" s="95" t="inlineStr">
        <is>
          <t>List Price</t>
        </is>
      </c>
      <c r="AT117" s="96" t="n">
        <v>19.99</v>
      </c>
      <c r="AU117" s="96" t="n">
        <v>16.13</v>
      </c>
      <c r="AV117" s="95" t="inlineStr">
        <is>
          <t>Limited time deal</t>
        </is>
      </c>
      <c r="AW117" s="95" t="inlineStr">
        <is>
          <t>Y</t>
        </is>
      </c>
      <c r="AX117" s="95" t="inlineStr">
        <is>
          <t>2026-10-13 12:13:15</t>
        </is>
      </c>
      <c r="AY117" s="97" t="inlineStr">
        <is>
          <t>Prime Exclusive Discount</t>
        </is>
      </c>
      <c r="AZ117" s="97" t="inlineStr">
        <is>
          <t>11-10 to 12-05</t>
        </is>
      </c>
      <c r="BA117" s="98" t="n">
        <v>17.99</v>
      </c>
      <c r="BB117" s="98" t="n">
        <v>17.99</v>
      </c>
      <c r="BC117" s="87">
        <f>IF(AND(ISNUMBER(BA117),ISNUMBER(BB117),N(BA117)&gt;0),1-BB117/BA117,"")</f>
        <v/>
      </c>
      <c r="BD117" s="99" t="n">
        <v>1276</v>
      </c>
      <c r="BE117" s="99" t="n">
        <v>1515</v>
      </c>
      <c r="BF117" s="100">
        <f>IF(AND(ISNUMBER(BD117),ISNUMBER(BE117),N(BE117)&gt;0),BD117/BE117,"")</f>
        <v/>
      </c>
      <c r="BG117" s="97" t="inlineStr">
        <is>
          <t>N</t>
        </is>
      </c>
      <c r="BH117" s="97" t="inlineStr">
        <is>
          <t>Prime Exclusive already running before BFCM week; List Price $25.99</t>
        </is>
      </c>
    </row>
    <row r="118" ht="62" customHeight="1">
      <c r="A118" s="10">
        <f>_xlfn.IMAGE("https://images-na.ssl-images-amazon.com/images/I/71zGuoeuSrL.jpg")</f>
        <v/>
      </c>
      <c r="B118" s="84" t="inlineStr">
        <is>
          <t>MR&amp;HM</t>
        </is>
      </c>
      <c r="C118" s="32" t="inlineStr">
        <is>
          <t>MR&amp;HM Satin Sheets Queen Size with Elastic Corner Straps, Black</t>
        </is>
      </c>
      <c r="D118" s="84" t="inlineStr">
        <is>
          <t>Untiered</t>
        </is>
      </c>
      <c r="E118" s="84" t="inlineStr">
        <is>
          <t>B08NQ3W7PG</t>
        </is>
      </c>
      <c r="F118" s="84" t="inlineStr">
        <is>
          <t>B08HM6WT6X</t>
        </is>
      </c>
      <c r="G118" s="84" t="inlineStr">
        <is>
          <t>Queen</t>
        </is>
      </c>
      <c r="H118" s="84" t="inlineStr">
        <is>
          <t>Black</t>
        </is>
      </c>
      <c r="I118" s="85" t="n">
        <v>183</v>
      </c>
      <c r="J118" s="32" t="inlineStr">
        <is>
          <t>B08HM6WT6X (40%), B0D2CQ6VNT (13%), B08PS3HDFL (10%), B08HM65Z68 (8%), B08HLT8R9M (6%)</t>
        </is>
      </c>
      <c r="K118" s="86" t="n">
        <v>19.99</v>
      </c>
      <c r="L118" s="86" t="n"/>
      <c r="M118" s="87">
        <f>IF(AND(ISNUMBER(L118),ISNUMBER(K118),N(K118)&gt;0),L118/K118-1,"")</f>
        <v/>
      </c>
      <c r="N118" s="88">
        <f>IF(M118="","No List Price",IF(M118&lt;=0,"At/below price",IF(M118&lt;=0.12,"&lt;=12% STR zone",IF(M118&lt;=0.25,"12-25%","&gt;25% over"))))</f>
        <v/>
      </c>
      <c r="O118" s="86" t="n">
        <v>21.95</v>
      </c>
      <c r="P118" s="89">
        <f>IF(AND(ISNUMBER(K118),ISNUMBER(O118),N(O118)&gt;0),K118/O118-1,"")</f>
        <v/>
      </c>
      <c r="Q118" s="32" t="inlineStr">
        <is>
          <t>Same size (Queen). Ours live: Helium 10 Xray, 2026-10-13; 17 children</t>
        </is>
      </c>
      <c r="R118" s="85" t="n">
        <v>2025</v>
      </c>
      <c r="S118" s="85" t="n">
        <v>809</v>
      </c>
      <c r="T118" s="90">
        <f>IF(AND(ISNUMBER(K118),ISNUMBER(S118)),K118*S118*52/12,"")</f>
        <v/>
      </c>
      <c r="U118" s="91" t="n">
        <v>4.4</v>
      </c>
      <c r="V118" s="85" t="n">
        <v>17886</v>
      </c>
      <c r="W118" s="92" t="n">
        <v>46307</v>
      </c>
      <c r="X118" s="92" t="n">
        <v>44081</v>
      </c>
      <c r="Y118" s="84" t="inlineStr">
        <is>
          <t>FBA</t>
        </is>
      </c>
      <c r="Z118" s="84" t="inlineStr">
        <is>
          <t>HK</t>
        </is>
      </c>
      <c r="AA118" s="85" t="n">
        <v>356457</v>
      </c>
      <c r="AB118" s="85" t="n">
        <v>3352</v>
      </c>
      <c r="AC118" s="93" t="n">
        <v>0.7964633734223203</v>
      </c>
      <c r="AD118" s="93" t="n">
        <v>0.2035367432817982</v>
      </c>
      <c r="AE118" s="32" t="inlineStr">
        <is>
          <t>silk sheets</t>
        </is>
      </c>
      <c r="AF118" s="93" t="n">
        <v>0.839254103580516</v>
      </c>
      <c r="AG118" s="93" t="n"/>
      <c r="AH118" s="93" t="n"/>
      <c r="AI118" s="93" t="n">
        <v>0.1362268099658584</v>
      </c>
      <c r="AJ118" s="85" t="n">
        <v>527</v>
      </c>
      <c r="AK118" s="85" t="n">
        <v>147</v>
      </c>
      <c r="AL118" s="85" t="n">
        <v>333</v>
      </c>
      <c r="AM118" s="85" t="n">
        <v>2825</v>
      </c>
      <c r="AN118" s="85" t="n">
        <v>329</v>
      </c>
      <c r="AO118" s="85" t="n">
        <v>8</v>
      </c>
      <c r="AP118" s="94" t="n">
        <v>0.9844138242602214</v>
      </c>
      <c r="AQ118" s="89" t="n">
        <v>0.1594370096908169</v>
      </c>
      <c r="AR118" s="95" t="inlineStr">
        <is>
          <t>Y</t>
        </is>
      </c>
      <c r="AS118" s="95" t="inlineStr">
        <is>
          <t>List Price</t>
        </is>
      </c>
      <c r="AT118" s="96" t="n">
        <v>28.99</v>
      </c>
      <c r="AU118" s="96" t="n">
        <v>19.99</v>
      </c>
      <c r="AV118" s="95" t="inlineStr">
        <is>
          <t>none</t>
        </is>
      </c>
      <c r="AW118" s="95" t="inlineStr">
        <is>
          <t>Y</t>
        </is>
      </c>
      <c r="AX118" s="95" t="inlineStr">
        <is>
          <t>2026-10-13 12:13:22</t>
        </is>
      </c>
      <c r="AY118" s="97" t="inlineStr">
        <is>
          <t>None</t>
        </is>
      </c>
      <c r="AZ118" s="102" t="n"/>
      <c r="BA118" s="98" t="n">
        <v>17.99</v>
      </c>
      <c r="BB118" s="98" t="n">
        <v>17.99</v>
      </c>
      <c r="BC118" s="87">
        <f>IF(AND(ISNUMBER(BA118),ISNUMBER(BB118),N(BA118)&gt;0),1-BB118/BA118,"")</f>
        <v/>
      </c>
      <c r="BD118" s="99" t="n">
        <v>1500</v>
      </c>
      <c r="BE118" s="99" t="n">
        <v>1119</v>
      </c>
      <c r="BF118" s="100">
        <f>IF(AND(ISNUMBER(BD118),ISNUMBER(BE118),N(BE118)&gt;0),BD118/BE118,"")</f>
        <v/>
      </c>
      <c r="BG118" s="97" t="inlineStr">
        <is>
          <t>N</t>
        </is>
      </c>
      <c r="BH118" s="97" t="inlineStr">
        <is>
          <t>Prime Exclusive 11-01 to 12-05; Lightning Deal 11-08 to 11-14; Prime Exclusive already running before BFCM week; List Price $28.99</t>
        </is>
      </c>
    </row>
    <row r="119" ht="62" customHeight="1">
      <c r="A119" s="39" t="inlineStr">
        <is>
          <t>IMAGE MISSING</t>
        </is>
      </c>
      <c r="B119" s="84" t="inlineStr">
        <is>
          <t>JUWENIN</t>
        </is>
      </c>
      <c r="C119" s="32" t="inlineStr">
        <is>
          <t>Satin Fitted Sheet</t>
        </is>
      </c>
      <c r="D119" s="84" t="inlineStr">
        <is>
          <t>Untiered</t>
        </is>
      </c>
      <c r="E119" s="84" t="inlineStr">
        <is>
          <t>B0B1DX9FRV</t>
        </is>
      </c>
      <c r="F119" s="84" t="inlineStr">
        <is>
          <t>B0B1DVKHSJ</t>
        </is>
      </c>
      <c r="G119" s="84" t="n"/>
      <c r="H119" s="84" t="n"/>
      <c r="I119" s="85" t="n">
        <v>19</v>
      </c>
      <c r="J119" s="32" t="inlineStr">
        <is>
          <t>B0B1DTFZSQ (20%), B0B1DW72LK (16%), B0B1DZ5834 (15%), B0H2V7JR7V (12%), B0B1DWVL2V (11%)</t>
        </is>
      </c>
      <c r="K119" s="86" t="n">
        <v>9.99</v>
      </c>
      <c r="L119" s="86" t="n"/>
      <c r="M119" s="87">
        <f>IF(AND(ISNUMBER(L119),ISNUMBER(K119),N(K119)&gt;0),L119/K119-1,"")</f>
        <v/>
      </c>
      <c r="N119" s="88">
        <f>IF(M119="","No List Price",IF(M119&lt;=0,"At/below price",IF(M119&lt;=0.12,"&lt;=12% STR zone",IF(M119&lt;=0.25,"12-25%","&gt;25% over"))))</f>
        <v/>
      </c>
      <c r="O119" s="86" t="n">
        <v>21.95</v>
      </c>
      <c r="P119" s="89">
        <f>IF(AND(ISNUMBER(K119),ISNUMBER(O119),N(O119)&gt;0),K119/O119-1,"")</f>
        <v/>
      </c>
      <c r="Q119" s="32" t="inlineStr">
        <is>
          <t>Size not stated - vs our Queen. Ours live: Helium 10 Xray, 2026-10-13; 17 children</t>
        </is>
      </c>
      <c r="R119" s="85" t="n">
        <v>251642</v>
      </c>
      <c r="S119" s="85" t="n">
        <v>5</v>
      </c>
      <c r="T119" s="90">
        <f>IF(AND(ISNUMBER(K119),ISNUMBER(S119)),K119*S119*52/12,"")</f>
        <v/>
      </c>
      <c r="U119" s="91" t="n">
        <v>4.4</v>
      </c>
      <c r="V119" s="85" t="n">
        <v>256</v>
      </c>
      <c r="W119" s="92" t="n">
        <v>46307</v>
      </c>
      <c r="X119" s="92" t="n"/>
      <c r="Y119" s="84" t="n"/>
      <c r="Z119" s="84" t="n"/>
      <c r="AA119" s="85" t="n">
        <v>2799</v>
      </c>
      <c r="AB119" s="85" t="n">
        <v>183</v>
      </c>
      <c r="AC119" s="93" t="n">
        <v>0.9278307967131119</v>
      </c>
      <c r="AD119" s="93" t="n">
        <v>0.07216920328688817</v>
      </c>
      <c r="AE119" s="32" t="inlineStr">
        <is>
          <t>black satin sheets</t>
        </is>
      </c>
      <c r="AF119" s="93" t="n">
        <v>0.05216148624508753</v>
      </c>
      <c r="AG119" s="93" t="n"/>
      <c r="AH119" s="93" t="n"/>
      <c r="AI119" s="93" t="n"/>
      <c r="AJ119" s="85" t="n">
        <v>148</v>
      </c>
      <c r="AK119" s="85" t="n">
        <v>119</v>
      </c>
      <c r="AL119" s="85" t="n">
        <v>19</v>
      </c>
      <c r="AM119" s="85" t="n">
        <v>35</v>
      </c>
      <c r="AN119" s="85" t="n">
        <v>2</v>
      </c>
      <c r="AO119" s="85" t="n">
        <v>0</v>
      </c>
      <c r="AP119" s="94" t="n"/>
      <c r="AQ119" s="89" t="n"/>
      <c r="AR119" s="95" t="inlineStr">
        <is>
          <t>N</t>
        </is>
      </c>
      <c r="AS119" s="95" t="inlineStr">
        <is>
          <t>none</t>
        </is>
      </c>
      <c r="AT119" s="101" t="n"/>
      <c r="AU119" s="96" t="n">
        <v>9.99</v>
      </c>
      <c r="AV119" s="95" t="inlineStr">
        <is>
          <t>none</t>
        </is>
      </c>
      <c r="AW119" s="95" t="inlineStr">
        <is>
          <t>Y</t>
        </is>
      </c>
      <c r="AX119" s="95" t="inlineStr">
        <is>
          <t>2026-10-13 23:44:28</t>
        </is>
      </c>
      <c r="AY119" s="102" t="n"/>
      <c r="AZ119" s="102" t="n"/>
      <c r="BA119" s="101" t="n"/>
      <c r="BB119" s="101" t="n"/>
      <c r="BC119" s="87">
        <f>IF(AND(ISNUMBER(BA119),ISNUMBER(BB119),N(BA119)&gt;0),1-BB119/BA119,"")</f>
        <v/>
      </c>
      <c r="BD119" s="103" t="n"/>
      <c r="BE119" s="103" t="n"/>
      <c r="BF119" s="100">
        <f>IF(AND(ISNUMBER(BD119),ISNUMBER(BE119),N(BE119)&gt;0),BD119/BE119,"")</f>
        <v/>
      </c>
      <c r="BG119" s="102" t="n"/>
      <c r="BH119" s="102" t="n"/>
    </row>
    <row r="121" ht="20" customHeight="1">
      <c r="A121" s="54" t="inlineStr">
        <is>
          <t>5 · WHAT THIS MEANS FOR BFCM</t>
        </is>
      </c>
    </row>
    <row r="122" ht="30" customHeight="1">
      <c r="A122" s="104" t="inlineStr">
        <is>
          <t>•  Who sells most: BEDELITE ~1,963/wk at $17.99; Love's cabin ~809/wk at $16.13 (List $19.99, +24%); MR&amp;HM ~809/wk at $19.99; BEDELITE ~208/wk at $13.99; BEDELITE ~208/wk at $15.98 (List $19.99, +25%). Tracked rivals ~4,248 units/wk; we sell ~190/wk (4.3% of the tracked set).</t>
        </is>
      </c>
    </row>
    <row r="123" ht="18" customHeight="1">
      <c r="A123" s="104" t="inlineStr">
        <is>
          <t>•  Strikethrough: 2 of 14 rivals set a List Price above price; 0 within 12%.</t>
        </is>
      </c>
    </row>
    <row r="124" ht="18" customHeight="1">
      <c r="A124" s="104" t="inlineStr">
        <is>
          <t>•  Price: 13 of 14 rivals sit below our price today (same size where the title states one). Cheapest strong rivals: Homiest $12.99, BEDELITE $13.99, BEDELITE $15.98, VACVELT $17.99.</t>
        </is>
      </c>
    </row>
    <row r="125" ht="30" customHeight="1">
      <c r="A125" s="104" t="inlineStr">
        <is>
          <t>•  Strikethrough on the page today (Oct 13 check): 5 of 13 checked rivals show one: BEDELITE List Price $16.99 vs $13.99 (+21%), BEDELITE List Price $19.99 vs $15.98 (+25%) with deal, BEDELITE List Price $19.99 vs $17.99 (+11%), Love's cabin List Price $19.99 vs $16.13 (+24%) with deal, MR&amp;HM List Price $28.99 vs $19.99 (+45%).</t>
        </is>
      </c>
    </row>
    <row r="126" ht="30" customHeight="1">
      <c r="A126" s="104" t="inlineStr">
        <is>
          <t>•  Search: we lose most shared keywords to BEDELITE (we win 120, lose 367), Love's cabin (we win 126, lose 335), MR&amp;HM (we win 147, lose 333). Biggest ad gaps (they advertise where we don't or harder): BEDELITE 308 + 1 KWs, BEDELITE 499 + 21 KWs, Love's cabin 375 + 5 KWs.</t>
        </is>
      </c>
    </row>
    <row r="127" ht="18" customHeight="1">
      <c r="A127" s="104" t="inlineStr">
        <is>
          <t>•  Brand ads: Love's cabin (SB 61%, SBV 8%) hold Sponsored Brands / video on most of their traffic - the plan has our SB, SBV and display live by Nov 1.</t>
        </is>
      </c>
    </row>
    <row r="128" ht="18" customHeight="1">
      <c r="A128" s="104" t="inlineStr">
        <is>
          <t>•  Our BFCM 2025: 2.47x daily sales in BFCM week vs the 30 days before; TACoS 7.8% vs 11.2% before; December 1.51x.</t>
        </is>
      </c>
    </row>
    <row r="129" ht="18" customHeight="1">
      <c r="A129" s="104" t="inlineStr">
        <is>
          <t>•  Prime Day 2026: our organic visibility 1.08x vs rivals' median 1.12x (n=8) - rivals gained more event visibility than we did.</t>
        </is>
      </c>
    </row>
    <row r="130" ht="30" customHeight="1">
      <c r="A130" s="104" t="inlineStr">
        <is>
          <t>•  BFCM 2025, 8 rivals with Keepa history: Prime Exclusive Discount 4, Price cut only 2, None 2. Median depth vs their Nov 1-19 price 5%; median BSR lift 1.12x. 2 raised their Buy Box in BFCM week, so their deal looked deeper than it was.</t>
        </is>
      </c>
    </row>
    <row r="131" ht="18" customHeight="1">
      <c r="A131" s="104" t="inlineStr">
        <is>
          <t>•  6 rivals not in the Keepa pulls yet (yellow BFCM 2025 columns) - remaining P2 batches, AGENT_PROMPTS Prompt 2.</t>
        </is>
      </c>
    </row>
  </sheetData>
  <autoFilter ref="B105:BH119"/>
  <mergeCells count="72">
    <mergeCell ref="A15:BH15"/>
    <mergeCell ref="A90:C90"/>
    <mergeCell ref="AR104:AX104"/>
    <mergeCell ref="L5:Q5"/>
    <mergeCell ref="A89:C89"/>
    <mergeCell ref="A98:BH98"/>
    <mergeCell ref="A1:BH1"/>
    <mergeCell ref="A103:BH103"/>
    <mergeCell ref="Q11:T11"/>
    <mergeCell ref="A123:BH123"/>
    <mergeCell ref="L8:Q8"/>
    <mergeCell ref="A95:C95"/>
    <mergeCell ref="L4:Q4"/>
    <mergeCell ref="D7:I7"/>
    <mergeCell ref="A13:D13"/>
    <mergeCell ref="A124:BH124"/>
    <mergeCell ref="X104:Z104"/>
    <mergeCell ref="I13:L13"/>
    <mergeCell ref="A87:BH87"/>
    <mergeCell ref="A16:BH16"/>
    <mergeCell ref="A99:BH99"/>
    <mergeCell ref="D4:I4"/>
    <mergeCell ref="L10:Q10"/>
    <mergeCell ref="E12:H12"/>
    <mergeCell ref="Q13:T13"/>
    <mergeCell ref="A128:BH128"/>
    <mergeCell ref="D9:I9"/>
    <mergeCell ref="U12:X12"/>
    <mergeCell ref="L9:Q9"/>
    <mergeCell ref="Q12:T12"/>
    <mergeCell ref="A91:C91"/>
    <mergeCell ref="A11:D11"/>
    <mergeCell ref="I11:L11"/>
    <mergeCell ref="A96:C96"/>
    <mergeCell ref="A3:BH3"/>
    <mergeCell ref="L6:Q6"/>
    <mergeCell ref="D8:I8"/>
    <mergeCell ref="A4:B9"/>
    <mergeCell ref="K104:W104"/>
    <mergeCell ref="T6:Y6"/>
    <mergeCell ref="AY104:BH104"/>
    <mergeCell ref="A129:BH129"/>
    <mergeCell ref="A127:BH127"/>
    <mergeCell ref="A93:C93"/>
    <mergeCell ref="D5:I5"/>
    <mergeCell ref="A104:H104"/>
    <mergeCell ref="M11:P11"/>
    <mergeCell ref="A126:BH126"/>
    <mergeCell ref="U11:X11"/>
    <mergeCell ref="A97:BH97"/>
    <mergeCell ref="A131:BH131"/>
    <mergeCell ref="A100:BH100"/>
    <mergeCell ref="A122:BH122"/>
    <mergeCell ref="E13:H13"/>
    <mergeCell ref="D10:I10"/>
    <mergeCell ref="L7:Q7"/>
    <mergeCell ref="T5:Y5"/>
    <mergeCell ref="A125:BH125"/>
    <mergeCell ref="A94:C94"/>
    <mergeCell ref="A121:BH121"/>
    <mergeCell ref="A12:D12"/>
    <mergeCell ref="M13:P13"/>
    <mergeCell ref="I12:L12"/>
    <mergeCell ref="U13:X13"/>
    <mergeCell ref="A88:C88"/>
    <mergeCell ref="A102:BH102"/>
    <mergeCell ref="M12:P12"/>
    <mergeCell ref="AA104:AQ104"/>
    <mergeCell ref="T4:Y4"/>
    <mergeCell ref="D6:I6"/>
    <mergeCell ref="E11:H11"/>
    <mergeCell ref="A130:BH130"/>
  </mergeCells>
  <conditionalFormatting sqref="N106:N119">
    <cfRule type="expression" priority="1" dxfId="1">
      <formula>N106="&lt;=12% STR zone"</formula>
    </cfRule>
  </conditionalFormatting>
  <conditionalFormatting sqref="W106:W119">
    <cfRule type="expression" priority="2" dxfId="0">
      <formula>AND(ISNUMBER(W106),W106&lt;DATE(2026,10,6))</formula>
    </cfRule>
  </conditionalFormatting>
  <conditionalFormatting sqref="Q106:Q119">
    <cfRule type="expression" priority="3" dxfId="0">
      <formula>ISNUMBER(SEARCH("STALE",Q106))</formula>
    </cfRule>
  </conditionalFormatting>
  <conditionalFormatting sqref="P106:P119">
    <cfRule type="expression" priority="4" dxfId="0">
      <formula>AND(ISNUMBER(P106),P106&lt;0)</formula>
    </cfRule>
  </conditionalFormatting>
  <dataValidations count="3">
    <dataValidation sqref="AR106:AR119 BG106:BG119" showDropDown="0" showInputMessage="0" showErrorMessage="0" allowBlank="1" type="list">
      <formula1>"Y,N"</formula1>
    </dataValidation>
    <dataValidation sqref="AS106:AS119" showDropDown="0" showInputMessage="0" showErrorMessage="0" allowBlank="1" type="list">
      <formula1>"List Price,Typical price,Was price,None"</formula1>
    </dataValidation>
    <dataValidation sqref="AY106:AY11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1" summaryRight="1"/>
    <pageSetUpPr/>
  </sheetPr>
  <dimension ref="A1:BH12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Satin Fitted Sheet  ·  Amazon.ca (CA)  ·  Satin  ·  BFCM role: Opportunistic  ·  Scope: Core</t>
        </is>
      </c>
    </row>
    <row r="2">
      <c r="A2" s="53" t="inlineStr">
        <is>
          <t>← Dashboard</t>
        </is>
      </c>
    </row>
    <row r="3" ht="20" customHeight="1">
      <c r="A3" s="54" t="inlineStr">
        <is>
          <t>1 · OUR PRODUCT</t>
        </is>
      </c>
    </row>
    <row r="4" ht="34" customHeight="1">
      <c r="A4" s="10">
        <f>_xlfn.IMAGE("https://m.media-amazon.com/images/I/71APUp+JE3L._AC_SL1500_.jpg")</f>
        <v/>
      </c>
      <c r="C4" s="11" t="inlineStr">
        <is>
          <t>Title</t>
        </is>
      </c>
      <c r="D4" s="12" t="inlineStr">
        <is>
          <t>DECOLURE Satin Fitted Sheet Queen Size (1 PC) – Luxuriously Smooth &amp; Softer Than Silk Bed Sheets w/ 15 Inch Deep Pocket Hypoallergenic Wrinkle Free, Secure Snug Fit, Elastic Corner Straps (Black)</t>
        </is>
      </c>
      <c r="K4" s="11" t="inlineStr">
        <is>
          <t>Sizes</t>
        </is>
      </c>
      <c r="L4" s="55" t="inlineStr">
        <is>
          <t>Full, King, Queen, Twin</t>
        </is>
      </c>
      <c r="S4" s="11" t="inlineStr">
        <is>
          <t>Break-even ACoS</t>
        </is>
      </c>
      <c r="T4" s="55" t="inlineStr">
        <is>
          <t>28%</t>
        </is>
      </c>
    </row>
    <row r="5" ht="22" customHeight="1">
      <c r="C5" s="11" t="inlineStr">
        <is>
          <t>Brand</t>
        </is>
      </c>
      <c r="D5" s="55" t="inlineStr">
        <is>
          <t>Decolure</t>
        </is>
      </c>
      <c r="K5" s="11" t="inlineStr">
        <is>
          <t>Colours</t>
        </is>
      </c>
      <c r="L5" s="55" t="inlineStr">
        <is>
          <t>Baby Blue, Black, Blush Pink, Dark Green, Gold, Grey, Ivory, Lavender, Navy Blue, Pink, Purple, Red, Rosewood, Sage Green, Sea Teal, Stone Grey, White</t>
        </is>
      </c>
      <c r="S5" s="11" t="inlineStr">
        <is>
          <t>Units last 28 days</t>
        </is>
      </c>
      <c r="T5" s="55" t="inlineStr">
        <is>
          <t>204</t>
        </is>
      </c>
    </row>
    <row r="6" ht="22" customHeight="1">
      <c r="C6" s="11" t="inlineStr">
        <is>
          <t>Marketplace</t>
        </is>
      </c>
      <c r="D6" s="55" t="inlineStr">
        <is>
          <t>Amazon.ca (CA)</t>
        </is>
      </c>
      <c r="K6" s="11" t="inlineStr">
        <is>
          <t>Price now, best child</t>
        </is>
      </c>
      <c r="L6" s="55" t="inlineStr">
        <is>
          <t>Not checked yet - AGENT_PROMPTS Prompt 12</t>
        </is>
      </c>
      <c r="S6" s="11" t="inlineStr">
        <is>
          <t>Command Center product ASIN</t>
        </is>
      </c>
      <c r="T6" s="55" t="inlineStr">
        <is>
          <t>B0DBVZV66D (one of our child ASINs, not the Amazon parent)</t>
        </is>
      </c>
    </row>
    <row r="7" ht="22" customHeight="1">
      <c r="C7" s="11" t="inlineStr">
        <is>
          <t>Parent ASIN (Amazon)</t>
        </is>
      </c>
      <c r="D7" s="55" t="inlineStr">
        <is>
          <t>B0FQC9C5QT</t>
        </is>
      </c>
      <c r="K7" s="11" t="inlineStr">
        <is>
          <t>Rating / reviews now</t>
        </is>
      </c>
      <c r="L7" s="55" t="inlineStr">
        <is>
          <t>Not checked yet</t>
        </is>
      </c>
    </row>
    <row r="8" ht="22" customHeight="1">
      <c r="C8" s="11" t="inlineStr">
        <is>
          <t>Best-selling child ASIN</t>
        </is>
      </c>
      <c r="D8" s="55" t="inlineStr">
        <is>
          <t>B0DBW1PNJ8</t>
        </is>
      </c>
      <c r="K8" s="11" t="inlineStr">
        <is>
          <t>Live prices held</t>
        </is>
      </c>
      <c r="L8" s="55" t="inlineStr">
        <is>
          <t>0 of 68 variations</t>
        </is>
      </c>
    </row>
    <row r="9" ht="22" customHeight="1">
      <c r="C9" s="11" t="inlineStr">
        <is>
          <t>Stage</t>
        </is>
      </c>
      <c r="D9" s="55" t="inlineStr">
        <is>
          <t>Maintenance</t>
        </is>
      </c>
      <c r="K9" s="11" t="inlineStr">
        <is>
          <t>Blended price (Command Center)</t>
        </is>
      </c>
      <c r="L9" s="55" t="inlineStr">
        <is>
          <t>$26.10 - fee feed as of 2026-03-30, STALE</t>
        </is>
      </c>
    </row>
    <row r="10">
      <c r="C10" s="11" t="inlineStr">
        <is>
          <t>Total variations (SKUs)</t>
        </is>
      </c>
      <c r="D10" s="55" t="n">
        <v>68</v>
      </c>
      <c r="K10" s="11" t="inlineStr">
        <is>
          <t>Contribution / unit</t>
        </is>
      </c>
      <c r="L10" s="55" t="inlineStr">
        <is>
          <t>$7.26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STRIKETHROUGH SHOWN</t>
        </is>
      </c>
    </row>
    <row r="12" ht="24" customHeight="1">
      <c r="A12" s="57" t="inlineStr">
        <is>
          <t>0.74x</t>
        </is>
      </c>
      <c r="E12" s="57" t="inlineStr">
        <is>
          <t>1.3%</t>
        </is>
      </c>
      <c r="I12" s="57" t="inlineStr">
        <is>
          <t>0.76x</t>
        </is>
      </c>
      <c r="M12" s="57" t="inlineStr">
        <is>
          <t>15</t>
        </is>
      </c>
      <c r="Q12" s="57" t="inlineStr">
        <is>
          <t>6</t>
        </is>
      </c>
      <c r="U12" s="57" t="inlineStr">
        <is>
          <t>1 of 15</t>
        </is>
      </c>
    </row>
    <row r="13">
      <c r="A13" s="58" t="inlineStr">
        <is>
          <t>daily sales, BFCM wk vs 30 days before (SellerBoard actual)</t>
        </is>
      </c>
      <c r="E13" s="58" t="inlineStr">
        <is>
          <t>vs 0.0% before</t>
        </is>
      </c>
      <c r="I13" s="58" t="inlineStr">
        <is>
          <t>December daily sales vs Oct 21-Nov 19</t>
        </is>
      </c>
      <c r="M13" s="58" t="inlineStr">
        <is>
          <t>Amazon.ca page research</t>
        </is>
      </c>
      <c r="Q13" s="58" t="inlineStr">
        <is>
          <t>same size, else vs our Queen</t>
        </is>
      </c>
      <c r="U13" s="58" t="inlineStr">
        <is>
          <t>on the Amazon.ca page, Oct 13</t>
        </is>
      </c>
    </row>
    <row r="15" ht="20" customHeight="1">
      <c r="A15" s="54" t="inlineStr">
        <is>
          <t>2 · OUR VARIATIONS (68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_xlfn.IMAGE("https://m.media-amazon.com/images/I/71APUp+JE3L.jpg")</f>
        <v/>
      </c>
      <c r="B18" s="32" t="inlineStr">
        <is>
          <t>B0DBW1PNJ8</t>
        </is>
      </c>
      <c r="C18" s="32" t="inlineStr">
        <is>
          <t>SATIN-FITTED-QUEEN-BLACK</t>
        </is>
      </c>
      <c r="D18" s="32" t="inlineStr">
        <is>
          <t>DECOLURE Satin Fitted Sheet Queen Size (1 PC) – Luxuriously Smooth &amp; Softer Than Silk Bed Sheets w/ 15 Inch Deep Pocket Hypoallergenic Wrinkle Free, Secure Snug Fit, Elastic Corner Straps (Black)</t>
        </is>
      </c>
      <c r="E18" s="32" t="inlineStr">
        <is>
          <t>Queen</t>
        </is>
      </c>
      <c r="F18" s="32" t="inlineStr">
        <is>
          <t>Black</t>
        </is>
      </c>
      <c r="G18" s="33" t="n"/>
      <c r="H18" s="32" t="n"/>
      <c r="I18" s="61" t="n">
        <v>22.95</v>
      </c>
      <c r="J18" s="62" t="inlineStr">
        <is>
          <t>2026-03-30</t>
        </is>
      </c>
      <c r="K18" s="33" t="n">
        <v>7.289999999999997</v>
      </c>
      <c r="L18" s="63" t="n">
        <v>0.3176470588235293</v>
      </c>
      <c r="M18" s="64" t="n">
        <v>18</v>
      </c>
      <c r="N18" s="32" t="inlineStr">
        <is>
          <t>Active</t>
        </is>
      </c>
      <c r="O18" s="32" t="n"/>
      <c r="P18" s="65" t="n"/>
      <c r="Q18" s="64" t="n"/>
      <c r="R18" s="64" t="n"/>
      <c r="S18" s="64" t="n"/>
      <c r="T18" s="32" t="n"/>
    </row>
    <row r="19" ht="62" customHeight="1">
      <c r="A19" s="10">
        <f>_xlfn.IMAGE("https://m.media-amazon.com/images/I/71TuVlzH09L.jpg")</f>
        <v/>
      </c>
      <c r="B19" s="32" t="inlineStr">
        <is>
          <t>B0DBW19GXY</t>
        </is>
      </c>
      <c r="C19" s="32" t="inlineStr">
        <is>
          <t>SATIN-FITTED-QUEEN-GREY</t>
        </is>
      </c>
      <c r="D19" s="32" t="inlineStr">
        <is>
          <t>DECOLURE Satin Fitted Sheet Queen Size (1 PC) – Luxuriously Smooth &amp; Softer Than Silk Bed Sheets w/ 15 Inch Deep Pocket Hypoallergenic Wrinkle Free, Secure Snug Fit, Elastic Corner Straps (Grey)</t>
        </is>
      </c>
      <c r="E19" s="32" t="inlineStr">
        <is>
          <t>Queen</t>
        </is>
      </c>
      <c r="F19" s="32" t="inlineStr">
        <is>
          <t>Grey</t>
        </is>
      </c>
      <c r="G19" s="33" t="n"/>
      <c r="H19" s="32" t="n"/>
      <c r="I19" s="61" t="n">
        <v>22.95</v>
      </c>
      <c r="J19" s="62" t="inlineStr">
        <is>
          <t>2026-03-30</t>
        </is>
      </c>
      <c r="K19" s="33" t="n">
        <v>-0.08000000000000185</v>
      </c>
      <c r="L19" s="63" t="n">
        <v>-0.3485838779956508</v>
      </c>
      <c r="M19" s="64" t="n">
        <v>12</v>
      </c>
      <c r="N19" s="32" t="inlineStr">
        <is>
          <t>Active</t>
        </is>
      </c>
      <c r="O19" s="32" t="n"/>
      <c r="P19" s="65" t="n"/>
      <c r="Q19" s="64" t="n"/>
      <c r="R19" s="64" t="n"/>
      <c r="S19" s="64" t="n"/>
      <c r="T19" s="32" t="n"/>
    </row>
    <row r="20" ht="62" customHeight="1">
      <c r="A20" s="10">
        <f>_xlfn.IMAGE("https://m.media-amazon.com/images/I/81hiVG9bW0L.jpg")</f>
        <v/>
      </c>
      <c r="B20" s="32" t="inlineStr">
        <is>
          <t>B0DBW2HDDZ</t>
        </is>
      </c>
      <c r="C20" s="32" t="inlineStr">
        <is>
          <t>SATIN-FITTED-TWIN-PINK</t>
        </is>
      </c>
      <c r="D20" s="32" t="inlineStr">
        <is>
          <t>DECOLURE Satin Fitted Sheet Twin Size (1 PC) – Luxuriously Smooth &amp; Softer Than Silk Bed Sheets w/ 15 Inch Deep Pocket Hypoallergenic Wrinkle Free, Secure Snug Fit, Elastic Corner Straps (Pink)</t>
        </is>
      </c>
      <c r="E20" s="32" t="inlineStr">
        <is>
          <t>Twin</t>
        </is>
      </c>
      <c r="F20" s="32" t="inlineStr">
        <is>
          <t>Pink</t>
        </is>
      </c>
      <c r="G20" s="33" t="n"/>
      <c r="H20" s="32" t="n"/>
      <c r="I20" s="61" t="n">
        <v>20.95</v>
      </c>
      <c r="J20" s="62" t="inlineStr">
        <is>
          <t>2026-03-30</t>
        </is>
      </c>
      <c r="K20" s="33" t="n">
        <v>6.449999999999998</v>
      </c>
      <c r="L20" s="63" t="n">
        <v>0.3078758949880668</v>
      </c>
      <c r="M20" s="64" t="n">
        <v>12</v>
      </c>
      <c r="N20" s="32" t="inlineStr">
        <is>
          <t>Active</t>
        </is>
      </c>
      <c r="O20" s="32" t="n"/>
      <c r="P20" s="65" t="n"/>
      <c r="Q20" s="64" t="n"/>
      <c r="R20" s="64" t="n"/>
      <c r="S20" s="64" t="n"/>
      <c r="T20" s="32" t="n"/>
    </row>
    <row r="21" ht="62" customHeight="1">
      <c r="A21" s="10">
        <f>_xlfn.IMAGE("https://m.media-amazon.com/images/I/71JA-96z1+L.jpg")</f>
        <v/>
      </c>
      <c r="B21" s="32" t="inlineStr">
        <is>
          <t>B0DBW2HZBF</t>
        </is>
      </c>
      <c r="C21" s="32" t="inlineStr">
        <is>
          <t>SATIN-FITTED-QUEEN-ROSEWOOD</t>
        </is>
      </c>
      <c r="D21" s="32" t="inlineStr">
        <is>
          <t>DECOLURE Satin Fitted Sheet Queen Size (1 PC) – Luxuriously Smooth &amp; Softer Than Silk Bed Sheets w/ 15 Inch Deep Pocket Hypoallergenic Wrinkle Free, Secure Snug Fit, Elastic Corner Straps (Rosewood)</t>
        </is>
      </c>
      <c r="E21" s="32" t="inlineStr">
        <is>
          <t>Queen</t>
        </is>
      </c>
      <c r="F21" s="32" t="inlineStr">
        <is>
          <t>Rosewood</t>
        </is>
      </c>
      <c r="G21" s="33" t="n"/>
      <c r="H21" s="32" t="n"/>
      <c r="I21" s="61" t="n">
        <v>31.23</v>
      </c>
      <c r="J21" s="62" t="inlineStr">
        <is>
          <t>2026-03-30</t>
        </is>
      </c>
      <c r="K21" s="33" t="n">
        <v>7.810000000000001</v>
      </c>
      <c r="L21" s="63" t="n">
        <v>0.250080051232789</v>
      </c>
      <c r="M21" s="64" t="n">
        <v>10</v>
      </c>
      <c r="N21" s="32" t="inlineStr">
        <is>
          <t>Active</t>
        </is>
      </c>
      <c r="O21" s="32" t="n"/>
      <c r="P21" s="65" t="n"/>
      <c r="Q21" s="64" t="n"/>
      <c r="R21" s="64" t="n"/>
      <c r="S21" s="64" t="n"/>
      <c r="T21" s="32" t="n"/>
    </row>
    <row r="22" ht="62" customHeight="1">
      <c r="A22" s="10">
        <f>_xlfn.IMAGE("https://m.media-amazon.com/images/I/81Zp5JX8nUL.jpg")</f>
        <v/>
      </c>
      <c r="B22" s="32" t="inlineStr">
        <is>
          <t>B0DBW151XC</t>
        </is>
      </c>
      <c r="C22" s="32" t="inlineStr">
        <is>
          <t>SATIN-FITTED-QUEEN-DARK-GREEN</t>
        </is>
      </c>
      <c r="D22" s="32" t="inlineStr">
        <is>
          <t>DECOLURE Satin Fitted Sheet Queen Size (1 PC) – Luxuriously Smooth &amp; Softer than Silk Bed Sheets w/ 15 Inch Deep Pocket Hypoallergenic Wrinkle Free, Secure Snug Fit, Elastic Corner Straps (Dark Green)</t>
        </is>
      </c>
      <c r="E22" s="32" t="inlineStr">
        <is>
          <t>Queen</t>
        </is>
      </c>
      <c r="F22" s="32" t="inlineStr">
        <is>
          <t>Dark Green</t>
        </is>
      </c>
      <c r="G22" s="33" t="n"/>
      <c r="H22" s="32" t="n"/>
      <c r="I22" s="61" t="n">
        <v>23.95</v>
      </c>
      <c r="J22" s="62" t="inlineStr">
        <is>
          <t>2026-03-30</t>
        </is>
      </c>
      <c r="K22" s="33" t="n">
        <v>7.8</v>
      </c>
      <c r="L22" s="63" t="n">
        <v>0.325678496868476</v>
      </c>
      <c r="M22" s="64" t="n">
        <v>9</v>
      </c>
      <c r="N22" s="32" t="inlineStr">
        <is>
          <t>Active</t>
        </is>
      </c>
      <c r="O22" s="32" t="n"/>
      <c r="P22" s="65" t="n"/>
      <c r="Q22" s="64" t="n"/>
      <c r="R22" s="64" t="n"/>
      <c r="S22" s="64" t="n"/>
      <c r="T22" s="32" t="n"/>
    </row>
    <row r="23" ht="62" customHeight="1">
      <c r="A23" s="10">
        <f>_xlfn.IMAGE("https://m.media-amazon.com/images/I/81hiVG9bW0L.jpg")</f>
        <v/>
      </c>
      <c r="B23" s="32" t="inlineStr">
        <is>
          <t>B0DBVZRZ4H</t>
        </is>
      </c>
      <c r="C23" s="32" t="inlineStr">
        <is>
          <t>SATIN-FITTED-FULL-PINK</t>
        </is>
      </c>
      <c r="D23" s="32" t="inlineStr">
        <is>
          <t>DECOLURE Satin Fitted Sheet Full Size (1 PC) – Luxuriously Smooth &amp; Softer Than Silk Bed Sheets w/ 15 Inch Deep Pocket Hypoallergenic Wrinkle Free, Secure Snug Fit, Elastic Corner Straps (Pink)</t>
        </is>
      </c>
      <c r="E23" s="32" t="inlineStr">
        <is>
          <t>Full</t>
        </is>
      </c>
      <c r="F23" s="32" t="inlineStr">
        <is>
          <t>Pink</t>
        </is>
      </c>
      <c r="G23" s="33" t="n"/>
      <c r="H23" s="32" t="n"/>
      <c r="I23" s="61" t="n">
        <v>22.95</v>
      </c>
      <c r="J23" s="62" t="inlineStr">
        <is>
          <t>2026-03-30</t>
        </is>
      </c>
      <c r="K23" s="33" t="n">
        <v>7.199999999999998</v>
      </c>
      <c r="L23" s="63" t="n">
        <v>0.3137254901960784</v>
      </c>
      <c r="M23" s="64" t="n">
        <v>8</v>
      </c>
      <c r="N23" s="32" t="inlineStr">
        <is>
          <t>Active</t>
        </is>
      </c>
      <c r="O23" s="32" t="n"/>
      <c r="P23" s="65" t="n"/>
      <c r="Q23" s="64" t="n"/>
      <c r="R23" s="64" t="n"/>
      <c r="S23" s="64" t="n"/>
      <c r="T23" s="32" t="n"/>
    </row>
    <row r="24" ht="62" customHeight="1">
      <c r="A24" s="10">
        <f>_xlfn.IMAGE("https://m.media-amazon.com/images/I/71iVJQHaIBL.jpg")</f>
        <v/>
      </c>
      <c r="B24" s="32" t="inlineStr">
        <is>
          <t>B0DBW27P8P</t>
        </is>
      </c>
      <c r="C24" s="32" t="inlineStr">
        <is>
          <t>SATIN-FITTED-FULL-WHITE</t>
        </is>
      </c>
      <c r="D24" s="32" t="inlineStr">
        <is>
          <t>DECOLURE Satin Fitted Sheet Full Size (1 PC) – Luxuriously Smooth &amp; Softer Than Silk Bed Sheets w/ 15 Inch Deep Pocket Hypoallergenic Wrinkle Free, Secure Snug Fit, Elastic Corner Straps (White)</t>
        </is>
      </c>
      <c r="E24" s="32" t="inlineStr">
        <is>
          <t>Full</t>
        </is>
      </c>
      <c r="F24" s="32" t="inlineStr">
        <is>
          <t>White</t>
        </is>
      </c>
      <c r="G24" s="33" t="n"/>
      <c r="H24" s="32" t="n"/>
      <c r="I24" s="61" t="n">
        <v>30.04</v>
      </c>
      <c r="J24" s="62" t="inlineStr">
        <is>
          <t>2026-03-30</t>
        </is>
      </c>
      <c r="K24" s="33" t="n">
        <v>7.66</v>
      </c>
      <c r="L24" s="63" t="n">
        <v>0.2549933422103862</v>
      </c>
      <c r="M24" s="64" t="n">
        <v>8</v>
      </c>
      <c r="N24" s="32" t="inlineStr">
        <is>
          <t>Active</t>
        </is>
      </c>
      <c r="O24" s="32" t="n"/>
      <c r="P24" s="65" t="n"/>
      <c r="Q24" s="64" t="n"/>
      <c r="R24" s="64" t="n"/>
      <c r="S24" s="64" t="n"/>
      <c r="T24" s="32" t="n"/>
    </row>
    <row r="25" ht="62" customHeight="1">
      <c r="A25" s="10">
        <f>_xlfn.IMAGE("https://m.media-amazon.com/images/I/818qIvZ2yIL.jpg")</f>
        <v/>
      </c>
      <c r="B25" s="32" t="inlineStr">
        <is>
          <t>B0DBVZZH8S</t>
        </is>
      </c>
      <c r="C25" s="32" t="inlineStr">
        <is>
          <t>SATIN-FITTED-QUEEN-GOLD</t>
        </is>
      </c>
      <c r="D25" s="32" t="inlineStr">
        <is>
          <t>DECOLURE Satin Fitted Sheet Queen Size (1 PC) – Luxuriously Smooth &amp; Softer Than Silk Bed Sheets w/ 15 Inch Deep Pocket Hypoallergenic Wrinkle Free, Secure Snug Fit, Elastic Corner Straps (Gold)</t>
        </is>
      </c>
      <c r="E25" s="32" t="inlineStr">
        <is>
          <t>Queen</t>
        </is>
      </c>
      <c r="F25" s="32" t="inlineStr">
        <is>
          <t>Gold</t>
        </is>
      </c>
      <c r="G25" s="33" t="n"/>
      <c r="H25" s="32" t="n"/>
      <c r="I25" s="61" t="n">
        <v>23.95</v>
      </c>
      <c r="J25" s="62" t="inlineStr">
        <is>
          <t>2026-03-30</t>
        </is>
      </c>
      <c r="K25" s="33" t="n">
        <v>7.279999999999999</v>
      </c>
      <c r="L25" s="63" t="n">
        <v>0.3039665970772442</v>
      </c>
      <c r="M25" s="64" t="n">
        <v>7</v>
      </c>
      <c r="N25" s="32" t="inlineStr">
        <is>
          <t>Active</t>
        </is>
      </c>
      <c r="O25" s="32" t="n"/>
      <c r="P25" s="65" t="n"/>
      <c r="Q25" s="64" t="n"/>
      <c r="R25" s="64" t="n"/>
      <c r="S25" s="64" t="n"/>
      <c r="T25" s="32" t="n"/>
    </row>
    <row r="26" ht="62" customHeight="1">
      <c r="A26" s="10">
        <f>_xlfn.IMAGE("https://m.media-amazon.com/images/I/81mTp2BYSlL.jpg")</f>
        <v/>
      </c>
      <c r="B26" s="32" t="inlineStr">
        <is>
          <t>B0DBVYJJZ6</t>
        </is>
      </c>
      <c r="C26" s="32" t="inlineStr">
        <is>
          <t>SATIN-FITTED-QUEEN-RED</t>
        </is>
      </c>
      <c r="D26" s="32" t="inlineStr">
        <is>
          <t>DECOLURE Satin Fitted Sheet Queen Size (1 PC) – Luxuriously Smooth &amp; Softer Than Silk Bed Sheets w/ 15 Inch Deep Pocket Hypoallergenic Wrinkle Free, Secure Snug Fit, Elastic Corner Straps (Red)</t>
        </is>
      </c>
      <c r="E26" s="32" t="inlineStr">
        <is>
          <t>Queen</t>
        </is>
      </c>
      <c r="F26" s="32" t="inlineStr">
        <is>
          <t>Red</t>
        </is>
      </c>
      <c r="G26" s="33" t="n"/>
      <c r="H26" s="32" t="n"/>
      <c r="I26" s="61" t="n">
        <v>31.14</v>
      </c>
      <c r="J26" s="62" t="inlineStr">
        <is>
          <t>2026-03-30</t>
        </is>
      </c>
      <c r="K26" s="33" t="n">
        <v>8.119999999999999</v>
      </c>
      <c r="L26" s="63" t="n">
        <v>0.2607578676942838</v>
      </c>
      <c r="M26" s="64" t="n">
        <v>7</v>
      </c>
      <c r="N26" s="32" t="inlineStr">
        <is>
          <t>Active</t>
        </is>
      </c>
      <c r="O26" s="32" t="n"/>
      <c r="P26" s="65" t="n"/>
      <c r="Q26" s="64" t="n"/>
      <c r="R26" s="64" t="n"/>
      <c r="S26" s="64" t="n"/>
      <c r="T26" s="32" t="n"/>
    </row>
    <row r="27" ht="62" customHeight="1">
      <c r="A27" s="10">
        <f>_xlfn.IMAGE("https://m.media-amazon.com/images/I/71iVJQHaIBL.jpg")</f>
        <v/>
      </c>
      <c r="B27" s="32" t="inlineStr">
        <is>
          <t>B0DBVZSNZ4</t>
        </is>
      </c>
      <c r="C27" s="32" t="inlineStr">
        <is>
          <t>SATIN-FITTED-TWIN-WHITE</t>
        </is>
      </c>
      <c r="D27" s="32" t="inlineStr">
        <is>
          <t>DECOLURE Satin Fitted Sheet Twin Size (1 PC) – Luxuriously Smooth &amp; Softer Than Silk Bed Sheets w/ 15 Inch Deep Pocket Hypoallergenic Wrinkle Free, Secure Snug Fit, Elastic Corner Straps (White)</t>
        </is>
      </c>
      <c r="E27" s="32" t="inlineStr">
        <is>
          <t>Twin</t>
        </is>
      </c>
      <c r="F27" s="32" t="inlineStr">
        <is>
          <t>White</t>
        </is>
      </c>
      <c r="G27" s="33" t="n"/>
      <c r="H27" s="32" t="n"/>
      <c r="I27" s="61" t="n">
        <v>20.95</v>
      </c>
      <c r="J27" s="62" t="inlineStr">
        <is>
          <t>2026-03-30</t>
        </is>
      </c>
      <c r="K27" s="33" t="n">
        <v>6.449999999999998</v>
      </c>
      <c r="L27" s="63" t="n">
        <v>0.3078758949880668</v>
      </c>
      <c r="M27" s="64" t="n">
        <v>7</v>
      </c>
      <c r="N27" s="32" t="inlineStr">
        <is>
          <t>Active</t>
        </is>
      </c>
      <c r="O27" s="32" t="n"/>
      <c r="P27" s="65" t="n"/>
      <c r="Q27" s="64" t="n"/>
      <c r="R27" s="64" t="n"/>
      <c r="S27" s="64" t="n"/>
      <c r="T27" s="32" t="n"/>
    </row>
    <row r="28" ht="62" customHeight="1">
      <c r="A28" s="10">
        <f>_xlfn.IMAGE("https://m.media-amazon.com/images/I/81mTp2BYSlL.jpg")</f>
        <v/>
      </c>
      <c r="B28" s="32" t="inlineStr">
        <is>
          <t>B0DBW1M6RN</t>
        </is>
      </c>
      <c r="C28" s="32" t="inlineStr">
        <is>
          <t>SATIN-FITTED-KING-RED</t>
        </is>
      </c>
      <c r="D28" s="32" t="inlineStr">
        <is>
          <t>DECOLURE Satin Fitted Sheet King Size (1 PC) – Luxuriously Smooth &amp; Softer Than Silk Bed Sheets w/ 15 Inch Deep Pocket Hypoallergenic Wrinkle Free, Secure Snug Fit, Elastic Corner Straps (Red)</t>
        </is>
      </c>
      <c r="E28" s="32" t="inlineStr">
        <is>
          <t>King</t>
        </is>
      </c>
      <c r="F28" s="32" t="inlineStr">
        <is>
          <t>Red</t>
        </is>
      </c>
      <c r="G28" s="33" t="n"/>
      <c r="H28" s="32" t="n"/>
      <c r="I28" s="61" t="n">
        <v>32.66</v>
      </c>
      <c r="J28" s="62" t="inlineStr">
        <is>
          <t>2026-03-30</t>
        </is>
      </c>
      <c r="K28" s="33" t="n">
        <v>8.879999999999999</v>
      </c>
      <c r="L28" s="63" t="n">
        <v>0.2718922229026332</v>
      </c>
      <c r="M28" s="64" t="n">
        <v>5</v>
      </c>
      <c r="N28" s="32" t="inlineStr">
        <is>
          <t>Active</t>
        </is>
      </c>
      <c r="O28" s="32" t="n"/>
      <c r="P28" s="65" t="n"/>
      <c r="Q28" s="64" t="n"/>
      <c r="R28" s="64" t="n"/>
      <c r="S28" s="64" t="n"/>
      <c r="T28" s="32" t="n"/>
    </row>
    <row r="29" ht="62" customHeight="1">
      <c r="A29" s="10">
        <f>_xlfn.IMAGE("https://m.media-amazon.com/images/I/71iVJQHaIBL.jpg")</f>
        <v/>
      </c>
      <c r="B29" s="32" t="inlineStr">
        <is>
          <t>B0DBVZ1Z2R</t>
        </is>
      </c>
      <c r="C29" s="32" t="inlineStr">
        <is>
          <t>SATIN-FITTED-KING-WHITE</t>
        </is>
      </c>
      <c r="D29" s="32" t="inlineStr">
        <is>
          <t>DECOLURE Satin Fitted Sheet King Size (1 PC) – Luxuriously Smooth &amp; Softer Than Silk Bed Sheets w/ 15 Inch Deep Pocket Hypoallergenic Wrinkle Free, Secure Snug Fit, Elastic Corner Straps (White)</t>
        </is>
      </c>
      <c r="E29" s="32" t="inlineStr">
        <is>
          <t>King</t>
        </is>
      </c>
      <c r="F29" s="32" t="inlineStr">
        <is>
          <t>White</t>
        </is>
      </c>
      <c r="G29" s="33" t="n"/>
      <c r="H29" s="32" t="n"/>
      <c r="I29" s="61" t="n">
        <v>32.8</v>
      </c>
      <c r="J29" s="62" t="inlineStr">
        <is>
          <t>2026-03-30</t>
        </is>
      </c>
      <c r="K29" s="33" t="n">
        <v>8.999999999999996</v>
      </c>
      <c r="L29" s="63" t="n">
        <v>0.2743902439024389</v>
      </c>
      <c r="M29" s="64" t="n">
        <v>5</v>
      </c>
      <c r="N29" s="32" t="inlineStr">
        <is>
          <t>Active</t>
        </is>
      </c>
      <c r="O29" s="32" t="n"/>
      <c r="P29" s="65" t="n"/>
      <c r="Q29" s="64" t="n"/>
      <c r="R29" s="64" t="n"/>
      <c r="S29" s="64" t="n"/>
      <c r="T29" s="32" t="n"/>
    </row>
    <row r="30" ht="62" customHeight="1">
      <c r="A30" s="10">
        <f>_xlfn.IMAGE("https://m.media-amazon.com/images/I/81r1IG1mOIL.jpg")</f>
        <v/>
      </c>
      <c r="B30" s="32" t="inlineStr">
        <is>
          <t>B0DBVZ9JMT</t>
        </is>
      </c>
      <c r="C30" s="32" t="inlineStr">
        <is>
          <t>SATIN-FITTED-TWIN-LAVENDER</t>
        </is>
      </c>
      <c r="D30" s="32" t="inlineStr">
        <is>
          <t>DECOLURE Satin Fitted Sheet Twin Size (1 PC) – Luxuriously Smooth &amp; Softer Than Silk Bed Sheets w/ 15 Inch Deep Pocket Hypoallergenic Wrinkle Free, Secure Snug Fit, Elastic Corner Straps (Lavender)</t>
        </is>
      </c>
      <c r="E30" s="32" t="inlineStr">
        <is>
          <t>Twin</t>
        </is>
      </c>
      <c r="F30" s="32" t="inlineStr">
        <is>
          <t>Lavender</t>
        </is>
      </c>
      <c r="G30" s="33" t="n"/>
      <c r="H30" s="32" t="n"/>
      <c r="I30" s="61" t="n">
        <v>27.71</v>
      </c>
      <c r="J30" s="62" t="inlineStr">
        <is>
          <t>2026-03-30</t>
        </is>
      </c>
      <c r="K30" s="33" t="n">
        <v>6.99</v>
      </c>
      <c r="L30" s="63" t="n">
        <v>0.2522555034283652</v>
      </c>
      <c r="M30" s="64" t="n">
        <v>5</v>
      </c>
      <c r="N30" s="32" t="inlineStr">
        <is>
          <t>Active</t>
        </is>
      </c>
      <c r="O30" s="32" t="n"/>
      <c r="P30" s="65" t="n"/>
      <c r="Q30" s="64" t="n"/>
      <c r="R30" s="64" t="n"/>
      <c r="S30" s="64" t="n"/>
      <c r="T30" s="32" t="n"/>
    </row>
    <row r="31" ht="62" customHeight="1">
      <c r="A31" s="10">
        <f>_xlfn.IMAGE("https://m.media-amazon.com/images/I/81Zp5JX8nUL.jpg")</f>
        <v/>
      </c>
      <c r="B31" s="32" t="inlineStr">
        <is>
          <t>B0DBVXG561</t>
        </is>
      </c>
      <c r="C31" s="32" t="inlineStr">
        <is>
          <t>SATIN-FITTED-FULL-DARK-GREEN</t>
        </is>
      </c>
      <c r="D31" s="32" t="inlineStr">
        <is>
          <t>DECOLURE Satin Fitted Sheet Full Size (1 PC) – Luxuriously Smooth &amp; Softer Than Silk Bed Sheets w/ 15 Inch Deep Pocket Hypoallergenic Wrinkle Free, Secure Snug Fit, Elastic Corner Straps (Dark Green)</t>
        </is>
      </c>
      <c r="E31" s="32" t="inlineStr">
        <is>
          <t>Full</t>
        </is>
      </c>
      <c r="F31" s="32" t="inlineStr">
        <is>
          <t>Dark Green</t>
        </is>
      </c>
      <c r="G31" s="33" t="n"/>
      <c r="H31" s="32" t="n"/>
      <c r="I31" s="61" t="n">
        <v>30.04</v>
      </c>
      <c r="J31" s="62" t="inlineStr">
        <is>
          <t>2026-03-30</t>
        </is>
      </c>
      <c r="K31" s="33" t="n">
        <v>8.31</v>
      </c>
      <c r="L31" s="63" t="n">
        <v>0.2766311584553928</v>
      </c>
      <c r="M31" s="64" t="n">
        <v>4</v>
      </c>
      <c r="N31" s="32" t="inlineStr">
        <is>
          <t>Active</t>
        </is>
      </c>
      <c r="O31" s="32" t="n"/>
      <c r="P31" s="65" t="n"/>
      <c r="Q31" s="64" t="n"/>
      <c r="R31" s="64" t="n"/>
      <c r="S31" s="64" t="n"/>
      <c r="T31" s="32" t="n"/>
    </row>
    <row r="32" ht="62" customHeight="1">
      <c r="A32" s="10">
        <f>_xlfn.IMAGE("https://m.media-amazon.com/images/I/71APUp+JE3L.jpg")</f>
        <v/>
      </c>
      <c r="B32" s="32" t="inlineStr">
        <is>
          <t>B0DBW13VVR</t>
        </is>
      </c>
      <c r="C32" s="32" t="inlineStr">
        <is>
          <t>SATIN-FITTED-KING-BLACK</t>
        </is>
      </c>
      <c r="D32" s="32" t="inlineStr">
        <is>
          <t>DECOLURE Satin Fitted Sheet King Size (1 PC) – Luxuriously Smooth &amp; Softer Than Silk Bed Sheets w/ 15 Inch Deep Pocket Hypoallergenic Wrinkle Free, Secure Snug Fit, Elastic Corner Straps (Black)</t>
        </is>
      </c>
      <c r="E32" s="32" t="inlineStr">
        <is>
          <t>King</t>
        </is>
      </c>
      <c r="F32" s="32" t="inlineStr">
        <is>
          <t>Black</t>
        </is>
      </c>
      <c r="G32" s="33" t="n"/>
      <c r="H32" s="32" t="n"/>
      <c r="I32" s="61" t="n">
        <v>23.95</v>
      </c>
      <c r="J32" s="62" t="inlineStr">
        <is>
          <t>2026-03-30</t>
        </is>
      </c>
      <c r="K32" s="33" t="n">
        <v>6.51</v>
      </c>
      <c r="L32" s="63" t="n">
        <v>0.2718162839248434</v>
      </c>
      <c r="M32" s="64" t="n">
        <v>4</v>
      </c>
      <c r="N32" s="32" t="inlineStr">
        <is>
          <t>Inactive</t>
        </is>
      </c>
      <c r="O32" s="32" t="n"/>
      <c r="P32" s="65" t="n"/>
      <c r="Q32" s="64" t="n"/>
      <c r="R32" s="64" t="n"/>
      <c r="S32" s="64" t="n"/>
      <c r="T32" s="32" t="n"/>
    </row>
    <row r="33" ht="62" customHeight="1">
      <c r="A33" s="10">
        <f>_xlfn.IMAGE("https://m.media-amazon.com/images/I/71q7X0GjqSL.jpg")</f>
        <v/>
      </c>
      <c r="B33" s="32" t="inlineStr">
        <is>
          <t>B0DBVZYXY9</t>
        </is>
      </c>
      <c r="C33" s="32" t="inlineStr">
        <is>
          <t>SATIN-FITTED-QUEEN-NAVY-BLUE</t>
        </is>
      </c>
      <c r="D33" s="32" t="inlineStr">
        <is>
          <t>DECOLURE Satin Fitted Sheet Queen Size (1 PC) – Luxuriously Smooth &amp; Softer Than Silk Bed Sheets w/ 15 Inch Deep Pocket Hypoallergenic Wrinkle Free, Secure Snug Fit, Elastic Corner Straps (Navy Blue)</t>
        </is>
      </c>
      <c r="E33" s="32" t="inlineStr">
        <is>
          <t>Queen</t>
        </is>
      </c>
      <c r="F33" s="32" t="inlineStr">
        <is>
          <t>Navy Blue</t>
        </is>
      </c>
      <c r="G33" s="33" t="n"/>
      <c r="H33" s="32" t="n"/>
      <c r="I33" s="61" t="n">
        <v>31.23</v>
      </c>
      <c r="J33" s="62" t="inlineStr">
        <is>
          <t>2026-03-30</t>
        </is>
      </c>
      <c r="K33" s="33" t="n">
        <v>8.41</v>
      </c>
      <c r="L33" s="63" t="n">
        <v>0.2692923471021454</v>
      </c>
      <c r="M33" s="64" t="n">
        <v>4</v>
      </c>
      <c r="N33" s="32" t="inlineStr">
        <is>
          <t>Active</t>
        </is>
      </c>
      <c r="O33" s="32" t="n"/>
      <c r="P33" s="65" t="n"/>
      <c r="Q33" s="64" t="n"/>
      <c r="R33" s="64" t="n"/>
      <c r="S33" s="64" t="n"/>
      <c r="T33" s="32" t="n"/>
    </row>
    <row r="34" ht="62" customHeight="1">
      <c r="A34" s="10">
        <f>_xlfn.IMAGE("https://m.media-amazon.com/images/I/71bgU8vMQnL.jpg")</f>
        <v/>
      </c>
      <c r="B34" s="32" t="inlineStr">
        <is>
          <t>B0DBVZPPJ6</t>
        </is>
      </c>
      <c r="C34" s="32" t="inlineStr">
        <is>
          <t>SATIN-FITTED-QUEEN-PURPLE</t>
        </is>
      </c>
      <c r="D34" s="32" t="inlineStr">
        <is>
          <t>DECOLURE Satin Fitted Sheet Queen Size (1 PC) – Luxuriously Smooth &amp; Softer Than Silk Bed Sheets w/ 15 Inch Deep Pocket Hypoallergenic Wrinkle Free, Secure Snug Fit, Elastic Corner Straps (Purple)</t>
        </is>
      </c>
      <c r="E34" s="32" t="inlineStr">
        <is>
          <t>Queen</t>
        </is>
      </c>
      <c r="F34" s="32" t="inlineStr">
        <is>
          <t>Purple</t>
        </is>
      </c>
      <c r="G34" s="33" t="n"/>
      <c r="H34" s="32" t="n"/>
      <c r="I34" s="61" t="n">
        <v>23.95</v>
      </c>
      <c r="J34" s="62" t="inlineStr">
        <is>
          <t>2026-03-30</t>
        </is>
      </c>
      <c r="K34" s="33" t="n">
        <v>7.43</v>
      </c>
      <c r="L34" s="63" t="n">
        <v>0.3102296450939457</v>
      </c>
      <c r="M34" s="64" t="n">
        <v>4</v>
      </c>
      <c r="N34" s="32" t="inlineStr">
        <is>
          <t>Active</t>
        </is>
      </c>
      <c r="O34" s="32" t="n"/>
      <c r="P34" s="65" t="n"/>
      <c r="Q34" s="64" t="n"/>
      <c r="R34" s="64" t="n"/>
      <c r="S34" s="64" t="n"/>
      <c r="T34" s="32" t="n"/>
    </row>
    <row r="35" ht="62" customHeight="1">
      <c r="A35" s="10">
        <f>_xlfn.IMAGE("https://m.media-amazon.com/images/I/71iVJQHaIBL.jpg")</f>
        <v/>
      </c>
      <c r="B35" s="32" t="inlineStr">
        <is>
          <t>B0DBW157CR</t>
        </is>
      </c>
      <c r="C35" s="32" t="inlineStr">
        <is>
          <t>SATIN-FITTED-QUEEN-WHITE</t>
        </is>
      </c>
      <c r="D35" s="32" t="inlineStr">
        <is>
          <t>DECOLURE Satin Fitted Sheet Queen Size (1 PC) – Luxuriously Smooth &amp; Softer Than Silk Bed Sheets w/ 15 Inch Deep Pocket Hypoallergenic Wrinkle Free, Secure Snug Fit, Elastic Corner Straps (White)</t>
        </is>
      </c>
      <c r="E35" s="32" t="inlineStr">
        <is>
          <t>Queen</t>
        </is>
      </c>
      <c r="F35" s="32" t="inlineStr">
        <is>
          <t>White</t>
        </is>
      </c>
      <c r="G35" s="33" t="n"/>
      <c r="H35" s="32" t="n"/>
      <c r="I35" s="61" t="n">
        <v>31.14</v>
      </c>
      <c r="J35" s="62" t="inlineStr">
        <is>
          <t>2026-03-30</t>
        </is>
      </c>
      <c r="K35" s="33" t="n">
        <v>8.389999999999997</v>
      </c>
      <c r="L35" s="63" t="n">
        <v>0.2694283879254977</v>
      </c>
      <c r="M35" s="64" t="n">
        <v>4</v>
      </c>
      <c r="N35" s="32" t="inlineStr">
        <is>
          <t>Inactive</t>
        </is>
      </c>
      <c r="O35" s="32" t="n"/>
      <c r="P35" s="65" t="n"/>
      <c r="Q35" s="64" t="n"/>
      <c r="R35" s="64" t="n"/>
      <c r="S35" s="64" t="n"/>
      <c r="T35" s="32" t="n"/>
    </row>
    <row r="36" ht="62" customHeight="1">
      <c r="A36" s="10">
        <f>_xlfn.IMAGE("https://m.media-amazon.com/images/I/81URVcoc9pL.jpg")</f>
        <v/>
      </c>
      <c r="B36" s="32" t="inlineStr">
        <is>
          <t>B0DBVZNLSM</t>
        </is>
      </c>
      <c r="C36" s="32" t="inlineStr">
        <is>
          <t>SATIN-FITTED-FULL-BLUSH-PINK</t>
        </is>
      </c>
      <c r="D36" s="32" t="inlineStr">
        <is>
          <t>DECOLURE Satin Fitted Sheet Full Size (1 PC) – Luxuriously Smooth &amp; Softer Than Silk Bed Sheets w/ 15 Inch Deep Pocket Hypoallergenic Wrinkle Free, Secure Snug Fit, Elastic Corner Straps (Blush Pink)</t>
        </is>
      </c>
      <c r="E36" s="32" t="inlineStr">
        <is>
          <t>Full</t>
        </is>
      </c>
      <c r="F36" s="32" t="inlineStr">
        <is>
          <t>Blush Pink</t>
        </is>
      </c>
      <c r="G36" s="33" t="n"/>
      <c r="H36" s="32" t="n"/>
      <c r="I36" s="61" t="n">
        <v>30.01</v>
      </c>
      <c r="J36" s="62" t="inlineStr">
        <is>
          <t>2026-03-30</t>
        </is>
      </c>
      <c r="K36" s="33" t="n">
        <v>8.210000000000001</v>
      </c>
      <c r="L36" s="63" t="n">
        <v>0.2735754748417195</v>
      </c>
      <c r="M36" s="64" t="n">
        <v>3</v>
      </c>
      <c r="N36" s="32" t="inlineStr">
        <is>
          <t>Active</t>
        </is>
      </c>
      <c r="O36" s="32" t="n"/>
      <c r="P36" s="65" t="n"/>
      <c r="Q36" s="64" t="n"/>
      <c r="R36" s="64" t="n"/>
      <c r="S36" s="64" t="n"/>
      <c r="T36" s="32" t="n"/>
    </row>
    <row r="37" ht="62" customHeight="1">
      <c r="A37" s="10">
        <f>_xlfn.IMAGE("https://m.media-amazon.com/images/I/81r1IG1mOIL.jpg")</f>
        <v/>
      </c>
      <c r="B37" s="32" t="inlineStr">
        <is>
          <t>B0DBW1NXMH</t>
        </is>
      </c>
      <c r="C37" s="32" t="inlineStr">
        <is>
          <t>SATIN-FITTED-FULL-LAVENDER</t>
        </is>
      </c>
      <c r="D37" s="32" t="inlineStr">
        <is>
          <t>DECOLURE Satin Fitted Sheet Full Size (1 PC) – Luxuriously Smooth &amp; Softer Than Silk Bed Sheets w/ 15 Inch Deep Pocket Hypoallergenic Wrinkle Free, Secure Snug Fit, Elastic Corner Straps (Lavender)</t>
        </is>
      </c>
      <c r="E37" s="32" t="inlineStr">
        <is>
          <t>Full</t>
        </is>
      </c>
      <c r="F37" s="32" t="inlineStr">
        <is>
          <t>Lavender</t>
        </is>
      </c>
      <c r="G37" s="33" t="n"/>
      <c r="H37" s="32" t="n"/>
      <c r="I37" s="61" t="n">
        <v>22.95</v>
      </c>
      <c r="J37" s="62" t="inlineStr">
        <is>
          <t>2026-03-30</t>
        </is>
      </c>
      <c r="K37" s="33" t="n">
        <v>7.499999999999997</v>
      </c>
      <c r="L37" s="63" t="n">
        <v>0.3267973856209149</v>
      </c>
      <c r="M37" s="64" t="n">
        <v>3</v>
      </c>
      <c r="N37" s="32" t="inlineStr">
        <is>
          <t>Active</t>
        </is>
      </c>
      <c r="O37" s="32" t="n"/>
      <c r="P37" s="65" t="n"/>
      <c r="Q37" s="64" t="n"/>
      <c r="R37" s="64" t="n"/>
      <c r="S37" s="64" t="n"/>
      <c r="T37" s="32" t="n"/>
    </row>
    <row r="38" ht="62" customHeight="1">
      <c r="A38" s="10">
        <f>_xlfn.IMAGE("https://m.media-amazon.com/images/I/71q7X0GjqSL.jpg")</f>
        <v/>
      </c>
      <c r="B38" s="32" t="inlineStr">
        <is>
          <t>B0DBVYHGK1</t>
        </is>
      </c>
      <c r="C38" s="32" t="inlineStr">
        <is>
          <t>SATIN-FITTED-FULL-NAVY-BLUE</t>
        </is>
      </c>
      <c r="D38" s="32" t="inlineStr">
        <is>
          <t>DECOLURE Satin Fitted Sheet Full Size (1 PC) – Luxuriously Smooth &amp; Softer Than Silk Bed Sheets w/ 15 Inch Deep Pocket Hypoallergenic Wrinkle Free, Secure Snug Fit, Elastic Corner Straps (Navy Blue)</t>
        </is>
      </c>
      <c r="E38" s="32" t="inlineStr">
        <is>
          <t>Full</t>
        </is>
      </c>
      <c r="F38" s="32" t="inlineStr">
        <is>
          <t>Navy Blue</t>
        </is>
      </c>
      <c r="G38" s="33" t="n"/>
      <c r="H38" s="32" t="n"/>
      <c r="I38" s="61" t="n">
        <v>22.95</v>
      </c>
      <c r="J38" s="62" t="inlineStr">
        <is>
          <t>2026-03-30</t>
        </is>
      </c>
      <c r="K38" s="33" t="n">
        <v>7.449999999999998</v>
      </c>
      <c r="L38" s="63" t="n">
        <v>0.3246187363834421</v>
      </c>
      <c r="M38" s="64" t="n">
        <v>3</v>
      </c>
      <c r="N38" s="32" t="inlineStr">
        <is>
          <t>Active</t>
        </is>
      </c>
      <c r="O38" s="32" t="n"/>
      <c r="P38" s="65" t="n"/>
      <c r="Q38" s="64" t="n"/>
      <c r="R38" s="64" t="n"/>
      <c r="S38" s="64" t="n"/>
      <c r="T38" s="32" t="n"/>
    </row>
    <row r="39" ht="62" customHeight="1">
      <c r="A39" s="10">
        <f>_xlfn.IMAGE("https://m.media-amazon.com/images/I/81mTp2BYSlL.jpg")</f>
        <v/>
      </c>
      <c r="B39" s="32" t="inlineStr">
        <is>
          <t>B0DBW3YBV4</t>
        </is>
      </c>
      <c r="C39" s="32" t="inlineStr">
        <is>
          <t>SATIN-FITTED-FULL-RED</t>
        </is>
      </c>
      <c r="D39" s="32" t="inlineStr">
        <is>
          <t>DECOLURE Satin Fitted Sheet Full Size (1 PC) – Luxuriously Smooth &amp; Softer Than Silk Bed Sheets w/ 15 Inch Deep Pocket Hypoallergenic Wrinkle Free, Secure Snug Fit, Elastic Corner Straps (Red)</t>
        </is>
      </c>
      <c r="E39" s="32" t="inlineStr">
        <is>
          <t>Full</t>
        </is>
      </c>
      <c r="F39" s="32" t="inlineStr">
        <is>
          <t>Red</t>
        </is>
      </c>
      <c r="G39" s="33" t="n"/>
      <c r="H39" s="32" t="n"/>
      <c r="I39" s="61" t="n">
        <v>22.95</v>
      </c>
      <c r="J39" s="62" t="inlineStr">
        <is>
          <t>2026-03-30</t>
        </is>
      </c>
      <c r="K39" s="33" t="n">
        <v>7.199999999999998</v>
      </c>
      <c r="L39" s="63" t="n">
        <v>0.3137254901960784</v>
      </c>
      <c r="M39" s="64" t="n">
        <v>3</v>
      </c>
      <c r="N39" s="32" t="inlineStr">
        <is>
          <t>Active</t>
        </is>
      </c>
      <c r="O39" s="32" t="n"/>
      <c r="P39" s="65" t="n"/>
      <c r="Q39" s="64" t="n"/>
      <c r="R39" s="64" t="n"/>
      <c r="S39" s="64" t="n"/>
      <c r="T39" s="32" t="n"/>
    </row>
    <row r="40" ht="62" customHeight="1">
      <c r="A40" s="10">
        <f>_xlfn.IMAGE("https://m.media-amazon.com/images/I/81RiAVYjy-L.jpg")</f>
        <v/>
      </c>
      <c r="B40" s="32" t="inlineStr">
        <is>
          <t>B0DBVZZZ7B</t>
        </is>
      </c>
      <c r="C40" s="32" t="inlineStr">
        <is>
          <t>SATIN-FITTED-FULL-STONE-GREY</t>
        </is>
      </c>
      <c r="D40" s="32" t="inlineStr">
        <is>
          <t>DECOLURE Satin Fitted Sheet Full Size (1 PC) – Luxuriously Smooth &amp; Softer Than Silk Bed Sheets w/ 15 Inch Deep Pocket Hypoallergenic Wrinkle Free, Secure Snug Fit, Elastic Corner Straps (Stone Grey)</t>
        </is>
      </c>
      <c r="E40" s="32" t="inlineStr">
        <is>
          <t>Full</t>
        </is>
      </c>
      <c r="F40" s="32" t="inlineStr">
        <is>
          <t>Stone Grey</t>
        </is>
      </c>
      <c r="G40" s="33" t="n"/>
      <c r="H40" s="32" t="n"/>
      <c r="I40" s="61" t="n">
        <v>22.95</v>
      </c>
      <c r="J40" s="62" t="inlineStr">
        <is>
          <t>2026-03-30</t>
        </is>
      </c>
      <c r="K40" s="33" t="n">
        <v>7.319999999999998</v>
      </c>
      <c r="L40" s="63" t="n">
        <v>0.318954248366013</v>
      </c>
      <c r="M40" s="64" t="n">
        <v>3</v>
      </c>
      <c r="N40" s="32" t="inlineStr">
        <is>
          <t>Active</t>
        </is>
      </c>
      <c r="O40" s="32" t="n"/>
      <c r="P40" s="65" t="n"/>
      <c r="Q40" s="64" t="n"/>
      <c r="R40" s="64" t="n"/>
      <c r="S40" s="64" t="n"/>
      <c r="T40" s="32" t="n"/>
    </row>
    <row r="41" ht="62" customHeight="1">
      <c r="A41" s="10">
        <f>_xlfn.IMAGE("https://m.media-amazon.com/images/I/71TuVlzH09L.jpg")</f>
        <v/>
      </c>
      <c r="B41" s="32" t="inlineStr">
        <is>
          <t>B0DBVY6P25</t>
        </is>
      </c>
      <c r="C41" s="32" t="inlineStr">
        <is>
          <t>SATIN-FITTED-KING-GREY</t>
        </is>
      </c>
      <c r="D41" s="32" t="inlineStr">
        <is>
          <t>DECOLURE Satin Fitted Sheet King Size (1 PC) – Luxuriously Smooth &amp; Softer Than Silk Bed Sheets w/ 15 Inch Deep Pocket Hypoallergenic Wrinkle Free, Secure Snug Fit, Elastic Corner Straps (Grey)</t>
        </is>
      </c>
      <c r="E41" s="32" t="inlineStr">
        <is>
          <t>King</t>
        </is>
      </c>
      <c r="F41" s="32" t="inlineStr">
        <is>
          <t>Grey</t>
        </is>
      </c>
      <c r="G41" s="33" t="n"/>
      <c r="H41" s="32" t="n"/>
      <c r="I41" s="61" t="n">
        <v>31.6</v>
      </c>
      <c r="J41" s="62" t="inlineStr">
        <is>
          <t>2026-03-30</t>
        </is>
      </c>
      <c r="K41" s="33" t="n">
        <v>7.98</v>
      </c>
      <c r="L41" s="63" t="n">
        <v>0.2525316455696202</v>
      </c>
      <c r="M41" s="64" t="n">
        <v>3</v>
      </c>
      <c r="N41" s="32" t="inlineStr">
        <is>
          <t>Inactive</t>
        </is>
      </c>
      <c r="O41" s="32" t="n"/>
      <c r="P41" s="65" t="n"/>
      <c r="Q41" s="64" t="n"/>
      <c r="R41" s="64" t="n"/>
      <c r="S41" s="64" t="n"/>
      <c r="T41" s="32" t="n"/>
    </row>
    <row r="42" ht="62" customHeight="1">
      <c r="A42" s="10">
        <f>_xlfn.IMAGE("https://m.media-amazon.com/images/I/714ktb3sY+L.jpg")</f>
        <v/>
      </c>
      <c r="B42" s="32" t="inlineStr">
        <is>
          <t>B0DBW2G5JS</t>
        </is>
      </c>
      <c r="C42" s="32" t="inlineStr">
        <is>
          <t>SATIN-FITTED-KING-IVORY</t>
        </is>
      </c>
      <c r="D42" s="32" t="inlineStr">
        <is>
          <t>DECOLURE Satin Fitted Sheet King Size (1 PC) – Luxuriously Smooth &amp; Softer Than Silk Bed Sheets w/ 15 Inch Deep Pocket Hypoallergenic Wrinkle Free, Secure Snug Fit, Elastic Corner Straps (Ivory)</t>
        </is>
      </c>
      <c r="E42" s="32" t="inlineStr">
        <is>
          <t>King</t>
        </is>
      </c>
      <c r="F42" s="32" t="inlineStr">
        <is>
          <t>Ivory</t>
        </is>
      </c>
      <c r="G42" s="33" t="n"/>
      <c r="H42" s="32" t="n"/>
      <c r="I42" s="61" t="n">
        <v>27.95</v>
      </c>
      <c r="J42" s="62" t="inlineStr">
        <is>
          <t>2026-03-30</t>
        </is>
      </c>
      <c r="K42" s="33" t="n">
        <v>9.769999999999998</v>
      </c>
      <c r="L42" s="63" t="n">
        <v>0.3495527728085868</v>
      </c>
      <c r="M42" s="64" t="n">
        <v>3</v>
      </c>
      <c r="N42" s="32" t="inlineStr">
        <is>
          <t>Active</t>
        </is>
      </c>
      <c r="O42" s="32" t="n"/>
      <c r="P42" s="65" t="n"/>
      <c r="Q42" s="64" t="n"/>
      <c r="R42" s="64" t="n"/>
      <c r="S42" s="64" t="n"/>
      <c r="T42" s="32" t="n"/>
    </row>
    <row r="43" ht="62" customHeight="1">
      <c r="A43" s="10">
        <f>_xlfn.IMAGE("https://m.media-amazon.com/images/I/81NguKiiueL.jpg")</f>
        <v/>
      </c>
      <c r="B43" s="32" t="inlineStr">
        <is>
          <t>B0DBVZGV7Z</t>
        </is>
      </c>
      <c r="C43" s="32" t="inlineStr">
        <is>
          <t>SATIN-FITTED-KING-SAGE-GREEN</t>
        </is>
      </c>
      <c r="D43" s="32" t="inlineStr">
        <is>
          <t>DECOLURE Satin Fitted Sheet King Size (1 PC) – Luxuriously Smooth &amp; Softer Than Silk Bed Sheets w/ 15 Inch Deep Pocket Hypoallergenic Wrinkle Free, Secure Snug Fit, Elastic Corner Straps (Sage Green)</t>
        </is>
      </c>
      <c r="E43" s="32" t="inlineStr">
        <is>
          <t>King</t>
        </is>
      </c>
      <c r="F43" s="32" t="inlineStr">
        <is>
          <t>Sage Green</t>
        </is>
      </c>
      <c r="G43" s="33" t="n"/>
      <c r="H43" s="32" t="n"/>
      <c r="I43" s="61" t="n">
        <v>27.95</v>
      </c>
      <c r="J43" s="62" t="inlineStr">
        <is>
          <t>2026-03-30</t>
        </is>
      </c>
      <c r="K43" s="33" t="n">
        <v>10.49</v>
      </c>
      <c r="L43" s="63" t="n">
        <v>0.3753130590339893</v>
      </c>
      <c r="M43" s="64" t="n">
        <v>3</v>
      </c>
      <c r="N43" s="32" t="inlineStr">
        <is>
          <t>Active</t>
        </is>
      </c>
      <c r="O43" s="32" t="n"/>
      <c r="P43" s="65" t="n"/>
      <c r="Q43" s="64" t="n"/>
      <c r="R43" s="64" t="n"/>
      <c r="S43" s="64" t="n"/>
      <c r="T43" s="32" t="n"/>
    </row>
    <row r="44" ht="62" customHeight="1">
      <c r="A44" s="10">
        <f>_xlfn.IMAGE("https://m.media-amazon.com/images/I/81RiAVYjy-L.jpg")</f>
        <v/>
      </c>
      <c r="B44" s="32" t="inlineStr">
        <is>
          <t>B0DBVYF4DM</t>
        </is>
      </c>
      <c r="C44" s="32" t="inlineStr">
        <is>
          <t>SATIN-FITTED-KING-STONE-GREY</t>
        </is>
      </c>
      <c r="D44" s="32" t="inlineStr">
        <is>
          <t>DECOLURE Satin Fitted Sheet King Size (1 PC) – Luxuriously Smooth &amp; Softer Than Silk Bed Sheets w/ 15 Inch Deep Pocket Hypoallergenic Wrinkle Free, Secure Snug Fit, Elastic Corner Straps (Stone Grey)</t>
        </is>
      </c>
      <c r="E44" s="32" t="inlineStr">
        <is>
          <t>King</t>
        </is>
      </c>
      <c r="F44" s="32" t="inlineStr">
        <is>
          <t>Stone Grey</t>
        </is>
      </c>
      <c r="G44" s="33" t="n"/>
      <c r="H44" s="32" t="n"/>
      <c r="I44" s="61" t="n">
        <v>24.95</v>
      </c>
      <c r="J44" s="62" t="inlineStr">
        <is>
          <t>2026-03-30</t>
        </is>
      </c>
      <c r="K44" s="33" t="n">
        <v>7.750000000000001</v>
      </c>
      <c r="L44" s="63" t="n">
        <v>0.31062124248497</v>
      </c>
      <c r="M44" s="64" t="n">
        <v>3</v>
      </c>
      <c r="N44" s="32" t="inlineStr">
        <is>
          <t>Inactive</t>
        </is>
      </c>
      <c r="O44" s="32" t="n"/>
      <c r="P44" s="65" t="n"/>
      <c r="Q44" s="64" t="n"/>
      <c r="R44" s="64" t="n"/>
      <c r="S44" s="64" t="n"/>
      <c r="T44" s="32" t="n"/>
    </row>
    <row r="45" ht="62" customHeight="1">
      <c r="A45" s="10">
        <f>_xlfn.IMAGE("https://m.media-amazon.com/images/I/81r1IG1mOIL.jpg")</f>
        <v/>
      </c>
      <c r="B45" s="32" t="inlineStr">
        <is>
          <t>B0DBW47GVH</t>
        </is>
      </c>
      <c r="C45" s="32" t="inlineStr">
        <is>
          <t>SATIN-FITTED-QUEEN-LAVENDER</t>
        </is>
      </c>
      <c r="D45" s="32" t="inlineStr">
        <is>
          <t>DECOLURE Satin Fitted Sheet Queen Size (1 PC) – Luxuriously Smooth &amp; Softer Than Silk Bed Sheets w/ 15 Inch Deep Pocket Hypoallergenic Wrinkle Free, Secure Snug Fit, Elastic Corner Straps (Lavender)</t>
        </is>
      </c>
      <c r="E45" s="32" t="inlineStr">
        <is>
          <t>Queen</t>
        </is>
      </c>
      <c r="F45" s="32" t="inlineStr">
        <is>
          <t>Lavender</t>
        </is>
      </c>
      <c r="G45" s="33" t="n"/>
      <c r="H45" s="32" t="n"/>
      <c r="I45" s="61" t="n">
        <v>35.23</v>
      </c>
      <c r="J45" s="62" t="inlineStr">
        <is>
          <t>2026-03-30</t>
        </is>
      </c>
      <c r="K45" s="33" t="n">
        <v>11.61</v>
      </c>
      <c r="L45" s="63" t="n">
        <v>0.3295486801021855</v>
      </c>
      <c r="M45" s="64" t="n">
        <v>3</v>
      </c>
      <c r="N45" s="32" t="inlineStr">
        <is>
          <t>Active</t>
        </is>
      </c>
      <c r="O45" s="32" t="n"/>
      <c r="P45" s="65" t="n"/>
      <c r="Q45" s="64" t="n"/>
      <c r="R45" s="64" t="n"/>
      <c r="S45" s="64" t="n"/>
      <c r="T45" s="32" t="n"/>
    </row>
    <row r="46" ht="62" customHeight="1">
      <c r="A46" s="10">
        <f>_xlfn.IMAGE("https://m.media-amazon.com/images/I/81hiVG9bW0L.jpg")</f>
        <v/>
      </c>
      <c r="B46" s="32" t="inlineStr">
        <is>
          <t>B0DBW47GVG</t>
        </is>
      </c>
      <c r="C46" s="32" t="inlineStr">
        <is>
          <t>SATIN-FITTED-QUEEN-PINK</t>
        </is>
      </c>
      <c r="D46" s="32" t="inlineStr">
        <is>
          <t>DECOLURE Satin Fitted Sheet Queen Size (1 PC) – Luxuriously Smooth &amp; Softer Than Silk Bed Sheets w/ 15 Inch Deep Pocket Hypoallergenic Wrinkle Free, Secure Snug Fit, Elastic Corner Straps (Pink)</t>
        </is>
      </c>
      <c r="E46" s="32" t="inlineStr">
        <is>
          <t>Queen</t>
        </is>
      </c>
      <c r="F46" s="32" t="inlineStr">
        <is>
          <t>Pink</t>
        </is>
      </c>
      <c r="G46" s="33" t="n"/>
      <c r="H46" s="32" t="n"/>
      <c r="I46" s="61" t="n">
        <v>23.95</v>
      </c>
      <c r="J46" s="62" t="inlineStr">
        <is>
          <t>2026-03-30</t>
        </is>
      </c>
      <c r="K46" s="33" t="n">
        <v>7.659999999999999</v>
      </c>
      <c r="L46" s="63" t="n">
        <v>0.3198329853862213</v>
      </c>
      <c r="M46" s="64" t="n">
        <v>3</v>
      </c>
      <c r="N46" s="32" t="inlineStr">
        <is>
          <t>Active</t>
        </is>
      </c>
      <c r="O46" s="32" t="n"/>
      <c r="P46" s="65" t="n"/>
      <c r="Q46" s="64" t="n"/>
      <c r="R46" s="64" t="n"/>
      <c r="S46" s="64" t="n"/>
      <c r="T46" s="32" t="n"/>
    </row>
    <row r="47" ht="62" customHeight="1">
      <c r="A47" s="10">
        <f>_xlfn.IMAGE("https://m.media-amazon.com/images/I/81URVcoc9pL.jpg")</f>
        <v/>
      </c>
      <c r="B47" s="32" t="inlineStr">
        <is>
          <t>B0DBVZMMPN</t>
        </is>
      </c>
      <c r="C47" s="32" t="inlineStr">
        <is>
          <t>SATIN-FITTED-TWIN-BLUSH-PINK</t>
        </is>
      </c>
      <c r="D47" s="32" t="inlineStr">
        <is>
          <t>DECOLURE Satin Fitted Sheet Twin Size (1 PC) – Luxuriously Smooth &amp; Softer Than Silk Bed Sheets w/ 15 Inch Deep Pocket Hypoallergenic Wrinkle Free, Secure Snug Fit, Elastic Corner Straps (Blush Pink)</t>
        </is>
      </c>
      <c r="E47" s="32" t="inlineStr">
        <is>
          <t>Twin</t>
        </is>
      </c>
      <c r="F47" s="32" t="inlineStr">
        <is>
          <t>Blush Pink</t>
        </is>
      </c>
      <c r="G47" s="33" t="n"/>
      <c r="H47" s="32" t="n"/>
      <c r="I47" s="61" t="n">
        <v>27.68</v>
      </c>
      <c r="J47" s="62" t="inlineStr">
        <is>
          <t>2026-03-30</t>
        </is>
      </c>
      <c r="K47" s="33" t="n">
        <v>7.76</v>
      </c>
      <c r="L47" s="63" t="n">
        <v>0.2803468208092486</v>
      </c>
      <c r="M47" s="64" t="n">
        <v>3</v>
      </c>
      <c r="N47" s="32" t="inlineStr">
        <is>
          <t>Active</t>
        </is>
      </c>
      <c r="O47" s="32" t="n"/>
      <c r="P47" s="65" t="n"/>
      <c r="Q47" s="64" t="n"/>
      <c r="R47" s="64" t="n"/>
      <c r="S47" s="64" t="n"/>
      <c r="T47" s="32" t="n"/>
    </row>
    <row r="48" ht="62" customHeight="1">
      <c r="A48" s="10">
        <f>_xlfn.IMAGE("https://m.media-amazon.com/images/I/71q7X0GjqSL.jpg")</f>
        <v/>
      </c>
      <c r="B48" s="32" t="inlineStr">
        <is>
          <t>B0DBW1ZHFR</t>
        </is>
      </c>
      <c r="C48" s="32" t="inlineStr">
        <is>
          <t>SATIN-FITTED-TWIN-NAVY-BLUE</t>
        </is>
      </c>
      <c r="D48" s="32" t="inlineStr">
        <is>
          <t>DECOLURE Satin Fitted Sheet Twin Size (1 PC) – Luxuriously Smooth &amp; Softer Than Silk Bed Sheets w/ 15 Inch Deep Pocket Hypoallergenic Wrinkle Free, Secure Snug Fit, Elastic Corner Straps (Navy Blue)</t>
        </is>
      </c>
      <c r="E48" s="32" t="inlineStr">
        <is>
          <t>Twin</t>
        </is>
      </c>
      <c r="F48" s="32" t="inlineStr">
        <is>
          <t>Navy Blue</t>
        </is>
      </c>
      <c r="G48" s="33" t="n"/>
      <c r="H48" s="32" t="n"/>
      <c r="I48" s="61" t="n">
        <v>27.71</v>
      </c>
      <c r="J48" s="62" t="inlineStr">
        <is>
          <t>2026-03-30</t>
        </is>
      </c>
      <c r="K48" s="33" t="n">
        <v>7.200000000000001</v>
      </c>
      <c r="L48" s="63" t="n">
        <v>0.2598339949476723</v>
      </c>
      <c r="M48" s="64" t="n">
        <v>3</v>
      </c>
      <c r="N48" s="32" t="inlineStr">
        <is>
          <t>Active</t>
        </is>
      </c>
      <c r="O48" s="32" t="n"/>
      <c r="P48" s="65" t="n"/>
      <c r="Q48" s="64" t="n"/>
      <c r="R48" s="64" t="n"/>
      <c r="S48" s="64" t="n"/>
      <c r="T48" s="32" t="n"/>
    </row>
    <row r="49" ht="62" customHeight="1">
      <c r="A49" s="10">
        <f>_xlfn.IMAGE("https://m.media-amazon.com/images/I/71TuVlzH09L.jpg")</f>
        <v/>
      </c>
      <c r="B49" s="32" t="inlineStr">
        <is>
          <t>B0DBW17ZJP</t>
        </is>
      </c>
      <c r="C49" s="32" t="inlineStr">
        <is>
          <t>SATIN-FITTED-FULL-GREY</t>
        </is>
      </c>
      <c r="D49" s="32" t="inlineStr">
        <is>
          <t>DECOLURE Satin Fitted Sheet Full Size (1 PC) – Luxuriously Smooth &amp; Softer Than Silk Bed Sheets w/ 15 Inch Deep Pocket Hypoallergenic Wrinkle Free, Secure Snug Fit, Elastic Corner Straps (Grey)</t>
        </is>
      </c>
      <c r="E49" s="32" t="inlineStr">
        <is>
          <t>Full</t>
        </is>
      </c>
      <c r="F49" s="32" t="inlineStr">
        <is>
          <t>Grey</t>
        </is>
      </c>
      <c r="G49" s="33" t="n"/>
      <c r="H49" s="32" t="n"/>
      <c r="I49" s="61" t="n">
        <v>20.95</v>
      </c>
      <c r="J49" s="62" t="inlineStr">
        <is>
          <t>2026-03-30</t>
        </is>
      </c>
      <c r="K49" s="33" t="n">
        <v>5.319999999999999</v>
      </c>
      <c r="L49" s="63" t="n">
        <v>0.2539379474940334</v>
      </c>
      <c r="M49" s="64" t="n">
        <v>2</v>
      </c>
      <c r="N49" s="32" t="inlineStr">
        <is>
          <t>Active</t>
        </is>
      </c>
      <c r="O49" s="32" t="n"/>
      <c r="P49" s="65" t="n"/>
      <c r="Q49" s="64" t="n"/>
      <c r="R49" s="64" t="n"/>
      <c r="S49" s="64" t="n"/>
      <c r="T49" s="32" t="n"/>
    </row>
    <row r="50" ht="62" customHeight="1">
      <c r="A50" s="10">
        <f>_xlfn.IMAGE("https://m.media-amazon.com/images/I/714ktb3sY+L.jpg")</f>
        <v/>
      </c>
      <c r="B50" s="32" t="inlineStr">
        <is>
          <t>B0DBW2GW4S</t>
        </is>
      </c>
      <c r="C50" s="32" t="inlineStr">
        <is>
          <t>SATIN-FITTED-FULL-IVORY</t>
        </is>
      </c>
      <c r="D50" s="32" t="inlineStr">
        <is>
          <t>DECOLURE Satin Fitted Sheet Full Size (1 PC) – Luxuriously Smooth &amp; Softer Than Silk Bed Sheets w/ 15 Inch Deep Pocket Hypoallergenic Wrinkle Free, Secure Snug Fit, Elastic Corner Straps (Ivory)</t>
        </is>
      </c>
      <c r="E50" s="32" t="inlineStr">
        <is>
          <t>Full</t>
        </is>
      </c>
      <c r="F50" s="32" t="inlineStr">
        <is>
          <t>Ivory</t>
        </is>
      </c>
      <c r="G50" s="33" t="n"/>
      <c r="H50" s="32" t="n"/>
      <c r="I50" s="61" t="n">
        <v>22.95</v>
      </c>
      <c r="J50" s="62" t="inlineStr">
        <is>
          <t>2026-03-30</t>
        </is>
      </c>
      <c r="K50" s="33" t="n">
        <v>7.369999999999997</v>
      </c>
      <c r="L50" s="63" t="n">
        <v>0.3211328976034857</v>
      </c>
      <c r="M50" s="64" t="n">
        <v>2</v>
      </c>
      <c r="N50" s="32" t="inlineStr">
        <is>
          <t>Active</t>
        </is>
      </c>
      <c r="O50" s="32" t="n"/>
      <c r="P50" s="65" t="n"/>
      <c r="Q50" s="64" t="n"/>
      <c r="R50" s="64" t="n"/>
      <c r="S50" s="64" t="n"/>
      <c r="T50" s="32" t="n"/>
    </row>
    <row r="51" ht="62" customHeight="1">
      <c r="A51" s="10">
        <f>_xlfn.IMAGE("https://m.media-amazon.com/images/I/81URVcoc9pL.jpg")</f>
        <v/>
      </c>
      <c r="B51" s="32" t="inlineStr">
        <is>
          <t>B0DBVZZD7X</t>
        </is>
      </c>
      <c r="C51" s="32" t="inlineStr">
        <is>
          <t>SATIN-FITTED-KING-BLUSH-PINK</t>
        </is>
      </c>
      <c r="D51" s="32" t="inlineStr">
        <is>
          <t>DECOLURE Satin Fitted Sheet King Size (1 PC) – Luxuriously Smooth &amp; Softer Than Silk Bed Sheets w/ 15 Inch Deep Pocket Hypoallergenic Wrinkle Free, Secure Snug Fit, Elastic Corner Straps (Blush Pink)</t>
        </is>
      </c>
      <c r="E51" s="32" t="inlineStr">
        <is>
          <t>King</t>
        </is>
      </c>
      <c r="F51" s="32" t="inlineStr">
        <is>
          <t>Blush Pink</t>
        </is>
      </c>
      <c r="G51" s="33" t="n"/>
      <c r="H51" s="32" t="n"/>
      <c r="I51" s="61" t="n">
        <v>35.66</v>
      </c>
      <c r="J51" s="62" t="inlineStr">
        <is>
          <t>2026-03-30</t>
        </is>
      </c>
      <c r="K51" s="33" t="n">
        <v>10.02999999999999</v>
      </c>
      <c r="L51" s="63" t="n">
        <v>0.2812675266404934</v>
      </c>
      <c r="M51" s="64" t="n">
        <v>2</v>
      </c>
      <c r="N51" s="32" t="inlineStr">
        <is>
          <t>Active</t>
        </is>
      </c>
      <c r="O51" s="32" t="n"/>
      <c r="P51" s="65" t="n"/>
      <c r="Q51" s="64" t="n"/>
      <c r="R51" s="64" t="n"/>
      <c r="S51" s="64" t="n"/>
      <c r="T51" s="32" t="n"/>
    </row>
    <row r="52" ht="62" customHeight="1">
      <c r="A52" s="10">
        <f>_xlfn.IMAGE("https://m.media-amazon.com/images/I/81Zp5JX8nUL.jpg")</f>
        <v/>
      </c>
      <c r="B52" s="32" t="inlineStr">
        <is>
          <t>B0DBVYYWX3</t>
        </is>
      </c>
      <c r="C52" s="32" t="inlineStr">
        <is>
          <t>SATIN-FITTED-KING-DARK-GREEN</t>
        </is>
      </c>
      <c r="D52" s="32" t="inlineStr">
        <is>
          <t>DECOLURE Satin Fitted Sheet King Size (1 PC) – Luxuriously Smooth &amp; Softer Than Silk Bed Sheets w/ 15 Inch Deep Pocket Hypoallergenic Wrinkle Free, Secure Snug Fit, Elastic Corner Straps (Dark Green)</t>
        </is>
      </c>
      <c r="E52" s="32" t="inlineStr">
        <is>
          <t>King</t>
        </is>
      </c>
      <c r="F52" s="32" t="inlineStr">
        <is>
          <t>Dark Green</t>
        </is>
      </c>
      <c r="G52" s="33" t="n"/>
      <c r="H52" s="32" t="n"/>
      <c r="I52" s="61" t="n">
        <v>27.95</v>
      </c>
      <c r="J52" s="62" t="inlineStr">
        <is>
          <t>2026-03-30</t>
        </is>
      </c>
      <c r="K52" s="33" t="n">
        <v>10.09</v>
      </c>
      <c r="L52" s="63" t="n">
        <v>0.3610017889087656</v>
      </c>
      <c r="M52" s="64" t="n">
        <v>2</v>
      </c>
      <c r="N52" s="32" t="inlineStr">
        <is>
          <t>Active</t>
        </is>
      </c>
      <c r="O52" s="32" t="n"/>
      <c r="P52" s="65" t="n"/>
      <c r="Q52" s="64" t="n"/>
      <c r="R52" s="64" t="n"/>
      <c r="S52" s="64" t="n"/>
      <c r="T52" s="32" t="n"/>
    </row>
    <row r="53" ht="62" customHeight="1">
      <c r="A53" s="10">
        <f>_xlfn.IMAGE("https://m.media-amazon.com/images/I/71bgU8vMQnL.jpg")</f>
        <v/>
      </c>
      <c r="B53" s="32" t="inlineStr">
        <is>
          <t>B0DBVZJTGS</t>
        </is>
      </c>
      <c r="C53" s="32" t="inlineStr">
        <is>
          <t>SATIN-FITTED-KING-PURPLE</t>
        </is>
      </c>
      <c r="D53" s="32" t="inlineStr">
        <is>
          <t>DECOLURE Satin Fitted Sheet King Size (1 PC) – Luxuriously Smooth &amp; Softer Than Silk Bed Sheets w/ 15 Inch Deep Pocket Hypoallergenic Wrinkle Free, Secure Snug Fit, Elastic Corner Straps (Purple)</t>
        </is>
      </c>
      <c r="E53" s="32" t="inlineStr">
        <is>
          <t>King</t>
        </is>
      </c>
      <c r="F53" s="32" t="inlineStr">
        <is>
          <t>Purple</t>
        </is>
      </c>
      <c r="G53" s="33" t="n"/>
      <c r="H53" s="32" t="n"/>
      <c r="I53" s="61" t="n">
        <v>27.95</v>
      </c>
      <c r="J53" s="62" t="inlineStr">
        <is>
          <t>2026-03-30</t>
        </is>
      </c>
      <c r="K53" s="33" t="n">
        <v>10.38</v>
      </c>
      <c r="L53" s="63" t="n">
        <v>0.3713774597495528</v>
      </c>
      <c r="M53" s="64" t="n">
        <v>2</v>
      </c>
      <c r="N53" s="32" t="inlineStr">
        <is>
          <t>Active</t>
        </is>
      </c>
      <c r="O53" s="32" t="n"/>
      <c r="P53" s="65" t="n"/>
      <c r="Q53" s="64" t="n"/>
      <c r="R53" s="64" t="n"/>
      <c r="S53" s="64" t="n"/>
      <c r="T53" s="32" t="n"/>
    </row>
    <row r="54" ht="62" customHeight="1">
      <c r="A54" s="10">
        <f>_xlfn.IMAGE("https://m.media-amazon.com/images/I/81URVcoc9pL.jpg")</f>
        <v/>
      </c>
      <c r="B54" s="32" t="inlineStr">
        <is>
          <t>B0DBVZBLDK</t>
        </is>
      </c>
      <c r="C54" s="32" t="inlineStr">
        <is>
          <t>SATIN-FITTED-QUEEN-BLUSH-PINK</t>
        </is>
      </c>
      <c r="D54" s="32" t="inlineStr">
        <is>
          <t>DECOLURE Satin Fitted Sheet Queen Size (1 PC) – Luxuriously Smooth &amp; Softer than Silk Bed Sheets w/ 15 Inch Deep Pocket Hypoallergenic Wrinkle Free, Secure Snug Fit, Elastic Corner Straps (Blush Pink)</t>
        </is>
      </c>
      <c r="E54" s="32" t="inlineStr">
        <is>
          <t>Queen</t>
        </is>
      </c>
      <c r="F54" s="32" t="inlineStr">
        <is>
          <t>Blush Pink</t>
        </is>
      </c>
      <c r="G54" s="33" t="n"/>
      <c r="H54" s="32" t="n"/>
      <c r="I54" s="61" t="n">
        <v>31.2</v>
      </c>
      <c r="J54" s="62" t="inlineStr">
        <is>
          <t>2026-03-30</t>
        </is>
      </c>
      <c r="K54" s="33" t="n">
        <v>9.09</v>
      </c>
      <c r="L54" s="63" t="n">
        <v>0.2913461538461539</v>
      </c>
      <c r="M54" s="64" t="n">
        <v>2</v>
      </c>
      <c r="N54" s="32" t="inlineStr">
        <is>
          <t>Active</t>
        </is>
      </c>
      <c r="O54" s="32" t="n"/>
      <c r="P54" s="65" t="n"/>
      <c r="Q54" s="64" t="n"/>
      <c r="R54" s="64" t="n"/>
      <c r="S54" s="64" t="n"/>
      <c r="T54" s="32" t="n"/>
    </row>
    <row r="55" ht="62" customHeight="1">
      <c r="A55" s="10">
        <f>_xlfn.IMAGE("https://m.media-amazon.com/images/I/71APUp+JE3L.jpg")</f>
        <v/>
      </c>
      <c r="B55" s="32" t="inlineStr">
        <is>
          <t>B0DBVZRL8V</t>
        </is>
      </c>
      <c r="C55" s="32" t="inlineStr">
        <is>
          <t>SATIN-FITTED-TWIN-BLACK</t>
        </is>
      </c>
      <c r="D55" s="32" t="inlineStr">
        <is>
          <t>DECOLURE Satin Fitted Sheet Twin Size (1 PC) – Luxuriously Smooth &amp; Softer Than Silk Bed Sheets w/ 15 Inch Deep Pocket Hypoallergenic Wrinkle Free, Secure Snug Fit, Elastic Corner Straps (Black)</t>
        </is>
      </c>
      <c r="E55" s="32" t="inlineStr">
        <is>
          <t>Twin</t>
        </is>
      </c>
      <c r="F55" s="32" t="inlineStr">
        <is>
          <t>Black</t>
        </is>
      </c>
      <c r="G55" s="33" t="n"/>
      <c r="H55" s="32" t="n"/>
      <c r="I55" s="61" t="n">
        <v>19.95</v>
      </c>
      <c r="J55" s="62" t="inlineStr">
        <is>
          <t>2026-03-30</t>
        </is>
      </c>
      <c r="K55" s="33" t="n">
        <v>5.040000000000001</v>
      </c>
      <c r="L55" s="63" t="n">
        <v>0.2526315789473685</v>
      </c>
      <c r="M55" s="64" t="n">
        <v>2</v>
      </c>
      <c r="N55" s="32" t="inlineStr">
        <is>
          <t>Inactive</t>
        </is>
      </c>
      <c r="O55" s="32" t="n"/>
      <c r="P55" s="65" t="n"/>
      <c r="Q55" s="64" t="n"/>
      <c r="R55" s="64" t="n"/>
      <c r="S55" s="64" t="n"/>
      <c r="T55" s="32" t="n"/>
    </row>
    <row r="56" ht="62" customHeight="1">
      <c r="A56" s="10">
        <f>_xlfn.IMAGE("https://m.media-amazon.com/images/I/71TuVlzH09L.jpg")</f>
        <v/>
      </c>
      <c r="B56" s="32" t="inlineStr">
        <is>
          <t>B0DBW2LTK4</t>
        </is>
      </c>
      <c r="C56" s="32" t="inlineStr">
        <is>
          <t>SATIN-FITTED-TWIN-GREY</t>
        </is>
      </c>
      <c r="D56" s="32" t="inlineStr">
        <is>
          <t>DECOLURE Satin Fitted Sheet Twin Size (1 PC) – Luxuriously Smooth &amp; Softer Than Silk Bed Sheets w/ 15 Inch Deep Pocket Hypoallergenic Wrinkle Free, Secure Snug Fit, Elastic Corner Straps (Grey)</t>
        </is>
      </c>
      <c r="E56" s="32" t="inlineStr">
        <is>
          <t>Twin</t>
        </is>
      </c>
      <c r="F56" s="32" t="inlineStr">
        <is>
          <t>Grey</t>
        </is>
      </c>
      <c r="G56" s="33" t="n"/>
      <c r="H56" s="32" t="n"/>
      <c r="I56" s="61" t="n">
        <v>19.95</v>
      </c>
      <c r="J56" s="62" t="inlineStr">
        <is>
          <t>2026-03-30</t>
        </is>
      </c>
      <c r="K56" s="33" t="n">
        <v>5.760000000000002</v>
      </c>
      <c r="L56" s="63" t="n">
        <v>0.2887218045112783</v>
      </c>
      <c r="M56" s="64" t="n">
        <v>2</v>
      </c>
      <c r="N56" s="32" t="inlineStr">
        <is>
          <t>Active</t>
        </is>
      </c>
      <c r="O56" s="32" t="n"/>
      <c r="P56" s="65" t="n"/>
      <c r="Q56" s="64" t="n"/>
      <c r="R56" s="64" t="n"/>
      <c r="S56" s="64" t="n"/>
      <c r="T56" s="32" t="n"/>
    </row>
    <row r="57" ht="62" customHeight="1">
      <c r="A57" s="10">
        <f>_xlfn.IMAGE("https://m.media-amazon.com/images/I/714ktb3sY+L.jpg")</f>
        <v/>
      </c>
      <c r="B57" s="32" t="inlineStr">
        <is>
          <t>B0DBW6FW27</t>
        </is>
      </c>
      <c r="C57" s="32" t="inlineStr">
        <is>
          <t>SATIN-FITTED-TWIN-IVORY</t>
        </is>
      </c>
      <c r="D57" s="32" t="inlineStr">
        <is>
          <t>DECOLURE Satin Fitted Sheet Twin Size (1 PC) – Luxuriously Smooth &amp; Softer Than Silk Bed Sheets w/ 15 Inch Deep Pocket Hypoallergenic Wrinkle Free, Secure Snug Fit, Elastic Corner Straps (Ivory)</t>
        </is>
      </c>
      <c r="E57" s="32" t="inlineStr">
        <is>
          <t>Twin</t>
        </is>
      </c>
      <c r="F57" s="32" t="inlineStr">
        <is>
          <t>Ivory</t>
        </is>
      </c>
      <c r="G57" s="33" t="n"/>
      <c r="H57" s="32" t="n"/>
      <c r="I57" s="61" t="n">
        <v>20.95</v>
      </c>
      <c r="J57" s="62" t="inlineStr">
        <is>
          <t>2026-03-30</t>
        </is>
      </c>
      <c r="K57" s="33" t="n">
        <v>6.329999999999998</v>
      </c>
      <c r="L57" s="63" t="n">
        <v>0.3021479713603818</v>
      </c>
      <c r="M57" s="64" t="n">
        <v>2</v>
      </c>
      <c r="N57" s="32" t="inlineStr">
        <is>
          <t>Active</t>
        </is>
      </c>
      <c r="O57" s="32" t="n"/>
      <c r="P57" s="65" t="n"/>
      <c r="Q57" s="64" t="n"/>
      <c r="R57" s="64" t="n"/>
      <c r="S57" s="64" t="n"/>
      <c r="T57" s="32" t="n"/>
    </row>
    <row r="58" ht="62" customHeight="1">
      <c r="A58" s="10">
        <f>_xlfn.IMAGE("https://m.media-amazon.com/images/I/71bgU8vMQnL.jpg")</f>
        <v/>
      </c>
      <c r="B58" s="32" t="inlineStr">
        <is>
          <t>B0DBW1M6RR</t>
        </is>
      </c>
      <c r="C58" s="32" t="inlineStr">
        <is>
          <t>SATIN-FITTED-TWIN-PURPLE</t>
        </is>
      </c>
      <c r="D58" s="32" t="inlineStr">
        <is>
          <t>DECOLURE Satin Fitted Sheet Twin Size (1 PC) – Luxuriously Smooth &amp; Softer Than Silk Bed Sheets w/ 15 Inch Deep Pocket Hypoallergenic Wrinkle Free, Secure Snug Fit, Elastic Corner Straps (Purple)</t>
        </is>
      </c>
      <c r="E58" s="32" t="inlineStr">
        <is>
          <t>Twin</t>
        </is>
      </c>
      <c r="F58" s="32" t="inlineStr">
        <is>
          <t>Purple</t>
        </is>
      </c>
      <c r="G58" s="33" t="n"/>
      <c r="H58" s="32" t="n"/>
      <c r="I58" s="61" t="n">
        <v>27.71</v>
      </c>
      <c r="J58" s="62" t="inlineStr">
        <is>
          <t>2026-03-30</t>
        </is>
      </c>
      <c r="K58" s="33" t="n">
        <v>6.99</v>
      </c>
      <c r="L58" s="63" t="n">
        <v>0.2522555034283652</v>
      </c>
      <c r="M58" s="64" t="n">
        <v>2</v>
      </c>
      <c r="N58" s="32" t="inlineStr">
        <is>
          <t>Active</t>
        </is>
      </c>
      <c r="O58" s="32" t="n"/>
      <c r="P58" s="65" t="n"/>
      <c r="Q58" s="64" t="n"/>
      <c r="R58" s="64" t="n"/>
      <c r="S58" s="64" t="n"/>
      <c r="T58" s="32" t="n"/>
    </row>
    <row r="59" ht="62" customHeight="1">
      <c r="A59" s="10">
        <f>_xlfn.IMAGE("https://m.media-amazon.com/images/I/81RiAVYjy-L.jpg")</f>
        <v/>
      </c>
      <c r="B59" s="32" t="inlineStr">
        <is>
          <t>B0DBW28W1W</t>
        </is>
      </c>
      <c r="C59" s="32" t="inlineStr">
        <is>
          <t>SATIN-FITTED-TWIN-STONE-GREY</t>
        </is>
      </c>
      <c r="D59" s="32" t="inlineStr">
        <is>
          <t>DECOLURE Satin Fitted Sheet Twin Size (1 PC) – Luxuriously Smooth &amp; Softer Than Silk Bed Sheets w/ 15 Inch Deep Pocket Hypoallergenic Wrinkle Free, Secure Snug Fit, Elastic Corner Straps (Stone Grey)</t>
        </is>
      </c>
      <c r="E59" s="32" t="inlineStr">
        <is>
          <t>Twin</t>
        </is>
      </c>
      <c r="F59" s="32" t="inlineStr">
        <is>
          <t>Stone Grey</t>
        </is>
      </c>
      <c r="G59" s="33" t="n"/>
      <c r="H59" s="32" t="n"/>
      <c r="I59" s="61" t="n">
        <v>27.71</v>
      </c>
      <c r="J59" s="62" t="inlineStr">
        <is>
          <t>2026-03-30</t>
        </is>
      </c>
      <c r="K59" s="33" t="n">
        <v>6.76</v>
      </c>
      <c r="L59" s="63" t="n">
        <v>0.2439552508119812</v>
      </c>
      <c r="M59" s="64" t="n">
        <v>2</v>
      </c>
      <c r="N59" s="32" t="inlineStr">
        <is>
          <t>Active</t>
        </is>
      </c>
      <c r="O59" s="32" t="n"/>
      <c r="P59" s="65" t="n"/>
      <c r="Q59" s="64" t="n"/>
      <c r="R59" s="64" t="n"/>
      <c r="S59" s="64" t="n"/>
      <c r="T59" s="32" t="n"/>
    </row>
    <row r="60" ht="62" customHeight="1">
      <c r="A60" s="10">
        <f>_xlfn.IMAGE("https://m.media-amazon.com/images/I/812QjIl2c0L.jpg")</f>
        <v/>
      </c>
      <c r="B60" s="32" t="inlineStr">
        <is>
          <t>B0DBVZV66D</t>
        </is>
      </c>
      <c r="C60" s="32" t="inlineStr">
        <is>
          <t>SATIN-FITTED-FULL-BABY-BLUE</t>
        </is>
      </c>
      <c r="D60" s="32" t="inlineStr">
        <is>
          <t>DECOLURE Satin Fitted Sheet Full Size (1 PC) – Luxuriously Smooth &amp; Softer Than Silk Bed Sheets w/ 15 Inch Deep Pocket Hypoallergenic Wrinkle Free, Secure Snug Fit, Elastic Corner Straps (Baby Blue)</t>
        </is>
      </c>
      <c r="E60" s="32" t="inlineStr">
        <is>
          <t>Full</t>
        </is>
      </c>
      <c r="F60" s="32" t="inlineStr">
        <is>
          <t>Baby Blue</t>
        </is>
      </c>
      <c r="G60" s="33" t="n"/>
      <c r="H60" s="32" t="n"/>
      <c r="I60" s="61" t="n">
        <v>22.95</v>
      </c>
      <c r="J60" s="62" t="inlineStr">
        <is>
          <t>2026-03-30</t>
        </is>
      </c>
      <c r="K60" s="33" t="n">
        <v>7.499999999999997</v>
      </c>
      <c r="L60" s="63" t="n">
        <v>0.3267973856209149</v>
      </c>
      <c r="M60" s="64" t="n">
        <v>1</v>
      </c>
      <c r="N60" s="32" t="inlineStr">
        <is>
          <t>Active</t>
        </is>
      </c>
      <c r="O60" s="32" t="n"/>
      <c r="P60" s="65" t="n"/>
      <c r="Q60" s="64" t="n"/>
      <c r="R60" s="64" t="n"/>
      <c r="S60" s="64" t="n"/>
      <c r="T60" s="32" t="n"/>
    </row>
    <row r="61" ht="62" customHeight="1">
      <c r="A61" s="10">
        <f>_xlfn.IMAGE("https://m.media-amazon.com/images/I/71bgU8vMQnL.jpg")</f>
        <v/>
      </c>
      <c r="B61" s="32" t="inlineStr">
        <is>
          <t>B0DBVZGV7Y</t>
        </is>
      </c>
      <c r="C61" s="32" t="inlineStr">
        <is>
          <t>SATIN-FITTED-FULL-PURPLE</t>
        </is>
      </c>
      <c r="D61" s="32" t="inlineStr">
        <is>
          <t>DECOLURE Satin Fitted Sheet Full Size (1 PC) – Luxuriously Smooth &amp; Softer Than Silk Bed Sheets w/ 15 Inch Deep Pocket Hypoallergenic Wrinkle Free, Secure Snug Fit, Elastic Corner Straps (Purple)</t>
        </is>
      </c>
      <c r="E61" s="32" t="inlineStr">
        <is>
          <t>Full</t>
        </is>
      </c>
      <c r="F61" s="32" t="inlineStr">
        <is>
          <t>Purple</t>
        </is>
      </c>
      <c r="G61" s="33" t="n"/>
      <c r="H61" s="32" t="n"/>
      <c r="I61" s="61" t="n">
        <v>22.95</v>
      </c>
      <c r="J61" s="62" t="inlineStr">
        <is>
          <t>2026-03-30</t>
        </is>
      </c>
      <c r="K61" s="33" t="n">
        <v>7.729999999999998</v>
      </c>
      <c r="L61" s="63" t="n">
        <v>0.3368191721132897</v>
      </c>
      <c r="M61" s="64" t="n">
        <v>1</v>
      </c>
      <c r="N61" s="32" t="inlineStr">
        <is>
          <t>Active</t>
        </is>
      </c>
      <c r="O61" s="32" t="n"/>
      <c r="P61" s="65" t="n"/>
      <c r="Q61" s="64" t="n"/>
      <c r="R61" s="64" t="n"/>
      <c r="S61" s="64" t="n"/>
      <c r="T61" s="32" t="n"/>
    </row>
    <row r="62" ht="62" customHeight="1">
      <c r="A62" s="10">
        <f>_xlfn.IMAGE("https://m.media-amazon.com/images/I/81r1IG1mOIL.jpg")</f>
        <v/>
      </c>
      <c r="B62" s="32" t="inlineStr">
        <is>
          <t>B0DBW1FPBT</t>
        </is>
      </c>
      <c r="C62" s="32" t="inlineStr">
        <is>
          <t>SATIN-FITTED-KING-LAVENDER</t>
        </is>
      </c>
      <c r="D62" s="32" t="inlineStr">
        <is>
          <t>DECOLURE Satin Fitted Sheet King Size (1 PC) – Luxuriously Smooth &amp; Softer Than Silk Bed Sheets w/ 15 Inch Deep Pocket Hypoallergenic Wrinkle Free, Secure Snug Fit, Elastic Corner Straps (Lavender)</t>
        </is>
      </c>
      <c r="E62" s="32" t="inlineStr">
        <is>
          <t>King</t>
        </is>
      </c>
      <c r="F62" s="32" t="inlineStr">
        <is>
          <t>Lavender</t>
        </is>
      </c>
      <c r="G62" s="33" t="n"/>
      <c r="H62" s="32" t="n"/>
      <c r="I62" s="61" t="n">
        <v>35.66</v>
      </c>
      <c r="J62" s="62" t="inlineStr">
        <is>
          <t>2026-03-30</t>
        </is>
      </c>
      <c r="K62" s="33" t="n">
        <v>11.43</v>
      </c>
      <c r="L62" s="63" t="n">
        <v>0.3205272013460459</v>
      </c>
      <c r="M62" s="64" t="n">
        <v>1</v>
      </c>
      <c r="N62" s="32" t="inlineStr">
        <is>
          <t>Active</t>
        </is>
      </c>
      <c r="O62" s="32" t="n"/>
      <c r="P62" s="65" t="n"/>
      <c r="Q62" s="64" t="n"/>
      <c r="R62" s="64" t="n"/>
      <c r="S62" s="64" t="n"/>
      <c r="T62" s="32" t="n"/>
    </row>
    <row r="63" ht="62" customHeight="1">
      <c r="A63" s="10">
        <f>_xlfn.IMAGE("https://m.media-amazon.com/images/I/81hiVG9bW0L.jpg")</f>
        <v/>
      </c>
      <c r="B63" s="32" t="inlineStr">
        <is>
          <t>B0DBW17V8N</t>
        </is>
      </c>
      <c r="C63" s="32" t="inlineStr">
        <is>
          <t>SATIN-FITTED-KING-PINK</t>
        </is>
      </c>
      <c r="D63" s="32" t="inlineStr">
        <is>
          <t>DECOLURE Satin Fitted Sheet King Size (1 PC) – Luxuriously Smooth &amp; Softer Than Silk Bed Sheets w/ 15 Inch Deep Pocket Hypoallergenic Wrinkle Free, Secure Snug Fit, Elastic Corner Straps (Pink)</t>
        </is>
      </c>
      <c r="E63" s="32" t="inlineStr">
        <is>
          <t>King</t>
        </is>
      </c>
      <c r="F63" s="32" t="inlineStr">
        <is>
          <t>Pink</t>
        </is>
      </c>
      <c r="G63" s="33" t="n"/>
      <c r="H63" s="32" t="n"/>
      <c r="I63" s="61" t="n">
        <v>27.95</v>
      </c>
      <c r="J63" s="62" t="inlineStr">
        <is>
          <t>2026-03-30</t>
        </is>
      </c>
      <c r="K63" s="33" t="n">
        <v>9.939999999999998</v>
      </c>
      <c r="L63" s="63" t="n">
        <v>0.3556350626118067</v>
      </c>
      <c r="M63" s="64" t="n">
        <v>1</v>
      </c>
      <c r="N63" s="32" t="inlineStr">
        <is>
          <t>Active</t>
        </is>
      </c>
      <c r="O63" s="32" t="n"/>
      <c r="P63" s="65" t="n"/>
      <c r="Q63" s="64" t="n"/>
      <c r="R63" s="64" t="n"/>
      <c r="S63" s="64" t="n"/>
      <c r="T63" s="32" t="n"/>
    </row>
    <row r="64" ht="62" customHeight="1">
      <c r="A64" s="10">
        <f>_xlfn.IMAGE("https://m.media-amazon.com/images/I/71JA-96z1+L.jpg")</f>
        <v/>
      </c>
      <c r="B64" s="32" t="inlineStr">
        <is>
          <t>B0DBVZKXNX</t>
        </is>
      </c>
      <c r="C64" s="32" t="inlineStr">
        <is>
          <t>SATIN-FITTED-KING-ROSEWOOD</t>
        </is>
      </c>
      <c r="D64" s="32" t="inlineStr">
        <is>
          <t>DECOLURE Satin Fitted Sheet King Size (1 PC) – Luxuriously Smooth &amp; Softer Than Silk Bed Sheets w/ 15 Inch Deep Pocket Hypoallergenic Wrinkle Free, Secure Snug Fit, Elastic Corner Straps (Rosewood)</t>
        </is>
      </c>
      <c r="E64" s="32" t="inlineStr">
        <is>
          <t>King</t>
        </is>
      </c>
      <c r="F64" s="32" t="inlineStr">
        <is>
          <t>Rosewood</t>
        </is>
      </c>
      <c r="G64" s="33" t="n"/>
      <c r="H64" s="32" t="n"/>
      <c r="I64" s="61" t="n">
        <v>32.66</v>
      </c>
      <c r="J64" s="62" t="inlineStr">
        <is>
          <t>2026-03-30</t>
        </is>
      </c>
      <c r="K64" s="33" t="n">
        <v>8.43</v>
      </c>
      <c r="L64" s="63" t="n">
        <v>0.2581139007960809</v>
      </c>
      <c r="M64" s="64" t="n">
        <v>1</v>
      </c>
      <c r="N64" s="32" t="inlineStr">
        <is>
          <t>Active</t>
        </is>
      </c>
      <c r="O64" s="32" t="n"/>
      <c r="P64" s="65" t="n"/>
      <c r="Q64" s="64" t="n"/>
      <c r="R64" s="64" t="n"/>
      <c r="S64" s="64" t="n"/>
      <c r="T64" s="32" t="n"/>
    </row>
    <row r="65" ht="62" customHeight="1">
      <c r="A65" s="10">
        <f>_xlfn.IMAGE("https://m.media-amazon.com/images/I/81NguKiiueL.jpg")</f>
        <v/>
      </c>
      <c r="B65" s="32" t="inlineStr">
        <is>
          <t>B0DBW1NX31</t>
        </is>
      </c>
      <c r="C65" s="32" t="inlineStr">
        <is>
          <t>SATIN-FITTED-QUEEN-SAGE-GREEN</t>
        </is>
      </c>
      <c r="D65" s="32" t="inlineStr">
        <is>
          <t>DECOLURE Satin Fitted Sheet Queen Size (1 PC) – Luxuriously Smooth &amp; Softer than Silk Bed Sheets w/ 15 Inch Deep Pocket Hypoallergenic Wrinkle Free, Secure Snug Fit, Elastic Corner Straps (Sage Green)</t>
        </is>
      </c>
      <c r="E65" s="32" t="inlineStr">
        <is>
          <t>Queen</t>
        </is>
      </c>
      <c r="F65" s="32" t="inlineStr">
        <is>
          <t>Sage Green</t>
        </is>
      </c>
      <c r="G65" s="33" t="n"/>
      <c r="H65" s="32" t="n"/>
      <c r="I65" s="61" t="n">
        <v>35.23</v>
      </c>
      <c r="J65" s="62" t="inlineStr">
        <is>
          <t>2026-03-30</t>
        </is>
      </c>
      <c r="K65" s="33" t="n">
        <v>12.47</v>
      </c>
      <c r="L65" s="63" t="n">
        <v>0.3539596934430882</v>
      </c>
      <c r="M65" s="64" t="n">
        <v>1</v>
      </c>
      <c r="N65" s="32" t="inlineStr">
        <is>
          <t>Active</t>
        </is>
      </c>
      <c r="O65" s="32" t="n"/>
      <c r="P65" s="65" t="n"/>
      <c r="Q65" s="64" t="n"/>
      <c r="R65" s="64" t="n"/>
      <c r="S65" s="64" t="n"/>
      <c r="T65" s="32" t="n"/>
    </row>
    <row r="66" ht="62" customHeight="1">
      <c r="A66" s="10">
        <f>_xlfn.IMAGE("https://m.media-amazon.com/images/I/812QjIl2c0L.jpg")</f>
        <v/>
      </c>
      <c r="B66" s="32" t="inlineStr">
        <is>
          <t>B0DBVZQZXV</t>
        </is>
      </c>
      <c r="C66" s="32" t="inlineStr">
        <is>
          <t>SATIN-FITTED-TWIN-BABY-BLUE</t>
        </is>
      </c>
      <c r="D66" s="32" t="inlineStr">
        <is>
          <t>DECOLURE Satin Fitted Sheet Twin Size (1 PC) – Luxuriously Smooth &amp; Softer Than Silk Bed Sheets w/ 15 Inch Deep Pocket Hypoallergenic Wrinkle Free, Secure Snug Fit, Elastic Corner Straps (Baby Blue)</t>
        </is>
      </c>
      <c r="E66" s="32" t="inlineStr">
        <is>
          <t>Twin</t>
        </is>
      </c>
      <c r="F66" s="32" t="inlineStr">
        <is>
          <t>Baby Blue</t>
        </is>
      </c>
      <c r="G66" s="33" t="n"/>
      <c r="H66" s="32" t="n"/>
      <c r="I66" s="61" t="n">
        <v>20.95</v>
      </c>
      <c r="J66" s="62" t="inlineStr">
        <is>
          <t>2026-03-30</t>
        </is>
      </c>
      <c r="K66" s="33" t="n">
        <v>6.409999999999998</v>
      </c>
      <c r="L66" s="63" t="n">
        <v>0.3059665871121718</v>
      </c>
      <c r="M66" s="64" t="n">
        <v>1</v>
      </c>
      <c r="N66" s="32" t="inlineStr">
        <is>
          <t>Active</t>
        </is>
      </c>
      <c r="O66" s="32" t="n"/>
      <c r="P66" s="65" t="n"/>
      <c r="Q66" s="64" t="n"/>
      <c r="R66" s="64" t="n"/>
      <c r="S66" s="64" t="n"/>
      <c r="T66" s="32" t="n"/>
    </row>
    <row r="67" ht="62" customHeight="1">
      <c r="A67" s="10">
        <f>_xlfn.IMAGE("https://m.media-amazon.com/images/I/81Zp5JX8nUL.jpg")</f>
        <v/>
      </c>
      <c r="B67" s="32" t="inlineStr">
        <is>
          <t>B0DBW1NXMC</t>
        </is>
      </c>
      <c r="C67" s="32" t="inlineStr">
        <is>
          <t>SATIN-FITTED-TWIN-DARK-GREEN</t>
        </is>
      </c>
      <c r="D67" s="32" t="inlineStr">
        <is>
          <t>DECOLURE Satin Fitted Sheet Twin Size (1 PC) – Luxuriously Smooth &amp; Softer Than Silk Bed Sheets w/ 15 Inch Deep Pocket Hypoallergenic Wrinkle Free, Secure Snug Fit, Elastic Corner Straps (Dark Green)</t>
        </is>
      </c>
      <c r="E67" s="32" t="inlineStr">
        <is>
          <t>Twin</t>
        </is>
      </c>
      <c r="F67" s="32" t="inlineStr">
        <is>
          <t>Dark Green</t>
        </is>
      </c>
      <c r="G67" s="33" t="n"/>
      <c r="H67" s="32" t="n"/>
      <c r="I67" s="61" t="n">
        <v>20.95</v>
      </c>
      <c r="J67" s="62" t="inlineStr">
        <is>
          <t>2026-03-30</t>
        </is>
      </c>
      <c r="K67" s="33" t="n">
        <v>5.609999999999999</v>
      </c>
      <c r="L67" s="63" t="n">
        <v>0.267780429594272</v>
      </c>
      <c r="M67" s="64" t="n">
        <v>1</v>
      </c>
      <c r="N67" s="32" t="inlineStr">
        <is>
          <t>Active</t>
        </is>
      </c>
      <c r="O67" s="32" t="n"/>
      <c r="P67" s="65" t="n"/>
      <c r="Q67" s="64" t="n"/>
      <c r="R67" s="64" t="n"/>
      <c r="S67" s="64" t="n"/>
      <c r="T67" s="32" t="n"/>
    </row>
    <row r="68" ht="62" customHeight="1">
      <c r="A68" s="10">
        <f>_xlfn.IMAGE("https://m.media-amazon.com/images/I/818qIvZ2yIL.jpg")</f>
        <v/>
      </c>
      <c r="B68" s="32" t="inlineStr">
        <is>
          <t>B0DBVZY5T2</t>
        </is>
      </c>
      <c r="C68" s="32" t="inlineStr">
        <is>
          <t>SATIN-FITTED-TWIN-GOLD</t>
        </is>
      </c>
      <c r="D68" s="32" t="inlineStr">
        <is>
          <t>DECOLURE Satin Fitted Sheet Twin Size (1 PC) – Luxuriously Smooth &amp; Softer Than Silk Bed Sheets w/ 15 Inch Deep Pocket Hypoallergenic Wrinkle Free, Secure Snug Fit, Elastic Corner Straps (Gold)</t>
        </is>
      </c>
      <c r="E68" s="32" t="inlineStr">
        <is>
          <t>Twin</t>
        </is>
      </c>
      <c r="F68" s="32" t="inlineStr">
        <is>
          <t>Gold</t>
        </is>
      </c>
      <c r="G68" s="33" t="n"/>
      <c r="H68" s="32" t="n"/>
      <c r="I68" s="61" t="n">
        <v>20.95</v>
      </c>
      <c r="J68" s="62" t="inlineStr">
        <is>
          <t>2026-03-30</t>
        </is>
      </c>
      <c r="K68" s="33" t="n">
        <v>6.989999999999998</v>
      </c>
      <c r="L68" s="63" t="n">
        <v>0.3336515513126491</v>
      </c>
      <c r="M68" s="64" t="n">
        <v>1</v>
      </c>
      <c r="N68" s="32" t="inlineStr">
        <is>
          <t>Active</t>
        </is>
      </c>
      <c r="O68" s="32" t="n"/>
      <c r="P68" s="65" t="n"/>
      <c r="Q68" s="64" t="n"/>
      <c r="R68" s="64" t="n"/>
      <c r="S68" s="64" t="n"/>
      <c r="T68" s="32" t="n"/>
    </row>
    <row r="69" ht="62" customHeight="1">
      <c r="A69" s="10">
        <f>_xlfn.IMAGE("https://m.media-amazon.com/images/I/81mTp2BYSlL.jpg")</f>
        <v/>
      </c>
      <c r="B69" s="32" t="inlineStr">
        <is>
          <t>B0DBW1FRHC</t>
        </is>
      </c>
      <c r="C69" s="32" t="inlineStr">
        <is>
          <t>SATIN-FITTED-TWIN-RED</t>
        </is>
      </c>
      <c r="D69" s="32" t="inlineStr">
        <is>
          <t>DECOLURE Satin Fitted Sheet Twin Size (1 PC) – Luxuriously Smooth &amp; Softer Than Silk Bed Sheets w/ 15 Inch Deep Pocket Hypoallergenic Wrinkle Free, Secure Snug Fit, Elastic Corner Straps (Red)</t>
        </is>
      </c>
      <c r="E69" s="32" t="inlineStr">
        <is>
          <t>Twin</t>
        </is>
      </c>
      <c r="F69" s="32" t="inlineStr">
        <is>
          <t>Red</t>
        </is>
      </c>
      <c r="G69" s="33" t="n"/>
      <c r="H69" s="32" t="n"/>
      <c r="I69" s="61" t="n">
        <v>20.95</v>
      </c>
      <c r="J69" s="62" t="inlineStr">
        <is>
          <t>2026-03-30</t>
        </is>
      </c>
      <c r="K69" s="33" t="n">
        <v>6.389999999999999</v>
      </c>
      <c r="L69" s="63" t="n">
        <v>0.3050119331742243</v>
      </c>
      <c r="M69" s="64" t="n">
        <v>1</v>
      </c>
      <c r="N69" s="32" t="inlineStr">
        <is>
          <t>Active</t>
        </is>
      </c>
      <c r="O69" s="32" t="n"/>
      <c r="P69" s="65" t="n"/>
      <c r="Q69" s="64" t="n"/>
      <c r="R69" s="64" t="n"/>
      <c r="S69" s="64" t="n"/>
      <c r="T69" s="32" t="n"/>
    </row>
    <row r="70" ht="62" customHeight="1">
      <c r="A70" s="10">
        <f>_xlfn.IMAGE("https://m.media-amazon.com/images/I/71APUp+JE3L.jpg")</f>
        <v/>
      </c>
      <c r="B70" s="32" t="inlineStr">
        <is>
          <t>B0DBVZTM41</t>
        </is>
      </c>
      <c r="C70" s="32" t="inlineStr">
        <is>
          <t>SATIN-FITTED-FULL-BLACK</t>
        </is>
      </c>
      <c r="D70" s="32" t="inlineStr">
        <is>
          <t>DECOLURE Satin Fitted Sheet Full Size (1 PC) – Luxuriously Smooth &amp; Softer Than Silk Bed Sheets w/ 15 Inch Deep Pocket Hypoallergenic Wrinkle Free, Secure Snug Fit, Elastic Corner Straps (Black)</t>
        </is>
      </c>
      <c r="E70" s="32" t="inlineStr">
        <is>
          <t>Full</t>
        </is>
      </c>
      <c r="F70" s="32" t="inlineStr">
        <is>
          <t>Black</t>
        </is>
      </c>
      <c r="G70" s="33" t="n"/>
      <c r="H70" s="32" t="n"/>
      <c r="I70" s="61" t="n">
        <v>20.95</v>
      </c>
      <c r="J70" s="62" t="inlineStr">
        <is>
          <t>2026-03-30</t>
        </is>
      </c>
      <c r="K70" s="33" t="n">
        <v>6.019999999999999</v>
      </c>
      <c r="L70" s="63" t="n">
        <v>0.2873508353221956</v>
      </c>
      <c r="M70" s="64" t="n"/>
      <c r="N70" s="32" t="inlineStr">
        <is>
          <t>Inactive</t>
        </is>
      </c>
      <c r="O70" s="32" t="n"/>
      <c r="P70" s="65" t="n"/>
      <c r="Q70" s="64" t="n"/>
      <c r="R70" s="64" t="n"/>
      <c r="S70" s="64" t="n"/>
      <c r="T70" s="32" t="n"/>
    </row>
    <row r="71" ht="62" customHeight="1">
      <c r="A71" s="10">
        <f>_xlfn.IMAGE("https://m.media-amazon.com/images/I/818qIvZ2yIL.jpg")</f>
        <v/>
      </c>
      <c r="B71" s="32" t="inlineStr">
        <is>
          <t>B0DBVZ73F7</t>
        </is>
      </c>
      <c r="C71" s="32" t="inlineStr">
        <is>
          <t>SATIN-FITTED-FULL-GOLD</t>
        </is>
      </c>
      <c r="D71" s="32" t="inlineStr">
        <is>
          <t>DECOLURE Satin Fitted Sheet Full Size (1 PC) – Luxuriously Smooth &amp; Softer Than Silk Bed Sheets w/ 15 Inch Deep Pocket Hypoallergenic Wrinkle Free, Secure Snug Fit, Elastic Corner Straps (Gold)</t>
        </is>
      </c>
      <c r="E71" s="32" t="inlineStr">
        <is>
          <t>Full</t>
        </is>
      </c>
      <c r="F71" s="32" t="inlineStr">
        <is>
          <t>Gold</t>
        </is>
      </c>
      <c r="G71" s="33" t="n"/>
      <c r="H71" s="32" t="n"/>
      <c r="I71" s="61" t="n">
        <v>22.95</v>
      </c>
      <c r="J71" s="62" t="inlineStr">
        <is>
          <t>2026-03-30</t>
        </is>
      </c>
      <c r="K71" s="33" t="n">
        <v>7.279999999999998</v>
      </c>
      <c r="L71" s="63" t="n">
        <v>0.3172113289760348</v>
      </c>
      <c r="M71" s="64" t="n">
        <v>0</v>
      </c>
      <c r="N71" s="32" t="inlineStr">
        <is>
          <t>Active</t>
        </is>
      </c>
      <c r="O71" s="32" t="n"/>
      <c r="P71" s="65" t="n"/>
      <c r="Q71" s="64" t="n"/>
      <c r="R71" s="64" t="n"/>
      <c r="S71" s="64" t="n"/>
      <c r="T71" s="32" t="n"/>
    </row>
    <row r="72" ht="62" customHeight="1">
      <c r="A72" s="10">
        <f>_xlfn.IMAGE("https://m.media-amazon.com/images/I/71JA-96z1+L.jpg")</f>
        <v/>
      </c>
      <c r="B72" s="32" t="inlineStr">
        <is>
          <t>B0DBW17KGC</t>
        </is>
      </c>
      <c r="C72" s="32" t="inlineStr">
        <is>
          <t>SATIN-FITTED-FULL-ROSEWOOD</t>
        </is>
      </c>
      <c r="D72" s="32" t="inlineStr">
        <is>
          <t>DECOLURE Satin Fitted Sheet Full Size (1 PC) – Luxuriously Smooth &amp; Softer Than Silk Bed Sheets w/ 15 Inch Deep Pocket Hypoallergenic Wrinkle Free, Secure Snug Fit, Elastic Corner Straps (Rosewood)</t>
        </is>
      </c>
      <c r="E72" s="32" t="inlineStr">
        <is>
          <t>Full</t>
        </is>
      </c>
      <c r="F72" s="32" t="inlineStr">
        <is>
          <t>Rosewood</t>
        </is>
      </c>
      <c r="G72" s="33" t="n"/>
      <c r="H72" s="32" t="n"/>
      <c r="I72" s="61" t="n">
        <v>22.95</v>
      </c>
      <c r="J72" s="62" t="inlineStr">
        <is>
          <t>2026-03-30</t>
        </is>
      </c>
      <c r="K72" s="33" t="n">
        <v>7.569999999999998</v>
      </c>
      <c r="L72" s="63" t="n">
        <v>0.3298474945533768</v>
      </c>
      <c r="M72" s="64" t="n"/>
      <c r="N72" s="32" t="inlineStr">
        <is>
          <t>Inactive</t>
        </is>
      </c>
      <c r="O72" s="32" t="n"/>
      <c r="P72" s="65" t="n"/>
      <c r="Q72" s="64" t="n"/>
      <c r="R72" s="64" t="n"/>
      <c r="S72" s="64" t="n"/>
      <c r="T72" s="32" t="n"/>
    </row>
    <row r="73" ht="62" customHeight="1">
      <c r="A73" s="10">
        <f>_xlfn.IMAGE("https://m.media-amazon.com/images/I/81NguKiiueL.jpg")</f>
        <v/>
      </c>
      <c r="B73" s="32" t="inlineStr">
        <is>
          <t>B0DBW2LXQY</t>
        </is>
      </c>
      <c r="C73" s="32" t="inlineStr">
        <is>
          <t>SATIN-FITTED-FULL-SAGE-GREEN</t>
        </is>
      </c>
      <c r="D73" s="32" t="inlineStr">
        <is>
          <t>DECOLURE Satin Fitted Sheet Full Size (1 PC) – Luxuriously Smooth &amp; Softer Than Silk Bed Sheets w/ 15 Inch Deep Pocket Hypoallergenic Wrinkle Free, Secure Snug Fit, Elastic Corner Straps (Sage Green)</t>
        </is>
      </c>
      <c r="E73" s="32" t="inlineStr">
        <is>
          <t>Full</t>
        </is>
      </c>
      <c r="F73" s="32" t="inlineStr">
        <is>
          <t>Sage Green</t>
        </is>
      </c>
      <c r="G73" s="33" t="n"/>
      <c r="H73" s="32" t="n"/>
      <c r="I73" s="61" t="n">
        <v>30.04</v>
      </c>
      <c r="J73" s="62" t="inlineStr">
        <is>
          <t>2026-03-30</t>
        </is>
      </c>
      <c r="K73" s="33" t="n">
        <v>8.359999999999999</v>
      </c>
      <c r="L73" s="63" t="n">
        <v>0.2782956058588548</v>
      </c>
      <c r="M73" s="64" t="n">
        <v>0</v>
      </c>
      <c r="N73" s="32" t="inlineStr">
        <is>
          <t>Active</t>
        </is>
      </c>
      <c r="O73" s="32" t="n"/>
      <c r="P73" s="65" t="n"/>
      <c r="Q73" s="64" t="n"/>
      <c r="R73" s="64" t="n"/>
      <c r="S73" s="64" t="n"/>
      <c r="T73" s="32" t="n"/>
    </row>
    <row r="74" ht="62" customHeight="1">
      <c r="A74" s="10">
        <f>_xlfn.IMAGE("https://m.media-amazon.com/images/I/81oKLEMiMUL.jpg")</f>
        <v/>
      </c>
      <c r="B74" s="32" t="inlineStr">
        <is>
          <t>B0DBVZ1Z2S</t>
        </is>
      </c>
      <c r="C74" s="32" t="inlineStr">
        <is>
          <t>SATIN-FITTED-FULL-SEA-TEAL</t>
        </is>
      </c>
      <c r="D74" s="32" t="inlineStr">
        <is>
          <t>DECOLURE Satin Fitted Sheet Full Size (1 PC) – Luxuriously Smooth &amp; Softer Than Silk Bed Sheets w/ 15 Inch Deep Pocket Hypoallergenic Wrinkle Free, Secure Snug Fit, Elastic Corner Straps (Sea Teal)</t>
        </is>
      </c>
      <c r="E74" s="32" t="inlineStr">
        <is>
          <t>Full</t>
        </is>
      </c>
      <c r="F74" s="32" t="inlineStr">
        <is>
          <t>Sea Teal</t>
        </is>
      </c>
      <c r="G74" s="33" t="n"/>
      <c r="H74" s="32" t="n"/>
      <c r="I74" s="61" t="n">
        <v>22.95</v>
      </c>
      <c r="J74" s="62" t="inlineStr">
        <is>
          <t>2026-03-30</t>
        </is>
      </c>
      <c r="K74" s="33" t="n">
        <v>7.499999999999997</v>
      </c>
      <c r="L74" s="63" t="n">
        <v>0.3267973856209149</v>
      </c>
      <c r="M74" s="64" t="n">
        <v>0</v>
      </c>
      <c r="N74" s="32" t="inlineStr">
        <is>
          <t>Active</t>
        </is>
      </c>
      <c r="O74" s="32" t="n"/>
      <c r="P74" s="65" t="n"/>
      <c r="Q74" s="64" t="n"/>
      <c r="R74" s="64" t="n"/>
      <c r="S74" s="64" t="n"/>
      <c r="T74" s="32" t="n"/>
    </row>
    <row r="75" ht="62" customHeight="1">
      <c r="A75" s="10">
        <f>_xlfn.IMAGE("https://m.media-amazon.com/images/I/812QjIl2c0L.jpg")</f>
        <v/>
      </c>
      <c r="B75" s="32" t="inlineStr">
        <is>
          <t>B0DBVY2YWN</t>
        </is>
      </c>
      <c r="C75" s="32" t="inlineStr">
        <is>
          <t>SATIN-FITTED-KING-BABY-BLUE</t>
        </is>
      </c>
      <c r="D75" s="32" t="inlineStr">
        <is>
          <t>DECOLURE Satin Fitted Sheet King Size (1 PC) – Luxuriously Smooth &amp; Softer Than Silk Bed Sheets w/ 15 Inch Deep Pocket Hypoallergenic Wrinkle Free, Secure Snug Fit, Elastic Corner Straps (Baby Blue)</t>
        </is>
      </c>
      <c r="E75" s="32" t="inlineStr">
        <is>
          <t>King</t>
        </is>
      </c>
      <c r="F75" s="32" t="inlineStr">
        <is>
          <t>Baby Blue</t>
        </is>
      </c>
      <c r="G75" s="33" t="n"/>
      <c r="H75" s="32" t="n"/>
      <c r="I75" s="61" t="n">
        <v>27.95</v>
      </c>
      <c r="J75" s="62" t="inlineStr">
        <is>
          <t>2026-03-30</t>
        </is>
      </c>
      <c r="K75" s="33" t="n">
        <v>9.849999999999998</v>
      </c>
      <c r="L75" s="63" t="n">
        <v>0.3524150268336314</v>
      </c>
      <c r="M75" s="64" t="n"/>
      <c r="N75" s="32" t="inlineStr">
        <is>
          <t>Inactive</t>
        </is>
      </c>
      <c r="O75" s="32" t="n"/>
      <c r="P75" s="65" t="n"/>
      <c r="Q75" s="64" t="n"/>
      <c r="R75" s="64" t="n"/>
      <c r="S75" s="64" t="n"/>
      <c r="T75" s="32" t="n"/>
    </row>
    <row r="76" ht="62" customHeight="1">
      <c r="A76" s="10">
        <f>_xlfn.IMAGE("https://m.media-amazon.com/images/I/818qIvZ2yIL.jpg")</f>
        <v/>
      </c>
      <c r="B76" s="32" t="inlineStr">
        <is>
          <t>B0DBW6FFG1</t>
        </is>
      </c>
      <c r="C76" s="32" t="inlineStr">
        <is>
          <t>SATIN-FITTED-KING-GOLD</t>
        </is>
      </c>
      <c r="D76" s="32" t="inlineStr">
        <is>
          <t>DECOLURE Satin Fitted Sheet King Size (1 PC) – Luxuriously Smooth &amp; Softer Than Silk Bed Sheets w/ 15 Inch Deep Pocket Hypoallergenic Wrinkle Free, Secure Snug Fit, Elastic Corner Straps (Gold)</t>
        </is>
      </c>
      <c r="E76" s="32" t="inlineStr">
        <is>
          <t>King</t>
        </is>
      </c>
      <c r="F76" s="32" t="inlineStr">
        <is>
          <t>Gold</t>
        </is>
      </c>
      <c r="G76" s="33" t="n"/>
      <c r="H76" s="32" t="n"/>
      <c r="I76" s="61" t="n">
        <v>27.95</v>
      </c>
      <c r="J76" s="62" t="inlineStr">
        <is>
          <t>2026-03-30</t>
        </is>
      </c>
      <c r="K76" s="33" t="n">
        <v>10.26</v>
      </c>
      <c r="L76" s="63" t="n">
        <v>0.3670840787119856</v>
      </c>
      <c r="M76" s="64" t="n">
        <v>0</v>
      </c>
      <c r="N76" s="32" t="inlineStr">
        <is>
          <t>Active</t>
        </is>
      </c>
      <c r="O76" s="32" t="n"/>
      <c r="P76" s="65" t="n"/>
      <c r="Q76" s="64" t="n"/>
      <c r="R76" s="64" t="n"/>
      <c r="S76" s="64" t="n"/>
      <c r="T76" s="32" t="n"/>
    </row>
    <row r="77" ht="62" customHeight="1">
      <c r="A77" s="10">
        <f>_xlfn.IMAGE("https://m.media-amazon.com/images/I/71q7X0GjqSL.jpg")</f>
        <v/>
      </c>
      <c r="B77" s="32" t="inlineStr">
        <is>
          <t>B0DBW336HD</t>
        </is>
      </c>
      <c r="C77" s="32" t="inlineStr">
        <is>
          <t>SATIN-FITTED-KING-NAVY-BLUE</t>
        </is>
      </c>
      <c r="D77" s="32" t="inlineStr">
        <is>
          <t>DECOLURE Satin Fitted Sheet King Size (1 PC) – Luxuriously Smooth &amp; Softer Than Silk Bed Sheets w/ 15 Inch Deep Pocket Hypoallergenic Wrinkle Free, Secure Snug Fit, Elastic Corner Straps (Navy Blue)</t>
        </is>
      </c>
      <c r="E77" s="32" t="inlineStr">
        <is>
          <t>King</t>
        </is>
      </c>
      <c r="F77" s="32" t="inlineStr">
        <is>
          <t>Navy Blue</t>
        </is>
      </c>
      <c r="G77" s="33" t="n"/>
      <c r="H77" s="32" t="n"/>
      <c r="I77" s="61" t="n">
        <v>27.95</v>
      </c>
      <c r="J77" s="62" t="inlineStr">
        <is>
          <t>2026-03-30</t>
        </is>
      </c>
      <c r="K77" s="33" t="n">
        <v>9.849999999999998</v>
      </c>
      <c r="L77" s="63" t="n">
        <v>0.3524150268336314</v>
      </c>
      <c r="M77" s="64" t="n">
        <v>0</v>
      </c>
      <c r="N77" s="32" t="inlineStr">
        <is>
          <t>Active</t>
        </is>
      </c>
      <c r="O77" s="32" t="n"/>
      <c r="P77" s="65" t="n"/>
      <c r="Q77" s="64" t="n"/>
      <c r="R77" s="64" t="n"/>
      <c r="S77" s="64" t="n"/>
      <c r="T77" s="32" t="n"/>
    </row>
    <row r="78" ht="62" customHeight="1">
      <c r="A78" s="10">
        <f>_xlfn.IMAGE("https://m.media-amazon.com/images/I/81oKLEMiMUL.jpg")</f>
        <v/>
      </c>
      <c r="B78" s="32" t="inlineStr">
        <is>
          <t>B0DBVZBSHL</t>
        </is>
      </c>
      <c r="C78" s="32" t="inlineStr">
        <is>
          <t>SATIN-FITTED-KING-SEA-TEAL</t>
        </is>
      </c>
      <c r="D78" s="32" t="inlineStr">
        <is>
          <t>DECOLURE Satin Fitted Sheet King Size (1 PC) – Luxuriously Smooth &amp; Softer Than Silk Bed Sheets w/ 15 Inch Deep Pocket Hypoallergenic Wrinkle Free, Secure Snug Fit, Elastic Corner Straps (Sea Teal)</t>
        </is>
      </c>
      <c r="E78" s="32" t="inlineStr">
        <is>
          <t>King</t>
        </is>
      </c>
      <c r="F78" s="32" t="inlineStr">
        <is>
          <t>Sea Teal</t>
        </is>
      </c>
      <c r="G78" s="33" t="n"/>
      <c r="H78" s="32" t="n"/>
      <c r="I78" s="61" t="n">
        <v>27.95</v>
      </c>
      <c r="J78" s="62" t="inlineStr">
        <is>
          <t>2026-03-30</t>
        </is>
      </c>
      <c r="K78" s="33" t="n">
        <v>10.02</v>
      </c>
      <c r="L78" s="63" t="n">
        <v>0.3584973166368515</v>
      </c>
      <c r="M78" s="64" t="n">
        <v>0</v>
      </c>
      <c r="N78" s="32" t="inlineStr">
        <is>
          <t>Inactive</t>
        </is>
      </c>
      <c r="O78" s="32" t="n"/>
      <c r="P78" s="65" t="n"/>
      <c r="Q78" s="64" t="n"/>
      <c r="R78" s="64" t="n"/>
      <c r="S78" s="64" t="n"/>
      <c r="T78" s="32" t="n"/>
    </row>
    <row r="79" ht="62" customHeight="1">
      <c r="A79" s="10">
        <f>_xlfn.IMAGE("https://m.media-amazon.com/images/I/812QjIl2c0L.jpg")</f>
        <v/>
      </c>
      <c r="B79" s="32" t="inlineStr">
        <is>
          <t>B0DBW19662</t>
        </is>
      </c>
      <c r="C79" s="32" t="inlineStr">
        <is>
          <t>SATIN-FITTED-QUEEN-BABY-BLUE</t>
        </is>
      </c>
      <c r="D79" s="32" t="inlineStr">
        <is>
          <t>DECOLURE Satin Fitted Sheet Queen Size (1 PC) – Luxuriously Smooth &amp; Softer Than Silk Bed Sheets w/ 15 Inch Deep Pocket Hypoallergenic Wrinkle Free, Secure Snug Fit, Elastic Corner Straps (Baby Blue)</t>
        </is>
      </c>
      <c r="E79" s="32" t="inlineStr">
        <is>
          <t>Queen</t>
        </is>
      </c>
      <c r="F79" s="32" t="inlineStr">
        <is>
          <t>Baby Blue</t>
        </is>
      </c>
      <c r="G79" s="33" t="n"/>
      <c r="H79" s="32" t="n"/>
      <c r="I79" s="61" t="n">
        <v>23.95</v>
      </c>
      <c r="J79" s="62" t="inlineStr">
        <is>
          <t>2026-03-30</t>
        </is>
      </c>
      <c r="K79" s="33" t="n">
        <v>7.659999999999999</v>
      </c>
      <c r="L79" s="63" t="n">
        <v>0.3198329853862213</v>
      </c>
      <c r="M79" s="64" t="n">
        <v>0</v>
      </c>
      <c r="N79" s="32" t="inlineStr">
        <is>
          <t>Inactive</t>
        </is>
      </c>
      <c r="O79" s="32" t="n"/>
      <c r="P79" s="65" t="n"/>
      <c r="Q79" s="64" t="n"/>
      <c r="R79" s="64" t="n"/>
      <c r="S79" s="64" t="n"/>
      <c r="T79" s="32" t="n"/>
    </row>
    <row r="80" ht="62" customHeight="1">
      <c r="A80" s="10">
        <f>_xlfn.IMAGE("https://m.media-amazon.com/images/I/714ktb3sY+L.jpg")</f>
        <v/>
      </c>
      <c r="B80" s="32" t="inlineStr">
        <is>
          <t>B0DBW128WH</t>
        </is>
      </c>
      <c r="C80" s="32" t="inlineStr">
        <is>
          <t>SATIN-FITTED-QUEEN-IVORY</t>
        </is>
      </c>
      <c r="D80" s="32" t="inlineStr">
        <is>
          <t>DECOLURE Satin Fitted Sheet Queen Size (1 PC) – Luxuriously Smooth &amp; Softer Than Silk Bed Sheets w/ 15 Inch Deep Pocket Hypoallergenic Wrinkle Free, Secure Snug Fit, Elastic Corner Straps (Ivory)</t>
        </is>
      </c>
      <c r="E80" s="32" t="inlineStr">
        <is>
          <t>Queen</t>
        </is>
      </c>
      <c r="F80" s="32" t="inlineStr">
        <is>
          <t>Ivory</t>
        </is>
      </c>
      <c r="G80" s="33" t="n"/>
      <c r="H80" s="32" t="n"/>
      <c r="I80" s="61" t="n">
        <v>31.2</v>
      </c>
      <c r="J80" s="62" t="inlineStr">
        <is>
          <t>2026-03-30</t>
        </is>
      </c>
      <c r="K80" s="33" t="n">
        <v>8.25</v>
      </c>
      <c r="L80" s="63" t="n">
        <v>0.2644230769230769</v>
      </c>
      <c r="M80" s="64" t="n">
        <v>0</v>
      </c>
      <c r="N80" s="32" t="inlineStr">
        <is>
          <t>Inactive</t>
        </is>
      </c>
      <c r="O80" s="32" t="n"/>
      <c r="P80" s="65" t="n"/>
      <c r="Q80" s="64" t="n"/>
      <c r="R80" s="64" t="n"/>
      <c r="S80" s="64" t="n"/>
      <c r="T80" s="32" t="n"/>
    </row>
    <row r="81" ht="62" customHeight="1">
      <c r="A81" s="10">
        <f>_xlfn.IMAGE("https://m.media-amazon.com/images/I/81oKLEMiMUL.jpg")</f>
        <v/>
      </c>
      <c r="B81" s="32" t="inlineStr">
        <is>
          <t>B0DBW1NVHF</t>
        </is>
      </c>
      <c r="C81" s="32" t="inlineStr">
        <is>
          <t>SATIN-FITTED-QUEEN-SEA-TEAL</t>
        </is>
      </c>
      <c r="D81" s="32" t="inlineStr">
        <is>
          <t>DECOLURE Satin Fitted Sheet Queen Size (1 PC) – Luxuriously Smooth &amp; Softer Than Silk Bed Sheets w/ 15 Inch Deep Pocket Hypoallergenic Wrinkle Free, Secure Snug Fit, Elastic Corner Straps (Sea Teal)</t>
        </is>
      </c>
      <c r="E81" s="32" t="inlineStr">
        <is>
          <t>Queen</t>
        </is>
      </c>
      <c r="F81" s="32" t="inlineStr">
        <is>
          <t>Sea Teal</t>
        </is>
      </c>
      <c r="G81" s="33" t="n"/>
      <c r="H81" s="32" t="n"/>
      <c r="I81" s="61" t="n">
        <v>31.11</v>
      </c>
      <c r="J81" s="62" t="inlineStr">
        <is>
          <t>2026-03-30</t>
        </is>
      </c>
      <c r="K81" s="33" t="n">
        <v>8.149999999999999</v>
      </c>
      <c r="L81" s="63" t="n">
        <v>0.2619736419157827</v>
      </c>
      <c r="M81" s="64" t="n">
        <v>0</v>
      </c>
      <c r="N81" s="32" t="inlineStr">
        <is>
          <t>Inactive</t>
        </is>
      </c>
      <c r="O81" s="32" t="n"/>
      <c r="P81" s="65" t="n"/>
      <c r="Q81" s="64" t="n"/>
      <c r="R81" s="64" t="n"/>
      <c r="S81" s="64" t="n"/>
      <c r="T81" s="32" t="n"/>
    </row>
    <row r="82" ht="62" customHeight="1">
      <c r="A82" s="10">
        <f>_xlfn.IMAGE("https://m.media-amazon.com/images/I/81RiAVYjy-L.jpg")</f>
        <v/>
      </c>
      <c r="B82" s="32" t="inlineStr">
        <is>
          <t>B0DBVZQYZ7</t>
        </is>
      </c>
      <c r="C82" s="32" t="inlineStr">
        <is>
          <t>SATIN-FITTED-QUEEN-STONE-GREY</t>
        </is>
      </c>
      <c r="D82" s="32" t="inlineStr">
        <is>
          <t>DECOLURE Satin Fitted Sheet Queen Size (1 PC) – Luxuriously Smooth &amp; Softer than Silk Bed Sheets w/ 15 Inch Deep Pocket Hypoallergenic Wrinkle Free, Secure Snug Fit, Elastic Corner Straps (Stone Grey)</t>
        </is>
      </c>
      <c r="E82" s="32" t="inlineStr">
        <is>
          <t>Queen</t>
        </is>
      </c>
      <c r="F82" s="32" t="inlineStr">
        <is>
          <t>Stone Grey</t>
        </is>
      </c>
      <c r="G82" s="33" t="n"/>
      <c r="H82" s="32" t="n"/>
      <c r="I82" s="61" t="n">
        <v>31.07</v>
      </c>
      <c r="J82" s="62" t="inlineStr">
        <is>
          <t>2026-03-30</t>
        </is>
      </c>
      <c r="K82" s="33" t="n">
        <v>7.52</v>
      </c>
      <c r="L82" s="63" t="n">
        <v>0.242034116511104</v>
      </c>
      <c r="M82" s="64" t="n">
        <v>0</v>
      </c>
      <c r="N82" s="32" t="inlineStr">
        <is>
          <t>Inactive</t>
        </is>
      </c>
      <c r="O82" s="32" t="n"/>
      <c r="P82" s="65" t="n"/>
      <c r="Q82" s="64" t="n"/>
      <c r="R82" s="64" t="n"/>
      <c r="S82" s="64" t="n"/>
      <c r="T82" s="32" t="n"/>
    </row>
    <row r="83" ht="62" customHeight="1">
      <c r="A83" s="10">
        <f>_xlfn.IMAGE("https://m.media-amazon.com/images/I/71JA-96z1+L.jpg")</f>
        <v/>
      </c>
      <c r="B83" s="32" t="inlineStr">
        <is>
          <t>B0DBVY3FF2</t>
        </is>
      </c>
      <c r="C83" s="32" t="inlineStr">
        <is>
          <t>SATIN-FITTED-TWIN-ROSEWOOD</t>
        </is>
      </c>
      <c r="D83" s="32" t="inlineStr">
        <is>
          <t>DECOLURE Satin Fitted Sheet Twin Size (1 PC) – Luxuriously Smooth &amp; Softer Than Silk Bed Sheets w/ 15 Inch Deep Pocket Hypoallergenic Wrinkle Free, Secure Snug Fit, Elastic Corner Straps (Rosewood)</t>
        </is>
      </c>
      <c r="E83" s="32" t="inlineStr">
        <is>
          <t>Twin</t>
        </is>
      </c>
      <c r="F83" s="32" t="inlineStr">
        <is>
          <t>Rosewood</t>
        </is>
      </c>
      <c r="G83" s="33" t="n"/>
      <c r="H83" s="32" t="n"/>
      <c r="I83" s="61" t="n">
        <v>20.95</v>
      </c>
      <c r="J83" s="62" t="inlineStr">
        <is>
          <t>2026-03-30</t>
        </is>
      </c>
      <c r="K83" s="33" t="n">
        <v>6.679999999999999</v>
      </c>
      <c r="L83" s="63" t="n">
        <v>0.318854415274463</v>
      </c>
      <c r="M83" s="64" t="n"/>
      <c r="N83" s="32" t="inlineStr">
        <is>
          <t>Inactive</t>
        </is>
      </c>
      <c r="O83" s="32" t="n"/>
      <c r="P83" s="65" t="n"/>
      <c r="Q83" s="64" t="n"/>
      <c r="R83" s="64" t="n"/>
      <c r="S83" s="64" t="n"/>
      <c r="T83" s="32" t="n"/>
    </row>
    <row r="84" ht="62" customHeight="1">
      <c r="A84" s="10">
        <f>_xlfn.IMAGE("https://m.media-amazon.com/images/I/81NguKiiueL.jpg")</f>
        <v/>
      </c>
      <c r="B84" s="32" t="inlineStr">
        <is>
          <t>B0DBVZ9QZC</t>
        </is>
      </c>
      <c r="C84" s="32" t="inlineStr">
        <is>
          <t>SATIN-FITTED-TWIN-SAGE-GREEN</t>
        </is>
      </c>
      <c r="D84" s="32" t="inlineStr">
        <is>
          <t>DECOLURE Satin Fitted Sheet Twin Size (1 PC) – Luxuriously Smooth &amp; Softer Than Silk Bed Sheets w/ 15 Inch Deep Pocket Hypoallergenic Wrinkle Free, Secure Snug Fit, Elastic Corner Straps (Sage Green)</t>
        </is>
      </c>
      <c r="E84" s="32" t="inlineStr">
        <is>
          <t>Twin</t>
        </is>
      </c>
      <c r="F84" s="32" t="inlineStr">
        <is>
          <t>Sage Green</t>
        </is>
      </c>
      <c r="G84" s="33" t="n"/>
      <c r="H84" s="32" t="n"/>
      <c r="I84" s="61" t="n">
        <v>27.71</v>
      </c>
      <c r="J84" s="62" t="inlineStr">
        <is>
          <t>2026-03-30</t>
        </is>
      </c>
      <c r="K84" s="33" t="n">
        <v>6.76</v>
      </c>
      <c r="L84" s="63" t="n">
        <v>0.2439552508119812</v>
      </c>
      <c r="M84" s="64" t="n">
        <v>0</v>
      </c>
      <c r="N84" s="32" t="inlineStr">
        <is>
          <t>Active</t>
        </is>
      </c>
      <c r="O84" s="32" t="n"/>
      <c r="P84" s="65" t="n"/>
      <c r="Q84" s="64" t="n"/>
      <c r="R84" s="64" t="n"/>
      <c r="S84" s="64" t="n"/>
      <c r="T84" s="32" t="n"/>
    </row>
    <row r="85" ht="62" customHeight="1">
      <c r="A85" s="10">
        <f>_xlfn.IMAGE("https://m.media-amazon.com/images/I/81oKLEMiMUL.jpg")</f>
        <v/>
      </c>
      <c r="B85" s="32" t="inlineStr">
        <is>
          <t>B0DBW1M1HX</t>
        </is>
      </c>
      <c r="C85" s="32" t="inlineStr">
        <is>
          <t>SATIN-FITTED-TWIN-SEA-TEAL</t>
        </is>
      </c>
      <c r="D85" s="32" t="inlineStr">
        <is>
          <t>DECOLURE Satin Fitted Sheet Twin Size (1 PC) – Luxuriously Smooth &amp; Softer Than Silk Bed Sheets w/ 15 Inch Deep Pocket Hypoallergenic Wrinkle Free, Secure Snug Fit, Elastic Corner Straps (Sea Teal)</t>
        </is>
      </c>
      <c r="E85" s="32" t="inlineStr">
        <is>
          <t>Twin</t>
        </is>
      </c>
      <c r="F85" s="32" t="inlineStr">
        <is>
          <t>Sea Teal</t>
        </is>
      </c>
      <c r="G85" s="33" t="n"/>
      <c r="H85" s="32" t="n"/>
      <c r="I85" s="61" t="n">
        <v>27.71</v>
      </c>
      <c r="J85" s="62" t="inlineStr">
        <is>
          <t>2026-03-30</t>
        </is>
      </c>
      <c r="K85" s="33" t="n">
        <v>6.99</v>
      </c>
      <c r="L85" s="63" t="n">
        <v>0.2522555034283652</v>
      </c>
      <c r="M85" s="64" t="n">
        <v>0</v>
      </c>
      <c r="N85" s="32" t="inlineStr">
        <is>
          <t>Active</t>
        </is>
      </c>
      <c r="O85" s="32" t="n"/>
      <c r="P85" s="65" t="n"/>
      <c r="Q85" s="64" t="n"/>
      <c r="R85" s="64" t="n"/>
      <c r="S85" s="64" t="n"/>
      <c r="T85" s="32" t="n"/>
    </row>
    <row r="87" ht="20" customHeight="1">
      <c r="A87" s="54" t="inlineStr">
        <is>
          <t>3 · OUR BFCM 2025 RESULT &amp; EVENT VISIBILITY</t>
        </is>
      </c>
    </row>
    <row r="88">
      <c r="A88" s="67" t="inlineStr">
        <is>
          <t>Window</t>
        </is>
      </c>
      <c r="B88" s="68" t="n"/>
      <c r="C88" s="69" t="n"/>
      <c r="D88" s="67" t="inlineStr">
        <is>
          <t>Ad spend</t>
        </is>
      </c>
      <c r="E88" s="67" t="inlineStr">
        <is>
          <t>Ad sales</t>
        </is>
      </c>
      <c r="F88" s="67" t="inlineStr">
        <is>
          <t>ACoS</t>
        </is>
      </c>
      <c r="G88" s="67" t="inlineStr">
        <is>
          <t>TACoS</t>
        </is>
      </c>
      <c r="H88" s="67" t="inlineStr">
        <is>
          <t>Total sales (derived)</t>
        </is>
      </c>
      <c r="J88" s="67" t="inlineStr">
        <is>
          <t>Ad orders</t>
        </is>
      </c>
      <c r="K88" s="67" t="inlineStr">
        <is>
          <t>CVR</t>
        </is>
      </c>
    </row>
    <row r="89">
      <c r="A89" s="70" t="inlineStr">
        <is>
          <t>Pre-event Oct 21 - Nov 19, 2025 (30d)</t>
        </is>
      </c>
      <c r="B89" s="68" t="n"/>
      <c r="C89" s="69" t="n"/>
      <c r="D89" s="71" t="n">
        <v>0</v>
      </c>
      <c r="E89" s="71" t="n">
        <v>0</v>
      </c>
      <c r="F89" s="72" t="n"/>
      <c r="G89" s="72" t="n">
        <v>0</v>
      </c>
      <c r="H89" s="71" t="n"/>
      <c r="J89" s="73" t="n">
        <v>0</v>
      </c>
      <c r="K89" s="74" t="n"/>
    </row>
    <row r="90">
      <c r="A90" s="70" t="inlineStr">
        <is>
          <t>BFCM week Nov 20 - Dec 1, 2025 (12d)</t>
        </is>
      </c>
      <c r="B90" s="68" t="n"/>
      <c r="C90" s="69" t="n"/>
      <c r="D90" s="71" t="n">
        <v>50.84999999999999</v>
      </c>
      <c r="E90" s="71" t="n">
        <v>588.6</v>
      </c>
      <c r="F90" s="72" t="n">
        <v>8.6</v>
      </c>
      <c r="G90" s="72" t="n">
        <v>1.296334064141131</v>
      </c>
      <c r="H90" s="71" t="n">
        <v>3922.6</v>
      </c>
      <c r="J90" s="73" t="n">
        <v>20</v>
      </c>
      <c r="K90" s="74" t="n">
        <v>16.53</v>
      </c>
    </row>
    <row r="91">
      <c r="A91" s="70" t="inlineStr">
        <is>
          <t>December 2 - 31, 2025 (30d)</t>
        </is>
      </c>
      <c r="B91" s="68" t="n"/>
      <c r="C91" s="69" t="n"/>
      <c r="D91" s="71" t="n">
        <v>4.22</v>
      </c>
      <c r="E91" s="71" t="n">
        <v>23.95</v>
      </c>
      <c r="F91" s="72" t="n">
        <v>17.6</v>
      </c>
      <c r="G91" s="72" t="n">
        <v>0.04336299554039334</v>
      </c>
      <c r="H91" s="71" t="n">
        <v>9731.799999999999</v>
      </c>
      <c r="J91" s="73" t="n">
        <v>1</v>
      </c>
      <c r="K91" s="74" t="n">
        <v>10</v>
      </c>
    </row>
    <row r="93">
      <c r="A93" s="67" t="inlineStr">
        <is>
          <t>Actual sales (SellerBoard)</t>
        </is>
      </c>
      <c r="B93" s="68" t="n"/>
      <c r="C93" s="69" t="n"/>
      <c r="D93" s="67" t="inlineStr">
        <is>
          <t>Sales</t>
        </is>
      </c>
      <c r="E93" s="67" t="inlineStr">
        <is>
          <t>Units</t>
        </is>
      </c>
      <c r="F93" s="67" t="inlineStr">
        <is>
          <t>Organic units</t>
        </is>
      </c>
      <c r="G93" s="67" t="inlineStr">
        <is>
          <t>Ad units</t>
        </is>
      </c>
      <c r="H93" s="67" t="inlineStr">
        <is>
          <t>Ad cost</t>
        </is>
      </c>
      <c r="J93" s="67" t="inlineStr">
        <is>
          <t>TACoS (actual)</t>
        </is>
      </c>
      <c r="K93" s="67" t="inlineStr">
        <is>
          <t>Sessions</t>
        </is>
      </c>
      <c r="L93" s="67" t="inlineStr">
        <is>
          <t>Unit session %</t>
        </is>
      </c>
      <c r="M93" s="67" t="inlineStr">
        <is>
          <t>Avg price</t>
        </is>
      </c>
      <c r="N93" s="67" t="inlineStr">
        <is>
          <t>Refunds</t>
        </is>
      </c>
    </row>
    <row r="94">
      <c r="A94" s="70" t="inlineStr">
        <is>
          <t>Pre-event Oct 21 - Nov 19, 2025 (30d)</t>
        </is>
      </c>
      <c r="B94" s="68" t="n"/>
      <c r="C94" s="69" t="n"/>
      <c r="D94" s="71" t="n">
        <v>9458</v>
      </c>
      <c r="E94" s="73" t="n">
        <v>618</v>
      </c>
      <c r="F94" s="73" t="n">
        <v>618</v>
      </c>
      <c r="G94" s="73" t="n">
        <v>0</v>
      </c>
      <c r="H94" s="71" t="n">
        <v>0</v>
      </c>
      <c r="J94" s="75" t="n">
        <v>0</v>
      </c>
      <c r="K94" s="73" t="n">
        <v>9672</v>
      </c>
      <c r="L94" s="75" t="n">
        <v>0.06389578163771713</v>
      </c>
      <c r="M94" s="76" t="n">
        <v>15.3042071197411</v>
      </c>
      <c r="N94" s="73" t="n">
        <v>33</v>
      </c>
    </row>
    <row r="95">
      <c r="A95" s="70" t="inlineStr">
        <is>
          <t>BFCM week Nov 20 - Dec 1, 2025 (12d)</t>
        </is>
      </c>
      <c r="B95" s="68" t="n"/>
      <c r="C95" s="69" t="n"/>
      <c r="D95" s="71" t="n">
        <v>2791.44</v>
      </c>
      <c r="E95" s="73" t="n">
        <v>168</v>
      </c>
      <c r="F95" s="73" t="n">
        <v>166</v>
      </c>
      <c r="G95" s="73" t="n">
        <v>2</v>
      </c>
      <c r="H95" s="71" t="n">
        <v>36.25</v>
      </c>
      <c r="J95" s="75" t="n">
        <v>0.01298612902301321</v>
      </c>
      <c r="K95" s="73" t="n">
        <v>2381</v>
      </c>
      <c r="L95" s="75" t="n">
        <v>0.07055858882822344</v>
      </c>
      <c r="M95" s="76" t="n">
        <v>16.61571428571429</v>
      </c>
      <c r="N95" s="73" t="n">
        <v>11</v>
      </c>
    </row>
    <row r="96">
      <c r="A96" s="70" t="inlineStr">
        <is>
          <t>December 2 - 31, 2025 (30d)</t>
        </is>
      </c>
      <c r="B96" s="68" t="n"/>
      <c r="C96" s="69" t="n"/>
      <c r="D96" s="71" t="n">
        <v>7219.26</v>
      </c>
      <c r="E96" s="73" t="n">
        <v>433</v>
      </c>
      <c r="F96" s="73" t="n">
        <v>433</v>
      </c>
      <c r="G96" s="73" t="n">
        <v>0</v>
      </c>
      <c r="H96" s="71" t="n">
        <v>3.03</v>
      </c>
      <c r="J96" s="75" t="n">
        <v>0.0004197106074583821</v>
      </c>
      <c r="K96" s="73" t="n">
        <v>5821</v>
      </c>
      <c r="L96" s="75" t="n">
        <v>0.07438584435663975</v>
      </c>
      <c r="M96" s="76" t="n">
        <v>16.6726558891455</v>
      </c>
      <c r="N96" s="73" t="n">
        <v>31</v>
      </c>
    </row>
    <row r="97">
      <c r="A97" s="59" t="inlineStr">
        <is>
          <t>SellerBoard, Ecotero account, Amazon parent B0FQC9C5QT plus any of this product's child ASINs SellerBoard lists on their own, UTC days. Lift above uses these actual sales. Amazon.ca sales here are in USD: SellerBoard converts to the account currency, while the Command Center table above is in CAD (ratio ~0.71). Lift is a ratio, so it is unaffected.</t>
        </is>
      </c>
    </row>
    <row r="98" ht="30" customHeight="1">
      <c r="A98" s="77" t="inlineStr">
        <is>
          <t>Deals we ran or scheduled, Nov 1 - Dec 5, 2025 (DataHub promotions; scheduled deal price not in the feed. Keepa price = lowest Buy Box seen during the deal, an observation for the hero child only, not the scheduled deal price): Best Deal 10-22 to 11-05 (ran, 49 variations, 346 units).</t>
        </is>
      </c>
    </row>
    <row r="99" ht="26" customHeight="1">
      <c r="A99" s="77" t="inlineStr">
        <is>
          <t>Stock in BFCM week 2025 (FBA inventory snapshots, child-ASIN level, revision 2): 1 of 34 variations hit zero FBA stock on at least one observed day; weighted by today's sales mix that is ~0.0% of variation-days lost. Most important: B0DBVZQYZ7 1/8 days. Snapshots missing: US Nov 26-27 and Dec 1 (Cyber Monday); CA Nov 24, 29-30.</t>
        </is>
      </c>
    </row>
    <row r="100">
      <c r="A100" s="59" t="inlineStr">
        <is>
          <t>Figures above are Amazon.ca in CAD. Visibility history is held for US ASINs only.</t>
        </is>
      </c>
    </row>
    <row r="102" ht="20" customHeight="1">
      <c r="A102" s="54" t="inlineStr">
        <is>
          <t>4 · COMPETITOR LANDSCAPE (15 mapped)</t>
        </is>
      </c>
    </row>
    <row r="103">
      <c r="A103" s="59" t="inlineStr">
        <is>
          <t>Sorted by tier, then estimated weekly units. Green = Command Center price/sales; blue = Data Dive listing; purple = Command Center search strategy (ASINsight); yellow = fill from Keepa / page check.</t>
        </is>
      </c>
    </row>
    <row r="104" ht="30" customHeight="1">
      <c r="A104" s="77" t="inlineStr">
        <is>
          <t>Canadian competitors from Amazon.ca page research (Oct 13, logged out, Toronto M5V 3L9): page-1 organic results for this product's keywords, same material and piece count, Queen size selected (2 King where no Queen). Prices in CAD. The Command Center columns (BSR trend, ASINsight search strategy, weekly units) do not exist for Canada; organic rank and keyword are in Notes. 'Our price, same size' is our Command Center CAD price (Mar 2026) - no live Canadian price source yet.</t>
        </is>
      </c>
    </row>
    <row r="105">
      <c r="A105" s="78" t="inlineStr">
        <is>
          <t>COMPETITOR</t>
        </is>
      </c>
      <c r="I105" s="79" t="inlineStr">
        <is>
          <t>LISTING - Data Dive</t>
        </is>
      </c>
      <c r="J105" s="80" t="inlineStr">
        <is>
          <t>SEARCH STRATEGY - Command Center ASINsight</t>
        </is>
      </c>
      <c r="K105" s="81" t="inlineStr">
        <is>
          <t>PRICE &amp; SALES - Command Center snapshot (date per row)</t>
        </is>
      </c>
      <c r="X105" s="79" t="inlineStr">
        <is>
          <t>LISTING - Data Dive</t>
        </is>
      </c>
      <c r="AA105" s="80" t="inlineStr">
        <is>
          <t>SEARCH STRATEGY - Command Center ASINsight</t>
        </is>
      </c>
      <c r="AR105" s="82" t="inlineStr">
        <is>
          <t>STR NOW - Amazon page check (Oct 13, P1 + P2)</t>
        </is>
      </c>
      <c r="AY105" s="83" t="inlineStr">
        <is>
          <t>BFCM 2025 - Keepa (P1 filled; yellow = not pulled yet)</t>
        </is>
      </c>
    </row>
    <row r="106" ht="48" customHeight="1">
      <c r="A106" s="22" t="inlineStr">
        <is>
          <t>Image</t>
        </is>
      </c>
      <c r="B106" s="22" t="inlineStr">
        <is>
          <t>Brand</t>
        </is>
      </c>
      <c r="C106" s="22" t="inlineStr">
        <is>
          <t>Product title</t>
        </is>
      </c>
      <c r="D106" s="22" t="inlineStr">
        <is>
          <t>Tier</t>
        </is>
      </c>
      <c r="E106" s="22" t="inlineStr">
        <is>
          <t>Parent ASIN</t>
        </is>
      </c>
      <c r="F106" s="22" t="inlineStr">
        <is>
          <t>Tracked child ASIN</t>
        </is>
      </c>
      <c r="G106" s="22" t="inlineStr">
        <is>
          <t>Size (title)</t>
        </is>
      </c>
      <c r="H106" s="22" t="inlineStr">
        <is>
          <t>Colour (title)</t>
        </is>
      </c>
      <c r="I106" s="22" t="inlineStr">
        <is>
          <t>Variations</t>
        </is>
      </c>
      <c r="J106" s="22" t="inlineStr">
        <is>
          <t>Hero child ASINs (share of their visibility)</t>
        </is>
      </c>
      <c r="K106" s="22" t="inlineStr">
        <is>
          <t>Price ($)</t>
        </is>
      </c>
      <c r="L106" s="22" t="inlineStr">
        <is>
          <t>List Price ($)</t>
        </is>
      </c>
      <c r="M106" s="22" t="inlineStr">
        <is>
          <t>List Price % over</t>
        </is>
      </c>
      <c r="N106" s="22" t="inlineStr">
        <is>
          <t>STR band</t>
        </is>
      </c>
      <c r="O106" s="22" t="inlineStr">
        <is>
          <t>Our price, same size ($)</t>
        </is>
      </c>
      <c r="P106" s="22" t="inlineStr">
        <is>
          <t>Their price vs ours</t>
        </is>
      </c>
      <c r="Q106" s="22" t="inlineStr">
        <is>
          <t>Comparison basis</t>
        </is>
      </c>
      <c r="R106" s="22" t="inlineStr">
        <is>
          <t>BSR</t>
        </is>
      </c>
      <c r="S106" s="22" t="inlineStr">
        <is>
          <t>Est weekly units</t>
        </is>
      </c>
      <c r="T106" s="22" t="inlineStr">
        <is>
          <t>Est monthly revenue ($)</t>
        </is>
      </c>
      <c r="U106" s="22" t="inlineStr">
        <is>
          <t>Rating</t>
        </is>
      </c>
      <c r="V106" s="22" t="inlineStr">
        <is>
          <t>Reviews</t>
        </is>
      </c>
      <c r="W106" s="22" t="inlineStr">
        <is>
          <t>Snapshot date</t>
        </is>
      </c>
      <c r="X106" s="22" t="inlineStr">
        <is>
          <t>Listed</t>
        </is>
      </c>
      <c r="Y106" s="22" t="inlineStr">
        <is>
          <t>Fulfil.</t>
        </is>
      </c>
      <c r="Z106" s="22" t="inlineStr">
        <is>
          <t>Seller country</t>
        </is>
      </c>
      <c r="AA106" s="22" t="inlineStr">
        <is>
          <t>ASINsight 7d traffic</t>
        </is>
      </c>
      <c r="AB106" s="22" t="inlineStr">
        <is>
          <t>Keywords ranked</t>
        </is>
      </c>
      <c r="AC106" s="22" t="inlineStr">
        <is>
          <t>Organic share of traffic</t>
        </is>
      </c>
      <c r="AD106" s="22" t="inlineStr">
        <is>
          <t>Ad share of traffic</t>
        </is>
      </c>
      <c r="AE106" s="22" t="inlineStr">
        <is>
          <t>Top keyword</t>
        </is>
      </c>
      <c r="AF106" s="22" t="inlineStr">
        <is>
          <t>SP reach</t>
        </is>
      </c>
      <c r="AG106" s="22" t="inlineStr">
        <is>
          <t>SB reach</t>
        </is>
      </c>
      <c r="AH106" s="22" t="inlineStr">
        <is>
          <t>SB video reach</t>
        </is>
      </c>
      <c r="AI106" s="22" t="inlineStr">
        <is>
          <t>Amazon's Choice reach</t>
        </is>
      </c>
      <c r="AJ106" s="22" t="inlineStr">
        <is>
          <t>Shared keywords</t>
        </is>
      </c>
      <c r="AK106" s="22" t="inlineStr">
        <is>
          <t>We win</t>
        </is>
      </c>
      <c r="AL106" s="22" t="inlineStr">
        <is>
          <t>We lose</t>
        </is>
      </c>
      <c r="AM106" s="22" t="inlineStr">
        <is>
          <t>Their keywords we miss</t>
        </is>
      </c>
      <c r="AN106" s="22" t="inlineStr">
        <is>
          <t>KWs they advertise, we don't</t>
        </is>
      </c>
      <c r="AO106" s="22" t="inlineStr">
        <is>
          <t>KWs they out-advertise us</t>
        </is>
      </c>
      <c r="AP106" s="22" t="inlineStr">
        <is>
          <t>Prime Day 2026 organic vis lift</t>
        </is>
      </c>
      <c r="AQ106" s="22" t="inlineStr">
        <is>
          <t>Organic trend (Aug-Sep vs Q2)</t>
        </is>
      </c>
      <c r="AR106" s="22" t="inlineStr">
        <is>
          <t>STR showing now? (Y/N)</t>
        </is>
      </c>
      <c r="AS106" s="22" t="inlineStr">
        <is>
          <t>STR label</t>
        </is>
      </c>
      <c r="AT106" s="22" t="inlineStr">
        <is>
          <t>Strikethrough price ($)</t>
        </is>
      </c>
      <c r="AU106" s="22" t="inlineStr">
        <is>
          <t>Page price at check ($)</t>
        </is>
      </c>
      <c r="AV106" s="22" t="inlineStr">
        <is>
          <t>Deal / coupon now</t>
        </is>
      </c>
      <c r="AW106" s="22" t="inlineStr">
        <is>
          <t>Orderable now (Y/N)</t>
        </is>
      </c>
      <c r="AX106" s="22" t="inlineStr">
        <is>
          <t>Checked (ET)</t>
        </is>
      </c>
      <c r="AY106" s="22" t="inlineStr">
        <is>
          <t>BFCM 2025 deal type</t>
        </is>
      </c>
      <c r="AZ106" s="22" t="inlineStr">
        <is>
          <t>BFCM 2025 deal dates</t>
        </is>
      </c>
      <c r="BA106" s="22" t="inlineStr">
        <is>
          <t>Pre-event price ($)</t>
        </is>
      </c>
      <c r="BB106" s="22" t="inlineStr">
        <is>
          <t>BFCM 2025 low ($)</t>
        </is>
      </c>
      <c r="BC106" s="22" t="inlineStr">
        <is>
          <t>BFCM 2025 discount</t>
        </is>
      </c>
      <c r="BD106" s="22" t="inlineStr">
        <is>
          <t>BSR pre-event</t>
        </is>
      </c>
      <c r="BE106" s="22" t="inlineStr">
        <is>
          <t>BSR BFCM wk</t>
        </is>
      </c>
      <c r="BF106" s="22" t="inlineStr">
        <is>
          <t>BSR lift (x)</t>
        </is>
      </c>
      <c r="BG106" s="22" t="inlineStr">
        <is>
          <t>OOS in BFCM? (Y/N)</t>
        </is>
      </c>
      <c r="BH106" s="22" t="inlineStr">
        <is>
          <t>Notes</t>
        </is>
      </c>
    </row>
    <row r="107" ht="62" customHeight="1">
      <c r="A107" s="10">
        <f>_xlfn.IMAGE("https://m.media-amazon.com/images/I/71HGO27j0uL.jpg")</f>
        <v/>
      </c>
      <c r="B107" s="84" t="inlineStr">
        <is>
          <t>MR&amp;HM</t>
        </is>
      </c>
      <c r="C107" s="32" t="inlineStr">
        <is>
          <t>MR&amp;HM Satin Fitted Sheet Queen Size with Elastic Corner Straps, Black</t>
        </is>
      </c>
      <c r="D107" s="84" t="inlineStr">
        <is>
          <t>Untiered</t>
        </is>
      </c>
      <c r="E107" s="84" t="inlineStr">
        <is>
          <t>B099M1HTWC</t>
        </is>
      </c>
      <c r="F107" s="84" t="inlineStr">
        <is>
          <t>B095PBLXD1</t>
        </is>
      </c>
      <c r="G107" s="84" t="inlineStr">
        <is>
          <t>Queen</t>
        </is>
      </c>
      <c r="H107" s="84" t="inlineStr">
        <is>
          <t>01 - Black</t>
        </is>
      </c>
      <c r="I107" s="85" t="n">
        <v>132</v>
      </c>
      <c r="J107" s="32" t="n"/>
      <c r="K107" s="86" t="n">
        <v>21.59</v>
      </c>
      <c r="L107" s="86" t="n"/>
      <c r="M107" s="87">
        <f>IF(AND(ISNUMBER(L107),ISNUMBER(K107),N(K107)&gt;0),L107/K107-1,"")</f>
        <v/>
      </c>
      <c r="N107" s="88">
        <f>IF(M107="","No List Price",IF(M107&lt;=0,"At/below price",IF(M107&lt;=0.12,"&lt;=12% STR zone",IF(M107&lt;=0.25,"12-25%","&gt;25% over"))))</f>
        <v/>
      </c>
      <c r="O107" s="86" t="n">
        <v>26.4575</v>
      </c>
      <c r="P107" s="89">
        <f>IF(AND(ISNUMBER(K107),ISNUMBER(O107),N(O107)&gt;0),K107/O107-1,"")</f>
        <v/>
      </c>
      <c r="Q107" s="32" t="inlineStr">
        <is>
          <t>Same size (Queen), CAD. Ours: Command Center fee feed, Mar 2026 - STALE</t>
        </is>
      </c>
      <c r="R107" s="85" t="n">
        <v>1676</v>
      </c>
      <c r="S107" s="85" t="n"/>
      <c r="T107" s="90">
        <f>IF(AND(ISNUMBER(K107),ISNUMBER(S107)),K107*S107*52/12,"")</f>
        <v/>
      </c>
      <c r="U107" s="91" t="n">
        <v>3.9</v>
      </c>
      <c r="V107" s="85" t="n">
        <v>648</v>
      </c>
      <c r="W107" s="92" t="n">
        <v>46309</v>
      </c>
      <c r="X107" s="92" t="n"/>
      <c r="Y107" s="84" t="n"/>
      <c r="Z107" s="84" t="n"/>
      <c r="AA107" s="85" t="n"/>
      <c r="AB107" s="85" t="n"/>
      <c r="AC107" s="93" t="n"/>
      <c r="AD107" s="93" t="n"/>
      <c r="AE107" s="32" t="n"/>
      <c r="AF107" s="93" t="n"/>
      <c r="AG107" s="93" t="n"/>
      <c r="AH107" s="93" t="n"/>
      <c r="AI107" s="93" t="n"/>
      <c r="AJ107" s="85" t="n"/>
      <c r="AK107" s="85" t="n"/>
      <c r="AL107" s="85" t="n"/>
      <c r="AM107" s="85" t="n"/>
      <c r="AN107" s="85" t="n"/>
      <c r="AO107" s="85" t="n"/>
      <c r="AP107" s="94" t="n"/>
      <c r="AQ107" s="89" t="n"/>
      <c r="AR107" s="95" t="inlineStr">
        <is>
          <t>Y</t>
        </is>
      </c>
      <c r="AS107" s="95" t="inlineStr">
        <is>
          <t>Was price</t>
        </is>
      </c>
      <c r="AT107" s="96" t="n">
        <v>23.99</v>
      </c>
      <c r="AU107" s="96" t="n">
        <v>21.59</v>
      </c>
      <c r="AV107" s="95" t="inlineStr">
        <is>
          <t>none</t>
        </is>
      </c>
      <c r="AW107" s="95" t="inlineStr">
        <is>
          <t>Y</t>
        </is>
      </c>
      <c r="AX107" s="95" t="inlineStr">
        <is>
          <t>2026-10-14 00:29:59</t>
        </is>
      </c>
      <c r="AY107" s="102" t="n"/>
      <c r="AZ107" s="102" t="n"/>
      <c r="BA107" s="101" t="n"/>
      <c r="BB107" s="101" t="n"/>
      <c r="BC107" s="87">
        <f>IF(AND(ISNUMBER(BA107),ISNUMBER(BB107),N(BA107)&gt;0),1-BB107/BA107,"")</f>
        <v/>
      </c>
      <c r="BD107" s="103" t="n"/>
      <c r="BE107" s="103" t="n"/>
      <c r="BF107" s="100">
        <f>IF(AND(ISNUMBER(BD107),ISNUMBER(BE107),N(BE107)&gt;0),BD107/BE107,"")</f>
        <v/>
      </c>
      <c r="BG107" s="102" t="n"/>
      <c r="BH107" s="97" t="inlineStr">
        <is>
          <t>Amazon.ca organic #1 for 'satin fitted sheet queen'; 100% Polyester Satin; 100+ bought in past month bought past month; variation_count = distinct children exposed in page variation map, not a guaranteed complete catalogue.</t>
        </is>
      </c>
    </row>
    <row r="108" ht="62" customHeight="1">
      <c r="A108" s="10">
        <f>_xlfn.IMAGE("https://m.media-amazon.com/images/I/515KUtM8t+L.jpg")</f>
        <v/>
      </c>
      <c r="B108" s="84" t="inlineStr">
        <is>
          <t>FLCA</t>
        </is>
      </c>
      <c r="C108" s="32" t="inlineStr">
        <is>
          <t>Solid Fitted Sheet - Deep Pocket Satin Bed Sheet, Breathable Soft and Comfortable - Wrinkle, Fade, Stain and Abrasion Resistant (White, Queen)</t>
        </is>
      </c>
      <c r="D108" s="84" t="inlineStr">
        <is>
          <t>Untiered</t>
        </is>
      </c>
      <c r="E108" s="84" t="inlineStr">
        <is>
          <t>B07Q7QZC68</t>
        </is>
      </c>
      <c r="F108" s="84" t="inlineStr">
        <is>
          <t>B07Q7PR1MD</t>
        </is>
      </c>
      <c r="G108" s="84" t="inlineStr">
        <is>
          <t>Queen</t>
        </is>
      </c>
      <c r="H108" s="84" t="inlineStr">
        <is>
          <t>White</t>
        </is>
      </c>
      <c r="I108" s="85" t="n">
        <v>18</v>
      </c>
      <c r="J108" s="32" t="n"/>
      <c r="K108" s="86" t="n">
        <v>17.99</v>
      </c>
      <c r="L108" s="86" t="n"/>
      <c r="M108" s="87">
        <f>IF(AND(ISNUMBER(L108),ISNUMBER(K108),N(K108)&gt;0),L108/K108-1,"")</f>
        <v/>
      </c>
      <c r="N108" s="88">
        <f>IF(M108="","No List Price",IF(M108&lt;=0,"At/below price",IF(M108&lt;=0.12,"&lt;=12% STR zone",IF(M108&lt;=0.25,"12-25%","&gt;25% over"))))</f>
        <v/>
      </c>
      <c r="O108" s="86" t="n">
        <v>26.4575</v>
      </c>
      <c r="P108" s="89">
        <f>IF(AND(ISNUMBER(K108),ISNUMBER(O108),N(O108)&gt;0),K108/O108-1,"")</f>
        <v/>
      </c>
      <c r="Q108" s="32" t="inlineStr">
        <is>
          <t>Same size (Queen), CAD. Ours: Command Center fee feed, Mar 2026 - STALE</t>
        </is>
      </c>
      <c r="R108" s="85" t="n">
        <v>25714</v>
      </c>
      <c r="S108" s="85" t="n"/>
      <c r="T108" s="90">
        <f>IF(AND(ISNUMBER(K108),ISNUMBER(S108)),K108*S108*52/12,"")</f>
        <v/>
      </c>
      <c r="U108" s="91" t="n">
        <v>3.8</v>
      </c>
      <c r="V108" s="85" t="n">
        <v>242</v>
      </c>
      <c r="W108" s="92" t="n">
        <v>46309</v>
      </c>
      <c r="X108" s="92" t="n"/>
      <c r="Y108" s="84" t="n"/>
      <c r="Z108" s="84" t="n"/>
      <c r="AA108" s="85" t="n"/>
      <c r="AB108" s="85" t="n"/>
      <c r="AC108" s="93" t="n"/>
      <c r="AD108" s="93" t="n"/>
      <c r="AE108" s="32" t="n"/>
      <c r="AF108" s="93" t="n"/>
      <c r="AG108" s="93" t="n"/>
      <c r="AH108" s="93" t="n"/>
      <c r="AI108" s="93" t="n"/>
      <c r="AJ108" s="85" t="n"/>
      <c r="AK108" s="85" t="n"/>
      <c r="AL108" s="85" t="n"/>
      <c r="AM108" s="85" t="n"/>
      <c r="AN108" s="85" t="n"/>
      <c r="AO108" s="85" t="n"/>
      <c r="AP108" s="94" t="n"/>
      <c r="AQ108" s="89" t="n"/>
      <c r="AR108" s="95" t="inlineStr">
        <is>
          <t>N</t>
        </is>
      </c>
      <c r="AS108" s="95" t="inlineStr">
        <is>
          <t>none</t>
        </is>
      </c>
      <c r="AT108" s="101" t="n"/>
      <c r="AU108" s="96" t="n">
        <v>17.99</v>
      </c>
      <c r="AV108" s="95" t="inlineStr">
        <is>
          <t>none</t>
        </is>
      </c>
      <c r="AW108" s="95" t="inlineStr">
        <is>
          <t>Y</t>
        </is>
      </c>
      <c r="AX108" s="95" t="inlineStr">
        <is>
          <t>2026-10-14 00:31:09</t>
        </is>
      </c>
      <c r="AY108" s="102" t="n"/>
      <c r="AZ108" s="102" t="n"/>
      <c r="BA108" s="101" t="n"/>
      <c r="BB108" s="101" t="n"/>
      <c r="BC108" s="87">
        <f>IF(AND(ISNUMBER(BA108),ISNUMBER(BB108),N(BA108)&gt;0),1-BB108/BA108,"")</f>
        <v/>
      </c>
      <c r="BD108" s="103" t="n"/>
      <c r="BE108" s="103" t="n"/>
      <c r="BF108" s="100">
        <f>IF(AND(ISNUMBER(BD108),ISNUMBER(BE108),N(BE108)&gt;0),BD108/BE108,"")</f>
        <v/>
      </c>
      <c r="BG108" s="102" t="n"/>
      <c r="BH108" s="97" t="inlineStr">
        <is>
          <t>Amazon.ca organic #3 for 'satin fitted sheet'; SATIN; Search child B07Q6RTH8J; selected Queen child B07Q7PR1MD. variation_count = distinct children exposed in page variation map, not a guaranteed complete catalogue</t>
        </is>
      </c>
    </row>
    <row r="109" ht="62" customHeight="1">
      <c r="A109" s="10">
        <f>_xlfn.IMAGE("https://m.media-amazon.com/images/I/61NzrVgRCaL.jpg")</f>
        <v/>
      </c>
      <c r="B109" s="84" t="inlineStr">
        <is>
          <t>JUWENIN</t>
        </is>
      </c>
      <c r="C109" s="32" t="inlineStr">
        <is>
          <t>Fitted Sheet - Luxury Silky Soft Satin Bottom Sheet - Deep Pockets, Shrinkage and Fade Resistant - Easy Care - 1 Fitted Sheet Only (Navy, Queen)</t>
        </is>
      </c>
      <c r="D109" s="84" t="inlineStr">
        <is>
          <t>Untiered</t>
        </is>
      </c>
      <c r="E109" s="84" t="inlineStr">
        <is>
          <t>B0B1P3PGQD</t>
        </is>
      </c>
      <c r="F109" s="84" t="inlineStr">
        <is>
          <t>B0B1NWTYMT</t>
        </is>
      </c>
      <c r="G109" s="84" t="inlineStr">
        <is>
          <t>Queen</t>
        </is>
      </c>
      <c r="H109" s="84" t="inlineStr">
        <is>
          <t>Navy</t>
        </is>
      </c>
      <c r="I109" s="85" t="n">
        <v>19</v>
      </c>
      <c r="J109" s="32" t="n"/>
      <c r="K109" s="86" t="n">
        <v>19.99</v>
      </c>
      <c r="L109" s="86" t="n"/>
      <c r="M109" s="87">
        <f>IF(AND(ISNUMBER(L109),ISNUMBER(K109),N(K109)&gt;0),L109/K109-1,"")</f>
        <v/>
      </c>
      <c r="N109" s="88">
        <f>IF(M109="","No List Price",IF(M109&lt;=0,"At/below price",IF(M109&lt;=0.12,"&lt;=12% STR zone",IF(M109&lt;=0.25,"12-25%","&gt;25% over"))))</f>
        <v/>
      </c>
      <c r="O109" s="86" t="n">
        <v>26.4575</v>
      </c>
      <c r="P109" s="89">
        <f>IF(AND(ISNUMBER(K109),ISNUMBER(O109),N(O109)&gt;0),K109/O109-1,"")</f>
        <v/>
      </c>
      <c r="Q109" s="32" t="inlineStr">
        <is>
          <t>Same size (Queen), CAD. Ours: Command Center fee feed, Mar 2026 - STALE</t>
        </is>
      </c>
      <c r="R109" s="85" t="n">
        <v>53472</v>
      </c>
      <c r="S109" s="85" t="n"/>
      <c r="T109" s="90">
        <f>IF(AND(ISNUMBER(K109),ISNUMBER(S109)),K109*S109*52/12,"")</f>
        <v/>
      </c>
      <c r="U109" s="91" t="n">
        <v>4.2</v>
      </c>
      <c r="V109" s="85" t="n">
        <v>125</v>
      </c>
      <c r="W109" s="92" t="n">
        <v>46309</v>
      </c>
      <c r="X109" s="92" t="n"/>
      <c r="Y109" s="84" t="n"/>
      <c r="Z109" s="84" t="n"/>
      <c r="AA109" s="85" t="n"/>
      <c r="AB109" s="85" t="n"/>
      <c r="AC109" s="93" t="n"/>
      <c r="AD109" s="93" t="n"/>
      <c r="AE109" s="32" t="n"/>
      <c r="AF109" s="93" t="n"/>
      <c r="AG109" s="93" t="n"/>
      <c r="AH109" s="93" t="n"/>
      <c r="AI109" s="93" t="n"/>
      <c r="AJ109" s="85" t="n"/>
      <c r="AK109" s="85" t="n"/>
      <c r="AL109" s="85" t="n"/>
      <c r="AM109" s="85" t="n"/>
      <c r="AN109" s="85" t="n"/>
      <c r="AO109" s="85" t="n"/>
      <c r="AP109" s="94" t="n"/>
      <c r="AQ109" s="89" t="n"/>
      <c r="AR109" s="95" t="inlineStr">
        <is>
          <t>N</t>
        </is>
      </c>
      <c r="AS109" s="95" t="inlineStr">
        <is>
          <t>none</t>
        </is>
      </c>
      <c r="AT109" s="101" t="n"/>
      <c r="AU109" s="96" t="n">
        <v>19.99</v>
      </c>
      <c r="AV109" s="95" t="inlineStr">
        <is>
          <t>none</t>
        </is>
      </c>
      <c r="AW109" s="95" t="inlineStr">
        <is>
          <t>Y</t>
        </is>
      </c>
      <c r="AX109" s="95" t="inlineStr">
        <is>
          <t>2026-10-14 00:31:50</t>
        </is>
      </c>
      <c r="AY109" s="102" t="n"/>
      <c r="AZ109" s="102" t="n"/>
      <c r="BA109" s="101" t="n"/>
      <c r="BB109" s="101" t="n"/>
      <c r="BC109" s="87">
        <f>IF(AND(ISNUMBER(BA109),ISNUMBER(BB109),N(BA109)&gt;0),1-BB109/BA109,"")</f>
        <v/>
      </c>
      <c r="BD109" s="103" t="n"/>
      <c r="BE109" s="103" t="n"/>
      <c r="BF109" s="100">
        <f>IF(AND(ISNUMBER(BD109),ISNUMBER(BE109),N(BE109)&gt;0),BD109/BE109,"")</f>
        <v/>
      </c>
      <c r="BG109" s="102" t="n"/>
      <c r="BH109" s="97" t="inlineStr">
        <is>
          <t>Amazon.ca organic #4 for 'satin fitted sheet queen'; 100%POLYESTER; variation_count = distinct children exposed in page variation map, not a guaranteed complete catalogue. Bought-past-month badge not displayed.</t>
        </is>
      </c>
    </row>
    <row r="110" ht="62" customHeight="1">
      <c r="A110" s="10">
        <f>_xlfn.IMAGE("https://m.media-amazon.com/images/I/61YaWaN38uL.jpg")</f>
        <v/>
      </c>
      <c r="B110" s="84" t="inlineStr">
        <is>
          <t>Lirex</t>
        </is>
      </c>
      <c r="C110" s="32" t="inlineStr">
        <is>
          <t>Lirex Satin Fitted Sheet, Luxurious Silky Smooth Polyester Bedding Soft Deep Pocket Bed Sheets Mattress Cover, Queen, Black</t>
        </is>
      </c>
      <c r="D110" s="84" t="inlineStr">
        <is>
          <t>Untiered</t>
        </is>
      </c>
      <c r="E110" s="84" t="inlineStr">
        <is>
          <t>B0D62TXWHW</t>
        </is>
      </c>
      <c r="F110" s="84" t="inlineStr">
        <is>
          <t>B0D62VPSSW</t>
        </is>
      </c>
      <c r="G110" s="84" t="inlineStr">
        <is>
          <t>Queen</t>
        </is>
      </c>
      <c r="H110" s="84" t="inlineStr">
        <is>
          <t>Black</t>
        </is>
      </c>
      <c r="I110" s="85" t="n">
        <v>63</v>
      </c>
      <c r="J110" s="32" t="n"/>
      <c r="K110" s="86" t="n">
        <v>36.29</v>
      </c>
      <c r="L110" s="86" t="n"/>
      <c r="M110" s="87">
        <f>IF(AND(ISNUMBER(L110),ISNUMBER(K110),N(K110)&gt;0),L110/K110-1,"")</f>
        <v/>
      </c>
      <c r="N110" s="88">
        <f>IF(M110="","No List Price",IF(M110&lt;=0,"At/below price",IF(M110&lt;=0.12,"&lt;=12% STR zone",IF(M110&lt;=0.25,"12-25%","&gt;25% over"))))</f>
        <v/>
      </c>
      <c r="O110" s="86" t="n">
        <v>26.4575</v>
      </c>
      <c r="P110" s="89">
        <f>IF(AND(ISNUMBER(K110),ISNUMBER(O110),N(O110)&gt;0),K110/O110-1,"")</f>
        <v/>
      </c>
      <c r="Q110" s="32" t="inlineStr">
        <is>
          <t>Same size (Queen), CAD. Ours: Command Center fee feed, Mar 2026 - STALE</t>
        </is>
      </c>
      <c r="R110" s="85" t="n">
        <v>35710</v>
      </c>
      <c r="S110" s="85" t="n"/>
      <c r="T110" s="90">
        <f>IF(AND(ISNUMBER(K110),ISNUMBER(S110)),K110*S110*52/12,"")</f>
        <v/>
      </c>
      <c r="U110" s="91" t="n">
        <v>4.4</v>
      </c>
      <c r="V110" s="85" t="n">
        <v>430</v>
      </c>
      <c r="W110" s="92" t="n">
        <v>46309</v>
      </c>
      <c r="X110" s="92" t="n"/>
      <c r="Y110" s="84" t="n"/>
      <c r="Z110" s="84" t="n"/>
      <c r="AA110" s="85" t="n"/>
      <c r="AB110" s="85" t="n"/>
      <c r="AC110" s="93" t="n"/>
      <c r="AD110" s="93" t="n"/>
      <c r="AE110" s="32" t="n"/>
      <c r="AF110" s="93" t="n"/>
      <c r="AG110" s="93" t="n"/>
      <c r="AH110" s="93" t="n"/>
      <c r="AI110" s="93" t="n"/>
      <c r="AJ110" s="85" t="n"/>
      <c r="AK110" s="85" t="n"/>
      <c r="AL110" s="85" t="n"/>
      <c r="AM110" s="85" t="n"/>
      <c r="AN110" s="85" t="n"/>
      <c r="AO110" s="85" t="n"/>
      <c r="AP110" s="94" t="n"/>
      <c r="AQ110" s="89" t="n"/>
      <c r="AR110" s="95" t="inlineStr">
        <is>
          <t>N</t>
        </is>
      </c>
      <c r="AS110" s="95" t="inlineStr">
        <is>
          <t>none</t>
        </is>
      </c>
      <c r="AT110" s="101" t="n"/>
      <c r="AU110" s="96" t="n">
        <v>36.29</v>
      </c>
      <c r="AV110" s="95" t="inlineStr">
        <is>
          <t>none</t>
        </is>
      </c>
      <c r="AW110" s="95" t="inlineStr">
        <is>
          <t>Y</t>
        </is>
      </c>
      <c r="AX110" s="95" t="inlineStr">
        <is>
          <t>2026-10-14 00:31:42</t>
        </is>
      </c>
      <c r="AY110" s="102" t="n"/>
      <c r="AZ110" s="102" t="n"/>
      <c r="BA110" s="101" t="n"/>
      <c r="BB110" s="101" t="n"/>
      <c r="BC110" s="87">
        <f>IF(AND(ISNUMBER(BA110),ISNUMBER(BB110),N(BA110)&gt;0),1-BB110/BA110,"")</f>
        <v/>
      </c>
      <c r="BD110" s="103" t="n"/>
      <c r="BE110" s="103" t="n"/>
      <c r="BF110" s="100">
        <f>IF(AND(ISNUMBER(BD110),ISNUMBER(BE110),N(BE110)&gt;0),BD110/BE110,"")</f>
        <v/>
      </c>
      <c r="BG110" s="102" t="n"/>
      <c r="BH110" s="97" t="inlineStr">
        <is>
          <t>Amazon.ca organic #4 for 'satin fitted sheet'; Polyester; Search child B0D62V4P12; selected Queen child B0D62VPSSW. variation_count = distinct children exposed in page variation map, not a guaranteed complete catalogue</t>
        </is>
      </c>
    </row>
    <row r="111" ht="62" customHeight="1">
      <c r="A111" s="10">
        <f>_xlfn.IMAGE("https://m.media-amazon.com/images/I/61vzu4mSjhL.jpg")</f>
        <v/>
      </c>
      <c r="B111" s="84" t="inlineStr">
        <is>
          <t>FLCA</t>
        </is>
      </c>
      <c r="C111" s="32" t="inlineStr">
        <is>
          <t>1 Piece Satin Fitted Sheet Only Classic Luxury Silky Soft Bed Sheets Solid Color (Grey, Fitted Sheet(Queen))</t>
        </is>
      </c>
      <c r="D111" s="84" t="inlineStr">
        <is>
          <t>Untiered</t>
        </is>
      </c>
      <c r="E111" s="84" t="inlineStr">
        <is>
          <t>B08KHV3CR8</t>
        </is>
      </c>
      <c r="F111" s="84" t="inlineStr">
        <is>
          <t>B08FCC1QFF</t>
        </is>
      </c>
      <c r="G111" s="84" t="inlineStr">
        <is>
          <t>Queen</t>
        </is>
      </c>
      <c r="H111" s="84" t="inlineStr">
        <is>
          <t>Grey</t>
        </is>
      </c>
      <c r="I111" s="85" t="n">
        <v>26</v>
      </c>
      <c r="J111" s="32" t="n"/>
      <c r="K111" s="86" t="n">
        <v>27.55</v>
      </c>
      <c r="L111" s="86" t="n"/>
      <c r="M111" s="87">
        <f>IF(AND(ISNUMBER(L111),ISNUMBER(K111),N(K111)&gt;0),L111/K111-1,"")</f>
        <v/>
      </c>
      <c r="N111" s="88">
        <f>IF(M111="","No List Price",IF(M111&lt;=0,"At/below price",IF(M111&lt;=0.12,"&lt;=12% STR zone",IF(M111&lt;=0.25,"12-25%","&gt;25% over"))))</f>
        <v/>
      </c>
      <c r="O111" s="86" t="n">
        <v>26.4575</v>
      </c>
      <c r="P111" s="89">
        <f>IF(AND(ISNUMBER(K111),ISNUMBER(O111),N(O111)&gt;0),K111/O111-1,"")</f>
        <v/>
      </c>
      <c r="Q111" s="32" t="inlineStr">
        <is>
          <t>Same size (Queen), CAD. Ours: Command Center fee feed, Mar 2026 - STALE</t>
        </is>
      </c>
      <c r="R111" s="85" t="n">
        <v>188692</v>
      </c>
      <c r="S111" s="85" t="n"/>
      <c r="T111" s="90">
        <f>IF(AND(ISNUMBER(K111),ISNUMBER(S111)),K111*S111*52/12,"")</f>
        <v/>
      </c>
      <c r="U111" s="91" t="n">
        <v>4.3</v>
      </c>
      <c r="V111" s="85" t="n">
        <v>312</v>
      </c>
      <c r="W111" s="92" t="n">
        <v>46309</v>
      </c>
      <c r="X111" s="92" t="n"/>
      <c r="Y111" s="84" t="n"/>
      <c r="Z111" s="84" t="n"/>
      <c r="AA111" s="85" t="n"/>
      <c r="AB111" s="85" t="n"/>
      <c r="AC111" s="93" t="n"/>
      <c r="AD111" s="93" t="n"/>
      <c r="AE111" s="32" t="n"/>
      <c r="AF111" s="93" t="n"/>
      <c r="AG111" s="93" t="n"/>
      <c r="AH111" s="93" t="n"/>
      <c r="AI111" s="93" t="n"/>
      <c r="AJ111" s="85" t="n"/>
      <c r="AK111" s="85" t="n"/>
      <c r="AL111" s="85" t="n"/>
      <c r="AM111" s="85" t="n"/>
      <c r="AN111" s="85" t="n"/>
      <c r="AO111" s="85" t="n"/>
      <c r="AP111" s="94" t="n"/>
      <c r="AQ111" s="89" t="n"/>
      <c r="AR111" s="95" t="inlineStr">
        <is>
          <t>N</t>
        </is>
      </c>
      <c r="AS111" s="95" t="inlineStr">
        <is>
          <t>none</t>
        </is>
      </c>
      <c r="AT111" s="101" t="n"/>
      <c r="AU111" s="96" t="n">
        <v>27.55</v>
      </c>
      <c r="AV111" s="95" t="inlineStr">
        <is>
          <t>none</t>
        </is>
      </c>
      <c r="AW111" s="95" t="inlineStr">
        <is>
          <t>Y</t>
        </is>
      </c>
      <c r="AX111" s="95" t="inlineStr">
        <is>
          <t>2026-10-14 00:32:37</t>
        </is>
      </c>
      <c r="AY111" s="102" t="n"/>
      <c r="AZ111" s="102" t="n"/>
      <c r="BA111" s="101" t="n"/>
      <c r="BB111" s="101" t="n"/>
      <c r="BC111" s="87">
        <f>IF(AND(ISNUMBER(BA111),ISNUMBER(BB111),N(BA111)&gt;0),1-BB111/BA111,"")</f>
        <v/>
      </c>
      <c r="BD111" s="103" t="n"/>
      <c r="BE111" s="103" t="n"/>
      <c r="BF111" s="100">
        <f>IF(AND(ISNUMBER(BD111),ISNUMBER(BE111),N(BE111)&gt;0),BD111/BE111,"")</f>
        <v/>
      </c>
      <c r="BG111" s="102" t="n"/>
      <c r="BH111" s="97" t="inlineStr">
        <is>
          <t>Amazon.ca organic #5 for 'satin fitted sheet'; Polyester,Silky,Satin; Search child B08FCBB96H; selected Fitted sheet(Queen) child B08FCC1QFF. variation_count = distinct children exposed in page variation map, not a guaranteed comp</t>
        </is>
      </c>
    </row>
    <row r="112" ht="62" customHeight="1">
      <c r="A112" s="10">
        <f>_xlfn.IMAGE("https://m.media-amazon.com/images/I/71gp4XZlwCL.jpg")</f>
        <v/>
      </c>
      <c r="B112" s="84" t="inlineStr">
        <is>
          <t>YASMENG</t>
        </is>
      </c>
      <c r="C112" s="32" t="inlineStr">
        <is>
          <t>Wine Red Queen Satin Fitted Sheets Only with 14" Elastic Deep Pocket</t>
        </is>
      </c>
      <c r="D112" s="84" t="inlineStr">
        <is>
          <t>Untiered</t>
        </is>
      </c>
      <c r="E112" s="84" t="inlineStr">
        <is>
          <t>B0CPRZL17M</t>
        </is>
      </c>
      <c r="F112" s="84" t="inlineStr">
        <is>
          <t>B0CPSG8X6G</t>
        </is>
      </c>
      <c r="G112" s="84" t="inlineStr">
        <is>
          <t>Queen</t>
        </is>
      </c>
      <c r="H112" s="84" t="inlineStr">
        <is>
          <t>Burgundy</t>
        </is>
      </c>
      <c r="I112" s="85" t="n">
        <v>32</v>
      </c>
      <c r="J112" s="32" t="n"/>
      <c r="K112" s="86" t="n">
        <v>29.99</v>
      </c>
      <c r="L112" s="86" t="n"/>
      <c r="M112" s="87">
        <f>IF(AND(ISNUMBER(L112),ISNUMBER(K112),N(K112)&gt;0),L112/K112-1,"")</f>
        <v/>
      </c>
      <c r="N112" s="88">
        <f>IF(M112="","No List Price",IF(M112&lt;=0,"At/below price",IF(M112&lt;=0.12,"&lt;=12% STR zone",IF(M112&lt;=0.25,"12-25%","&gt;25% over"))))</f>
        <v/>
      </c>
      <c r="O112" s="86" t="n">
        <v>26.4575</v>
      </c>
      <c r="P112" s="89">
        <f>IF(AND(ISNUMBER(K112),ISNUMBER(O112),N(O112)&gt;0),K112/O112-1,"")</f>
        <v/>
      </c>
      <c r="Q112" s="32" t="inlineStr">
        <is>
          <t>Same size (Queen), CAD. Ours: Command Center fee feed, Mar 2026 - STALE</t>
        </is>
      </c>
      <c r="R112" s="85" t="n">
        <v>18907</v>
      </c>
      <c r="S112" s="85" t="n"/>
      <c r="T112" s="90">
        <f>IF(AND(ISNUMBER(K112),ISNUMBER(S112)),K112*S112*52/12,"")</f>
        <v/>
      </c>
      <c r="U112" s="91" t="n">
        <v>4.1</v>
      </c>
      <c r="V112" s="85" t="n">
        <v>153</v>
      </c>
      <c r="W112" s="92" t="n">
        <v>46309</v>
      </c>
      <c r="X112" s="92" t="n"/>
      <c r="Y112" s="84" t="n"/>
      <c r="Z112" s="84" t="n"/>
      <c r="AA112" s="85" t="n"/>
      <c r="AB112" s="85" t="n"/>
      <c r="AC112" s="93" t="n"/>
      <c r="AD112" s="93" t="n"/>
      <c r="AE112" s="32" t="n"/>
      <c r="AF112" s="93" t="n"/>
      <c r="AG112" s="93" t="n"/>
      <c r="AH112" s="93" t="n"/>
      <c r="AI112" s="93" t="n"/>
      <c r="AJ112" s="85" t="n"/>
      <c r="AK112" s="85" t="n"/>
      <c r="AL112" s="85" t="n"/>
      <c r="AM112" s="85" t="n"/>
      <c r="AN112" s="85" t="n"/>
      <c r="AO112" s="85" t="n"/>
      <c r="AP112" s="94" t="n"/>
      <c r="AQ112" s="89" t="n"/>
      <c r="AR112" s="95" t="inlineStr">
        <is>
          <t>N</t>
        </is>
      </c>
      <c r="AS112" s="95" t="inlineStr">
        <is>
          <t>none</t>
        </is>
      </c>
      <c r="AT112" s="101" t="n"/>
      <c r="AU112" s="96" t="n">
        <v>29.99</v>
      </c>
      <c r="AV112" s="95" t="inlineStr">
        <is>
          <t>none</t>
        </is>
      </c>
      <c r="AW112" s="95" t="inlineStr">
        <is>
          <t>Y</t>
        </is>
      </c>
      <c r="AX112" s="95" t="inlineStr">
        <is>
          <t>2026-10-14 00:34:26</t>
        </is>
      </c>
      <c r="AY112" s="102" t="n"/>
      <c r="AZ112" s="102" t="n"/>
      <c r="BA112" s="101" t="n"/>
      <c r="BB112" s="101" t="n"/>
      <c r="BC112" s="87">
        <f>IF(AND(ISNUMBER(BA112),ISNUMBER(BB112),N(BA112)&gt;0),1-BB112/BA112,"")</f>
        <v/>
      </c>
      <c r="BD112" s="103" t="n"/>
      <c r="BE112" s="103" t="n"/>
      <c r="BF112" s="100">
        <f>IF(AND(ISNUMBER(BD112),ISNUMBER(BE112),N(BE112)&gt;0),BD112/BE112,"")</f>
        <v/>
      </c>
      <c r="BG112" s="102" t="n"/>
      <c r="BH112" s="97" t="inlineStr">
        <is>
          <t>Amazon.ca organic #8 for 'satin fitted sheet'; 100% Microfiber; Search child B0CPS7PQBH; selected Queen child B0CPSG8X6G. variation_count = distinct children exposed in page variation map, not a guaranteed complete catalogue</t>
        </is>
      </c>
    </row>
    <row r="113" ht="62" customHeight="1">
      <c r="A113" s="10">
        <f>_xlfn.IMAGE("https://m.media-amazon.com/images/I/71rymABpYeL.jpg")</f>
        <v/>
      </c>
      <c r="B113" s="84" t="inlineStr">
        <is>
          <t>Lirex</t>
        </is>
      </c>
      <c r="C113" s="32" t="inlineStr">
        <is>
          <t>Lirex Satin Fitted Sheet, Silky &amp; Soft Polyester Satin Weave Bed Sheets, 14"/36 cm Deep Pocket with Elastic Corner Straps, Queen, Navy Blue Stripes</t>
        </is>
      </c>
      <c r="D113" s="84" t="inlineStr">
        <is>
          <t>Untiered</t>
        </is>
      </c>
      <c r="E113" s="84" t="inlineStr">
        <is>
          <t>B0F7R3DZ72</t>
        </is>
      </c>
      <c r="F113" s="84" t="inlineStr">
        <is>
          <t>B0F7R36H12</t>
        </is>
      </c>
      <c r="G113" s="84" t="inlineStr">
        <is>
          <t>Queen</t>
        </is>
      </c>
      <c r="H113" s="84" t="inlineStr">
        <is>
          <t>Navy Blue Stripes</t>
        </is>
      </c>
      <c r="I113" s="85" t="n">
        <v>57</v>
      </c>
      <c r="J113" s="32" t="n"/>
      <c r="K113" s="86" t="n">
        <v>26.21</v>
      </c>
      <c r="L113" s="86" t="n"/>
      <c r="M113" s="87">
        <f>IF(AND(ISNUMBER(L113),ISNUMBER(K113),N(K113)&gt;0),L113/K113-1,"")</f>
        <v/>
      </c>
      <c r="N113" s="88">
        <f>IF(M113="","No List Price",IF(M113&lt;=0,"At/below price",IF(M113&lt;=0.12,"&lt;=12% STR zone",IF(M113&lt;=0.25,"12-25%","&gt;25% over"))))</f>
        <v/>
      </c>
      <c r="O113" s="86" t="n">
        <v>26.4575</v>
      </c>
      <c r="P113" s="89">
        <f>IF(AND(ISNUMBER(K113),ISNUMBER(O113),N(O113)&gt;0),K113/O113-1,"")</f>
        <v/>
      </c>
      <c r="Q113" s="32" t="inlineStr">
        <is>
          <t>Same size (Queen), CAD. Ours: Command Center fee feed, Mar 2026 - STALE</t>
        </is>
      </c>
      <c r="R113" s="85" t="n">
        <v>38918</v>
      </c>
      <c r="S113" s="85" t="n"/>
      <c r="T113" s="90">
        <f>IF(AND(ISNUMBER(K113),ISNUMBER(S113)),K113*S113*52/12,"")</f>
        <v/>
      </c>
      <c r="U113" s="91" t="n">
        <v>4.1</v>
      </c>
      <c r="V113" s="85" t="n">
        <v>39</v>
      </c>
      <c r="W113" s="92" t="n">
        <v>46309</v>
      </c>
      <c r="X113" s="92" t="n"/>
      <c r="Y113" s="84" t="n"/>
      <c r="Z113" s="84" t="n"/>
      <c r="AA113" s="85" t="n"/>
      <c r="AB113" s="85" t="n"/>
      <c r="AC113" s="93" t="n"/>
      <c r="AD113" s="93" t="n"/>
      <c r="AE113" s="32" t="n"/>
      <c r="AF113" s="93" t="n"/>
      <c r="AG113" s="93" t="n"/>
      <c r="AH113" s="93" t="n"/>
      <c r="AI113" s="93" t="n"/>
      <c r="AJ113" s="85" t="n"/>
      <c r="AK113" s="85" t="n"/>
      <c r="AL113" s="85" t="n"/>
      <c r="AM113" s="85" t="n"/>
      <c r="AN113" s="85" t="n"/>
      <c r="AO113" s="85" t="n"/>
      <c r="AP113" s="94" t="n"/>
      <c r="AQ113" s="89" t="n"/>
      <c r="AR113" s="95" t="inlineStr">
        <is>
          <t>N</t>
        </is>
      </c>
      <c r="AS113" s="95" t="inlineStr">
        <is>
          <t>none</t>
        </is>
      </c>
      <c r="AT113" s="101" t="n"/>
      <c r="AU113" s="96" t="n">
        <v>26.21</v>
      </c>
      <c r="AV113" s="95" t="inlineStr">
        <is>
          <t>none</t>
        </is>
      </c>
      <c r="AW113" s="95" t="inlineStr">
        <is>
          <t>Y</t>
        </is>
      </c>
      <c r="AX113" s="95" t="inlineStr">
        <is>
          <t>2026-10-14 00:34:43</t>
        </is>
      </c>
      <c r="AY113" s="102" t="n"/>
      <c r="AZ113" s="102" t="n"/>
      <c r="BA113" s="101" t="n"/>
      <c r="BB113" s="101" t="n"/>
      <c r="BC113" s="87">
        <f>IF(AND(ISNUMBER(BA113),ISNUMBER(BB113),N(BA113)&gt;0),1-BB113/BA113,"")</f>
        <v/>
      </c>
      <c r="BD113" s="103" t="n"/>
      <c r="BE113" s="103" t="n"/>
      <c r="BF113" s="100">
        <f>IF(AND(ISNUMBER(BD113),ISNUMBER(BE113),N(BE113)&gt;0),BD113/BE113,"")</f>
        <v/>
      </c>
      <c r="BG113" s="102" t="n"/>
      <c r="BH113" s="97" t="inlineStr">
        <is>
          <t>Amazon.ca organic #11 for 'satin fitted sheet'; Satin; Search child B0FDZV4JVL; selected Queen child B0F7R36H12. variation_count = distinct children exposed in page variation map, not a guaranteed complete catalogue</t>
        </is>
      </c>
    </row>
    <row r="114" ht="62" customHeight="1">
      <c r="A114" s="10">
        <f>_xlfn.IMAGE("https://m.media-amazon.com/images/I/61BFwnmnIIL.jpg")</f>
        <v/>
      </c>
      <c r="B114" s="84" t="inlineStr">
        <is>
          <t>JUWENIN</t>
        </is>
      </c>
      <c r="C114" s="32" t="inlineStr">
        <is>
          <t>Fitted Sheet - Luxury Silky Soft Satin Bottom Sheet - Deep Pockets, Shrinkage and Fade Resistant - Easy Care - 1 Fitted Sheet Only (Grey, Queen)</t>
        </is>
      </c>
      <c r="D114" s="84" t="inlineStr">
        <is>
          <t>Untiered</t>
        </is>
      </c>
      <c r="E114" s="84" t="inlineStr">
        <is>
          <t>B0B5MSKV3D</t>
        </is>
      </c>
      <c r="F114" s="84" t="inlineStr">
        <is>
          <t>B0B1DVR7MV</t>
        </is>
      </c>
      <c r="G114" s="84" t="inlineStr">
        <is>
          <t>Queen</t>
        </is>
      </c>
      <c r="H114" s="84" t="inlineStr">
        <is>
          <t>Grey</t>
        </is>
      </c>
      <c r="I114" s="85" t="n">
        <v>9</v>
      </c>
      <c r="J114" s="32" t="n"/>
      <c r="K114" s="86" t="n">
        <v>18.99</v>
      </c>
      <c r="L114" s="86" t="n"/>
      <c r="M114" s="87">
        <f>IF(AND(ISNUMBER(L114),ISNUMBER(K114),N(K114)&gt;0),L114/K114-1,"")</f>
        <v/>
      </c>
      <c r="N114" s="88">
        <f>IF(M114="","No List Price",IF(M114&lt;=0,"At/below price",IF(M114&lt;=0.12,"&lt;=12% STR zone",IF(M114&lt;=0.25,"12-25%","&gt;25% over"))))</f>
        <v/>
      </c>
      <c r="O114" s="86" t="n">
        <v>26.4575</v>
      </c>
      <c r="P114" s="89">
        <f>IF(AND(ISNUMBER(K114),ISNUMBER(O114),N(O114)&gt;0),K114/O114-1,"")</f>
        <v/>
      </c>
      <c r="Q114" s="32" t="inlineStr">
        <is>
          <t>Same size (Queen), CAD. Ours: Command Center fee feed, Mar 2026 - STALE</t>
        </is>
      </c>
      <c r="R114" s="85" t="n">
        <v>190992</v>
      </c>
      <c r="S114" s="85" t="n"/>
      <c r="T114" s="90">
        <f>IF(AND(ISNUMBER(K114),ISNUMBER(S114)),K114*S114*52/12,"")</f>
        <v/>
      </c>
      <c r="U114" s="91" t="n">
        <v>3.7</v>
      </c>
      <c r="V114" s="85" t="n">
        <v>26</v>
      </c>
      <c r="W114" s="92" t="n">
        <v>46309</v>
      </c>
      <c r="X114" s="92" t="n"/>
      <c r="Y114" s="84" t="n"/>
      <c r="Z114" s="84" t="n"/>
      <c r="AA114" s="85" t="n"/>
      <c r="AB114" s="85" t="n"/>
      <c r="AC114" s="93" t="n"/>
      <c r="AD114" s="93" t="n"/>
      <c r="AE114" s="32" t="n"/>
      <c r="AF114" s="93" t="n"/>
      <c r="AG114" s="93" t="n"/>
      <c r="AH114" s="93" t="n"/>
      <c r="AI114" s="93" t="n"/>
      <c r="AJ114" s="85" t="n"/>
      <c r="AK114" s="85" t="n"/>
      <c r="AL114" s="85" t="n"/>
      <c r="AM114" s="85" t="n"/>
      <c r="AN114" s="85" t="n"/>
      <c r="AO114" s="85" t="n"/>
      <c r="AP114" s="94" t="n"/>
      <c r="AQ114" s="89" t="n"/>
      <c r="AR114" s="95" t="inlineStr">
        <is>
          <t>N</t>
        </is>
      </c>
      <c r="AS114" s="95" t="inlineStr">
        <is>
          <t>none</t>
        </is>
      </c>
      <c r="AT114" s="101" t="n"/>
      <c r="AU114" s="96" t="n">
        <v>18.99</v>
      </c>
      <c r="AV114" s="95" t="inlineStr">
        <is>
          <t>none</t>
        </is>
      </c>
      <c r="AW114" s="95" t="inlineStr">
        <is>
          <t>Y</t>
        </is>
      </c>
      <c r="AX114" s="95" t="inlineStr">
        <is>
          <t>2026-10-14 00:35:03</t>
        </is>
      </c>
      <c r="AY114" s="102" t="n"/>
      <c r="AZ114" s="102" t="n"/>
      <c r="BA114" s="101" t="n"/>
      <c r="BB114" s="101" t="n"/>
      <c r="BC114" s="87">
        <f>IF(AND(ISNUMBER(BA114),ISNUMBER(BB114),N(BA114)&gt;0),1-BB114/BA114,"")</f>
        <v/>
      </c>
      <c r="BD114" s="103" t="n"/>
      <c r="BE114" s="103" t="n"/>
      <c r="BF114" s="100">
        <f>IF(AND(ISNUMBER(BD114),ISNUMBER(BE114),N(BE114)&gt;0),BD114/BE114,"")</f>
        <v/>
      </c>
      <c r="BG114" s="102" t="n"/>
      <c r="BH114" s="97" t="inlineStr">
        <is>
          <t>Amazon.ca organic #12 for 'satin fitted sheet queen'; 100%POLYESTER; variation_count = distinct children exposed in page variation map, not a guaranteed complete catalogue. Bought-past-month badge not displayed.</t>
        </is>
      </c>
    </row>
    <row r="115" ht="62" customHeight="1">
      <c r="A115" s="10">
        <f>_xlfn.IMAGE("https://m.media-amazon.com/images/I/71E6gxishcL.jpg")</f>
        <v/>
      </c>
      <c r="B115" s="84" t="inlineStr">
        <is>
          <t>Lanest Housing</t>
        </is>
      </c>
      <c r="C115" s="32" t="inlineStr">
        <is>
          <t>Queen Silk Satin Fitted Sheet, Soft Deep Pocket Single Bottom Bed Sheets Sold Separately, Wrinkle Free, Non- Fading, Breathable, Fully Elasticized(Queen Size, Dark Grey)</t>
        </is>
      </c>
      <c r="D115" s="84" t="inlineStr">
        <is>
          <t>Untiered</t>
        </is>
      </c>
      <c r="E115" s="84" t="inlineStr">
        <is>
          <t>B09HQK4K21</t>
        </is>
      </c>
      <c r="F115" s="84" t="inlineStr">
        <is>
          <t>B09CL6BLJC</t>
        </is>
      </c>
      <c r="G115" s="84" t="inlineStr">
        <is>
          <t>Queen</t>
        </is>
      </c>
      <c r="H115" s="84" t="inlineStr">
        <is>
          <t>Grey</t>
        </is>
      </c>
      <c r="I115" s="85" t="n">
        <v>82</v>
      </c>
      <c r="J115" s="32" t="n"/>
      <c r="K115" s="86" t="n">
        <v>41.44</v>
      </c>
      <c r="L115" s="86" t="n"/>
      <c r="M115" s="87">
        <f>IF(AND(ISNUMBER(L115),ISNUMBER(K115),N(K115)&gt;0),L115/K115-1,"")</f>
        <v/>
      </c>
      <c r="N115" s="88">
        <f>IF(M115="","No List Price",IF(M115&lt;=0,"At/below price",IF(M115&lt;=0.12,"&lt;=12% STR zone",IF(M115&lt;=0.25,"12-25%","&gt;25% over"))))</f>
        <v/>
      </c>
      <c r="O115" s="86" t="n">
        <v>26.4575</v>
      </c>
      <c r="P115" s="89">
        <f>IF(AND(ISNUMBER(K115),ISNUMBER(O115),N(O115)&gt;0),K115/O115-1,"")</f>
        <v/>
      </c>
      <c r="Q115" s="32" t="inlineStr">
        <is>
          <t>Same size (Queen), CAD. Ours: Command Center fee feed, Mar 2026 - STALE</t>
        </is>
      </c>
      <c r="R115" s="85" t="n">
        <v>277266</v>
      </c>
      <c r="S115" s="85" t="n"/>
      <c r="T115" s="90">
        <f>IF(AND(ISNUMBER(K115),ISNUMBER(S115)),K115*S115*52/12,"")</f>
        <v/>
      </c>
      <c r="U115" s="91" t="n">
        <v>4</v>
      </c>
      <c r="V115" s="85" t="n">
        <v>4038</v>
      </c>
      <c r="W115" s="92" t="n">
        <v>46309</v>
      </c>
      <c r="X115" s="92" t="n"/>
      <c r="Y115" s="84" t="n"/>
      <c r="Z115" s="84" t="n"/>
      <c r="AA115" s="85" t="n"/>
      <c r="AB115" s="85" t="n"/>
      <c r="AC115" s="93" t="n"/>
      <c r="AD115" s="93" t="n"/>
      <c r="AE115" s="32" t="n"/>
      <c r="AF115" s="93" t="n"/>
      <c r="AG115" s="93" t="n"/>
      <c r="AH115" s="93" t="n"/>
      <c r="AI115" s="93" t="n"/>
      <c r="AJ115" s="85" t="n"/>
      <c r="AK115" s="85" t="n"/>
      <c r="AL115" s="85" t="n"/>
      <c r="AM115" s="85" t="n"/>
      <c r="AN115" s="85" t="n"/>
      <c r="AO115" s="85" t="n"/>
      <c r="AP115" s="94" t="n"/>
      <c r="AQ115" s="89" t="n"/>
      <c r="AR115" s="95" t="inlineStr">
        <is>
          <t>N</t>
        </is>
      </c>
      <c r="AS115" s="95" t="inlineStr">
        <is>
          <t>none</t>
        </is>
      </c>
      <c r="AT115" s="101" t="n"/>
      <c r="AU115" s="96" t="n">
        <v>41.44</v>
      </c>
      <c r="AV115" s="95" t="inlineStr">
        <is>
          <t>none</t>
        </is>
      </c>
      <c r="AW115" s="95" t="inlineStr">
        <is>
          <t>Y</t>
        </is>
      </c>
      <c r="AX115" s="95" t="inlineStr">
        <is>
          <t>2026-10-14 00:35:54</t>
        </is>
      </c>
      <c r="AY115" s="102" t="n"/>
      <c r="AZ115" s="102" t="n"/>
      <c r="BA115" s="101" t="n"/>
      <c r="BB115" s="101" t="n"/>
      <c r="BC115" s="87">
        <f>IF(AND(ISNUMBER(BA115),ISNUMBER(BB115),N(BA115)&gt;0),1-BB115/BA115,"")</f>
        <v/>
      </c>
      <c r="BD115" s="103" t="n"/>
      <c r="BE115" s="103" t="n"/>
      <c r="BF115" s="100">
        <f>IF(AND(ISNUMBER(BD115),ISNUMBER(BE115),N(BE115)&gt;0),BD115/BE115,"")</f>
        <v/>
      </c>
      <c r="BG115" s="102" t="n"/>
      <c r="BH115" s="97" t="inlineStr">
        <is>
          <t>Amazon.ca organic #19 for 'satin fitted sheet'; Satin,Silky; Search child B09CL5Z5HS; selected Queen child B09CL6BLJC. variation_count = distinct children exposed in page variation map, not a guaranteed complete catalogue</t>
        </is>
      </c>
    </row>
    <row r="116" ht="62" customHeight="1">
      <c r="A116" s="10">
        <f>_xlfn.IMAGE("https://m.media-amazon.com/images/I/51KSNCJ2dvL.jpg")</f>
        <v/>
      </c>
      <c r="B116" s="84" t="inlineStr">
        <is>
          <t>uxcell</t>
        </is>
      </c>
      <c r="C116" s="32" t="inlineStr">
        <is>
          <t>uxcell Satin Fitted Sheet Queen Size, Solid Silky 12" Deep Pocket for Bed Sheet, Soft Breathable Bed Fitted Sheet 79"x60" Gloden Tone</t>
        </is>
      </c>
      <c r="D116" s="84" t="inlineStr">
        <is>
          <t>Untiered</t>
        </is>
      </c>
      <c r="E116" s="84" t="n"/>
      <c r="F116" s="84" t="inlineStr">
        <is>
          <t>B07JVFGW71</t>
        </is>
      </c>
      <c r="G116" s="84" t="inlineStr">
        <is>
          <t>Queen</t>
        </is>
      </c>
      <c r="H116" s="84" t="inlineStr">
        <is>
          <t>White</t>
        </is>
      </c>
      <c r="I116" s="85" t="n"/>
      <c r="J116" s="32" t="n"/>
      <c r="K116" s="86" t="n">
        <v>13.49</v>
      </c>
      <c r="L116" s="86" t="n"/>
      <c r="M116" s="87">
        <f>IF(AND(ISNUMBER(L116),ISNUMBER(K116),N(K116)&gt;0),L116/K116-1,"")</f>
        <v/>
      </c>
      <c r="N116" s="88">
        <f>IF(M116="","No List Price",IF(M116&lt;=0,"At/below price",IF(M116&lt;=0.12,"&lt;=12% STR zone",IF(M116&lt;=0.25,"12-25%","&gt;25% over"))))</f>
        <v/>
      </c>
      <c r="O116" s="86" t="n">
        <v>26.4575</v>
      </c>
      <c r="P116" s="89">
        <f>IF(AND(ISNUMBER(K116),ISNUMBER(O116),N(O116)&gt;0),K116/O116-1,"")</f>
        <v/>
      </c>
      <c r="Q116" s="32" t="inlineStr">
        <is>
          <t>Same size (Queen), CAD. Ours: Command Center fee feed, Mar 2026 - STALE</t>
        </is>
      </c>
      <c r="R116" s="85" t="n"/>
      <c r="S116" s="85" t="n"/>
      <c r="T116" s="90">
        <f>IF(AND(ISNUMBER(K116),ISNUMBER(S116)),K116*S116*52/12,"")</f>
        <v/>
      </c>
      <c r="U116" s="91" t="n">
        <v>3.6</v>
      </c>
      <c r="V116" s="85" t="n">
        <v>7</v>
      </c>
      <c r="W116" s="92" t="n">
        <v>46309</v>
      </c>
      <c r="X116" s="92" t="n"/>
      <c r="Y116" s="84" t="n"/>
      <c r="Z116" s="84" t="n"/>
      <c r="AA116" s="85" t="n"/>
      <c r="AB116" s="85" t="n"/>
      <c r="AC116" s="93" t="n"/>
      <c r="AD116" s="93" t="n"/>
      <c r="AE116" s="32" t="n"/>
      <c r="AF116" s="93" t="n"/>
      <c r="AG116" s="93" t="n"/>
      <c r="AH116" s="93" t="n"/>
      <c r="AI116" s="93" t="n"/>
      <c r="AJ116" s="85" t="n"/>
      <c r="AK116" s="85" t="n"/>
      <c r="AL116" s="85" t="n"/>
      <c r="AM116" s="85" t="n"/>
      <c r="AN116" s="85" t="n"/>
      <c r="AO116" s="85" t="n"/>
      <c r="AP116" s="94" t="n"/>
      <c r="AQ116" s="89" t="n"/>
      <c r="AR116" s="95" t="inlineStr">
        <is>
          <t>N</t>
        </is>
      </c>
      <c r="AS116" s="95" t="inlineStr">
        <is>
          <t>none</t>
        </is>
      </c>
      <c r="AT116" s="101" t="n"/>
      <c r="AU116" s="96" t="n">
        <v>13.49</v>
      </c>
      <c r="AV116" s="95" t="inlineStr">
        <is>
          <t>none</t>
        </is>
      </c>
      <c r="AW116" s="95" t="inlineStr">
        <is>
          <t>Y</t>
        </is>
      </c>
      <c r="AX116" s="95" t="inlineStr">
        <is>
          <t>2026-10-14 00:36:19</t>
        </is>
      </c>
      <c r="AY116" s="102" t="n"/>
      <c r="AZ116" s="102" t="n"/>
      <c r="BA116" s="101" t="n"/>
      <c r="BB116" s="101" t="n"/>
      <c r="BC116" s="87">
        <f>IF(AND(ISNUMBER(BA116),ISNUMBER(BB116),N(BA116)&gt;0),1-BB116/BA116,"")</f>
        <v/>
      </c>
      <c r="BD116" s="103" t="n"/>
      <c r="BE116" s="103" t="n"/>
      <c r="BF116" s="100">
        <f>IF(AND(ISNUMBER(BD116),ISNUMBER(BE116),N(BE116)&gt;0),BD116/BE116,"")</f>
        <v/>
      </c>
      <c r="BG116" s="102" t="n"/>
      <c r="BH116" s="97" t="inlineStr">
        <is>
          <t>Amazon.ca organic #23 for 'satin fitted sheet queen'; 100% Polyester; Page parent field repeats the selected child; no distinct parent ASIN exposed. Treated as standalone observed listing. Parent ASIN not exposed. Displayed Colour</t>
        </is>
      </c>
    </row>
    <row r="117" ht="62" customHeight="1">
      <c r="A117" s="10">
        <f>_xlfn.IMAGE("https://m.media-amazon.com/images/I/71iEmNjDaLL.jpg")</f>
        <v/>
      </c>
      <c r="B117" s="84" t="inlineStr">
        <is>
          <t>P Pothuiny</t>
        </is>
      </c>
      <c r="C117" s="32" t="inlineStr">
        <is>
          <t>P Pothuiny Satin Fitted Sheet Queen Black Single Mattress Cover Only</t>
        </is>
      </c>
      <c r="D117" s="84" t="inlineStr">
        <is>
          <t>Untiered</t>
        </is>
      </c>
      <c r="E117" s="84" t="inlineStr">
        <is>
          <t>B09Z6L6RC7</t>
        </is>
      </c>
      <c r="F117" s="84" t="inlineStr">
        <is>
          <t>B09W5X43TM</t>
        </is>
      </c>
      <c r="G117" s="84" t="inlineStr">
        <is>
          <t>Queen</t>
        </is>
      </c>
      <c r="H117" s="84" t="inlineStr">
        <is>
          <t>Black</t>
        </is>
      </c>
      <c r="I117" s="85" t="n">
        <v>16</v>
      </c>
      <c r="J117" s="32" t="n"/>
      <c r="K117" s="86" t="n">
        <v>33.48</v>
      </c>
      <c r="L117" s="86" t="n"/>
      <c r="M117" s="87">
        <f>IF(AND(ISNUMBER(L117),ISNUMBER(K117),N(K117)&gt;0),L117/K117-1,"")</f>
        <v/>
      </c>
      <c r="N117" s="88">
        <f>IF(M117="","No List Price",IF(M117&lt;=0,"At/below price",IF(M117&lt;=0.12,"&lt;=12% STR zone",IF(M117&lt;=0.25,"12-25%","&gt;25% over"))))</f>
        <v/>
      </c>
      <c r="O117" s="86" t="n">
        <v>26.4575</v>
      </c>
      <c r="P117" s="89">
        <f>IF(AND(ISNUMBER(K117),ISNUMBER(O117),N(O117)&gt;0),K117/O117-1,"")</f>
        <v/>
      </c>
      <c r="Q117" s="32" t="inlineStr">
        <is>
          <t>Same size (Queen), CAD. Ours: Command Center fee feed, Mar 2026 - STALE</t>
        </is>
      </c>
      <c r="R117" s="85" t="n">
        <v>641725</v>
      </c>
      <c r="S117" s="85" t="n"/>
      <c r="T117" s="90">
        <f>IF(AND(ISNUMBER(K117),ISNUMBER(S117)),K117*S117*52/12,"")</f>
        <v/>
      </c>
      <c r="U117" s="91" t="n">
        <v>4.4</v>
      </c>
      <c r="V117" s="85" t="n">
        <v>534</v>
      </c>
      <c r="W117" s="92" t="n">
        <v>46309</v>
      </c>
      <c r="X117" s="92" t="n"/>
      <c r="Y117" s="84" t="n"/>
      <c r="Z117" s="84" t="n"/>
      <c r="AA117" s="85" t="n"/>
      <c r="AB117" s="85" t="n"/>
      <c r="AC117" s="93" t="n"/>
      <c r="AD117" s="93" t="n"/>
      <c r="AE117" s="32" t="n"/>
      <c r="AF117" s="93" t="n"/>
      <c r="AG117" s="93" t="n"/>
      <c r="AH117" s="93" t="n"/>
      <c r="AI117" s="93" t="n"/>
      <c r="AJ117" s="85" t="n"/>
      <c r="AK117" s="85" t="n"/>
      <c r="AL117" s="85" t="n"/>
      <c r="AM117" s="85" t="n"/>
      <c r="AN117" s="85" t="n"/>
      <c r="AO117" s="85" t="n"/>
      <c r="AP117" s="94" t="n"/>
      <c r="AQ117" s="89" t="n"/>
      <c r="AR117" s="95" t="inlineStr">
        <is>
          <t>N</t>
        </is>
      </c>
      <c r="AS117" s="95" t="inlineStr">
        <is>
          <t>none</t>
        </is>
      </c>
      <c r="AT117" s="101" t="n"/>
      <c r="AU117" s="96" t="n">
        <v>33.48</v>
      </c>
      <c r="AV117" s="95" t="inlineStr">
        <is>
          <t>none</t>
        </is>
      </c>
      <c r="AW117" s="95" t="inlineStr">
        <is>
          <t>Y</t>
        </is>
      </c>
      <c r="AX117" s="95" t="inlineStr">
        <is>
          <t>2026-10-14 00:36:22</t>
        </is>
      </c>
      <c r="AY117" s="102" t="n"/>
      <c r="AZ117" s="102" t="n"/>
      <c r="BA117" s="101" t="n"/>
      <c r="BB117" s="101" t="n"/>
      <c r="BC117" s="87">
        <f>IF(AND(ISNUMBER(BA117),ISNUMBER(BB117),N(BA117)&gt;0),1-BB117/BA117,"")</f>
        <v/>
      </c>
      <c r="BD117" s="103" t="n"/>
      <c r="BE117" s="103" t="n"/>
      <c r="BF117" s="100">
        <f>IF(AND(ISNUMBER(BD117),ISNUMBER(BE117),N(BE117)&gt;0),BD117/BE117,"")</f>
        <v/>
      </c>
      <c r="BG117" s="102" t="n"/>
      <c r="BH117" s="97" t="inlineStr">
        <is>
          <t>Amazon.ca organic #24 for 'satin fitted sheet queen'; 100% Polyester Satin; variation_count = distinct children exposed in page variation map, not a guaranteed complete catalogue. Bought-past-month badge not displayed.</t>
        </is>
      </c>
    </row>
    <row r="118" ht="62" customHeight="1">
      <c r="A118" s="10">
        <f>_xlfn.IMAGE("https://m.media-amazon.com/images/I/81MYmoOAtUL.jpg")</f>
        <v/>
      </c>
      <c r="B118" s="84" t="inlineStr">
        <is>
          <t>Homiest</t>
        </is>
      </c>
      <c r="C118" s="32" t="inlineStr">
        <is>
          <t>Homiest Black Satin Fitted Sheet Queen Size Deep Pocket Luxury Ultra Soft Bedding</t>
        </is>
      </c>
      <c r="D118" s="84" t="inlineStr">
        <is>
          <t>Untiered</t>
        </is>
      </c>
      <c r="E118" s="84" t="inlineStr">
        <is>
          <t>B0B15DCTV8</t>
        </is>
      </c>
      <c r="F118" s="84" t="inlineStr">
        <is>
          <t>B09WH4B2BD</t>
        </is>
      </c>
      <c r="G118" s="84" t="inlineStr">
        <is>
          <t>Queen</t>
        </is>
      </c>
      <c r="H118" s="84" t="inlineStr">
        <is>
          <t>Brown</t>
        </is>
      </c>
      <c r="I118" s="85" t="n">
        <v>98</v>
      </c>
      <c r="J118" s="32" t="n"/>
      <c r="K118" s="86" t="n">
        <v>34.53</v>
      </c>
      <c r="L118" s="86" t="n"/>
      <c r="M118" s="87">
        <f>IF(AND(ISNUMBER(L118),ISNUMBER(K118),N(K118)&gt;0),L118/K118-1,"")</f>
        <v/>
      </c>
      <c r="N118" s="88">
        <f>IF(M118="","No List Price",IF(M118&lt;=0,"At/below price",IF(M118&lt;=0.12,"&lt;=12% STR zone",IF(M118&lt;=0.25,"12-25%","&gt;25% over"))))</f>
        <v/>
      </c>
      <c r="O118" s="86" t="n">
        <v>26.4575</v>
      </c>
      <c r="P118" s="89">
        <f>IF(AND(ISNUMBER(K118),ISNUMBER(O118),N(O118)&gt;0),K118/O118-1,"")</f>
        <v/>
      </c>
      <c r="Q118" s="32" t="inlineStr">
        <is>
          <t>Same size (Queen), CAD. Ours: Command Center fee feed, Mar 2026 - STALE</t>
        </is>
      </c>
      <c r="R118" s="85" t="n">
        <v>114075</v>
      </c>
      <c r="S118" s="85" t="n"/>
      <c r="T118" s="90">
        <f>IF(AND(ISNUMBER(K118),ISNUMBER(S118)),K118*S118*52/12,"")</f>
        <v/>
      </c>
      <c r="U118" s="91" t="n">
        <v>4.5</v>
      </c>
      <c r="V118" s="85" t="n">
        <v>484</v>
      </c>
      <c r="W118" s="92" t="n">
        <v>46309</v>
      </c>
      <c r="X118" s="92" t="n"/>
      <c r="Y118" s="84" t="n"/>
      <c r="Z118" s="84" t="n"/>
      <c r="AA118" s="85" t="n"/>
      <c r="AB118" s="85" t="n"/>
      <c r="AC118" s="93" t="n"/>
      <c r="AD118" s="93" t="n"/>
      <c r="AE118" s="32" t="n"/>
      <c r="AF118" s="93" t="n"/>
      <c r="AG118" s="93" t="n"/>
      <c r="AH118" s="93" t="n"/>
      <c r="AI118" s="93" t="n"/>
      <c r="AJ118" s="85" t="n"/>
      <c r="AK118" s="85" t="n"/>
      <c r="AL118" s="85" t="n"/>
      <c r="AM118" s="85" t="n"/>
      <c r="AN118" s="85" t="n"/>
      <c r="AO118" s="85" t="n"/>
      <c r="AP118" s="94" t="n"/>
      <c r="AQ118" s="89" t="n"/>
      <c r="AR118" s="95" t="inlineStr">
        <is>
          <t>N</t>
        </is>
      </c>
      <c r="AS118" s="95" t="inlineStr">
        <is>
          <t>none</t>
        </is>
      </c>
      <c r="AT118" s="101" t="n"/>
      <c r="AU118" s="96" t="n">
        <v>34.53</v>
      </c>
      <c r="AV118" s="95" t="inlineStr">
        <is>
          <t>none</t>
        </is>
      </c>
      <c r="AW118" s="95" t="inlineStr">
        <is>
          <t>Y</t>
        </is>
      </c>
      <c r="AX118" s="95" t="inlineStr">
        <is>
          <t>2026-10-14 00:36:45</t>
        </is>
      </c>
      <c r="AY118" s="102" t="n"/>
      <c r="AZ118" s="102" t="n"/>
      <c r="BA118" s="101" t="n"/>
      <c r="BB118" s="101" t="n"/>
      <c r="BC118" s="87">
        <f>IF(AND(ISNUMBER(BA118),ISNUMBER(BB118),N(BA118)&gt;0),1-BB118/BA118,"")</f>
        <v/>
      </c>
      <c r="BD118" s="103" t="n"/>
      <c r="BE118" s="103" t="n"/>
      <c r="BF118" s="100">
        <f>IF(AND(ISNUMBER(BD118),ISNUMBER(BE118),N(BE118)&gt;0),BD118/BE118,"")</f>
        <v/>
      </c>
      <c r="BG118" s="102" t="n"/>
      <c r="BH118" s="97" t="inlineStr">
        <is>
          <t>Amazon.ca organic #26 for 'satin fitted sheet queen'; Polyester,silky,satin; variation_count = distinct children exposed in page variation map, not a guaranteed complete catalogue. Bought-past-month badge not displayed.</t>
        </is>
      </c>
    </row>
    <row r="119" ht="62" customHeight="1">
      <c r="A119" s="10">
        <f>_xlfn.IMAGE("https://m.media-amazon.com/images/I/71V4-nmuDoS.jpg")</f>
        <v/>
      </c>
      <c r="B119" s="84" t="inlineStr">
        <is>
          <t>Luxbedding</t>
        </is>
      </c>
      <c r="C119" s="32" t="inlineStr">
        <is>
          <t>LuxBedding Satin Fitted Bed Sheet Only, Soft as Silk, Queue, Burgundy</t>
        </is>
      </c>
      <c r="D119" s="84" t="inlineStr">
        <is>
          <t>Untiered</t>
        </is>
      </c>
      <c r="E119" s="84" t="inlineStr">
        <is>
          <t>B093WZY75P</t>
        </is>
      </c>
      <c r="F119" s="84" t="inlineStr">
        <is>
          <t>B08QF4WDWL</t>
        </is>
      </c>
      <c r="G119" s="84" t="inlineStr">
        <is>
          <t>Queen</t>
        </is>
      </c>
      <c r="H119" s="84" t="inlineStr">
        <is>
          <t>Red</t>
        </is>
      </c>
      <c r="I119" s="85" t="n">
        <v>45</v>
      </c>
      <c r="J119" s="32" t="n"/>
      <c r="K119" s="86" t="n">
        <v>46.69</v>
      </c>
      <c r="L119" s="86" t="n"/>
      <c r="M119" s="87">
        <f>IF(AND(ISNUMBER(L119),ISNUMBER(K119),N(K119)&gt;0),L119/K119-1,"")</f>
        <v/>
      </c>
      <c r="N119" s="88">
        <f>IF(M119="","No List Price",IF(M119&lt;=0,"At/below price",IF(M119&lt;=0.12,"&lt;=12% STR zone",IF(M119&lt;=0.25,"12-25%","&gt;25% over"))))</f>
        <v/>
      </c>
      <c r="O119" s="86" t="n">
        <v>26.4575</v>
      </c>
      <c r="P119" s="89">
        <f>IF(AND(ISNUMBER(K119),ISNUMBER(O119),N(O119)&gt;0),K119/O119-1,"")</f>
        <v/>
      </c>
      <c r="Q119" s="32" t="inlineStr">
        <is>
          <t>Same size (Queen), CAD. Ours: Command Center fee feed, Mar 2026 - STALE</t>
        </is>
      </c>
      <c r="R119" s="85" t="n">
        <v>210282</v>
      </c>
      <c r="S119" s="85" t="n"/>
      <c r="T119" s="90">
        <f>IF(AND(ISNUMBER(K119),ISNUMBER(S119)),K119*S119*52/12,"")</f>
        <v/>
      </c>
      <c r="U119" s="91" t="n">
        <v>4.3</v>
      </c>
      <c r="V119" s="85" t="n">
        <v>1600</v>
      </c>
      <c r="W119" s="92" t="n">
        <v>46309</v>
      </c>
      <c r="X119" s="92" t="n"/>
      <c r="Y119" s="84" t="n"/>
      <c r="Z119" s="84" t="n"/>
      <c r="AA119" s="85" t="n"/>
      <c r="AB119" s="85" t="n"/>
      <c r="AC119" s="93" t="n"/>
      <c r="AD119" s="93" t="n"/>
      <c r="AE119" s="32" t="n"/>
      <c r="AF119" s="93" t="n"/>
      <c r="AG119" s="93" t="n"/>
      <c r="AH119" s="93" t="n"/>
      <c r="AI119" s="93" t="n"/>
      <c r="AJ119" s="85" t="n"/>
      <c r="AK119" s="85" t="n"/>
      <c r="AL119" s="85" t="n"/>
      <c r="AM119" s="85" t="n"/>
      <c r="AN119" s="85" t="n"/>
      <c r="AO119" s="85" t="n"/>
      <c r="AP119" s="94" t="n"/>
      <c r="AQ119" s="89" t="n"/>
      <c r="AR119" s="95" t="inlineStr">
        <is>
          <t>N</t>
        </is>
      </c>
      <c r="AS119" s="95" t="inlineStr">
        <is>
          <t>none</t>
        </is>
      </c>
      <c r="AT119" s="101" t="n"/>
      <c r="AU119" s="96" t="n">
        <v>46.69</v>
      </c>
      <c r="AV119" s="95" t="inlineStr">
        <is>
          <t>none</t>
        </is>
      </c>
      <c r="AW119" s="95" t="inlineStr">
        <is>
          <t>Y</t>
        </is>
      </c>
      <c r="AX119" s="95" t="inlineStr">
        <is>
          <t>2026-10-14 00:37:08</t>
        </is>
      </c>
      <c r="AY119" s="102" t="n"/>
      <c r="AZ119" s="102" t="n"/>
      <c r="BA119" s="101" t="n"/>
      <c r="BB119" s="101" t="n"/>
      <c r="BC119" s="87">
        <f>IF(AND(ISNUMBER(BA119),ISNUMBER(BB119),N(BA119)&gt;0),1-BB119/BA119,"")</f>
        <v/>
      </c>
      <c r="BD119" s="103" t="n"/>
      <c r="BE119" s="103" t="n"/>
      <c r="BF119" s="100">
        <f>IF(AND(ISNUMBER(BD119),ISNUMBER(BE119),N(BE119)&gt;0),BD119/BE119,"")</f>
        <v/>
      </c>
      <c r="BG119" s="102" t="n"/>
      <c r="BH119" s="97" t="inlineStr">
        <is>
          <t>Amazon.ca organic #30 for 'satin fitted sheet'; 100% Polyester; Search child B08QF3YY8G; selected Queen - Fitted Sheet Only child B08QF4WDWL. variation_count = distinct children exposed in page variation map, not a guarantee</t>
        </is>
      </c>
    </row>
    <row r="120" ht="62" customHeight="1">
      <c r="A120" s="10">
        <f>_xlfn.IMAGE("https://m.media-amazon.com/images/I/61KHLNuBD4L.jpg")</f>
        <v/>
      </c>
      <c r="B120" s="84" t="inlineStr">
        <is>
          <t>BEDELITE</t>
        </is>
      </c>
      <c r="C120" s="32" t="inlineStr">
        <is>
          <t>BEDELITE Satin Fitted Sheet Queen Size for Hair &amp; Skin, Luxury Soft Silk-Like Bed Sheet with Elastic Corner Straps, 1 Deep Pocket Fitted Sheet Only Fits 15" Mattress, Fade &amp; Wrinkle Resistant, Ivory</t>
        </is>
      </c>
      <c r="D120" s="84" t="inlineStr">
        <is>
          <t>Untiered</t>
        </is>
      </c>
      <c r="E120" s="84" t="inlineStr">
        <is>
          <t>B0FSN6J3TP</t>
        </is>
      </c>
      <c r="F120" s="84" t="inlineStr">
        <is>
          <t>B0FL2BKPPN</t>
        </is>
      </c>
      <c r="G120" s="84" t="inlineStr">
        <is>
          <t>Queen</t>
        </is>
      </c>
      <c r="H120" s="84" t="inlineStr">
        <is>
          <t>Ivory</t>
        </is>
      </c>
      <c r="I120" s="85" t="n">
        <v>42</v>
      </c>
      <c r="J120" s="32" t="n"/>
      <c r="K120" s="86" t="n">
        <v>45.6</v>
      </c>
      <c r="L120" s="86" t="n"/>
      <c r="M120" s="87">
        <f>IF(AND(ISNUMBER(L120),ISNUMBER(K120),N(K120)&gt;0),L120/K120-1,"")</f>
        <v/>
      </c>
      <c r="N120" s="88">
        <f>IF(M120="","No List Price",IF(M120&lt;=0,"At/below price",IF(M120&lt;=0.12,"&lt;=12% STR zone",IF(M120&lt;=0.25,"12-25%","&gt;25% over"))))</f>
        <v/>
      </c>
      <c r="O120" s="86" t="n">
        <v>26.4575</v>
      </c>
      <c r="P120" s="89">
        <f>IF(AND(ISNUMBER(K120),ISNUMBER(O120),N(O120)&gt;0),K120/O120-1,"")</f>
        <v/>
      </c>
      <c r="Q120" s="32" t="inlineStr">
        <is>
          <t>Same size (Queen), CAD. Ours: Command Center fee feed, Mar 2026 - STALE</t>
        </is>
      </c>
      <c r="R120" s="85" t="n">
        <v>282249</v>
      </c>
      <c r="S120" s="85" t="n"/>
      <c r="T120" s="90">
        <f>IF(AND(ISNUMBER(K120),ISNUMBER(S120)),K120*S120*52/12,"")</f>
        <v/>
      </c>
      <c r="U120" s="91" t="n">
        <v>4.5</v>
      </c>
      <c r="V120" s="85" t="n">
        <v>490</v>
      </c>
      <c r="W120" s="92" t="n">
        <v>46309</v>
      </c>
      <c r="X120" s="92" t="n"/>
      <c r="Y120" s="84" t="n"/>
      <c r="Z120" s="84" t="n"/>
      <c r="AA120" s="85" t="n"/>
      <c r="AB120" s="85" t="n"/>
      <c r="AC120" s="93" t="n"/>
      <c r="AD120" s="93" t="n"/>
      <c r="AE120" s="32" t="n"/>
      <c r="AF120" s="93" t="n"/>
      <c r="AG120" s="93" t="n"/>
      <c r="AH120" s="93" t="n"/>
      <c r="AI120" s="93" t="n"/>
      <c r="AJ120" s="85" t="n"/>
      <c r="AK120" s="85" t="n"/>
      <c r="AL120" s="85" t="n"/>
      <c r="AM120" s="85" t="n"/>
      <c r="AN120" s="85" t="n"/>
      <c r="AO120" s="85" t="n"/>
      <c r="AP120" s="94" t="n"/>
      <c r="AQ120" s="89" t="n"/>
      <c r="AR120" s="95" t="inlineStr">
        <is>
          <t>N</t>
        </is>
      </c>
      <c r="AS120" s="95" t="inlineStr">
        <is>
          <t>none</t>
        </is>
      </c>
      <c r="AT120" s="101" t="n"/>
      <c r="AU120" s="96" t="n">
        <v>45.6</v>
      </c>
      <c r="AV120" s="95" t="inlineStr">
        <is>
          <t>none</t>
        </is>
      </c>
      <c r="AW120" s="95" t="inlineStr">
        <is>
          <t>Y</t>
        </is>
      </c>
      <c r="AX120" s="95" t="inlineStr">
        <is>
          <t>2026-10-14 00:37:31</t>
        </is>
      </c>
      <c r="AY120" s="102" t="n"/>
      <c r="AZ120" s="102" t="n"/>
      <c r="BA120" s="101" t="n"/>
      <c r="BB120" s="101" t="n"/>
      <c r="BC120" s="87">
        <f>IF(AND(ISNUMBER(BA120),ISNUMBER(BB120),N(BA120)&gt;0),1-BB120/BA120,"")</f>
        <v/>
      </c>
      <c r="BD120" s="103" t="n"/>
      <c r="BE120" s="103" t="n"/>
      <c r="BF120" s="100">
        <f>IF(AND(ISNUMBER(BD120),ISNUMBER(BE120),N(BE120)&gt;0),BD120/BE120,"")</f>
        <v/>
      </c>
      <c r="BG120" s="102" t="n"/>
      <c r="BH120" s="97" t="inlineStr">
        <is>
          <t>Amazon.ca organic #32 for 'satin fitted sheet'; 100% Polyester Satin; Search child B0FL2DCWX7; selected Queen child B0FL2BKPPN. variation_count = distinct children exposed in page variation map, not a guaranteed complete catalogue</t>
        </is>
      </c>
    </row>
    <row r="121" ht="62" customHeight="1">
      <c r="A121" s="10">
        <f>_xlfn.IMAGE("https://m.media-amazon.com/images/I/51u7qE48BAL.jpg")</f>
        <v/>
      </c>
      <c r="B121" s="84" t="inlineStr">
        <is>
          <t>uxcell</t>
        </is>
      </c>
      <c r="C121" s="32" t="inlineStr">
        <is>
          <t>uxcell Satin Fitted Sheet Queen Size, Solid Silky 12" Deep Pocket for Bed Sheet, Soft Breathable Bed Fitted Sheet 79"x60" Gray</t>
        </is>
      </c>
      <c r="D121" s="84" t="inlineStr">
        <is>
          <t>Untiered</t>
        </is>
      </c>
      <c r="E121" s="84" t="n"/>
      <c r="F121" s="84" t="inlineStr">
        <is>
          <t>B07LFCM1J3</t>
        </is>
      </c>
      <c r="G121" s="84" t="inlineStr">
        <is>
          <t>Queen</t>
        </is>
      </c>
      <c r="H121" s="84" t="inlineStr">
        <is>
          <t>White</t>
        </is>
      </c>
      <c r="I121" s="85" t="n"/>
      <c r="J121" s="32" t="n"/>
      <c r="K121" s="86" t="n">
        <v>26.99</v>
      </c>
      <c r="L121" s="86" t="n"/>
      <c r="M121" s="87">
        <f>IF(AND(ISNUMBER(L121),ISNUMBER(K121),N(K121)&gt;0),L121/K121-1,"")</f>
        <v/>
      </c>
      <c r="N121" s="88">
        <f>IF(M121="","No List Price",IF(M121&lt;=0,"At/below price",IF(M121&lt;=0.12,"&lt;=12% STR zone",IF(M121&lt;=0.25,"12-25%","&gt;25% over"))))</f>
        <v/>
      </c>
      <c r="O121" s="86" t="n">
        <v>26.4575</v>
      </c>
      <c r="P121" s="89">
        <f>IF(AND(ISNUMBER(K121),ISNUMBER(O121),N(O121)&gt;0),K121/O121-1,"")</f>
        <v/>
      </c>
      <c r="Q121" s="32" t="inlineStr">
        <is>
          <t>Same size (Queen), CAD. Ours: Command Center fee feed, Mar 2026 - STALE</t>
        </is>
      </c>
      <c r="R121" s="85" t="n"/>
      <c r="S121" s="85" t="n"/>
      <c r="T121" s="90">
        <f>IF(AND(ISNUMBER(K121),ISNUMBER(S121)),K121*S121*52/12,"")</f>
        <v/>
      </c>
      <c r="U121" s="91" t="n">
        <v>3.8</v>
      </c>
      <c r="V121" s="85" t="n">
        <v>22</v>
      </c>
      <c r="W121" s="92" t="n">
        <v>46309</v>
      </c>
      <c r="X121" s="92" t="n"/>
      <c r="Y121" s="84" t="n"/>
      <c r="Z121" s="84" t="n"/>
      <c r="AA121" s="85" t="n"/>
      <c r="AB121" s="85" t="n"/>
      <c r="AC121" s="93" t="n"/>
      <c r="AD121" s="93" t="n"/>
      <c r="AE121" s="32" t="n"/>
      <c r="AF121" s="93" t="n"/>
      <c r="AG121" s="93" t="n"/>
      <c r="AH121" s="93" t="n"/>
      <c r="AI121" s="93" t="n"/>
      <c r="AJ121" s="85" t="n"/>
      <c r="AK121" s="85" t="n"/>
      <c r="AL121" s="85" t="n"/>
      <c r="AM121" s="85" t="n"/>
      <c r="AN121" s="85" t="n"/>
      <c r="AO121" s="85" t="n"/>
      <c r="AP121" s="94" t="n"/>
      <c r="AQ121" s="89" t="n"/>
      <c r="AR121" s="95" t="inlineStr">
        <is>
          <t>N</t>
        </is>
      </c>
      <c r="AS121" s="95" t="inlineStr">
        <is>
          <t>none</t>
        </is>
      </c>
      <c r="AT121" s="101" t="n"/>
      <c r="AU121" s="96" t="n">
        <v>26.99</v>
      </c>
      <c r="AV121" s="95" t="inlineStr">
        <is>
          <t>none</t>
        </is>
      </c>
      <c r="AW121" s="95" t="inlineStr">
        <is>
          <t>Y</t>
        </is>
      </c>
      <c r="AX121" s="95" t="inlineStr">
        <is>
          <t>2026-10-14 00:38:04</t>
        </is>
      </c>
      <c r="AY121" s="102" t="n"/>
      <c r="AZ121" s="102" t="n"/>
      <c r="BA121" s="101" t="n"/>
      <c r="BB121" s="101" t="n"/>
      <c r="BC121" s="87">
        <f>IF(AND(ISNUMBER(BA121),ISNUMBER(BB121),N(BA121)&gt;0),1-BB121/BA121,"")</f>
        <v/>
      </c>
      <c r="BD121" s="103" t="n"/>
      <c r="BE121" s="103" t="n"/>
      <c r="BF121" s="100">
        <f>IF(AND(ISNUMBER(BD121),ISNUMBER(BE121),N(BE121)&gt;0),BD121/BE121,"")</f>
        <v/>
      </c>
      <c r="BG121" s="102" t="n"/>
      <c r="BH121" s="97" t="inlineStr">
        <is>
          <t>Amazon.ca organic #36 for 'satin fitted sheet queen'; 100% Polyester; Page parent field repeats the selected child; no distinct parent ASIN exposed. Treated as standalone observed listing. Parent ASIN not exposed. Displayed Colour</t>
        </is>
      </c>
    </row>
    <row r="123" ht="20" customHeight="1">
      <c r="A123" s="54" t="inlineStr">
        <is>
          <t>5 · WHAT THIS MEANS FOR BFCM</t>
        </is>
      </c>
    </row>
    <row r="124" ht="30" customHeight="1">
      <c r="A124" s="104" t="inlineStr">
        <is>
          <t>•  Price: 6 of 15 rivals sit below our price today (same size where the title states one). Cheapest strong rivals: uxcell $13.49, FLCA $17.99, JUWENIN $18.99, JUWENIN $19.99. CA prices are CAD; our comparison price is the Command Center's Mar 2026 CAD price (no live Canadian price yet).</t>
        </is>
      </c>
    </row>
    <row r="125" ht="30" customHeight="1">
      <c r="A125" s="104" t="inlineStr">
        <is>
          <t>•  Top organic on Amazon.ca (Oct 13): #1 MR&amp;HM $21.59 (satin fitted sheet queen); #3 FLCA $17.99 (satin fitted sheet); #4 JUWENIN $19.99 (satin fitted sheet queen); #4 Lirex $36.29 (satin fitted sheet); #5 FLCA $27.55 (satin fitted sheet).</t>
        </is>
      </c>
    </row>
    <row r="126" ht="18" customHeight="1">
      <c r="A126" s="104" t="inlineStr">
        <is>
          <t>•  Strikethrough on the page today (Oct 13 check): 1 of 15 checked rivals show one: MR&amp;HM Was price $23.99 vs $21.59 (+11%).</t>
        </is>
      </c>
    </row>
    <row r="127" ht="18" customHeight="1">
      <c r="A127" s="104" t="inlineStr">
        <is>
          <t>•  Our BFCM 2025: 0.74x daily sales in BFCM week vs the 30 days before; TACoS 1.3% vs 0.0% before; December 0.76x.</t>
        </is>
      </c>
    </row>
  </sheetData>
  <autoFilter ref="B106:BH121"/>
  <mergeCells count="67">
    <mergeCell ref="A15:BH15"/>
    <mergeCell ref="A90:C90"/>
    <mergeCell ref="L5:Q5"/>
    <mergeCell ref="A89:C89"/>
    <mergeCell ref="A98:BH98"/>
    <mergeCell ref="A1:BH1"/>
    <mergeCell ref="A103:BH103"/>
    <mergeCell ref="Q11:T11"/>
    <mergeCell ref="AA105:AQ105"/>
    <mergeCell ref="L8:Q8"/>
    <mergeCell ref="A123:BH123"/>
    <mergeCell ref="A95:C95"/>
    <mergeCell ref="L4:Q4"/>
    <mergeCell ref="D7:I7"/>
    <mergeCell ref="A13:D13"/>
    <mergeCell ref="A124:BH124"/>
    <mergeCell ref="I13:L13"/>
    <mergeCell ref="A87:BH87"/>
    <mergeCell ref="AY105:BH105"/>
    <mergeCell ref="A16:BH16"/>
    <mergeCell ref="A99:BH99"/>
    <mergeCell ref="D4:I4"/>
    <mergeCell ref="L10:Q10"/>
    <mergeCell ref="E12:H12"/>
    <mergeCell ref="Q13:T13"/>
    <mergeCell ref="D9:I9"/>
    <mergeCell ref="U12:X12"/>
    <mergeCell ref="L9:Q9"/>
    <mergeCell ref="Q12:T12"/>
    <mergeCell ref="A91:C91"/>
    <mergeCell ref="A11:D11"/>
    <mergeCell ref="AR105:AX105"/>
    <mergeCell ref="I11:L11"/>
    <mergeCell ref="A96:C96"/>
    <mergeCell ref="A3:BH3"/>
    <mergeCell ref="L6:Q6"/>
    <mergeCell ref="D8:I8"/>
    <mergeCell ref="A4:B9"/>
    <mergeCell ref="T6:Y6"/>
    <mergeCell ref="A105:H105"/>
    <mergeCell ref="A104:BH104"/>
    <mergeCell ref="A127:BH127"/>
    <mergeCell ref="A93:C93"/>
    <mergeCell ref="D5:I5"/>
    <mergeCell ref="M11:P11"/>
    <mergeCell ref="X105:Z105"/>
    <mergeCell ref="A126:BH126"/>
    <mergeCell ref="U11:X11"/>
    <mergeCell ref="A97:BH97"/>
    <mergeCell ref="A100:BH100"/>
    <mergeCell ref="E13:H13"/>
    <mergeCell ref="D10:I10"/>
    <mergeCell ref="L7:Q7"/>
    <mergeCell ref="T5:Y5"/>
    <mergeCell ref="A125:BH125"/>
    <mergeCell ref="A94:C94"/>
    <mergeCell ref="A12:D12"/>
    <mergeCell ref="M13:P13"/>
    <mergeCell ref="I12:L12"/>
    <mergeCell ref="U13:X13"/>
    <mergeCell ref="A88:C88"/>
    <mergeCell ref="A102:BH102"/>
    <mergeCell ref="M12:P12"/>
    <mergeCell ref="K105:W105"/>
    <mergeCell ref="T4:Y4"/>
    <mergeCell ref="D6:I6"/>
    <mergeCell ref="E11:H11"/>
  </mergeCells>
  <conditionalFormatting sqref="N107:N121">
    <cfRule type="expression" priority="1" dxfId="1">
      <formula>N107="&lt;=12% STR zone"</formula>
    </cfRule>
  </conditionalFormatting>
  <conditionalFormatting sqref="W107:W121">
    <cfRule type="expression" priority="2" dxfId="0">
      <formula>AND(ISNUMBER(W107),W107&lt;DATE(2026,10,6))</formula>
    </cfRule>
  </conditionalFormatting>
  <conditionalFormatting sqref="Q107:Q121">
    <cfRule type="expression" priority="3" dxfId="0">
      <formula>ISNUMBER(SEARCH("STALE",Q107))</formula>
    </cfRule>
  </conditionalFormatting>
  <conditionalFormatting sqref="P107:P121">
    <cfRule type="expression" priority="4" dxfId="0">
      <formula>AND(ISNUMBER(P107),P107&lt;0)</formula>
    </cfRule>
  </conditionalFormatting>
  <dataValidations count="3">
    <dataValidation sqref="AR107:AR121 BG107:BG121" showDropDown="0" showInputMessage="0" showErrorMessage="0" allowBlank="1" type="list">
      <formula1>"Y,N"</formula1>
    </dataValidation>
    <dataValidation sqref="AS107:AS121" showDropDown="0" showInputMessage="0" showErrorMessage="0" allowBlank="1" type="list">
      <formula1>"List Price,Typical price,Was price,None"</formula1>
    </dataValidation>
    <dataValidation sqref="AY107:AY12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2.xml><?xml version="1.0" encoding="utf-8"?>
<worksheet xmlns="http://schemas.openxmlformats.org/spreadsheetml/2006/main">
  <sheetPr>
    <outlinePr summaryBelow="1" summaryRight="1"/>
    <pageSetUpPr/>
  </sheetPr>
  <dimension ref="A1:BH9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Silk Pillowcase  ·  Amazon.com (US)  ·  Silk  ·  BFCM role: Gifting  ·  Scope: Other</t>
        </is>
      </c>
    </row>
    <row r="2">
      <c r="A2" s="53" t="inlineStr">
        <is>
          <t>← Dashboard</t>
        </is>
      </c>
    </row>
    <row r="3" ht="20" customHeight="1">
      <c r="A3" s="54" t="inlineStr">
        <is>
          <t>1 · OUR PRODUCT</t>
        </is>
      </c>
    </row>
    <row r="4" ht="34" customHeight="1">
      <c r="A4" s="10">
        <f>_xlfn.IMAGE("https://images-na.ssl-images-amazon.com/images/I/81Rbj21EicL.jpg")</f>
        <v/>
      </c>
      <c r="C4" s="11" t="inlineStr">
        <is>
          <t>Title</t>
        </is>
      </c>
      <c r="D4" s="12" t="inlineStr">
        <is>
          <t>DECOLURE 100% Pure Mulberry Silk Pillow Case Standard Size – Highest Grade 30 Momme 6A+, Luxuriously Soft &amp; Cooling Silk Pillowcase for Hair &amp; Skin, Hypoallergenic, Breathable, Hidden Zipper (White)</t>
        </is>
      </c>
      <c r="K4" s="11" t="inlineStr">
        <is>
          <t>Sizes</t>
        </is>
      </c>
      <c r="L4" s="55" t="inlineStr">
        <is>
          <t>King, Queen, Standard</t>
        </is>
      </c>
      <c r="S4" s="11" t="inlineStr">
        <is>
          <t>Break-even ACoS</t>
        </is>
      </c>
      <c r="T4" s="55" t="inlineStr">
        <is>
          <t>37%</t>
        </is>
      </c>
    </row>
    <row r="5" ht="22" customHeight="1">
      <c r="C5" s="11" t="inlineStr">
        <is>
          <t>Brand</t>
        </is>
      </c>
      <c r="D5" s="55" t="inlineStr">
        <is>
          <t>Decolure</t>
        </is>
      </c>
      <c r="K5" s="11" t="inlineStr">
        <is>
          <t>Colours</t>
        </is>
      </c>
      <c r="L5" s="55" t="inlineStr">
        <is>
          <t>Champagne, Coral, Grey, Ivory, Silver Grey, White</t>
        </is>
      </c>
      <c r="S5" s="11" t="inlineStr">
        <is>
          <t>Units last 28 days</t>
        </is>
      </c>
      <c r="T5" s="55" t="inlineStr">
        <is>
          <t>125</t>
        </is>
      </c>
    </row>
    <row r="6" ht="22" customHeight="1">
      <c r="C6" s="11" t="inlineStr">
        <is>
          <t>Marketplace</t>
        </is>
      </c>
      <c r="D6" s="55" t="inlineStr">
        <is>
          <t>Amazon.com (US)</t>
        </is>
      </c>
      <c r="K6" s="11" t="inlineStr">
        <is>
          <t>Price now, best child</t>
        </is>
      </c>
      <c r="L6" s="55" t="inlineStr">
        <is>
          <t>$44.95 (Helium 10 Xray, 2026-10-13)</t>
        </is>
      </c>
      <c r="S6" s="11" t="inlineStr">
        <is>
          <t>Command Center product ASIN</t>
        </is>
      </c>
      <c r="T6" s="55" t="inlineStr">
        <is>
          <t>B0DBR7PBVP (one of our child ASINs, not the Amazon parent)</t>
        </is>
      </c>
    </row>
    <row r="7" ht="22" customHeight="1">
      <c r="C7" s="11" t="inlineStr">
        <is>
          <t>Parent ASIN (Amazon)</t>
        </is>
      </c>
      <c r="D7" s="55" t="inlineStr">
        <is>
          <t>B0DQQQWYPT</t>
        </is>
      </c>
      <c r="K7" s="11" t="inlineStr">
        <is>
          <t>Rating / reviews now</t>
        </is>
      </c>
      <c r="L7" s="55" t="inlineStr">
        <is>
          <t>4.5 / 335 (Helium 10 Xray, 2026-10-13)</t>
        </is>
      </c>
    </row>
    <row r="8" ht="22" customHeight="1">
      <c r="C8" s="11" t="inlineStr">
        <is>
          <t>Best-selling child ASIN</t>
        </is>
      </c>
      <c r="D8" s="55" t="inlineStr">
        <is>
          <t>B0DBR5SY67</t>
        </is>
      </c>
      <c r="K8" s="11" t="inlineStr">
        <is>
          <t>Live prices held</t>
        </is>
      </c>
      <c r="L8" s="55" t="inlineStr">
        <is>
          <t>17 of 18 variations</t>
        </is>
      </c>
    </row>
    <row r="9" ht="22" customHeight="1">
      <c r="C9" s="11" t="inlineStr">
        <is>
          <t>Stage</t>
        </is>
      </c>
      <c r="D9" s="55" t="inlineStr">
        <is>
          <t>Re-Launch</t>
        </is>
      </c>
      <c r="K9" s="11" t="inlineStr">
        <is>
          <t>Blended price (Command Center)</t>
        </is>
      </c>
      <c r="L9" s="55" t="inlineStr">
        <is>
          <t>$50.20 - fee feed as of 2026-03-30, STALE</t>
        </is>
      </c>
    </row>
    <row r="10">
      <c r="C10" s="11" t="inlineStr">
        <is>
          <t>Total variations (SKUs)</t>
        </is>
      </c>
      <c r="D10" s="55" t="n">
        <v>18</v>
      </c>
      <c r="K10" s="11" t="inlineStr">
        <is>
          <t>Contribution / unit</t>
        </is>
      </c>
      <c r="L10" s="55" t="inlineStr">
        <is>
          <t>$18.46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1.35x</t>
        </is>
      </c>
      <c r="E12" s="57" t="inlineStr">
        <is>
          <t>33.6%</t>
        </is>
      </c>
      <c r="I12" s="57" t="inlineStr">
        <is>
          <t>2.99x</t>
        </is>
      </c>
      <c r="M12" s="57" t="inlineStr">
        <is>
          <t>29</t>
        </is>
      </c>
      <c r="Q12" s="57" t="inlineStr">
        <is>
          <t>25</t>
        </is>
      </c>
      <c r="U12" s="57" t="inlineStr">
        <is>
          <t>2</t>
        </is>
      </c>
    </row>
    <row r="13">
      <c r="A13" s="58" t="inlineStr">
        <is>
          <t>daily sales, BFCM wk vs 30 days before (SellerBoard actual)</t>
        </is>
      </c>
      <c r="E13" s="58" t="inlineStr">
        <is>
          <t>vs 31.6%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(18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_xlfn.IMAGE("https://m.media-amazon.com/images/I/81Rbj21EicL.jpg")</f>
        <v/>
      </c>
      <c r="B18" s="32" t="inlineStr">
        <is>
          <t>B0DBR5SY67</t>
        </is>
      </c>
      <c r="C18" s="32" t="inlineStr">
        <is>
          <t>SILK-PILLOWCASE-STANDARD-WHITE-1PCS</t>
        </is>
      </c>
      <c r="D18" s="32" t="inlineStr">
        <is>
          <t>DECOLURE 100% Pure Mulberry Silk Pillow Case Standard Size – Highest Grade 30 Momme 6A+, Luxuriously Soft &amp; Cooling Silk Pillowcase for Hair &amp; Skin, Hypoallergenic, Breathable, Hidden Zipper (White)</t>
        </is>
      </c>
      <c r="E18" s="32" t="inlineStr">
        <is>
          <t>Standard</t>
        </is>
      </c>
      <c r="F18" s="32" t="inlineStr">
        <is>
          <t>White</t>
        </is>
      </c>
      <c r="G18" s="60" t="n">
        <v>44.95</v>
      </c>
      <c r="H18" s="32" t="inlineStr">
        <is>
          <t>Helium 10 Xray, 2026-10-13</t>
        </is>
      </c>
      <c r="I18" s="61" t="n">
        <v>44.95</v>
      </c>
      <c r="J18" s="62" t="inlineStr">
        <is>
          <t>2026-03-30</t>
        </is>
      </c>
      <c r="K18" s="33" t="n">
        <v>17</v>
      </c>
      <c r="L18" s="63" t="n">
        <v>0.3781979977753058</v>
      </c>
      <c r="M18" s="64" t="n">
        <v>26</v>
      </c>
      <c r="N18" s="32" t="inlineStr">
        <is>
          <t>Active</t>
        </is>
      </c>
      <c r="O18" s="32" t="inlineStr">
        <is>
          <t>Yes (53%)</t>
        </is>
      </c>
      <c r="P18" s="65" t="n">
        <v>4.5</v>
      </c>
      <c r="Q18" s="64" t="n">
        <v>335</v>
      </c>
      <c r="R18" s="64" t="n">
        <v>143786</v>
      </c>
      <c r="S18" s="64" t="n">
        <v>15</v>
      </c>
      <c r="T18" s="32" t="n"/>
    </row>
    <row r="19" ht="62" customHeight="1">
      <c r="A19" s="10">
        <f>_xlfn.IMAGE("https://m.media-amazon.com/images/I/811Ne2sYFzL.jpg")</f>
        <v/>
      </c>
      <c r="B19" s="32" t="inlineStr">
        <is>
          <t>B0DBR8G7GH</t>
        </is>
      </c>
      <c r="C19" s="32" t="inlineStr">
        <is>
          <t>SILK-PILLOWCASE-STANDARD-CHAMPAGNE-1PCS</t>
        </is>
      </c>
      <c r="D19" s="32" t="inlineStr">
        <is>
          <t>DECOLURE 100% Pure Mulberry Silk Pillow Case Standard Size – High Grade 30 Momme 6A+, Luxuriously Soft &amp; Cooling Silk Pillowcase for Hair &amp; Skin, Hypoallergenic, Breathable, Hidden Zipper (Champagne)</t>
        </is>
      </c>
      <c r="E19" s="32" t="inlineStr">
        <is>
          <t>Standard</t>
        </is>
      </c>
      <c r="F19" s="32" t="inlineStr">
        <is>
          <t>Champagne</t>
        </is>
      </c>
      <c r="G19" s="60" t="n">
        <v>44.95</v>
      </c>
      <c r="H19" s="32" t="inlineStr">
        <is>
          <t>Helium 10 Xray, 2026-10-13</t>
        </is>
      </c>
      <c r="I19" s="61" t="n">
        <v>44.95</v>
      </c>
      <c r="J19" s="62" t="inlineStr">
        <is>
          <t>2026-03-30</t>
        </is>
      </c>
      <c r="K19" s="33" t="n">
        <v>15.23</v>
      </c>
      <c r="L19" s="63" t="n">
        <v>0.3388209121245829</v>
      </c>
      <c r="M19" s="64" t="n">
        <v>15</v>
      </c>
      <c r="N19" s="32" t="inlineStr">
        <is>
          <t>Active</t>
        </is>
      </c>
      <c r="O19" s="32" t="n"/>
      <c r="P19" s="65" t="n">
        <v>4.5</v>
      </c>
      <c r="Q19" s="64" t="n">
        <v>335</v>
      </c>
      <c r="R19" s="64" t="n">
        <v>143786</v>
      </c>
      <c r="S19" s="64" t="n">
        <v>21</v>
      </c>
      <c r="T19" s="32" t="n"/>
    </row>
    <row r="20" ht="62" customHeight="1">
      <c r="A20" s="10">
        <f>_xlfn.IMAGE("https://m.media-amazon.com/images/I/81FnucJ3DfL.jpg")</f>
        <v/>
      </c>
      <c r="B20" s="32" t="inlineStr">
        <is>
          <t>B0DBR9GXG4</t>
        </is>
      </c>
      <c r="C20" s="32" t="inlineStr">
        <is>
          <t>SILK-PILLOWCASE-QUEEN-IVORY-1PCS</t>
        </is>
      </c>
      <c r="D20" s="32" t="inlineStr">
        <is>
          <t>DECOLURE 100% Pure Mulberry Silk Pillow Case Queen Size – Highest Grade 30 Momme 6A+, Luxuriously Soft &amp; Cooling Silk Pillowcase for Hair &amp; Skin, Hypoallergenic, Breathable, Hidden Zipper (Ivory)</t>
        </is>
      </c>
      <c r="E20" s="32" t="inlineStr">
        <is>
          <t>Queen</t>
        </is>
      </c>
      <c r="F20" s="32" t="inlineStr">
        <is>
          <t>Ivory</t>
        </is>
      </c>
      <c r="G20" s="60" t="n">
        <v>49.95</v>
      </c>
      <c r="H20" s="32" t="inlineStr">
        <is>
          <t>Helium 10 Xray, 2026-10-13</t>
        </is>
      </c>
      <c r="I20" s="61" t="n">
        <v>49.95</v>
      </c>
      <c r="J20" s="62" t="inlineStr">
        <is>
          <t>2026-03-30</t>
        </is>
      </c>
      <c r="K20" s="33" t="n">
        <v>18.11</v>
      </c>
      <c r="L20" s="63" t="n">
        <v>0.3625625625625625</v>
      </c>
      <c r="M20" s="64" t="n">
        <v>11</v>
      </c>
      <c r="N20" s="32" t="inlineStr">
        <is>
          <t>Active</t>
        </is>
      </c>
      <c r="O20" s="32" t="n"/>
      <c r="P20" s="65" t="n">
        <v>4.5</v>
      </c>
      <c r="Q20" s="64" t="n">
        <v>335</v>
      </c>
      <c r="R20" s="64" t="n">
        <v>143792</v>
      </c>
      <c r="S20" s="64" t="n">
        <v>8</v>
      </c>
      <c r="T20" s="32" t="n"/>
    </row>
    <row r="21" ht="62" customHeight="1">
      <c r="A21" s="10">
        <f>_xlfn.IMAGE("https://m.media-amazon.com/images/I/81FnucJ3DfL.jpg")</f>
        <v/>
      </c>
      <c r="B21" s="32" t="inlineStr">
        <is>
          <t>B0DBR99M41</t>
        </is>
      </c>
      <c r="C21" s="32" t="inlineStr">
        <is>
          <t>SILK-PILLOWCASE-STANDARD-IVORY-1PCS</t>
        </is>
      </c>
      <c r="D21" s="32" t="inlineStr">
        <is>
          <t>DECOLURE 100% Pure Mulberry Silk Pillow Case Standard Size – Highest Grade 30 Momme 6A+, Luxuriously Soft &amp; Cooling Silk Pillowcase for Hair &amp; Skin, Hypoallergenic, Breathable, Hidden Zipper (Ivory)</t>
        </is>
      </c>
      <c r="E21" s="32" t="inlineStr">
        <is>
          <t>Standard</t>
        </is>
      </c>
      <c r="F21" s="32" t="inlineStr">
        <is>
          <t>Ivory</t>
        </is>
      </c>
      <c r="G21" s="60" t="n">
        <v>44.95</v>
      </c>
      <c r="H21" s="32" t="inlineStr">
        <is>
          <t>Helium 10 Xray, 2026-10-13</t>
        </is>
      </c>
      <c r="I21" s="61" t="n">
        <v>44.95</v>
      </c>
      <c r="J21" s="62" t="inlineStr">
        <is>
          <t>2026-03-30</t>
        </is>
      </c>
      <c r="K21" s="33" t="n">
        <v>17.48</v>
      </c>
      <c r="L21" s="63" t="n">
        <v>0.3888765294771968</v>
      </c>
      <c r="M21" s="64" t="n">
        <v>10</v>
      </c>
      <c r="N21" s="32" t="inlineStr">
        <is>
          <t>Active</t>
        </is>
      </c>
      <c r="O21" s="32" t="n"/>
      <c r="P21" s="65" t="n">
        <v>4.5</v>
      </c>
      <c r="Q21" s="64" t="n">
        <v>335</v>
      </c>
      <c r="R21" s="64" t="n">
        <v>143786</v>
      </c>
      <c r="S21" s="64" t="n">
        <v>19</v>
      </c>
      <c r="T21" s="32" t="n"/>
    </row>
    <row r="22" ht="62" customHeight="1">
      <c r="A22" s="10">
        <f>_xlfn.IMAGE("https://m.media-amazon.com/images/I/81QzYYkfGtL.jpg")</f>
        <v/>
      </c>
      <c r="B22" s="32" t="inlineStr">
        <is>
          <t>B0DBRL13MZ</t>
        </is>
      </c>
      <c r="C22" s="32" t="inlineStr">
        <is>
          <t>SILK-PILLOWCASE-KING-SILVER GREY-1PCS</t>
        </is>
      </c>
      <c r="D22" s="32" t="inlineStr">
        <is>
          <t>DECOLURE 100% Pure Mulberry Silk Pillow Case King Size – Highest Grade 30 Momme 6A+, Luxuriously Soft &amp; Cooling Silk Pillowcase for Hair &amp; Skin, Hypoallergenic, Breathable, Hidden Zipper (Silver Grey)</t>
        </is>
      </c>
      <c r="E22" s="32" t="inlineStr">
        <is>
          <t>King</t>
        </is>
      </c>
      <c r="F22" s="32" t="inlineStr">
        <is>
          <t>Silver Grey</t>
        </is>
      </c>
      <c r="G22" s="60" t="n">
        <v>54.95</v>
      </c>
      <c r="H22" s="32" t="inlineStr">
        <is>
          <t>Helium 10 Xray, 2026-10-13</t>
        </is>
      </c>
      <c r="I22" s="61" t="n">
        <v>54.99</v>
      </c>
      <c r="J22" s="62" t="inlineStr">
        <is>
          <t>2026-03-30</t>
        </is>
      </c>
      <c r="K22" s="33" t="n">
        <v>18.76</v>
      </c>
      <c r="L22" s="63" t="n">
        <v>0.3411529368976178</v>
      </c>
      <c r="M22" s="64" t="n">
        <v>9</v>
      </c>
      <c r="N22" s="32" t="inlineStr">
        <is>
          <t>Active</t>
        </is>
      </c>
      <c r="O22" s="32" t="n"/>
      <c r="P22" s="65" t="n">
        <v>4.5</v>
      </c>
      <c r="Q22" s="64" t="n">
        <v>335</v>
      </c>
      <c r="R22" s="64" t="n">
        <v>143792</v>
      </c>
      <c r="S22" s="64" t="n">
        <v>4</v>
      </c>
      <c r="T22" s="32" t="n"/>
    </row>
    <row r="23" ht="62" customHeight="1">
      <c r="A23" s="10">
        <f>_xlfn.IMAGE("https://m.media-amazon.com/images/I/81Rbj21EicL.jpg")</f>
        <v/>
      </c>
      <c r="B23" s="32" t="inlineStr">
        <is>
          <t>B0DBR8Y5Y2</t>
        </is>
      </c>
      <c r="C23" s="32" t="inlineStr">
        <is>
          <t>SILK-PILLOWCASE-KING-WHITE-1PCS</t>
        </is>
      </c>
      <c r="D23" s="32" t="inlineStr">
        <is>
          <t>DECOLURE 100% Pure Mulberry Silk Pillow Case King Size – Highest Grade 30 Momme 6A+, Luxuriously Soft &amp; Cooling Silk Pillowcase for Hair &amp; Skin, Hypoallergenic, Breathable, Hidden Zipper (White)</t>
        </is>
      </c>
      <c r="E23" s="32" t="inlineStr">
        <is>
          <t>King</t>
        </is>
      </c>
      <c r="F23" s="32" t="inlineStr">
        <is>
          <t>White</t>
        </is>
      </c>
      <c r="G23" s="60" t="n">
        <v>54.95</v>
      </c>
      <c r="H23" s="32" t="inlineStr">
        <is>
          <t>Helium 10 Xray, 2026-10-13</t>
        </is>
      </c>
      <c r="I23" s="61" t="n">
        <v>70.98999999999999</v>
      </c>
      <c r="J23" s="62" t="inlineStr">
        <is>
          <t>2026-03-30</t>
        </is>
      </c>
      <c r="K23" s="33" t="n">
        <v>32.64</v>
      </c>
      <c r="L23" s="63" t="n">
        <v>0.4597830680377518</v>
      </c>
      <c r="M23" s="64" t="n">
        <v>8</v>
      </c>
      <c r="N23" s="32" t="inlineStr">
        <is>
          <t>Active</t>
        </is>
      </c>
      <c r="O23" s="32" t="inlineStr">
        <is>
          <t>Yes (34%)</t>
        </is>
      </c>
      <c r="P23" s="65" t="n">
        <v>4.5</v>
      </c>
      <c r="Q23" s="64" t="n">
        <v>335</v>
      </c>
      <c r="R23" s="64" t="n">
        <v>143792</v>
      </c>
      <c r="S23" s="64" t="n">
        <v>6</v>
      </c>
      <c r="T23" s="32" t="n"/>
    </row>
    <row r="24" ht="62" customHeight="1">
      <c r="A24" s="10">
        <f>_xlfn.IMAGE("https://m.media-amazon.com/images/I/71b3XYQujYL.jpg")</f>
        <v/>
      </c>
      <c r="B24" s="32" t="inlineStr">
        <is>
          <t>B0DBR9B5ZX</t>
        </is>
      </c>
      <c r="C24" s="32" t="inlineStr">
        <is>
          <t>SILK-PILLOWCASE-STANDARD-SILVERGREY-1PC</t>
        </is>
      </c>
      <c r="D24" s="32" t="inlineStr">
        <is>
          <t>DECOLURE 100% Pure Mulberry Silk Pillow Case Standard Size – Highest Grade 30 Momme 6A+, Luxuriously Soft &amp; Cooling Silk Pillowcase for Hair &amp; Skin, Hypoallergenic, Breathable, Hidden Zipper (Silver)</t>
        </is>
      </c>
      <c r="E24" s="32" t="inlineStr">
        <is>
          <t>Standard</t>
        </is>
      </c>
      <c r="F24" s="32" t="inlineStr">
        <is>
          <t>Silver Grey</t>
        </is>
      </c>
      <c r="G24" s="60" t="n">
        <v>44.95</v>
      </c>
      <c r="H24" s="32" t="inlineStr">
        <is>
          <t>Helium 10 Xray, 2026-10-13</t>
        </is>
      </c>
      <c r="I24" s="61" t="n">
        <v>44.95</v>
      </c>
      <c r="J24" s="62" t="inlineStr">
        <is>
          <t>2026-03-30</t>
        </is>
      </c>
      <c r="K24" s="33" t="n">
        <v>16.11</v>
      </c>
      <c r="L24" s="63" t="n">
        <v>0.3583982202447163</v>
      </c>
      <c r="M24" s="64" t="n">
        <v>7</v>
      </c>
      <c r="N24" s="32" t="inlineStr">
        <is>
          <t>Active</t>
        </is>
      </c>
      <c r="O24" s="32" t="n"/>
      <c r="P24" s="65" t="n">
        <v>4.5</v>
      </c>
      <c r="Q24" s="64" t="n">
        <v>335</v>
      </c>
      <c r="R24" s="64" t="n">
        <v>143792</v>
      </c>
      <c r="S24" s="64" t="n">
        <v>19</v>
      </c>
      <c r="T24" s="32" t="n"/>
    </row>
    <row r="25" ht="62" customHeight="1">
      <c r="A25" s="10">
        <f>_xlfn.IMAGE("https://m.media-amazon.com/images/I/811Ne2sYFzL.jpg")</f>
        <v/>
      </c>
      <c r="B25" s="32" t="inlineStr">
        <is>
          <t>B0DBR61W7F</t>
        </is>
      </c>
      <c r="C25" s="32" t="inlineStr">
        <is>
          <t>SILK-PILLOWCASE-QUEEN-CHAMPAGNE-1PCS</t>
        </is>
      </c>
      <c r="D25" s="32" t="inlineStr">
        <is>
          <t>DECOLURE 100% Pure Mulberry Silk Pillow Case Queen Size – Highest Grade 30 Momme 6A+, Luxuriously Soft &amp; Cooling Silk Pillowcase for Hair &amp; Skin, Hypoallergenic, Breathable, Hidden Zipper (Champagne)</t>
        </is>
      </c>
      <c r="E25" s="32" t="inlineStr">
        <is>
          <t>Queen</t>
        </is>
      </c>
      <c r="F25" s="32" t="inlineStr">
        <is>
          <t>Champagne</t>
        </is>
      </c>
      <c r="G25" s="60" t="n">
        <v>49.95</v>
      </c>
      <c r="H25" s="32" t="inlineStr">
        <is>
          <t>Helium 10 Xray, 2026-10-13</t>
        </is>
      </c>
      <c r="I25" s="61" t="n">
        <v>49.95</v>
      </c>
      <c r="J25" s="62" t="inlineStr">
        <is>
          <t>2026-03-30</t>
        </is>
      </c>
      <c r="K25" s="33" t="n"/>
      <c r="L25" s="63" t="n"/>
      <c r="M25" s="64" t="n">
        <v>6</v>
      </c>
      <c r="N25" s="32" t="inlineStr">
        <is>
          <t>Active</t>
        </is>
      </c>
      <c r="O25" s="32" t="n"/>
      <c r="P25" s="65" t="n">
        <v>4.5</v>
      </c>
      <c r="Q25" s="64" t="n">
        <v>335</v>
      </c>
      <c r="R25" s="64" t="n">
        <v>143786</v>
      </c>
      <c r="S25" s="64" t="n">
        <v>8</v>
      </c>
      <c r="T25" s="32" t="n"/>
    </row>
    <row r="26" ht="62" customHeight="1">
      <c r="A26" s="10">
        <f>_xlfn.IMAGE("https://m.media-amazon.com/images/I/81l7C-3WHOL.jpg")</f>
        <v/>
      </c>
      <c r="B26" s="32" t="inlineStr">
        <is>
          <t>B0DBRS4FDL</t>
        </is>
      </c>
      <c r="C26" s="32" t="inlineStr">
        <is>
          <t>SILK-PILLOWCASE-STANDARD-CORAL-1PCS</t>
        </is>
      </c>
      <c r="D26" s="32" t="inlineStr">
        <is>
          <t>DECOLURE 100% Pure Mulberry Silk Pillow Case Standard Size – Highest Grade 30 Momme 6A+, Luxuriously Soft &amp; Cooling Silk Pillowcase for Hair &amp; Skin, Hypoallergenic, Breathable, Hidden Zipper (Coral)</t>
        </is>
      </c>
      <c r="E26" s="32" t="inlineStr">
        <is>
          <t>Standard</t>
        </is>
      </c>
      <c r="F26" s="32" t="inlineStr">
        <is>
          <t>Coral</t>
        </is>
      </c>
      <c r="G26" s="60" t="n">
        <v>44.95</v>
      </c>
      <c r="H26" s="32" t="inlineStr">
        <is>
          <t>Helium 10 Xray, 2026-10-13</t>
        </is>
      </c>
      <c r="I26" s="61" t="n">
        <v>55.99</v>
      </c>
      <c r="J26" s="62" t="inlineStr">
        <is>
          <t>2026-03-30</t>
        </is>
      </c>
      <c r="K26" s="33" t="n">
        <v>17.94</v>
      </c>
      <c r="L26" s="63" t="n">
        <v>0.3204143597070906</v>
      </c>
      <c r="M26" s="64" t="n">
        <v>6</v>
      </c>
      <c r="N26" s="32" t="inlineStr">
        <is>
          <t>Active</t>
        </is>
      </c>
      <c r="O26" s="32" t="n"/>
      <c r="P26" s="65" t="n">
        <v>4.5</v>
      </c>
      <c r="Q26" s="64" t="n">
        <v>335</v>
      </c>
      <c r="R26" s="64" t="n">
        <v>143792</v>
      </c>
      <c r="S26" s="64" t="n">
        <v>20</v>
      </c>
      <c r="T26" s="32" t="n"/>
    </row>
    <row r="27" ht="62" customHeight="1">
      <c r="A27" s="10">
        <f>_xlfn.IMAGE("https://m.media-amazon.com/images/I/81AOC7pOanL.jpg")</f>
        <v/>
      </c>
      <c r="B27" s="32" t="inlineStr">
        <is>
          <t>B0DBR948NX</t>
        </is>
      </c>
      <c r="C27" s="32" t="inlineStr">
        <is>
          <t>SILK-PILLOWCASE-STANDARD-GREY-1PCS</t>
        </is>
      </c>
      <c r="D27" s="32" t="inlineStr">
        <is>
          <t>DECOLURE 100% Pure Mulberry Silk Pillow Case Standard Size – Highest Grade 30 Momme 6A+, Luxuriously Soft &amp; Cooling Silk Pillowcase for Hair &amp; Skin, Hypoallergenic, Breathable, Hidden Zipper (Grey)</t>
        </is>
      </c>
      <c r="E27" s="32" t="inlineStr">
        <is>
          <t>Standard</t>
        </is>
      </c>
      <c r="F27" s="32" t="inlineStr">
        <is>
          <t>Grey</t>
        </is>
      </c>
      <c r="G27" s="60" t="n">
        <v>44.95</v>
      </c>
      <c r="H27" s="32" t="inlineStr">
        <is>
          <t>Helium 10 Xray, 2026-10-13</t>
        </is>
      </c>
      <c r="I27" s="61" t="n">
        <v>44.95</v>
      </c>
      <c r="J27" s="62" t="inlineStr">
        <is>
          <t>2026-03-30</t>
        </is>
      </c>
      <c r="K27" s="33" t="n">
        <v>13.03</v>
      </c>
      <c r="L27" s="63" t="n">
        <v>0.2898776418242491</v>
      </c>
      <c r="M27" s="64" t="n">
        <v>6</v>
      </c>
      <c r="N27" s="32" t="inlineStr">
        <is>
          <t>Active</t>
        </is>
      </c>
      <c r="O27" s="32" t="n"/>
      <c r="P27" s="65" t="n">
        <v>4.5</v>
      </c>
      <c r="Q27" s="64" t="n">
        <v>335</v>
      </c>
      <c r="R27" s="64" t="n">
        <v>143792</v>
      </c>
      <c r="S27" s="64" t="n">
        <v>18</v>
      </c>
      <c r="T27" s="32" t="n"/>
    </row>
    <row r="28" ht="62" customHeight="1">
      <c r="A28" s="10">
        <f>_xlfn.IMAGE("https://m.media-amazon.com/images/I/81AOC7pOanL.jpg")</f>
        <v/>
      </c>
      <c r="B28" s="32" t="inlineStr">
        <is>
          <t>B0DBR73C9R</t>
        </is>
      </c>
      <c r="C28" s="32" t="inlineStr">
        <is>
          <t>SILK-PILLOWCASE-KING-GREY-1PCS</t>
        </is>
      </c>
      <c r="D28" s="32" t="inlineStr">
        <is>
          <t>DECOLURE 100% Pure Mulberry Silk Pillow Case King Size – Highest Grade 30 Momme 6A+, Luxuriously Soft &amp; Cooling Silk Pillowcase for Hair &amp; Skin, Hypoallergenic, Breathable, Hidden Zipper (Grey)</t>
        </is>
      </c>
      <c r="E28" s="32" t="inlineStr">
        <is>
          <t>King</t>
        </is>
      </c>
      <c r="F28" s="32" t="inlineStr">
        <is>
          <t>Grey</t>
        </is>
      </c>
      <c r="G28" s="60" t="n">
        <v>54.95</v>
      </c>
      <c r="H28" s="32" t="inlineStr">
        <is>
          <t>Helium 10 Xray, 2026-10-13</t>
        </is>
      </c>
      <c r="I28" s="61" t="n">
        <v>70.98999999999999</v>
      </c>
      <c r="J28" s="62" t="inlineStr">
        <is>
          <t>2026-03-30</t>
        </is>
      </c>
      <c r="K28" s="33" t="n">
        <v>32.59</v>
      </c>
      <c r="L28" s="63" t="n">
        <v>0.4590787434849979</v>
      </c>
      <c r="M28" s="64" t="n">
        <v>4</v>
      </c>
      <c r="N28" s="32" t="inlineStr">
        <is>
          <t>Active</t>
        </is>
      </c>
      <c r="O28" s="32" t="n"/>
      <c r="P28" s="65" t="n">
        <v>4.5</v>
      </c>
      <c r="Q28" s="64" t="n">
        <v>335</v>
      </c>
      <c r="R28" s="64" t="n">
        <v>143786</v>
      </c>
      <c r="S28" s="64" t="n">
        <v>4</v>
      </c>
      <c r="T28" s="32" t="n"/>
    </row>
    <row r="29" ht="62" customHeight="1">
      <c r="A29" s="10">
        <f>_xlfn.IMAGE("https://m.media-amazon.com/images/I/81Rbj21EicL.jpg")</f>
        <v/>
      </c>
      <c r="B29" s="32" t="inlineStr">
        <is>
          <t>B0DBRBSH2R</t>
        </is>
      </c>
      <c r="C29" s="32" t="inlineStr">
        <is>
          <t>SILK-PILLOWCASE-QUEEN-WHITE-1PCS</t>
        </is>
      </c>
      <c r="D29" s="32" t="inlineStr">
        <is>
          <t>DECOLURE 100% Pure Mulberry Silk Pillow Case Queen Size – Highest Grade 30 Momme 6A+, Luxuriously Soft &amp; Cooling Silk Pillowcase for Hair &amp; Skin, Hypoallergenic, Breathable, Hidden Zipper (White)</t>
        </is>
      </c>
      <c r="E29" s="32" t="inlineStr">
        <is>
          <t>Queen</t>
        </is>
      </c>
      <c r="F29" s="32" t="inlineStr">
        <is>
          <t>White</t>
        </is>
      </c>
      <c r="G29" s="60" t="n">
        <v>49.95</v>
      </c>
      <c r="H29" s="32" t="inlineStr">
        <is>
          <t>Helium 10 Xray, 2026-10-13</t>
        </is>
      </c>
      <c r="I29" s="61" t="n">
        <v>49.99</v>
      </c>
      <c r="J29" s="62" t="inlineStr">
        <is>
          <t>2026-03-30</t>
        </is>
      </c>
      <c r="K29" s="33" t="n">
        <v>18.5</v>
      </c>
      <c r="L29" s="63" t="n">
        <v>0.3700740148029606</v>
      </c>
      <c r="M29" s="64" t="n">
        <v>4</v>
      </c>
      <c r="N29" s="32" t="inlineStr">
        <is>
          <t>Active</t>
        </is>
      </c>
      <c r="O29" s="32" t="n"/>
      <c r="P29" s="65" t="n">
        <v>4.5</v>
      </c>
      <c r="Q29" s="64" t="n">
        <v>335</v>
      </c>
      <c r="R29" s="64" t="n">
        <v>143786</v>
      </c>
      <c r="S29" s="64" t="n">
        <v>7</v>
      </c>
      <c r="T29" s="32" t="n"/>
    </row>
    <row r="30" ht="62" customHeight="1">
      <c r="A30" s="10">
        <f>_xlfn.IMAGE("https://m.media-amazon.com/images/I/811Ne2sYFzL.jpg")</f>
        <v/>
      </c>
      <c r="B30" s="32" t="inlineStr">
        <is>
          <t>B0DBR7PBVP</t>
        </is>
      </c>
      <c r="C30" s="32" t="inlineStr">
        <is>
          <t>SILK-PILLOWCASE-KING-CHAMPAGNE-1PCS</t>
        </is>
      </c>
      <c r="D30" s="32" t="inlineStr">
        <is>
          <t>DECOLURE 100% Pure Mulberry Silk Pillow Case King Size – Highest Grade 30 Momme 6A+, Luxuriously Soft &amp; Cooling Silk Pillowcase for Hair &amp; Skin, Hypoallergenic, Breathable, Hidden Zipper (Champagne)</t>
        </is>
      </c>
      <c r="E30" s="32" t="inlineStr">
        <is>
          <t>King</t>
        </is>
      </c>
      <c r="F30" s="32" t="inlineStr">
        <is>
          <t>Champagne</t>
        </is>
      </c>
      <c r="G30" s="60" t="n">
        <v>54.95</v>
      </c>
      <c r="H30" s="32" t="inlineStr">
        <is>
          <t>Helium 10 Xray, 2026-10-13</t>
        </is>
      </c>
      <c r="I30" s="33" t="n"/>
      <c r="J30" s="32" t="n"/>
      <c r="K30" s="33" t="n"/>
      <c r="L30" s="63" t="n"/>
      <c r="M30" s="64" t="n">
        <v>3</v>
      </c>
      <c r="N30" s="32" t="inlineStr">
        <is>
          <t>Active</t>
        </is>
      </c>
      <c r="O30" s="32" t="n"/>
      <c r="P30" s="65" t="n">
        <v>4.5</v>
      </c>
      <c r="Q30" s="64" t="n">
        <v>335</v>
      </c>
      <c r="R30" s="64" t="n">
        <v>143792</v>
      </c>
      <c r="S30" s="64" t="n">
        <v>4</v>
      </c>
      <c r="T30" s="32" t="n"/>
    </row>
    <row r="31" ht="62" customHeight="1">
      <c r="A31" s="10">
        <f>_xlfn.IMAGE("https://m.media-amazon.com/images/I/81l7C-3WHOL.jpg")</f>
        <v/>
      </c>
      <c r="B31" s="32" t="inlineStr">
        <is>
          <t>B0DBR855WF</t>
        </is>
      </c>
      <c r="C31" s="32" t="inlineStr">
        <is>
          <t>SILK-PILLOWCASE-KING-CORAL-1PCS</t>
        </is>
      </c>
      <c r="D31" s="32" t="inlineStr">
        <is>
          <t>DECOLURE 100% Pure Mulberry Silk Pillow Case King Size – Highest Grade 30 Momme 6A+, Luxuriously Soft &amp; Cooling Silk Pillowcase for Hair &amp; Skin, Hypoallergenic, Breathable, Hidden Zipper (Coral)</t>
        </is>
      </c>
      <c r="E31" s="32" t="inlineStr">
        <is>
          <t>King</t>
        </is>
      </c>
      <c r="F31" s="32" t="inlineStr">
        <is>
          <t>Coral</t>
        </is>
      </c>
      <c r="G31" s="60" t="n">
        <v>54.95</v>
      </c>
      <c r="H31" s="32" t="inlineStr">
        <is>
          <t>Helium 10 Xray, 2026-10-13</t>
        </is>
      </c>
      <c r="I31" s="61" t="n">
        <v>54.95</v>
      </c>
      <c r="J31" s="62" t="inlineStr">
        <is>
          <t>2026-03-30</t>
        </is>
      </c>
      <c r="K31" s="33" t="n">
        <v>18.96</v>
      </c>
      <c r="L31" s="63" t="n">
        <v>0.3450409463148317</v>
      </c>
      <c r="M31" s="64" t="n">
        <v>3</v>
      </c>
      <c r="N31" s="32" t="inlineStr">
        <is>
          <t>Active</t>
        </is>
      </c>
      <c r="O31" s="32" t="n"/>
      <c r="P31" s="65" t="n">
        <v>4.5</v>
      </c>
      <c r="Q31" s="64" t="n">
        <v>335</v>
      </c>
      <c r="R31" s="64" t="n">
        <v>143792</v>
      </c>
      <c r="S31" s="64" t="n">
        <v>4</v>
      </c>
      <c r="T31" s="32" t="n"/>
    </row>
    <row r="32" ht="62" customHeight="1">
      <c r="A32" s="10">
        <f>_xlfn.IMAGE("https://m.media-amazon.com/images/I/81AOC7pOanL.jpg")</f>
        <v/>
      </c>
      <c r="B32" s="32" t="inlineStr">
        <is>
          <t>B0DBR9LLGV</t>
        </is>
      </c>
      <c r="C32" s="32" t="inlineStr">
        <is>
          <t>SILK-PILLOWCASE-QUEEN-GREY-1PCS</t>
        </is>
      </c>
      <c r="D32" s="32" t="inlineStr">
        <is>
          <t>DECOLURE 100% Pure Mulberry Silk Pillow Case Queen Size – Highest Grade 30 Momme 6A+, Luxuriously Soft &amp; Cooling Silk Pillowcase for Hair &amp; Skin, Hypoallergenic, Breathable, Hidden Zipper (Grey)</t>
        </is>
      </c>
      <c r="E32" s="32" t="inlineStr">
        <is>
          <t>Queen</t>
        </is>
      </c>
      <c r="F32" s="32" t="inlineStr">
        <is>
          <t>Grey</t>
        </is>
      </c>
      <c r="G32" s="60" t="n">
        <v>49.95</v>
      </c>
      <c r="H32" s="32" t="inlineStr">
        <is>
          <t>Helium 10 Xray, 2026-10-13</t>
        </is>
      </c>
      <c r="I32" s="61" t="n">
        <v>49.99</v>
      </c>
      <c r="J32" s="62" t="inlineStr">
        <is>
          <t>2026-03-30</t>
        </is>
      </c>
      <c r="K32" s="33" t="n">
        <v>15.46</v>
      </c>
      <c r="L32" s="63" t="n">
        <v>0.3092618523704741</v>
      </c>
      <c r="M32" s="64" t="n">
        <v>3</v>
      </c>
      <c r="N32" s="32" t="inlineStr">
        <is>
          <t>Active</t>
        </is>
      </c>
      <c r="O32" s="32" t="n"/>
      <c r="P32" s="65" t="n">
        <v>4.5</v>
      </c>
      <c r="Q32" s="64" t="n">
        <v>335</v>
      </c>
      <c r="R32" s="64" t="n">
        <v>143792</v>
      </c>
      <c r="S32" s="64" t="n">
        <v>7</v>
      </c>
      <c r="T32" s="32" t="n"/>
    </row>
    <row r="33" ht="62" customHeight="1">
      <c r="A33" s="10">
        <f>_xlfn.IMAGE("https://m.media-amazon.com/images/I/81QzYYkfGtL.jpg")</f>
        <v/>
      </c>
      <c r="B33" s="32" t="inlineStr">
        <is>
          <t>B0DBRB2B8J</t>
        </is>
      </c>
      <c r="C33" s="32" t="inlineStr">
        <is>
          <t>SILK-PILLOWCASE-QUEEN-SILVER GREY-1PCS</t>
        </is>
      </c>
      <c r="D33" s="32" t="inlineStr">
        <is>
          <t>DECOLURE 100% Pure Mulberry Silk Pillow Case Queen Size – Highest Grade 30 Momme 6A+, Luxuriously Soft &amp; Cooling Silk Pillowcase for Hair &amp; Skin, Hypoallergenic, Breathable, Hidden Zipper (Silver)</t>
        </is>
      </c>
      <c r="E33" s="32" t="inlineStr">
        <is>
          <t>Queen</t>
        </is>
      </c>
      <c r="F33" s="32" t="inlineStr">
        <is>
          <t>Silver Grey</t>
        </is>
      </c>
      <c r="G33" s="60" t="n">
        <v>49.95</v>
      </c>
      <c r="H33" s="32" t="inlineStr">
        <is>
          <t>Helium 10 Xray, 2026-10-13</t>
        </is>
      </c>
      <c r="I33" s="61" t="n">
        <v>49.95</v>
      </c>
      <c r="J33" s="62" t="inlineStr">
        <is>
          <t>2026-03-30</t>
        </is>
      </c>
      <c r="K33" s="33" t="n">
        <v>15.18</v>
      </c>
      <c r="L33" s="63" t="n">
        <v>0.3039039039039039</v>
      </c>
      <c r="M33" s="64" t="n">
        <v>3</v>
      </c>
      <c r="N33" s="32" t="inlineStr">
        <is>
          <t>Active</t>
        </is>
      </c>
      <c r="O33" s="32" t="n"/>
      <c r="P33" s="65" t="n">
        <v>4.5</v>
      </c>
      <c r="Q33" s="64" t="n">
        <v>335</v>
      </c>
      <c r="R33" s="64" t="n">
        <v>143792</v>
      </c>
      <c r="S33" s="64" t="n">
        <v>7</v>
      </c>
      <c r="T33" s="32" t="n"/>
    </row>
    <row r="34" ht="62" customHeight="1">
      <c r="A34" s="10">
        <f>_xlfn.IMAGE("https://m.media-amazon.com/images/I/81l7C-3WHOL.jpg")</f>
        <v/>
      </c>
      <c r="B34" s="32" t="inlineStr">
        <is>
          <t>B0DBR771WD</t>
        </is>
      </c>
      <c r="C34" s="32" t="inlineStr">
        <is>
          <t>SILK-PILLOWCASE-QUEEN-CORAL-1PCS</t>
        </is>
      </c>
      <c r="D34" s="32" t="inlineStr">
        <is>
          <t>DECOLURE 100% Pure Mulberry Silk Pillow Case Queen Size – Highest Grade 30 Momme 6A+, Luxuriously Soft &amp; Cooling Silk Pillowcase for Hair &amp; Skin, Hypoallergenic, Breathable, Hidden Zipper (Coral)</t>
        </is>
      </c>
      <c r="E34" s="32" t="inlineStr">
        <is>
          <t>Queen</t>
        </is>
      </c>
      <c r="F34" s="32" t="inlineStr">
        <is>
          <t>Coral</t>
        </is>
      </c>
      <c r="G34" s="60" t="n">
        <v>49.95</v>
      </c>
      <c r="H34" s="32" t="inlineStr">
        <is>
          <t>Helium 10 Xray, 2026-10-13</t>
        </is>
      </c>
      <c r="I34" s="61" t="n">
        <v>49.99</v>
      </c>
      <c r="J34" s="62" t="inlineStr">
        <is>
          <t>2026-03-30</t>
        </is>
      </c>
      <c r="K34" s="33" t="n">
        <v>15.21</v>
      </c>
      <c r="L34" s="63" t="n">
        <v>0.3042608521704341</v>
      </c>
      <c r="M34" s="64" t="n">
        <v>1</v>
      </c>
      <c r="N34" s="32" t="inlineStr">
        <is>
          <t>Active</t>
        </is>
      </c>
      <c r="O34" s="32" t="n"/>
      <c r="P34" s="65" t="n">
        <v>4.5</v>
      </c>
      <c r="Q34" s="64" t="n">
        <v>335</v>
      </c>
      <c r="R34" s="64" t="n">
        <v>143792</v>
      </c>
      <c r="S34" s="64" t="n">
        <v>7</v>
      </c>
      <c r="T34" s="32" t="n"/>
    </row>
    <row r="35" ht="62" customHeight="1">
      <c r="A35" s="10">
        <f>_xlfn.IMAGE("https://m.media-amazon.com/images/I/81FnucJ3DfL.jpg")</f>
        <v/>
      </c>
      <c r="B35" s="32" t="inlineStr">
        <is>
          <t>B0DBR716DJ</t>
        </is>
      </c>
      <c r="C35" s="32" t="inlineStr">
        <is>
          <t>SILK-PILLOWCASE-KING-IVORY-1PCS</t>
        </is>
      </c>
      <c r="D35" s="32" t="inlineStr">
        <is>
          <t>DECOLURE 100% Pure Mulberry Silk Pillow Case King Size – Highest Grade 30 Momme 6A+, Luxuriously Soft &amp; Cooling Silk Pillowcase for Hair &amp; Skin, Hypoallergenic, Breathable, Hidden Zipper (Ivory)</t>
        </is>
      </c>
      <c r="E35" s="32" t="inlineStr">
        <is>
          <t>King</t>
        </is>
      </c>
      <c r="F35" s="32" t="inlineStr">
        <is>
          <t>Ivory</t>
        </is>
      </c>
      <c r="G35" s="33" t="n"/>
      <c r="H35" s="32" t="n"/>
      <c r="I35" s="61" t="n">
        <v>54.95</v>
      </c>
      <c r="J35" s="62" t="inlineStr">
        <is>
          <t>2026-03-30</t>
        </is>
      </c>
      <c r="K35" s="33" t="n">
        <v>18.73</v>
      </c>
      <c r="L35" s="63" t="n">
        <v>0.3408553230209281</v>
      </c>
      <c r="M35" s="64" t="n"/>
      <c r="N35" s="32" t="inlineStr">
        <is>
          <t>Inactive</t>
        </is>
      </c>
      <c r="O35" s="32" t="n"/>
      <c r="P35" s="65" t="n"/>
      <c r="Q35" s="64" t="n"/>
      <c r="R35" s="64" t="n"/>
      <c r="S35" s="64" t="n"/>
      <c r="T35" s="32" t="n"/>
    </row>
    <row r="37" ht="20" customHeight="1">
      <c r="A37" s="54" t="inlineStr">
        <is>
          <t>3 · OUR BFCM 2025 RESULT &amp; EVENT VISIBILITY</t>
        </is>
      </c>
    </row>
    <row r="38">
      <c r="A38" s="67" t="inlineStr">
        <is>
          <t>Window</t>
        </is>
      </c>
      <c r="B38" s="68" t="n"/>
      <c r="C38" s="69" t="n"/>
      <c r="D38" s="67" t="inlineStr">
        <is>
          <t>Ad spend</t>
        </is>
      </c>
      <c r="E38" s="67" t="inlineStr">
        <is>
          <t>Ad sales</t>
        </is>
      </c>
      <c r="F38" s="67" t="inlineStr">
        <is>
          <t>ACoS</t>
        </is>
      </c>
      <c r="G38" s="67" t="inlineStr">
        <is>
          <t>TACoS</t>
        </is>
      </c>
      <c r="H38" s="67" t="inlineStr">
        <is>
          <t>Total sales (derived)</t>
        </is>
      </c>
      <c r="J38" s="67" t="inlineStr">
        <is>
          <t>Ad orders</t>
        </is>
      </c>
      <c r="K38" s="67" t="inlineStr">
        <is>
          <t>CVR</t>
        </is>
      </c>
    </row>
    <row r="39">
      <c r="A39" s="70" t="inlineStr">
        <is>
          <t>Pre-event Oct 21 - Nov 19, 2025 (30d)</t>
        </is>
      </c>
      <c r="B39" s="68" t="n"/>
      <c r="C39" s="69" t="n"/>
      <c r="D39" s="71" t="n">
        <v>3005.58</v>
      </c>
      <c r="E39" s="71" t="n">
        <v>6317.499999999999</v>
      </c>
      <c r="F39" s="72" t="n">
        <v>47.6</v>
      </c>
      <c r="G39" s="72" t="n">
        <v>31.62772979872651</v>
      </c>
      <c r="H39" s="71" t="n">
        <v>9502.99</v>
      </c>
      <c r="J39" s="73" t="n">
        <v>99</v>
      </c>
      <c r="K39" s="74" t="n">
        <v>9.24</v>
      </c>
    </row>
    <row r="40">
      <c r="A40" s="70" t="inlineStr">
        <is>
          <t>BFCM week Nov 20 - Dec 1, 2025 (12d)</t>
        </is>
      </c>
      <c r="B40" s="68" t="n"/>
      <c r="C40" s="69" t="n"/>
      <c r="D40" s="71" t="n">
        <v>1726.4</v>
      </c>
      <c r="E40" s="71" t="n">
        <v>3131.57</v>
      </c>
      <c r="F40" s="72" t="n">
        <v>55.1</v>
      </c>
      <c r="G40" s="72" t="n">
        <v>33.57161191963349</v>
      </c>
      <c r="H40" s="71" t="n">
        <v>5142.44</v>
      </c>
      <c r="J40" s="73" t="n">
        <v>56</v>
      </c>
      <c r="K40" s="74" t="n">
        <v>8.26</v>
      </c>
    </row>
    <row r="41">
      <c r="A41" s="70" t="inlineStr">
        <is>
          <t>December 2 - 31, 2025 (30d)</t>
        </is>
      </c>
      <c r="B41" s="68" t="n"/>
      <c r="C41" s="69" t="n"/>
      <c r="D41" s="71" t="n">
        <v>4100.75</v>
      </c>
      <c r="E41" s="71" t="n">
        <v>15012.38</v>
      </c>
      <c r="F41" s="72" t="n">
        <v>27.3</v>
      </c>
      <c r="G41" s="72" t="n">
        <v>14.43817261657044</v>
      </c>
      <c r="H41" s="71" t="n">
        <v>28402.14</v>
      </c>
      <c r="J41" s="73" t="n">
        <v>250</v>
      </c>
      <c r="K41" s="74" t="n">
        <v>13.51</v>
      </c>
    </row>
    <row r="43">
      <c r="A43" s="67" t="inlineStr">
        <is>
          <t>Actual sales (SellerBoard)</t>
        </is>
      </c>
      <c r="B43" s="68" t="n"/>
      <c r="C43" s="69" t="n"/>
      <c r="D43" s="67" t="inlineStr">
        <is>
          <t>Sales</t>
        </is>
      </c>
      <c r="E43" s="67" t="inlineStr">
        <is>
          <t>Units</t>
        </is>
      </c>
      <c r="F43" s="67" t="inlineStr">
        <is>
          <t>Organic units</t>
        </is>
      </c>
      <c r="G43" s="67" t="inlineStr">
        <is>
          <t>Ad units</t>
        </is>
      </c>
      <c r="H43" s="67" t="inlineStr">
        <is>
          <t>Ad cost</t>
        </is>
      </c>
      <c r="J43" s="67" t="inlineStr">
        <is>
          <t>TACoS (actual)</t>
        </is>
      </c>
      <c r="K43" s="67" t="inlineStr">
        <is>
          <t>Sessions</t>
        </is>
      </c>
      <c r="L43" s="67" t="inlineStr">
        <is>
          <t>Unit session %</t>
        </is>
      </c>
      <c r="M43" s="67" t="inlineStr">
        <is>
          <t>Avg price</t>
        </is>
      </c>
      <c r="N43" s="67" t="inlineStr">
        <is>
          <t>Refunds</t>
        </is>
      </c>
    </row>
    <row r="44">
      <c r="A44" s="70" t="inlineStr">
        <is>
          <t>Pre-event Oct 21 - Nov 19, 2025 (30d)</t>
        </is>
      </c>
      <c r="B44" s="68" t="n"/>
      <c r="C44" s="69" t="n"/>
      <c r="D44" s="71" t="n">
        <v>9502.99</v>
      </c>
      <c r="E44" s="73" t="n">
        <v>189</v>
      </c>
      <c r="F44" s="73" t="n">
        <v>175</v>
      </c>
      <c r="G44" s="73" t="n">
        <v>14</v>
      </c>
      <c r="H44" s="71" t="n">
        <v>3013.44</v>
      </c>
      <c r="J44" s="75" t="n">
        <v>0.3171044060869264</v>
      </c>
      <c r="K44" s="73" t="n">
        <v>3572</v>
      </c>
      <c r="L44" s="75" t="n">
        <v>0.05291153415453528</v>
      </c>
      <c r="M44" s="76" t="n">
        <v>50.28037037037037</v>
      </c>
      <c r="N44" s="73" t="n">
        <v>15</v>
      </c>
    </row>
    <row r="45">
      <c r="A45" s="70" t="inlineStr">
        <is>
          <t>BFCM week Nov 20 - Dec 1, 2025 (12d)</t>
        </is>
      </c>
      <c r="B45" s="68" t="n"/>
      <c r="C45" s="69" t="n"/>
      <c r="D45" s="71" t="n">
        <v>5142.44</v>
      </c>
      <c r="E45" s="73" t="n">
        <v>104</v>
      </c>
      <c r="F45" s="73" t="n">
        <v>86</v>
      </c>
      <c r="G45" s="73" t="n">
        <v>18</v>
      </c>
      <c r="H45" s="71" t="n">
        <v>1726.4</v>
      </c>
      <c r="J45" s="75" t="n">
        <v>0.3357161191963349</v>
      </c>
      <c r="K45" s="73" t="n">
        <v>2158</v>
      </c>
      <c r="L45" s="75" t="n">
        <v>0.04819277108433735</v>
      </c>
      <c r="M45" s="76" t="n">
        <v>49.44653846153846</v>
      </c>
      <c r="N45" s="73" t="n">
        <v>10</v>
      </c>
    </row>
    <row r="46">
      <c r="A46" s="70" t="inlineStr">
        <is>
          <t>December 2 - 31, 2025 (30d)</t>
        </is>
      </c>
      <c r="B46" s="68" t="n"/>
      <c r="C46" s="69" t="n"/>
      <c r="D46" s="71" t="n">
        <v>28402.14</v>
      </c>
      <c r="E46" s="73" t="n">
        <v>583</v>
      </c>
      <c r="F46" s="73" t="n">
        <v>519</v>
      </c>
      <c r="G46" s="73" t="n">
        <v>64</v>
      </c>
      <c r="H46" s="71" t="n">
        <v>4117.56</v>
      </c>
      <c r="J46" s="75" t="n">
        <v>0.144973582976494</v>
      </c>
      <c r="K46" s="73" t="n">
        <v>6855</v>
      </c>
      <c r="L46" s="75" t="n">
        <v>0.0850474106491612</v>
      </c>
      <c r="M46" s="76" t="n">
        <v>48.71722126929674</v>
      </c>
      <c r="N46" s="73" t="n">
        <v>28</v>
      </c>
    </row>
    <row r="47">
      <c r="A47" s="59" t="inlineStr">
        <is>
          <t>SellerBoard, Ecotero account, Amazon parent B0DQQQWYPT plus any of this product's child ASINs SellerBoard lists on their own, UTC days. Lift above uses these actual sales (1.35x; the ad-spend estimate was 1.35x).</t>
        </is>
      </c>
    </row>
    <row r="48" ht="30" customHeight="1">
      <c r="A48" s="77" t="inlineStr">
        <is>
          <t>Deals we ran or scheduled, Nov 1 - Dec 5, 2025 (DataHub promotions; scheduled deal price not in the feed. Keepa price = lowest Buy Box seen during the deal, an observation for the hero child only, not the scheduled deal price): Lightning Deal 11-09 to 11-10 (cancelled, 14 variations); Best Deal 11-20 to 12-02 (cancelled, 18 variations).</t>
        </is>
      </c>
    </row>
    <row r="49" ht="26" customHeight="1">
      <c r="A49" s="77" t="inlineStr">
        <is>
          <t>Stock in BFCM week 2025 (FBA inventory snapshots, child-ASIN level, revision 2): 4 of 15 variations hit zero FBA stock on at least one observed day; weighted by today's sales mix that is ~7.2% of variation-days lost. Most important: B0DBR948NX 1/4 days; B0DBRBSH2R 9/9 days; B0DBR7PBVP 5/9 days; B0DBR771WD 9/9 days. Snapshots missing: US Nov 26-27 and Dec 1 (Cyber Monday); CA Nov 24, 29-30.</t>
        </is>
      </c>
    </row>
    <row r="50">
      <c r="A50" s="59" t="inlineStr">
        <is>
          <t>Command Center visibility for our best child B0DBR5SY67: organic score 68.9 before BFCM 2025 → 95.4 in BFCM week; Prime Day 2026 89.0 → 115.5; Aug-Sep 2026 137.5.</t>
        </is>
      </c>
    </row>
    <row r="52" ht="20" customHeight="1">
      <c r="A52" s="54" t="inlineStr">
        <is>
          <t>4 · COMPETITOR LANDSCAPE (29 mapped)</t>
        </is>
      </c>
    </row>
    <row r="53">
      <c r="A53" s="59" t="inlineStr">
        <is>
          <t>Sorted by tier, then estimated weekly units. Green = Command Center price/sales; blue = Data Dive listing; purple = Command Center search strategy (ASINsight); yellow = fill from Keepa / page check.</t>
        </is>
      </c>
    </row>
    <row r="54">
      <c r="A54" s="78" t="inlineStr">
        <is>
          <t>COMPETITOR</t>
        </is>
      </c>
      <c r="I54" s="79" t="inlineStr">
        <is>
          <t>LISTING - Data Dive</t>
        </is>
      </c>
      <c r="J54" s="80" t="inlineStr">
        <is>
          <t>SEARCH STRATEGY - Command Center ASINsight</t>
        </is>
      </c>
      <c r="K54" s="81" t="inlineStr">
        <is>
          <t>PRICE &amp; SALES - Command Center snapshot (date per row)</t>
        </is>
      </c>
      <c r="X54" s="79" t="inlineStr">
        <is>
          <t>LISTING - Data Dive</t>
        </is>
      </c>
      <c r="AA54" s="80" t="inlineStr">
        <is>
          <t>SEARCH STRATEGY - Command Center ASINsight</t>
        </is>
      </c>
      <c r="AR54" s="82" t="inlineStr">
        <is>
          <t>STR NOW - Amazon page check (Oct 13, P1 + P2)</t>
        </is>
      </c>
      <c r="AY54" s="83" t="inlineStr">
        <is>
          <t>BFCM 2025 - Keepa (P1 filled; yellow = not pulled yet)</t>
        </is>
      </c>
    </row>
    <row r="55" ht="48" customHeight="1">
      <c r="A55" s="22" t="inlineStr">
        <is>
          <t>Image</t>
        </is>
      </c>
      <c r="B55" s="22" t="inlineStr">
        <is>
          <t>Brand</t>
        </is>
      </c>
      <c r="C55" s="22" t="inlineStr">
        <is>
          <t>Product title</t>
        </is>
      </c>
      <c r="D55" s="22" t="inlineStr">
        <is>
          <t>Tier</t>
        </is>
      </c>
      <c r="E55" s="22" t="inlineStr">
        <is>
          <t>Parent ASIN</t>
        </is>
      </c>
      <c r="F55" s="22" t="inlineStr">
        <is>
          <t>Tracked child ASIN</t>
        </is>
      </c>
      <c r="G55" s="22" t="inlineStr">
        <is>
          <t>Size (title)</t>
        </is>
      </c>
      <c r="H55" s="22" t="inlineStr">
        <is>
          <t>Colour (title)</t>
        </is>
      </c>
      <c r="I55" s="22" t="inlineStr">
        <is>
          <t>Variations</t>
        </is>
      </c>
      <c r="J55" s="22" t="inlineStr">
        <is>
          <t>Hero child ASINs (share of their visibility)</t>
        </is>
      </c>
      <c r="K55" s="22" t="inlineStr">
        <is>
          <t>Price ($)</t>
        </is>
      </c>
      <c r="L55" s="22" t="inlineStr">
        <is>
          <t>List Price ($)</t>
        </is>
      </c>
      <c r="M55" s="22" t="inlineStr">
        <is>
          <t>List Price % over</t>
        </is>
      </c>
      <c r="N55" s="22" t="inlineStr">
        <is>
          <t>STR band</t>
        </is>
      </c>
      <c r="O55" s="22" t="inlineStr">
        <is>
          <t>Our price, same size ($)</t>
        </is>
      </c>
      <c r="P55" s="22" t="inlineStr">
        <is>
          <t>Their price vs ours</t>
        </is>
      </c>
      <c r="Q55" s="22" t="inlineStr">
        <is>
          <t>Comparison basis</t>
        </is>
      </c>
      <c r="R55" s="22" t="inlineStr">
        <is>
          <t>BSR</t>
        </is>
      </c>
      <c r="S55" s="22" t="inlineStr">
        <is>
          <t>Est weekly units</t>
        </is>
      </c>
      <c r="T55" s="22" t="inlineStr">
        <is>
          <t>Est monthly revenue ($)</t>
        </is>
      </c>
      <c r="U55" s="22" t="inlineStr">
        <is>
          <t>Rating</t>
        </is>
      </c>
      <c r="V55" s="22" t="inlineStr">
        <is>
          <t>Reviews</t>
        </is>
      </c>
      <c r="W55" s="22" t="inlineStr">
        <is>
          <t>Snapshot date</t>
        </is>
      </c>
      <c r="X55" s="22" t="inlineStr">
        <is>
          <t>Listed</t>
        </is>
      </c>
      <c r="Y55" s="22" t="inlineStr">
        <is>
          <t>Fulfil.</t>
        </is>
      </c>
      <c r="Z55" s="22" t="inlineStr">
        <is>
          <t>Seller country</t>
        </is>
      </c>
      <c r="AA55" s="22" t="inlineStr">
        <is>
          <t>ASINsight 7d traffic</t>
        </is>
      </c>
      <c r="AB55" s="22" t="inlineStr">
        <is>
          <t>Keywords ranked</t>
        </is>
      </c>
      <c r="AC55" s="22" t="inlineStr">
        <is>
          <t>Organic share of traffic</t>
        </is>
      </c>
      <c r="AD55" s="22" t="inlineStr">
        <is>
          <t>Ad share of traffic</t>
        </is>
      </c>
      <c r="AE55" s="22" t="inlineStr">
        <is>
          <t>Top keyword</t>
        </is>
      </c>
      <c r="AF55" s="22" t="inlineStr">
        <is>
          <t>SP reach</t>
        </is>
      </c>
      <c r="AG55" s="22" t="inlineStr">
        <is>
          <t>SB reach</t>
        </is>
      </c>
      <c r="AH55" s="22" t="inlineStr">
        <is>
          <t>SB video reach</t>
        </is>
      </c>
      <c r="AI55" s="22" t="inlineStr">
        <is>
          <t>Amazon's Choice reach</t>
        </is>
      </c>
      <c r="AJ55" s="22" t="inlineStr">
        <is>
          <t>Shared keywords</t>
        </is>
      </c>
      <c r="AK55" s="22" t="inlineStr">
        <is>
          <t>We win</t>
        </is>
      </c>
      <c r="AL55" s="22" t="inlineStr">
        <is>
          <t>We lose</t>
        </is>
      </c>
      <c r="AM55" s="22" t="inlineStr">
        <is>
          <t>Their keywords we miss</t>
        </is>
      </c>
      <c r="AN55" s="22" t="inlineStr">
        <is>
          <t>KWs they advertise, we don't</t>
        </is>
      </c>
      <c r="AO55" s="22" t="inlineStr">
        <is>
          <t>KWs they out-advertise us</t>
        </is>
      </c>
      <c r="AP55" s="22" t="inlineStr">
        <is>
          <t>Prime Day 2026 organic vis lift</t>
        </is>
      </c>
      <c r="AQ55" s="22" t="inlineStr">
        <is>
          <t>Organic trend (Aug-Sep vs Q2)</t>
        </is>
      </c>
      <c r="AR55" s="22" t="inlineStr">
        <is>
          <t>STR showing now? (Y/N)</t>
        </is>
      </c>
      <c r="AS55" s="22" t="inlineStr">
        <is>
          <t>STR label</t>
        </is>
      </c>
      <c r="AT55" s="22" t="inlineStr">
        <is>
          <t>Strikethrough price ($)</t>
        </is>
      </c>
      <c r="AU55" s="22" t="inlineStr">
        <is>
          <t>Page price at check ($)</t>
        </is>
      </c>
      <c r="AV55" s="22" t="inlineStr">
        <is>
          <t>Deal / coupon now</t>
        </is>
      </c>
      <c r="AW55" s="22" t="inlineStr">
        <is>
          <t>Orderable now (Y/N)</t>
        </is>
      </c>
      <c r="AX55" s="22" t="inlineStr">
        <is>
          <t>Checked (ET)</t>
        </is>
      </c>
      <c r="AY55" s="22" t="inlineStr">
        <is>
          <t>BFCM 2025 deal type</t>
        </is>
      </c>
      <c r="AZ55" s="22" t="inlineStr">
        <is>
          <t>BFCM 2025 deal dates</t>
        </is>
      </c>
      <c r="BA55" s="22" t="inlineStr">
        <is>
          <t>Pre-event price ($)</t>
        </is>
      </c>
      <c r="BB55" s="22" t="inlineStr">
        <is>
          <t>BFCM 2025 low ($)</t>
        </is>
      </c>
      <c r="BC55" s="22" t="inlineStr">
        <is>
          <t>BFCM 2025 discount</t>
        </is>
      </c>
      <c r="BD55" s="22" t="inlineStr">
        <is>
          <t>BSR pre-event</t>
        </is>
      </c>
      <c r="BE55" s="22" t="inlineStr">
        <is>
          <t>BSR BFCM wk</t>
        </is>
      </c>
      <c r="BF55" s="22" t="inlineStr">
        <is>
          <t>BSR lift (x)</t>
        </is>
      </c>
      <c r="BG55" s="22" t="inlineStr">
        <is>
          <t>OOS in BFCM? (Y/N)</t>
        </is>
      </c>
      <c r="BH55" s="22" t="inlineStr">
        <is>
          <t>Notes</t>
        </is>
      </c>
    </row>
    <row r="56" ht="62" customHeight="1">
      <c r="A56" s="10">
        <f>_xlfn.IMAGE("https://images-na.ssl-images-amazon.com/images/I/51Tn3ZSyhlL.jpg")</f>
        <v/>
      </c>
      <c r="B56" s="84" t="inlineStr">
        <is>
          <t>INFIIXSO</t>
        </is>
      </c>
      <c r="C56" s="32" t="inlineStr">
        <is>
          <t>Blissy Silk Pillowcase - 100% Pure Mulberry Silk - 22 Momme 6A High-Grade Fibers - Silk Pillow Cover for Hair &amp; Skin - Regular, Queen &amp; King (Blissy White, Standard)</t>
        </is>
      </c>
      <c r="D56" s="84" t="inlineStr">
        <is>
          <t>Aspirational</t>
        </is>
      </c>
      <c r="E56" s="84" t="inlineStr">
        <is>
          <t>B0D9FCH7Q5</t>
        </is>
      </c>
      <c r="F56" s="84" t="inlineStr">
        <is>
          <t>B0BBSSRNHM</t>
        </is>
      </c>
      <c r="G56" s="84" t="inlineStr">
        <is>
          <t>Queen</t>
        </is>
      </c>
      <c r="H56" s="84" t="inlineStr">
        <is>
          <t>Blissy White</t>
        </is>
      </c>
      <c r="I56" s="85" t="n">
        <v>67</v>
      </c>
      <c r="J56" s="32" t="inlineStr">
        <is>
          <t>B0BBSSRNHM (51%), B0BFDH1DL4 (12%), B0BBSTPJDP (10%), B0BFDGWX25 (8%)</t>
        </is>
      </c>
      <c r="K56" s="86" t="n">
        <v>57.98</v>
      </c>
      <c r="L56" s="86" t="n"/>
      <c r="M56" s="87">
        <f>IF(AND(ISNUMBER(L56),ISNUMBER(K56),N(K56)&gt;0),L56/K56-1,"")</f>
        <v/>
      </c>
      <c r="N56" s="88">
        <f>IF(M56="","No List Price",IF(M56&lt;=0,"At/below price",IF(M56&lt;=0.12,"&lt;=12% STR zone",IF(M56&lt;=0.25,"12-25%","&gt;25% over"))))</f>
        <v/>
      </c>
      <c r="O56" s="86" t="n">
        <v>49.95</v>
      </c>
      <c r="P56" s="89">
        <f>IF(AND(ISNUMBER(K56),ISNUMBER(O56),N(O56)&gt;0),K56/O56-1,"")</f>
        <v/>
      </c>
      <c r="Q56" s="32" t="inlineStr">
        <is>
          <t>Same size (Queen). Ours live: Helium 10 Xray, 2026-10-13; 6 children</t>
        </is>
      </c>
      <c r="R56" s="85" t="n">
        <v>346</v>
      </c>
      <c r="S56" s="85" t="n">
        <v>1732</v>
      </c>
      <c r="T56" s="90">
        <f>IF(AND(ISNUMBER(K56),ISNUMBER(S56)),K56*S56*52/12,"")</f>
        <v/>
      </c>
      <c r="U56" s="91" t="n">
        <v>4.5</v>
      </c>
      <c r="V56" s="85" t="n">
        <v>10441</v>
      </c>
      <c r="W56" s="92" t="n">
        <v>46307</v>
      </c>
      <c r="X56" s="92" t="n">
        <v>44824</v>
      </c>
      <c r="Y56" s="84" t="inlineStr">
        <is>
          <t>FBA</t>
        </is>
      </c>
      <c r="Z56" s="84" t="inlineStr">
        <is>
          <t>US</t>
        </is>
      </c>
      <c r="AA56" s="85" t="n">
        <v>772937</v>
      </c>
      <c r="AB56" s="85" t="n">
        <v>1631</v>
      </c>
      <c r="AC56" s="93" t="n">
        <v>0.5177595494846295</v>
      </c>
      <c r="AD56" s="93" t="n">
        <v>0.4822405250363212</v>
      </c>
      <c r="AE56" s="32" t="inlineStr">
        <is>
          <t>silk pillow cases</t>
        </is>
      </c>
      <c r="AF56" s="93" t="n">
        <v>0.9705047112507229</v>
      </c>
      <c r="AG56" s="93" t="n">
        <v>0.8800005692572616</v>
      </c>
      <c r="AH56" s="93" t="n">
        <v>0.4979254454114631</v>
      </c>
      <c r="AI56" s="93" t="n">
        <v>0.2410455185868965</v>
      </c>
      <c r="AJ56" s="85" t="n">
        <v>267</v>
      </c>
      <c r="AK56" s="85" t="n">
        <v>11</v>
      </c>
      <c r="AL56" s="85" t="n">
        <v>243</v>
      </c>
      <c r="AM56" s="85" t="n">
        <v>1364</v>
      </c>
      <c r="AN56" s="85" t="n">
        <v>682</v>
      </c>
      <c r="AO56" s="85" t="n">
        <v>20</v>
      </c>
      <c r="AP56" s="94" t="n">
        <v>1.447018931901667</v>
      </c>
      <c r="AQ56" s="89" t="n">
        <v>0.04067576348278101</v>
      </c>
      <c r="AR56" s="95" t="inlineStr">
        <is>
          <t>N</t>
        </is>
      </c>
      <c r="AS56" s="95" t="inlineStr">
        <is>
          <t>none</t>
        </is>
      </c>
      <c r="AT56" s="101" t="n"/>
      <c r="AU56" s="96" t="n">
        <v>57.98</v>
      </c>
      <c r="AV56" s="95" t="inlineStr">
        <is>
          <t>none</t>
        </is>
      </c>
      <c r="AW56" s="95" t="inlineStr">
        <is>
          <t>Y</t>
        </is>
      </c>
      <c r="AX56" s="95" t="inlineStr">
        <is>
          <t>2026-10-13 23:45:39</t>
        </is>
      </c>
      <c r="AY56" s="102" t="n"/>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10">
        <f>_xlfn.IMAGE("https://images-na.ssl-images-amazon.com/images/I/61h02IUI3OL.jpg")</f>
        <v/>
      </c>
      <c r="B57" s="84" t="inlineStr">
        <is>
          <t>ZIMASILK</t>
        </is>
      </c>
      <c r="C57" s="32" t="inlineStr">
        <is>
          <t>ZIMASILK 100% Pure Mulberry Silk Pillow Cases for Hair and Skin, Soft, Hypoallergenic &amp; Smooth, Both Sides Grade 6A Silk, with Hidden Zipper, Gift for Women Men, 1pc (Queen 20''x30'', Taupe)</t>
        </is>
      </c>
      <c r="D57" s="84" t="inlineStr">
        <is>
          <t>Aspirational</t>
        </is>
      </c>
      <c r="E57" s="84" t="inlineStr">
        <is>
          <t>B01LVZC25I</t>
        </is>
      </c>
      <c r="F57" s="84" t="inlineStr">
        <is>
          <t>B01LVU7THF</t>
        </is>
      </c>
      <c r="G57" s="84" t="inlineStr">
        <is>
          <t>Queen</t>
        </is>
      </c>
      <c r="H57" s="84" t="inlineStr">
        <is>
          <t>Taupe</t>
        </is>
      </c>
      <c r="I57" s="85" t="n">
        <v>115</v>
      </c>
      <c r="J57" s="32" t="inlineStr">
        <is>
          <t>B01LVU7THF (59%), B01LWAH6B4 (9%), B083FH4KF7 (7%), B06XF1XMC2 (6%)</t>
        </is>
      </c>
      <c r="K57" s="86" t="n">
        <v>23.91</v>
      </c>
      <c r="L57" s="86" t="n">
        <v>25.99</v>
      </c>
      <c r="M57" s="87">
        <f>IF(AND(ISNUMBER(L57),ISNUMBER(K57),N(K57)&gt;0),L57/K57-1,"")</f>
        <v/>
      </c>
      <c r="N57" s="88">
        <f>IF(M57="","No List Price",IF(M57&lt;=0,"At/below price",IF(M57&lt;=0.12,"&lt;=12% STR zone",IF(M57&lt;=0.25,"12-25%","&gt;25% over"))))</f>
        <v/>
      </c>
      <c r="O57" s="86" t="n">
        <v>49.95</v>
      </c>
      <c r="P57" s="89">
        <f>IF(AND(ISNUMBER(K57),ISNUMBER(O57),N(O57)&gt;0),K57/O57-1,"")</f>
        <v/>
      </c>
      <c r="Q57" s="32" t="inlineStr">
        <is>
          <t>Same size (Queen). Ours live: Helium 10 Xray, 2026-10-13; 6 children</t>
        </is>
      </c>
      <c r="R57" s="85" t="n">
        <v>532</v>
      </c>
      <c r="S57" s="85" t="n">
        <v>809</v>
      </c>
      <c r="T57" s="90">
        <f>IF(AND(ISNUMBER(K57),ISNUMBER(S57)),K57*S57*52/12,"")</f>
        <v/>
      </c>
      <c r="U57" s="91" t="n">
        <v>4.6</v>
      </c>
      <c r="V57" s="85" t="n">
        <v>52198</v>
      </c>
      <c r="W57" s="92" t="n">
        <v>46307</v>
      </c>
      <c r="X57" s="92" t="n">
        <v>42623</v>
      </c>
      <c r="Y57" s="84" t="inlineStr">
        <is>
          <t>FBA</t>
        </is>
      </c>
      <c r="Z57" s="84" t="inlineStr">
        <is>
          <t>CN</t>
        </is>
      </c>
      <c r="AA57" s="85" t="n">
        <v>576174</v>
      </c>
      <c r="AB57" s="85" t="n">
        <v>1490</v>
      </c>
      <c r="AC57" s="93" t="n">
        <v>0.6856568015911867</v>
      </c>
      <c r="AD57" s="93" t="n">
        <v>0.3143432261782024</v>
      </c>
      <c r="AE57" s="32" t="inlineStr">
        <is>
          <t>silk pillow cases</t>
        </is>
      </c>
      <c r="AF57" s="93" t="n">
        <v>0.9619611436822905</v>
      </c>
      <c r="AG57" s="93" t="n">
        <v>0.8398383127319178</v>
      </c>
      <c r="AH57" s="93" t="n">
        <v>0.8113573330278701</v>
      </c>
      <c r="AI57" s="93" t="n">
        <v>0.1688552416457529</v>
      </c>
      <c r="AJ57" s="85" t="n">
        <v>266</v>
      </c>
      <c r="AK57" s="85" t="n">
        <v>12</v>
      </c>
      <c r="AL57" s="85" t="n">
        <v>245</v>
      </c>
      <c r="AM57" s="85" t="n">
        <v>1224</v>
      </c>
      <c r="AN57" s="85" t="n">
        <v>504</v>
      </c>
      <c r="AO57" s="85" t="n">
        <v>21</v>
      </c>
      <c r="AP57" s="94" t="n">
        <v>0.9883495145631068</v>
      </c>
      <c r="AQ57" s="89" t="n">
        <v>-0.02034217971170671</v>
      </c>
      <c r="AR57" s="95" t="inlineStr">
        <is>
          <t>Y</t>
        </is>
      </c>
      <c r="AS57" s="95" t="inlineStr">
        <is>
          <t>List Price</t>
        </is>
      </c>
      <c r="AT57" s="96" t="n">
        <v>25.99</v>
      </c>
      <c r="AU57" s="96" t="n">
        <v>23.91</v>
      </c>
      <c r="AV57" s="95" t="inlineStr">
        <is>
          <t>none</t>
        </is>
      </c>
      <c r="AW57" s="95" t="inlineStr">
        <is>
          <t>Y</t>
        </is>
      </c>
      <c r="AX57" s="95" t="inlineStr">
        <is>
          <t>2026-10-13 23:47:16</t>
        </is>
      </c>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39" t="inlineStr">
        <is>
          <t>IMAGE MISSING</t>
        </is>
      </c>
      <c r="B58" s="84" t="inlineStr">
        <is>
          <t>PROMEED</t>
        </is>
      </c>
      <c r="C58" s="32" t="inlineStr">
        <is>
          <t>Silk Pillowcase</t>
        </is>
      </c>
      <c r="D58" s="84" t="inlineStr">
        <is>
          <t>Aspirational</t>
        </is>
      </c>
      <c r="E58" s="84" t="inlineStr">
        <is>
          <t>B0HCMWNG9W</t>
        </is>
      </c>
      <c r="F58" s="84" t="inlineStr">
        <is>
          <t>B0B4RH938T</t>
        </is>
      </c>
      <c r="G58" s="84" t="n"/>
      <c r="H58" s="84" t="n"/>
      <c r="I58" s="85" t="n">
        <v>27</v>
      </c>
      <c r="J58" s="32" t="inlineStr">
        <is>
          <t>B0B4RH938T (77%), B0B4RL1Z8T (11%)</t>
        </is>
      </c>
      <c r="K58" s="86" t="n">
        <v>24</v>
      </c>
      <c r="L58" s="86" t="n"/>
      <c r="M58" s="87">
        <f>IF(AND(ISNUMBER(L58),ISNUMBER(K58),N(K58)&gt;0),L58/K58-1,"")</f>
        <v/>
      </c>
      <c r="N58" s="88">
        <f>IF(M58="","No List Price",IF(M58&lt;=0,"At/below price",IF(M58&lt;=0.12,"&lt;=12% STR zone",IF(M58&lt;=0.25,"12-25%","&gt;25% over"))))</f>
        <v/>
      </c>
      <c r="O58" s="86" t="n">
        <v>49.95</v>
      </c>
      <c r="P58" s="89">
        <f>IF(AND(ISNUMBER(K58),ISNUMBER(O58),N(O58)&gt;0),K58/O58-1,"")</f>
        <v/>
      </c>
      <c r="Q58" s="32" t="inlineStr">
        <is>
          <t>Size not stated - vs our Queen. Ours live: Helium 10 Xray, 2026-10-13; 6 children</t>
        </is>
      </c>
      <c r="R58" s="85" t="n">
        <v>9074</v>
      </c>
      <c r="S58" s="85" t="n">
        <v>173</v>
      </c>
      <c r="T58" s="90">
        <f>IF(AND(ISNUMBER(K58),ISNUMBER(S58)),K58*S58*52/12,"")</f>
        <v/>
      </c>
      <c r="U58" s="91" t="n">
        <v>4.5</v>
      </c>
      <c r="V58" s="85" t="n">
        <v>1973</v>
      </c>
      <c r="W58" s="92" t="n">
        <v>46307</v>
      </c>
      <c r="X58" s="92" t="n"/>
      <c r="Y58" s="84" t="n"/>
      <c r="Z58" s="84" t="n"/>
      <c r="AA58" s="85" t="n">
        <v>122186</v>
      </c>
      <c r="AB58" s="85" t="n">
        <v>570</v>
      </c>
      <c r="AC58" s="93" t="n">
        <v>0.8164780989638751</v>
      </c>
      <c r="AD58" s="93" t="n">
        <v>0.1835219272257051</v>
      </c>
      <c r="AE58" s="32" t="inlineStr">
        <is>
          <t>silk pillow cases</t>
        </is>
      </c>
      <c r="AF58" s="93" t="n">
        <v>0.3059761347453882</v>
      </c>
      <c r="AG58" s="93" t="n">
        <v>0.2749496669012816</v>
      </c>
      <c r="AH58" s="93" t="n">
        <v>0.9498305861555334</v>
      </c>
      <c r="AI58" s="93" t="n">
        <v>0.01645851406871491</v>
      </c>
      <c r="AJ58" s="85" t="n">
        <v>235</v>
      </c>
      <c r="AK58" s="85" t="n">
        <v>30</v>
      </c>
      <c r="AL58" s="85" t="n">
        <v>191</v>
      </c>
      <c r="AM58" s="85" t="n">
        <v>335</v>
      </c>
      <c r="AN58" s="85" t="n">
        <v>163</v>
      </c>
      <c r="AO58" s="85" t="n">
        <v>12</v>
      </c>
      <c r="AP58" s="94" t="n">
        <v>1.176358798935766</v>
      </c>
      <c r="AQ58" s="89" t="n">
        <v>-0.1592427616926503</v>
      </c>
      <c r="AR58" s="95" t="inlineStr">
        <is>
          <t>N</t>
        </is>
      </c>
      <c r="AS58" s="95" t="inlineStr">
        <is>
          <t>none</t>
        </is>
      </c>
      <c r="AT58" s="101" t="n"/>
      <c r="AU58" s="96" t="n">
        <v>24</v>
      </c>
      <c r="AV58" s="95" t="inlineStr">
        <is>
          <t>coupon 10%</t>
        </is>
      </c>
      <c r="AW58" s="95" t="inlineStr">
        <is>
          <t>Y</t>
        </is>
      </c>
      <c r="AX58" s="95" t="inlineStr">
        <is>
          <t>2026-10-13 23:46:29</t>
        </is>
      </c>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39" t="inlineStr">
        <is>
          <t>IMAGE MISSING</t>
        </is>
      </c>
      <c r="B59" s="84" t="inlineStr">
        <is>
          <t>ALASKA BEAR</t>
        </is>
      </c>
      <c r="C59" s="32" t="inlineStr">
        <is>
          <t>Silk Pillowcase</t>
        </is>
      </c>
      <c r="D59" s="84" t="inlineStr">
        <is>
          <t>Aspirational</t>
        </is>
      </c>
      <c r="E59" s="84" t="inlineStr">
        <is>
          <t>B01KFPFUAE</t>
        </is>
      </c>
      <c r="F59" s="84" t="inlineStr">
        <is>
          <t>B00KDL108M</t>
        </is>
      </c>
      <c r="G59" s="84" t="n"/>
      <c r="H59" s="84" t="n"/>
      <c r="I59" s="85" t="n">
        <v>34</v>
      </c>
      <c r="J59" s="32" t="inlineStr">
        <is>
          <t>B00KDL108M (59%), B07BDD8433 (20%), B01CXQZNC8 (5%)</t>
        </is>
      </c>
      <c r="K59" s="86" t="n">
        <v>25.99</v>
      </c>
      <c r="L59" s="86" t="n"/>
      <c r="M59" s="87">
        <f>IF(AND(ISNUMBER(L59),ISNUMBER(K59),N(K59)&gt;0),L59/K59-1,"")</f>
        <v/>
      </c>
      <c r="N59" s="88">
        <f>IF(M59="","No List Price",IF(M59&lt;=0,"At/below price",IF(M59&lt;=0.12,"&lt;=12% STR zone",IF(M59&lt;=0.25,"12-25%","&gt;25% over"))))</f>
        <v/>
      </c>
      <c r="O59" s="86" t="n">
        <v>49.95</v>
      </c>
      <c r="P59" s="89">
        <f>IF(AND(ISNUMBER(K59),ISNUMBER(O59),N(O59)&gt;0),K59/O59-1,"")</f>
        <v/>
      </c>
      <c r="Q59" s="32" t="inlineStr">
        <is>
          <t>Size not stated - vs our Queen. Ours live: Helium 10 Xray, 2026-10-13; 6 children</t>
        </is>
      </c>
      <c r="R59" s="85" t="n">
        <v>22910</v>
      </c>
      <c r="S59" s="85" t="n">
        <v>92</v>
      </c>
      <c r="T59" s="90">
        <f>IF(AND(ISNUMBER(K59),ISNUMBER(S59)),K59*S59*52/12,"")</f>
        <v/>
      </c>
      <c r="U59" s="91" t="n">
        <v>4.5</v>
      </c>
      <c r="V59" s="85" t="n">
        <v>25340</v>
      </c>
      <c r="W59" s="92" t="n">
        <v>46307</v>
      </c>
      <c r="X59" s="92" t="n"/>
      <c r="Y59" s="84" t="n"/>
      <c r="Z59" s="84" t="n"/>
      <c r="AA59" s="85" t="n">
        <v>209497</v>
      </c>
      <c r="AB59" s="85" t="n">
        <v>1071</v>
      </c>
      <c r="AC59" s="93" t="n">
        <v>0.5683664338868817</v>
      </c>
      <c r="AD59" s="93" t="n">
        <v>0.4316335661131182</v>
      </c>
      <c r="AE59" s="32" t="inlineStr">
        <is>
          <t>silk pillow cases</t>
        </is>
      </c>
      <c r="AF59" s="93" t="n">
        <v>0.7398435299789495</v>
      </c>
      <c r="AG59" s="93" t="n">
        <v>0.3173840198188996</v>
      </c>
      <c r="AH59" s="93" t="n"/>
      <c r="AI59" s="93" t="n">
        <v>0.0102674501305508</v>
      </c>
      <c r="AJ59" s="85" t="n">
        <v>255</v>
      </c>
      <c r="AK59" s="85" t="n">
        <v>27</v>
      </c>
      <c r="AL59" s="85" t="n">
        <v>207</v>
      </c>
      <c r="AM59" s="85" t="n">
        <v>816</v>
      </c>
      <c r="AN59" s="85" t="n">
        <v>388</v>
      </c>
      <c r="AO59" s="85" t="n">
        <v>18</v>
      </c>
      <c r="AP59" s="94" t="n">
        <v>0.3642691415313225</v>
      </c>
      <c r="AQ59" s="89" t="n">
        <v>0.4285714285714284</v>
      </c>
      <c r="AR59" s="95" t="inlineStr">
        <is>
          <t>N</t>
        </is>
      </c>
      <c r="AS59" s="95" t="inlineStr">
        <is>
          <t>none</t>
        </is>
      </c>
      <c r="AT59" s="101" t="n"/>
      <c r="AU59" s="96" t="n">
        <v>25.99</v>
      </c>
      <c r="AV59" s="95" t="inlineStr">
        <is>
          <t>none</t>
        </is>
      </c>
      <c r="AW59" s="95" t="inlineStr">
        <is>
          <t>Y</t>
        </is>
      </c>
      <c r="AX59" s="95" t="inlineStr">
        <is>
          <t>2026-10-13 23:44:46</t>
        </is>
      </c>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39" t="inlineStr">
        <is>
          <t>IMAGE MISSING</t>
        </is>
      </c>
      <c r="B60" s="84" t="inlineStr">
        <is>
          <t>Fishers Finery</t>
        </is>
      </c>
      <c r="C60" s="32" t="inlineStr">
        <is>
          <t>Silk Pillowcase</t>
        </is>
      </c>
      <c r="D60" s="84" t="inlineStr">
        <is>
          <t>Aspirational</t>
        </is>
      </c>
      <c r="E60" s="84" t="inlineStr">
        <is>
          <t>B0FKC1MD24</t>
        </is>
      </c>
      <c r="F60" s="84" t="inlineStr">
        <is>
          <t>B00FWZW55Q</t>
        </is>
      </c>
      <c r="G60" s="84" t="n"/>
      <c r="H60" s="84" t="n"/>
      <c r="I60" s="85" t="n">
        <v>38</v>
      </c>
      <c r="J60" s="32" t="inlineStr">
        <is>
          <t>B07KWH57X6 (40%), B00FWZW55Q (22%), B00FWZVIWW (11%), B0815WT72G (10%)</t>
        </is>
      </c>
      <c r="K60" s="86" t="n">
        <v>59.99</v>
      </c>
      <c r="L60" s="86" t="n"/>
      <c r="M60" s="87">
        <f>IF(AND(ISNUMBER(L60),ISNUMBER(K60),N(K60)&gt;0),L60/K60-1,"")</f>
        <v/>
      </c>
      <c r="N60" s="88">
        <f>IF(M60="","No List Price",IF(M60&lt;=0,"At/below price",IF(M60&lt;=0.12,"&lt;=12% STR zone",IF(M60&lt;=0.25,"12-25%","&gt;25% over"))))</f>
        <v/>
      </c>
      <c r="O60" s="86" t="n">
        <v>49.95</v>
      </c>
      <c r="P60" s="89">
        <f>IF(AND(ISNUMBER(K60),ISNUMBER(O60),N(O60)&gt;0),K60/O60-1,"")</f>
        <v/>
      </c>
      <c r="Q60" s="32" t="inlineStr">
        <is>
          <t>Size not stated - vs our Queen. Ours live: Helium 10 Xray, 2026-10-13; 6 children</t>
        </is>
      </c>
      <c r="R60" s="85" t="n">
        <v>11579</v>
      </c>
      <c r="S60" s="85" t="n">
        <v>92</v>
      </c>
      <c r="T60" s="90">
        <f>IF(AND(ISNUMBER(K60),ISNUMBER(S60)),K60*S60*52/12,"")</f>
        <v/>
      </c>
      <c r="U60" s="91" t="n">
        <v>4.6</v>
      </c>
      <c r="V60" s="85" t="n">
        <v>9036</v>
      </c>
      <c r="W60" s="92" t="n">
        <v>46307</v>
      </c>
      <c r="X60" s="92" t="n"/>
      <c r="Y60" s="84" t="n"/>
      <c r="Z60" s="84" t="n"/>
      <c r="AA60" s="85" t="n">
        <v>220584</v>
      </c>
      <c r="AB60" s="85" t="n">
        <v>1295</v>
      </c>
      <c r="AC60" s="93" t="n">
        <v>0.4810484871976213</v>
      </c>
      <c r="AD60" s="93" t="n">
        <v>0.5189515128023787</v>
      </c>
      <c r="AE60" s="32" t="inlineStr">
        <is>
          <t>silk pillow cases</t>
        </is>
      </c>
      <c r="AF60" s="93" t="n">
        <v>0.9624270119319625</v>
      </c>
      <c r="AG60" s="93" t="n">
        <v>0.9632702281217133</v>
      </c>
      <c r="AH60" s="93" t="n">
        <v>0.7826496935407826</v>
      </c>
      <c r="AI60" s="93" t="n">
        <v>0.07744895368657745</v>
      </c>
      <c r="AJ60" s="85" t="n">
        <v>269</v>
      </c>
      <c r="AK60" s="85" t="n">
        <v>29</v>
      </c>
      <c r="AL60" s="85" t="n">
        <v>220</v>
      </c>
      <c r="AM60" s="85" t="n">
        <v>1026</v>
      </c>
      <c r="AN60" s="85" t="n">
        <v>505</v>
      </c>
      <c r="AO60" s="85" t="n">
        <v>28</v>
      </c>
      <c r="AP60" s="94" t="n">
        <v>1.226145038167939</v>
      </c>
      <c r="AQ60" s="89" t="n">
        <v>0.4174757281553398</v>
      </c>
      <c r="AR60" s="95" t="inlineStr">
        <is>
          <t>N</t>
        </is>
      </c>
      <c r="AS60" s="95" t="inlineStr">
        <is>
          <t>none</t>
        </is>
      </c>
      <c r="AT60" s="101" t="n"/>
      <c r="AU60" s="96" t="n">
        <v>59.99</v>
      </c>
      <c r="AV60" s="95" t="inlineStr">
        <is>
          <t>none</t>
        </is>
      </c>
      <c r="AW60" s="95" t="inlineStr">
        <is>
          <t>Y</t>
        </is>
      </c>
      <c r="AX60" s="95" t="inlineStr">
        <is>
          <t>2026-10-13 23:45:29</t>
        </is>
      </c>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39" t="inlineStr">
        <is>
          <t>IMAGE MISSING</t>
        </is>
      </c>
      <c r="B61" s="84" t="inlineStr">
        <is>
          <t>ZIMASILK</t>
        </is>
      </c>
      <c r="C61" s="32" t="inlineStr">
        <is>
          <t>Silk Pillowcase</t>
        </is>
      </c>
      <c r="D61" s="84" t="inlineStr">
        <is>
          <t>Beatable</t>
        </is>
      </c>
      <c r="E61" s="84" t="inlineStr">
        <is>
          <t>B0GXDFM5TS</t>
        </is>
      </c>
      <c r="F61" s="84" t="inlineStr">
        <is>
          <t>B094XT94FC</t>
        </is>
      </c>
      <c r="G61" s="84" t="n"/>
      <c r="H61" s="84" t="n"/>
      <c r="I61" s="85" t="n">
        <v>15</v>
      </c>
      <c r="J61" s="32" t="inlineStr">
        <is>
          <t>B094XT94FC (75%), B094XQM9R3 (23%)</t>
        </is>
      </c>
      <c r="K61" s="86" t="n">
        <v>37.99</v>
      </c>
      <c r="L61" s="86" t="n"/>
      <c r="M61" s="87">
        <f>IF(AND(ISNUMBER(L61),ISNUMBER(K61),N(K61)&gt;0),L61/K61-1,"")</f>
        <v/>
      </c>
      <c r="N61" s="88">
        <f>IF(M61="","No List Price",IF(M61&lt;=0,"At/below price",IF(M61&lt;=0.12,"&lt;=12% STR zone",IF(M61&lt;=0.25,"12-25%","&gt;25% over"))))</f>
        <v/>
      </c>
      <c r="O61" s="86" t="n">
        <v>49.95</v>
      </c>
      <c r="P61" s="89">
        <f>IF(AND(ISNUMBER(K61),ISNUMBER(O61),N(O61)&gt;0),K61/O61-1,"")</f>
        <v/>
      </c>
      <c r="Q61" s="32" t="inlineStr">
        <is>
          <t>Size not stated - vs our Queen. Ours live: Helium 10 Xray, 2026-10-13; 6 children</t>
        </is>
      </c>
      <c r="R61" s="85" t="n">
        <v>44854</v>
      </c>
      <c r="S61" s="85" t="n">
        <v>81</v>
      </c>
      <c r="T61" s="90">
        <f>IF(AND(ISNUMBER(K61),ISNUMBER(S61)),K61*S61*52/12,"")</f>
        <v/>
      </c>
      <c r="U61" s="91" t="n">
        <v>4.5</v>
      </c>
      <c r="V61" s="85" t="n">
        <v>672</v>
      </c>
      <c r="W61" s="92" t="n">
        <v>46307</v>
      </c>
      <c r="X61" s="92" t="n"/>
      <c r="Y61" s="84" t="n"/>
      <c r="Z61" s="84" t="n"/>
      <c r="AA61" s="85" t="n">
        <v>108891</v>
      </c>
      <c r="AB61" s="85" t="n">
        <v>574</v>
      </c>
      <c r="AC61" s="93" t="n">
        <v>0.2928209181658722</v>
      </c>
      <c r="AD61" s="93" t="n">
        <v>0.707179228770055</v>
      </c>
      <c r="AE61" s="32" t="inlineStr">
        <is>
          <t>silk pillow cases</t>
        </is>
      </c>
      <c r="AF61" s="93" t="n">
        <v>0.8487753808854727</v>
      </c>
      <c r="AG61" s="93" t="n">
        <v>0.9211413248110496</v>
      </c>
      <c r="AH61" s="93" t="n">
        <v>0.7371959115078381</v>
      </c>
      <c r="AI61" s="93" t="n">
        <v>0.008549834237907632</v>
      </c>
      <c r="AJ61" s="85" t="n">
        <v>246</v>
      </c>
      <c r="AK61" s="85" t="n">
        <v>28</v>
      </c>
      <c r="AL61" s="85" t="n">
        <v>200</v>
      </c>
      <c r="AM61" s="85" t="n">
        <v>328</v>
      </c>
      <c r="AN61" s="85" t="n">
        <v>222</v>
      </c>
      <c r="AO61" s="85" t="n">
        <v>25</v>
      </c>
      <c r="AP61" s="94" t="n">
        <v>1.234425176621708</v>
      </c>
      <c r="AQ61" s="89" t="n">
        <v>0.2668161434977578</v>
      </c>
      <c r="AR61" s="95" t="inlineStr">
        <is>
          <t>N</t>
        </is>
      </c>
      <c r="AS61" s="95" t="inlineStr">
        <is>
          <t>none</t>
        </is>
      </c>
      <c r="AT61" s="101" t="n"/>
      <c r="AU61" s="96" t="n">
        <v>37.99</v>
      </c>
      <c r="AV61" s="95" t="inlineStr">
        <is>
          <t>none</t>
        </is>
      </c>
      <c r="AW61" s="95" t="inlineStr">
        <is>
          <t>Y</t>
        </is>
      </c>
      <c r="AX61" s="95" t="inlineStr">
        <is>
          <t>2026-10-13 23:47:19</t>
        </is>
      </c>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39" t="inlineStr">
        <is>
          <t>IMAGE MISSING</t>
        </is>
      </c>
      <c r="B62" s="84" t="inlineStr">
        <is>
          <t>ZIMASILK</t>
        </is>
      </c>
      <c r="C62" s="32" t="inlineStr">
        <is>
          <t>Silk Pillowcase</t>
        </is>
      </c>
      <c r="D62" s="84" t="inlineStr">
        <is>
          <t>Beatable</t>
        </is>
      </c>
      <c r="E62" s="84" t="inlineStr">
        <is>
          <t>B09ZRJBNY5</t>
        </is>
      </c>
      <c r="F62" s="84" t="inlineStr">
        <is>
          <t>B09NVRZBDJ</t>
        </is>
      </c>
      <c r="G62" s="84" t="n"/>
      <c r="H62" s="84" t="n"/>
      <c r="I62" s="85" t="n">
        <v>18</v>
      </c>
      <c r="J62" s="32" t="inlineStr">
        <is>
          <t>B09NVRZBDJ (96%)</t>
        </is>
      </c>
      <c r="K62" s="86" t="n">
        <v>23.39</v>
      </c>
      <c r="L62" s="86" t="n">
        <v>24.69</v>
      </c>
      <c r="M62" s="87">
        <f>IF(AND(ISNUMBER(L62),ISNUMBER(K62),N(K62)&gt;0),L62/K62-1,"")</f>
        <v/>
      </c>
      <c r="N62" s="88">
        <f>IF(M62="","No List Price",IF(M62&lt;=0,"At/below price",IF(M62&lt;=0.12,"&lt;=12% STR zone",IF(M62&lt;=0.25,"12-25%","&gt;25% over"))))</f>
        <v/>
      </c>
      <c r="O62" s="86" t="n">
        <v>49.95</v>
      </c>
      <c r="P62" s="89">
        <f>IF(AND(ISNUMBER(K62),ISNUMBER(O62),N(O62)&gt;0),K62/O62-1,"")</f>
        <v/>
      </c>
      <c r="Q62" s="32" t="inlineStr">
        <is>
          <t>Size not stated - vs our Queen. Ours live: Helium 10 Xray, 2026-10-13; 6 children</t>
        </is>
      </c>
      <c r="R62" s="85" t="n">
        <v>62692</v>
      </c>
      <c r="S62" s="85" t="n">
        <v>81</v>
      </c>
      <c r="T62" s="90">
        <f>IF(AND(ISNUMBER(K62),ISNUMBER(S62)),K62*S62*52/12,"")</f>
        <v/>
      </c>
      <c r="U62" s="91" t="n">
        <v>4.5</v>
      </c>
      <c r="V62" s="85" t="n">
        <v>1208</v>
      </c>
      <c r="W62" s="92" t="n">
        <v>46307</v>
      </c>
      <c r="X62" s="92" t="n"/>
      <c r="Y62" s="84" t="n"/>
      <c r="Z62" s="84" t="n"/>
      <c r="AA62" s="85" t="n">
        <v>66424</v>
      </c>
      <c r="AB62" s="85" t="n">
        <v>577</v>
      </c>
      <c r="AC62" s="93" t="n">
        <v>0.920330772010117</v>
      </c>
      <c r="AD62" s="93" t="n">
        <v>0.07966922798988318</v>
      </c>
      <c r="AE62" s="32" t="inlineStr">
        <is>
          <t>silk pillow cases</t>
        </is>
      </c>
      <c r="AF62" s="93" t="n">
        <v>0.8019691677706853</v>
      </c>
      <c r="AG62" s="93" t="n">
        <v>0.03021498253643261</v>
      </c>
      <c r="AH62" s="93" t="n"/>
      <c r="AI62" s="93" t="n"/>
      <c r="AJ62" s="85" t="n">
        <v>239</v>
      </c>
      <c r="AK62" s="85" t="n">
        <v>75</v>
      </c>
      <c r="AL62" s="85" t="n">
        <v>144</v>
      </c>
      <c r="AM62" s="85" t="n">
        <v>338</v>
      </c>
      <c r="AN62" s="85" t="n">
        <v>106</v>
      </c>
      <c r="AO62" s="85" t="n">
        <v>5</v>
      </c>
      <c r="AP62" s="94" t="n">
        <v>0.9147217235188509</v>
      </c>
      <c r="AQ62" s="89" t="n">
        <v>-0.2776250687190764</v>
      </c>
      <c r="AR62" s="95" t="inlineStr">
        <is>
          <t>Y</t>
        </is>
      </c>
      <c r="AS62" s="95" t="inlineStr">
        <is>
          <t>Typical price</t>
        </is>
      </c>
      <c r="AT62" s="96" t="n">
        <v>24.69</v>
      </c>
      <c r="AU62" s="96" t="n">
        <v>23.39</v>
      </c>
      <c r="AV62" s="95" t="inlineStr">
        <is>
          <t>none</t>
        </is>
      </c>
      <c r="AW62" s="95" t="inlineStr">
        <is>
          <t>Y</t>
        </is>
      </c>
      <c r="AX62" s="95" t="inlineStr">
        <is>
          <t>2026-10-13 23:47:22</t>
        </is>
      </c>
      <c r="AY62" s="102" t="n"/>
      <c r="AZ62" s="102" t="n"/>
      <c r="BA62" s="101" t="n"/>
      <c r="BB62" s="101" t="n"/>
      <c r="BC62" s="87">
        <f>IF(AND(ISNUMBER(BA62),ISNUMBER(BB62),N(BA62)&gt;0),1-BB62/BA62,"")</f>
        <v/>
      </c>
      <c r="BD62" s="103" t="n"/>
      <c r="BE62" s="103" t="n"/>
      <c r="BF62" s="100">
        <f>IF(AND(ISNUMBER(BD62),ISNUMBER(BE62),N(BE62)&gt;0),BD62/BE62,"")</f>
        <v/>
      </c>
      <c r="BG62" s="102" t="n"/>
      <c r="BH62" s="102" t="n"/>
    </row>
    <row r="63" ht="62" customHeight="1">
      <c r="A63" s="39" t="inlineStr">
        <is>
          <t>IMAGE MISSING</t>
        </is>
      </c>
      <c r="B63" s="84" t="inlineStr">
        <is>
          <t>Colorado Home Co</t>
        </is>
      </c>
      <c r="C63" s="32" t="inlineStr">
        <is>
          <t>Silk Pillowcase</t>
        </is>
      </c>
      <c r="D63" s="84" t="inlineStr">
        <is>
          <t>Beatable</t>
        </is>
      </c>
      <c r="E63" s="84" t="inlineStr">
        <is>
          <t>B0CTCZGGHP</t>
        </is>
      </c>
      <c r="F63" s="84" t="inlineStr">
        <is>
          <t>B081CTM1T8</t>
        </is>
      </c>
      <c r="G63" s="84" t="n"/>
      <c r="H63" s="84" t="n"/>
      <c r="I63" s="85" t="n">
        <v>32</v>
      </c>
      <c r="J63" s="32" t="inlineStr">
        <is>
          <t>B081CTM1T8 (84%)</t>
        </is>
      </c>
      <c r="K63" s="86" t="n">
        <v>45.99</v>
      </c>
      <c r="L63" s="86" t="n"/>
      <c r="M63" s="87">
        <f>IF(AND(ISNUMBER(L63),ISNUMBER(K63),N(K63)&gt;0),L63/K63-1,"")</f>
        <v/>
      </c>
      <c r="N63" s="88">
        <f>IF(M63="","No List Price",IF(M63&lt;=0,"At/below price",IF(M63&lt;=0.12,"&lt;=12% STR zone",IF(M63&lt;=0.25,"12-25%","&gt;25% over"))))</f>
        <v/>
      </c>
      <c r="O63" s="86" t="n">
        <v>49.95</v>
      </c>
      <c r="P63" s="89">
        <f>IF(AND(ISNUMBER(K63),ISNUMBER(O63),N(O63)&gt;0),K63/O63-1,"")</f>
        <v/>
      </c>
      <c r="Q63" s="32" t="inlineStr">
        <is>
          <t>Size not stated - vs our Queen. Ours live: Helium 10 Xray, 2026-10-13; 6 children</t>
        </is>
      </c>
      <c r="R63" s="85" t="n">
        <v>55124</v>
      </c>
      <c r="S63" s="85" t="n">
        <v>18</v>
      </c>
      <c r="T63" s="90">
        <f>IF(AND(ISNUMBER(K63),ISNUMBER(S63)),K63*S63*52/12,"")</f>
        <v/>
      </c>
      <c r="U63" s="91" t="n">
        <v>4.6</v>
      </c>
      <c r="V63" s="85" t="n">
        <v>1971</v>
      </c>
      <c r="W63" s="92" t="n">
        <v>46307</v>
      </c>
      <c r="X63" s="92" t="n"/>
      <c r="Y63" s="84" t="n"/>
      <c r="Z63" s="84" t="n"/>
      <c r="AA63" s="85" t="n">
        <v>119892</v>
      </c>
      <c r="AB63" s="85" t="n">
        <v>435</v>
      </c>
      <c r="AC63" s="93" t="n">
        <v>0.4231184574450338</v>
      </c>
      <c r="AD63" s="93" t="n">
        <v>0.576881542554966</v>
      </c>
      <c r="AE63" s="32" t="inlineStr">
        <is>
          <t>silk pillow cases</t>
        </is>
      </c>
      <c r="AF63" s="93" t="n">
        <v>0.9609732092216328</v>
      </c>
      <c r="AG63" s="93" t="n"/>
      <c r="AH63" s="93" t="n"/>
      <c r="AI63" s="93" t="n">
        <v>0.001776598939045141</v>
      </c>
      <c r="AJ63" s="85" t="n">
        <v>230</v>
      </c>
      <c r="AK63" s="85" t="n">
        <v>45</v>
      </c>
      <c r="AL63" s="85" t="n">
        <v>160</v>
      </c>
      <c r="AM63" s="85" t="n">
        <v>205</v>
      </c>
      <c r="AN63" s="85" t="n">
        <v>88</v>
      </c>
      <c r="AO63" s="85" t="n">
        <v>16</v>
      </c>
      <c r="AP63" s="94" t="n"/>
      <c r="AQ63" s="89" t="n"/>
      <c r="AR63" s="95" t="inlineStr">
        <is>
          <t>N</t>
        </is>
      </c>
      <c r="AS63" s="95" t="inlineStr">
        <is>
          <t>none</t>
        </is>
      </c>
      <c r="AT63" s="101" t="n"/>
      <c r="AU63" s="96" t="n">
        <v>45.99</v>
      </c>
      <c r="AV63" s="95" t="inlineStr">
        <is>
          <t>none</t>
        </is>
      </c>
      <c r="AW63" s="95" t="inlineStr">
        <is>
          <t>Y</t>
        </is>
      </c>
      <c r="AX63" s="95" t="inlineStr">
        <is>
          <t>2026-10-13 23:45:17</t>
        </is>
      </c>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39" t="inlineStr">
        <is>
          <t>IMAGE MISSING</t>
        </is>
      </c>
      <c r="B64" s="84" t="inlineStr">
        <is>
          <t>Fishers Finery</t>
        </is>
      </c>
      <c r="C64" s="32" t="inlineStr">
        <is>
          <t>Silk Pillowcase</t>
        </is>
      </c>
      <c r="D64" s="84" t="inlineStr">
        <is>
          <t>Beatable</t>
        </is>
      </c>
      <c r="E64" s="84" t="inlineStr">
        <is>
          <t>B01MQIYMW3</t>
        </is>
      </c>
      <c r="F64" s="84" t="inlineStr">
        <is>
          <t>B01M1CKVJU</t>
        </is>
      </c>
      <c r="G64" s="84" t="n"/>
      <c r="H64" s="84" t="n"/>
      <c r="I64" s="85" t="n">
        <v>20</v>
      </c>
      <c r="J64" s="32" t="inlineStr">
        <is>
          <t>B07VCVFVJM (32%), B0815RTY4S (30%), B01LYQUJWD (26%)</t>
        </is>
      </c>
      <c r="K64" s="86" t="n">
        <v>81.98999999999999</v>
      </c>
      <c r="L64" s="86" t="n"/>
      <c r="M64" s="87">
        <f>IF(AND(ISNUMBER(L64),ISNUMBER(K64),N(K64)&gt;0),L64/K64-1,"")</f>
        <v/>
      </c>
      <c r="N64" s="88">
        <f>IF(M64="","No List Price",IF(M64&lt;=0,"At/below price",IF(M64&lt;=0.12,"&lt;=12% STR zone",IF(M64&lt;=0.25,"12-25%","&gt;25% over"))))</f>
        <v/>
      </c>
      <c r="O64" s="86" t="n">
        <v>49.95</v>
      </c>
      <c r="P64" s="89">
        <f>IF(AND(ISNUMBER(K64),ISNUMBER(O64),N(O64)&gt;0),K64/O64-1,"")</f>
        <v/>
      </c>
      <c r="Q64" s="32" t="inlineStr">
        <is>
          <t>Size not stated - vs our Queen. Ours live: Helium 10 Xray, 2026-10-13; 6 children</t>
        </is>
      </c>
      <c r="R64" s="85" t="n">
        <v>55705</v>
      </c>
      <c r="S64" s="85" t="n">
        <v>18</v>
      </c>
      <c r="T64" s="90">
        <f>IF(AND(ISNUMBER(K64),ISNUMBER(S64)),K64*S64*52/12,"")</f>
        <v/>
      </c>
      <c r="U64" s="91" t="n">
        <v>4.6</v>
      </c>
      <c r="V64" s="85" t="n">
        <v>2700</v>
      </c>
      <c r="W64" s="92" t="n">
        <v>46307</v>
      </c>
      <c r="X64" s="92" t="n"/>
      <c r="Y64" s="84" t="n"/>
      <c r="Z64" s="84" t="n"/>
      <c r="AA64" s="85" t="n">
        <v>102684</v>
      </c>
      <c r="AB64" s="85" t="n">
        <v>787</v>
      </c>
      <c r="AC64" s="93" t="n">
        <v>0.6705437400179186</v>
      </c>
      <c r="AD64" s="93" t="n">
        <v>0.3294562599820809</v>
      </c>
      <c r="AE64" s="32" t="inlineStr">
        <is>
          <t>silk pillow cases</t>
        </is>
      </c>
      <c r="AF64" s="93" t="n">
        <v>0.9397861400023373</v>
      </c>
      <c r="AG64" s="93" t="n">
        <v>0.9988995364418994</v>
      </c>
      <c r="AH64" s="93" t="n"/>
      <c r="AI64" s="93" t="n"/>
      <c r="AJ64" s="85" t="n">
        <v>257</v>
      </c>
      <c r="AK64" s="85" t="n">
        <v>55</v>
      </c>
      <c r="AL64" s="85" t="n">
        <v>178</v>
      </c>
      <c r="AM64" s="85" t="n">
        <v>530</v>
      </c>
      <c r="AN64" s="85" t="n">
        <v>325</v>
      </c>
      <c r="AO64" s="85" t="n">
        <v>26</v>
      </c>
      <c r="AP64" s="94" t="n"/>
      <c r="AQ64" s="89" t="n"/>
      <c r="AR64" s="95" t="inlineStr">
        <is>
          <t>N</t>
        </is>
      </c>
      <c r="AS64" s="95" t="inlineStr">
        <is>
          <t>none</t>
        </is>
      </c>
      <c r="AT64" s="101" t="n"/>
      <c r="AU64" s="96" t="n">
        <v>81.98999999999999</v>
      </c>
      <c r="AV64" s="95" t="inlineStr">
        <is>
          <t>none</t>
        </is>
      </c>
      <c r="AW64" s="95" t="inlineStr">
        <is>
          <t>Y</t>
        </is>
      </c>
      <c r="AX64" s="95" t="inlineStr">
        <is>
          <t>2026-10-13 23:45:33</t>
        </is>
      </c>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39" t="inlineStr">
        <is>
          <t>IMAGE MISSING</t>
        </is>
      </c>
      <c r="B65" s="84" t="inlineStr">
        <is>
          <t>ROSEWARD</t>
        </is>
      </c>
      <c r="C65" s="32" t="inlineStr">
        <is>
          <t>Silk Pillowcase</t>
        </is>
      </c>
      <c r="D65" s="84" t="inlineStr">
        <is>
          <t>Beatable</t>
        </is>
      </c>
      <c r="E65" s="84" t="inlineStr">
        <is>
          <t>B0BXBPNMVW</t>
        </is>
      </c>
      <c r="F65" s="84" t="inlineStr">
        <is>
          <t>B0BXBN7JMP</t>
        </is>
      </c>
      <c r="G65" s="84" t="n"/>
      <c r="H65" s="84" t="n"/>
      <c r="I65" s="85" t="n">
        <v>26</v>
      </c>
      <c r="J65" s="32" t="inlineStr">
        <is>
          <t>B0BXBN7JMP (47%), B0BXBN73ZZ (32%), B0BXBNSFKG (5%)</t>
        </is>
      </c>
      <c r="K65" s="86" t="n">
        <v>39.99</v>
      </c>
      <c r="L65" s="86" t="n"/>
      <c r="M65" s="87">
        <f>IF(AND(ISNUMBER(L65),ISNUMBER(K65),N(K65)&gt;0),L65/K65-1,"")</f>
        <v/>
      </c>
      <c r="N65" s="88">
        <f>IF(M65="","No List Price",IF(M65&lt;=0,"At/below price",IF(M65&lt;=0.12,"&lt;=12% STR zone",IF(M65&lt;=0.25,"12-25%","&gt;25% over"))))</f>
        <v/>
      </c>
      <c r="O65" s="86" t="n">
        <v>49.95</v>
      </c>
      <c r="P65" s="89">
        <f>IF(AND(ISNUMBER(K65),ISNUMBER(O65),N(O65)&gt;0),K65/O65-1,"")</f>
        <v/>
      </c>
      <c r="Q65" s="32" t="inlineStr">
        <is>
          <t>Size not stated - vs our Queen. Ours live: Helium 10 Xray, 2026-10-13; 6 children</t>
        </is>
      </c>
      <c r="R65" s="85" t="n">
        <v>28579</v>
      </c>
      <c r="S65" s="85" t="n">
        <v>18</v>
      </c>
      <c r="T65" s="90">
        <f>IF(AND(ISNUMBER(K65),ISNUMBER(S65)),K65*S65*52/12,"")</f>
        <v/>
      </c>
      <c r="U65" s="91" t="n">
        <v>4.4</v>
      </c>
      <c r="V65" s="85" t="n">
        <v>1035</v>
      </c>
      <c r="W65" s="92" t="n">
        <v>46307</v>
      </c>
      <c r="X65" s="92" t="n"/>
      <c r="Y65" s="84" t="n"/>
      <c r="Z65" s="84" t="n"/>
      <c r="AA65" s="85" t="n">
        <v>58241</v>
      </c>
      <c r="AB65" s="85" t="n">
        <v>388</v>
      </c>
      <c r="AC65" s="93" t="n">
        <v>0.3698189849075394</v>
      </c>
      <c r="AD65" s="93" t="n">
        <v>0.6301810150924604</v>
      </c>
      <c r="AE65" s="32" t="inlineStr">
        <is>
          <t>blissy silk pillow cases</t>
        </is>
      </c>
      <c r="AF65" s="93" t="n">
        <v>0.9105441184045604</v>
      </c>
      <c r="AG65" s="93" t="n">
        <v>0.5094692742226267</v>
      </c>
      <c r="AH65" s="93" t="n"/>
      <c r="AI65" s="93" t="n"/>
      <c r="AJ65" s="85" t="n">
        <v>230</v>
      </c>
      <c r="AK65" s="85" t="n">
        <v>71</v>
      </c>
      <c r="AL65" s="85" t="n">
        <v>128</v>
      </c>
      <c r="AM65" s="85" t="n">
        <v>158</v>
      </c>
      <c r="AN65" s="85" t="n">
        <v>100</v>
      </c>
      <c r="AO65" s="85" t="n">
        <v>23</v>
      </c>
      <c r="AP65" s="94" t="n">
        <v>1.153762268266085</v>
      </c>
      <c r="AQ65" s="89" t="n">
        <v>0.1086956521739131</v>
      </c>
      <c r="AR65" s="95" t="inlineStr">
        <is>
          <t>N</t>
        </is>
      </c>
      <c r="AS65" s="95" t="inlineStr">
        <is>
          <t>none</t>
        </is>
      </c>
      <c r="AT65" s="101" t="n"/>
      <c r="AU65" s="96" t="n">
        <v>39.99</v>
      </c>
      <c r="AV65" s="95" t="inlineStr">
        <is>
          <t>none</t>
        </is>
      </c>
      <c r="AW65" s="95" t="inlineStr">
        <is>
          <t>Y</t>
        </is>
      </c>
      <c r="AX65" s="95" t="inlineStr">
        <is>
          <t>2026-10-13 23:46:35</t>
        </is>
      </c>
      <c r="AY65" s="102" t="n"/>
      <c r="AZ65" s="102" t="n"/>
      <c r="BA65" s="101" t="n"/>
      <c r="BB65" s="101" t="n"/>
      <c r="BC65" s="87">
        <f>IF(AND(ISNUMBER(BA65),ISNUMBER(BB65),N(BA65)&gt;0),1-BB65/BA65,"")</f>
        <v/>
      </c>
      <c r="BD65" s="103" t="n"/>
      <c r="BE65" s="103" t="n"/>
      <c r="BF65" s="100">
        <f>IF(AND(ISNUMBER(BD65),ISNUMBER(BE65),N(BE65)&gt;0),BD65/BE65,"")</f>
        <v/>
      </c>
      <c r="BG65" s="102" t="n"/>
      <c r="BH65" s="102" t="n"/>
    </row>
    <row r="66" ht="62" customHeight="1">
      <c r="A66" s="39" t="inlineStr">
        <is>
          <t>IMAGE MISSING</t>
        </is>
      </c>
      <c r="B66" s="84" t="inlineStr">
        <is>
          <t>RENESSY</t>
        </is>
      </c>
      <c r="C66" s="32" t="inlineStr">
        <is>
          <t>Silk Pillowcase</t>
        </is>
      </c>
      <c r="D66" s="84" t="inlineStr">
        <is>
          <t>Beatable</t>
        </is>
      </c>
      <c r="E66" s="84" t="inlineStr">
        <is>
          <t>B09G8P3X6L</t>
        </is>
      </c>
      <c r="F66" s="84" t="inlineStr">
        <is>
          <t>B09G8P3X6L</t>
        </is>
      </c>
      <c r="G66" s="84" t="n"/>
      <c r="H66" s="84" t="n"/>
      <c r="I66" s="85" t="n">
        <v>0</v>
      </c>
      <c r="J66" s="32" t="inlineStr"/>
      <c r="K66" s="86" t="n">
        <v>49.9</v>
      </c>
      <c r="L66" s="86" t="n"/>
      <c r="M66" s="87">
        <f>IF(AND(ISNUMBER(L66),ISNUMBER(K66),N(K66)&gt;0),L66/K66-1,"")</f>
        <v/>
      </c>
      <c r="N66" s="88">
        <f>IF(M66="","No List Price",IF(M66&lt;=0,"At/below price",IF(M66&lt;=0.12,"&lt;=12% STR zone",IF(M66&lt;=0.25,"12-25%","&gt;25% over"))))</f>
        <v/>
      </c>
      <c r="O66" s="86" t="n">
        <v>49.95</v>
      </c>
      <c r="P66" s="89">
        <f>IF(AND(ISNUMBER(K66),ISNUMBER(O66),N(O66)&gt;0),K66/O66-1,"")</f>
        <v/>
      </c>
      <c r="Q66" s="32" t="inlineStr">
        <is>
          <t>Size not stated - vs our Queen. Ours live: Helium 10 Xray, 2026-10-13; 6 children</t>
        </is>
      </c>
      <c r="R66" s="85" t="n">
        <v>61645</v>
      </c>
      <c r="S66" s="85" t="n"/>
      <c r="T66" s="90">
        <f>IF(AND(ISNUMBER(K66),ISNUMBER(S66)),K66*S66*52/12,"")</f>
        <v/>
      </c>
      <c r="U66" s="91" t="n">
        <v>4.6</v>
      </c>
      <c r="V66" s="85" t="n">
        <v>2510</v>
      </c>
      <c r="W66" s="92" t="n">
        <v>46307</v>
      </c>
      <c r="X66" s="92" t="n"/>
      <c r="Y66" s="84" t="n"/>
      <c r="Z66" s="84" t="n"/>
      <c r="AA66" s="85" t="n">
        <v>0</v>
      </c>
      <c r="AB66" s="85" t="n">
        <v>83</v>
      </c>
      <c r="AC66" s="93" t="n"/>
      <c r="AD66" s="93" t="n"/>
      <c r="AE66" s="32" t="inlineStr">
        <is>
          <t>blissy</t>
        </is>
      </c>
      <c r="AF66" s="93" t="n"/>
      <c r="AG66" s="93" t="n"/>
      <c r="AH66" s="93" t="n"/>
      <c r="AI66" s="93" t="n"/>
      <c r="AJ66" s="85" t="n">
        <v>71</v>
      </c>
      <c r="AK66" s="85" t="n">
        <v>59</v>
      </c>
      <c r="AL66" s="85" t="n">
        <v>0</v>
      </c>
      <c r="AM66" s="85" t="n">
        <v>12</v>
      </c>
      <c r="AN66" s="85" t="n">
        <v>0</v>
      </c>
      <c r="AO66" s="85" t="n">
        <v>0</v>
      </c>
      <c r="AP66" s="94" t="n"/>
      <c r="AQ66" s="89" t="n"/>
      <c r="AR66" s="95" t="inlineStr">
        <is>
          <t>unknown</t>
        </is>
      </c>
      <c r="AS66" s="102" t="n"/>
      <c r="AT66" s="101" t="n"/>
      <c r="AU66" s="101" t="n"/>
      <c r="AV66" s="102" t="n"/>
      <c r="AW66" s="102" t="n"/>
      <c r="AX66" s="95" t="inlineStr">
        <is>
          <t>2026-10-13 23:46:32</t>
        </is>
      </c>
      <c r="AY66" s="102" t="n"/>
      <c r="AZ66" s="102" t="n"/>
      <c r="BA66" s="101" t="n"/>
      <c r="BB66" s="101" t="n"/>
      <c r="BC66" s="87">
        <f>IF(AND(ISNUMBER(BA66),ISNUMBER(BB66),N(BA66)&gt;0),1-BB66/BA66,"")</f>
        <v/>
      </c>
      <c r="BD66" s="103" t="n"/>
      <c r="BE66" s="103" t="n"/>
      <c r="BF66" s="100">
        <f>IF(AND(ISNUMBER(BD66),ISNUMBER(BE66),N(BE66)&gt;0),BD66/BE66,"")</f>
        <v/>
      </c>
      <c r="BG66" s="102" t="n"/>
      <c r="BH66" s="102" t="n"/>
    </row>
    <row r="67" ht="62" customHeight="1">
      <c r="A67" s="39" t="inlineStr">
        <is>
          <t>IMAGE MISSING</t>
        </is>
      </c>
      <c r="B67" s="84" t="inlineStr">
        <is>
          <t>Brooklinen</t>
        </is>
      </c>
      <c r="C67" s="32" t="inlineStr">
        <is>
          <t>Silk Pillowcase</t>
        </is>
      </c>
      <c r="D67" s="84" t="inlineStr">
        <is>
          <t>Poor</t>
        </is>
      </c>
      <c r="E67" s="84" t="inlineStr">
        <is>
          <t>B0DVCCDL65</t>
        </is>
      </c>
      <c r="F67" s="84" t="inlineStr">
        <is>
          <t>B09NP72NNZ</t>
        </is>
      </c>
      <c r="G67" s="84" t="n"/>
      <c r="H67" s="84" t="n"/>
      <c r="I67" s="85" t="n"/>
      <c r="J67" s="32" t="inlineStr"/>
      <c r="K67" s="86" t="n">
        <v>74</v>
      </c>
      <c r="L67" s="86" t="n"/>
      <c r="M67" s="87">
        <f>IF(AND(ISNUMBER(L67),ISNUMBER(K67),N(K67)&gt;0),L67/K67-1,"")</f>
        <v/>
      </c>
      <c r="N67" s="88">
        <f>IF(M67="","No List Price",IF(M67&lt;=0,"At/below price",IF(M67&lt;=0.12,"&lt;=12% STR zone",IF(M67&lt;=0.25,"12-25%","&gt;25% over"))))</f>
        <v/>
      </c>
      <c r="O67" s="86" t="n">
        <v>49.95</v>
      </c>
      <c r="P67" s="89">
        <f>IF(AND(ISNUMBER(K67),ISNUMBER(O67),N(O67)&gt;0),K67/O67-1,"")</f>
        <v/>
      </c>
      <c r="Q67" s="32" t="inlineStr">
        <is>
          <t>Size not stated - vs our Queen. Ours live: Helium 10 Xray, 2026-10-13; 6 children</t>
        </is>
      </c>
      <c r="R67" s="85" t="n">
        <v>350123</v>
      </c>
      <c r="S67" s="85" t="n">
        <v>5</v>
      </c>
      <c r="T67" s="90">
        <f>IF(AND(ISNUMBER(K67),ISNUMBER(S67)),K67*S67*52/12,"")</f>
        <v/>
      </c>
      <c r="U67" s="91" t="n">
        <v>4.4</v>
      </c>
      <c r="V67" s="85" t="n">
        <v>147</v>
      </c>
      <c r="W67" s="92" t="n">
        <v>46307</v>
      </c>
      <c r="X67" s="92" t="n"/>
      <c r="Y67" s="84" t="n"/>
      <c r="Z67" s="84" t="n"/>
      <c r="AA67" s="85" t="n"/>
      <c r="AB67" s="85" t="n"/>
      <c r="AC67" s="93" t="n"/>
      <c r="AD67" s="93" t="n"/>
      <c r="AE67" s="32" t="n"/>
      <c r="AF67" s="93" t="n"/>
      <c r="AG67" s="93" t="n"/>
      <c r="AH67" s="93" t="n"/>
      <c r="AI67" s="93" t="n"/>
      <c r="AJ67" s="85" t="n"/>
      <c r="AK67" s="85" t="n"/>
      <c r="AL67" s="85" t="n"/>
      <c r="AM67" s="85" t="n"/>
      <c r="AN67" s="85" t="n"/>
      <c r="AO67" s="85" t="n"/>
      <c r="AP67" s="94" t="n"/>
      <c r="AQ67" s="89" t="n"/>
      <c r="AR67" s="95" t="inlineStr">
        <is>
          <t>N</t>
        </is>
      </c>
      <c r="AS67" s="95" t="inlineStr">
        <is>
          <t>none</t>
        </is>
      </c>
      <c r="AT67" s="101" t="n"/>
      <c r="AU67" s="96" t="n">
        <v>74</v>
      </c>
      <c r="AV67" s="95" t="inlineStr">
        <is>
          <t>none</t>
        </is>
      </c>
      <c r="AW67" s="95" t="inlineStr">
        <is>
          <t>Y</t>
        </is>
      </c>
      <c r="AX67" s="95" t="inlineStr">
        <is>
          <t>2026-10-13 23:45:11</t>
        </is>
      </c>
      <c r="AY67" s="102" t="n"/>
      <c r="AZ67" s="102" t="n"/>
      <c r="BA67" s="101" t="n"/>
      <c r="BB67" s="101" t="n"/>
      <c r="BC67" s="87">
        <f>IF(AND(ISNUMBER(BA67),ISNUMBER(BB67),N(BA67)&gt;0),1-BB67/BA67,"")</f>
        <v/>
      </c>
      <c r="BD67" s="103" t="n"/>
      <c r="BE67" s="103" t="n"/>
      <c r="BF67" s="100">
        <f>IF(AND(ISNUMBER(BD67),ISNUMBER(BE67),N(BE67)&gt;0),BD67/BE67,"")</f>
        <v/>
      </c>
      <c r="BG67" s="102" t="n"/>
      <c r="BH67" s="102" t="n"/>
    </row>
    <row r="68" ht="62" customHeight="1">
      <c r="A68" s="39" t="inlineStr">
        <is>
          <t>IMAGE MISSING</t>
        </is>
      </c>
      <c r="B68" s="84" t="inlineStr">
        <is>
          <t>Gabire</t>
        </is>
      </c>
      <c r="C68" s="32" t="inlineStr">
        <is>
          <t>Silk Pillow Cases</t>
        </is>
      </c>
      <c r="D68" s="84" t="inlineStr">
        <is>
          <t>Untiered</t>
        </is>
      </c>
      <c r="E68" s="84" t="inlineStr">
        <is>
          <t>B0CKPNR7DW</t>
        </is>
      </c>
      <c r="F68" s="84" t="inlineStr">
        <is>
          <t>B0CKPKG71N</t>
        </is>
      </c>
      <c r="G68" s="84" t="n"/>
      <c r="H68" s="84" t="n"/>
      <c r="I68" s="85" t="n"/>
      <c r="J68" s="32" t="inlineStr"/>
      <c r="K68" s="86" t="n">
        <v>19.99</v>
      </c>
      <c r="L68" s="86" t="n"/>
      <c r="M68" s="87">
        <f>IF(AND(ISNUMBER(L68),ISNUMBER(K68),N(K68)&gt;0),L68/K68-1,"")</f>
        <v/>
      </c>
      <c r="N68" s="88">
        <f>IF(M68="","No List Price",IF(M68&lt;=0,"At/below price",IF(M68&lt;=0.12,"&lt;=12% STR zone",IF(M68&lt;=0.25,"12-25%","&gt;25% over"))))</f>
        <v/>
      </c>
      <c r="O68" s="86" t="n">
        <v>49.95</v>
      </c>
      <c r="P68" s="89">
        <f>IF(AND(ISNUMBER(K68),ISNUMBER(O68),N(O68)&gt;0),K68/O68-1,"")</f>
        <v/>
      </c>
      <c r="Q68" s="32" t="inlineStr">
        <is>
          <t>Size not stated - vs our Queen. Ours live: Helium 10 Xray, 2026-10-13; 6 children</t>
        </is>
      </c>
      <c r="R68" s="85" t="n">
        <v>357</v>
      </c>
      <c r="S68" s="85" t="n">
        <v>1732</v>
      </c>
      <c r="T68" s="90">
        <f>IF(AND(ISNUMBER(K68),ISNUMBER(S68)),K68*S68*52/12,"")</f>
        <v/>
      </c>
      <c r="U68" s="91" t="n">
        <v>4.6</v>
      </c>
      <c r="V68" s="85" t="n">
        <v>3189</v>
      </c>
      <c r="W68" s="92" t="n">
        <v>46307</v>
      </c>
      <c r="X68" s="92" t="n"/>
      <c r="Y68" s="84" t="n"/>
      <c r="Z68" s="84" t="n"/>
      <c r="AA68" s="85" t="n"/>
      <c r="AB68" s="85" t="n"/>
      <c r="AC68" s="93" t="n"/>
      <c r="AD68" s="93" t="n"/>
      <c r="AE68" s="32" t="n"/>
      <c r="AF68" s="93" t="n"/>
      <c r="AG68" s="93" t="n"/>
      <c r="AH68" s="93" t="n"/>
      <c r="AI68" s="93" t="n"/>
      <c r="AJ68" s="85" t="n"/>
      <c r="AK68" s="85" t="n"/>
      <c r="AL68" s="85" t="n"/>
      <c r="AM68" s="85" t="n"/>
      <c r="AN68" s="85" t="n"/>
      <c r="AO68" s="85" t="n"/>
      <c r="AP68" s="94" t="n"/>
      <c r="AQ68" s="89" t="n"/>
      <c r="AR68" s="95" t="inlineStr">
        <is>
          <t>N</t>
        </is>
      </c>
      <c r="AS68" s="95" t="inlineStr">
        <is>
          <t>none</t>
        </is>
      </c>
      <c r="AT68" s="101" t="n"/>
      <c r="AU68" s="96" t="n">
        <v>19.99</v>
      </c>
      <c r="AV68" s="95" t="inlineStr">
        <is>
          <t>none</t>
        </is>
      </c>
      <c r="AW68" s="95" t="inlineStr">
        <is>
          <t>Y</t>
        </is>
      </c>
      <c r="AX68" s="95" t="inlineStr">
        <is>
          <t>2026-10-13 23:45:36</t>
        </is>
      </c>
      <c r="AY68" s="102" t="n"/>
      <c r="AZ68" s="102" t="n"/>
      <c r="BA68" s="101" t="n"/>
      <c r="BB68" s="101" t="n"/>
      <c r="BC68" s="87">
        <f>IF(AND(ISNUMBER(BA68),ISNUMBER(BB68),N(BA68)&gt;0),1-BB68/BA68,"")</f>
        <v/>
      </c>
      <c r="BD68" s="103" t="n"/>
      <c r="BE68" s="103" t="n"/>
      <c r="BF68" s="100">
        <f>IF(AND(ISNUMBER(BD68),ISNUMBER(BE68),N(BE68)&gt;0),BD68/BE68,"")</f>
        <v/>
      </c>
      <c r="BG68" s="102" t="n"/>
      <c r="BH68" s="102" t="n"/>
    </row>
    <row r="69" ht="62" customHeight="1">
      <c r="A69" s="10">
        <f>_xlfn.IMAGE("https://images-na.ssl-images-amazon.com/images/I/61OwDvEP02L.jpg")</f>
        <v/>
      </c>
      <c r="B69" s="84" t="inlineStr">
        <is>
          <t>INFIIXSO</t>
        </is>
      </c>
      <c r="C69" s="32" t="inlineStr">
        <is>
          <t>INFIIXSO Mulberry Silk Pillowcase for Hair and Skin, Silk Pillow Cases Standard Size with Hidden Zipper 20x26 Inches, Ultra Smooth and Soft Cooling Pillow Cases for Hot Sleepers(Light Grey, 1 Pack)</t>
        </is>
      </c>
      <c r="D69" s="84" t="inlineStr">
        <is>
          <t>Untiered</t>
        </is>
      </c>
      <c r="E69" s="84" t="inlineStr">
        <is>
          <t>B0DK5G1ZJP</t>
        </is>
      </c>
      <c r="F69" s="84" t="inlineStr">
        <is>
          <t>B0CGLG8CDW</t>
        </is>
      </c>
      <c r="G69" s="84" t="inlineStr">
        <is>
          <t>Standard</t>
        </is>
      </c>
      <c r="H69" s="84" t="inlineStr">
        <is>
          <t>Light Grey</t>
        </is>
      </c>
      <c r="I69" s="85" t="n">
        <v>187</v>
      </c>
      <c r="J69" s="32" t="inlineStr"/>
      <c r="K69" s="86" t="n">
        <v>7.99</v>
      </c>
      <c r="L69" s="86" t="n"/>
      <c r="M69" s="87">
        <f>IF(AND(ISNUMBER(L69),ISNUMBER(K69),N(K69)&gt;0),L69/K69-1,"")</f>
        <v/>
      </c>
      <c r="N69" s="88">
        <f>IF(M69="","No List Price",IF(M69&lt;=0,"At/below price",IF(M69&lt;=0.12,"&lt;=12% STR zone",IF(M69&lt;=0.25,"12-25%","&gt;25% over"))))</f>
        <v/>
      </c>
      <c r="O69" s="86" t="n">
        <v>44.95</v>
      </c>
      <c r="P69" s="89">
        <f>IF(AND(ISNUMBER(K69),ISNUMBER(O69),N(O69)&gt;0),K69/O69-1,"")</f>
        <v/>
      </c>
      <c r="Q69" s="32" t="inlineStr">
        <is>
          <t>Same size (Standard). Ours live: Helium 10 Xray, 2026-10-13; 6 children</t>
        </is>
      </c>
      <c r="R69" s="85" t="n">
        <v>429</v>
      </c>
      <c r="S69" s="85" t="n">
        <v>1732</v>
      </c>
      <c r="T69" s="90">
        <f>IF(AND(ISNUMBER(K69),ISNUMBER(S69)),K69*S69*52/12,"")</f>
        <v/>
      </c>
      <c r="U69" s="91" t="n">
        <v>4.5</v>
      </c>
      <c r="V69" s="85" t="n">
        <v>6271</v>
      </c>
      <c r="W69" s="92" t="n">
        <v>46307</v>
      </c>
      <c r="X69" s="92" t="n">
        <v>45163</v>
      </c>
      <c r="Y69" s="84" t="inlineStr">
        <is>
          <t>FBA</t>
        </is>
      </c>
      <c r="Z69" s="84" t="inlineStr">
        <is>
          <t>CN</t>
        </is>
      </c>
      <c r="AA69" s="85" t="n"/>
      <c r="AB69" s="85" t="n"/>
      <c r="AC69" s="93" t="n"/>
      <c r="AD69" s="93" t="n"/>
      <c r="AE69" s="32" t="n"/>
      <c r="AF69" s="93" t="n"/>
      <c r="AG69" s="93" t="n"/>
      <c r="AH69" s="93" t="n"/>
      <c r="AI69" s="93" t="n"/>
      <c r="AJ69" s="85" t="n"/>
      <c r="AK69" s="85" t="n"/>
      <c r="AL69" s="85" t="n"/>
      <c r="AM69" s="85" t="n"/>
      <c r="AN69" s="85" t="n"/>
      <c r="AO69" s="85" t="n"/>
      <c r="AP69" s="94" t="n"/>
      <c r="AQ69" s="89" t="n"/>
      <c r="AR69" s="95" t="inlineStr">
        <is>
          <t>Y</t>
        </is>
      </c>
      <c r="AS69" s="95" t="inlineStr">
        <is>
          <t>List Price</t>
        </is>
      </c>
      <c r="AT69" s="96" t="n">
        <v>9.789999999999999</v>
      </c>
      <c r="AU69" s="96" t="n">
        <v>7.99</v>
      </c>
      <c r="AV69" s="95" t="inlineStr">
        <is>
          <t>none</t>
        </is>
      </c>
      <c r="AW69" s="95" t="inlineStr">
        <is>
          <t>Y</t>
        </is>
      </c>
      <c r="AX69" s="95" t="inlineStr">
        <is>
          <t>2026-10-13 23:45:42</t>
        </is>
      </c>
      <c r="AY69" s="102" t="n"/>
      <c r="AZ69" s="102" t="n"/>
      <c r="BA69" s="101" t="n"/>
      <c r="BB69" s="101" t="n"/>
      <c r="BC69" s="87">
        <f>IF(AND(ISNUMBER(BA69),ISNUMBER(BB69),N(BA69)&gt;0),1-BB69/BA69,"")</f>
        <v/>
      </c>
      <c r="BD69" s="103" t="n"/>
      <c r="BE69" s="103" t="n"/>
      <c r="BF69" s="100">
        <f>IF(AND(ISNUMBER(BD69),ISNUMBER(BE69),N(BE69)&gt;0),BD69/BE69,"")</f>
        <v/>
      </c>
      <c r="BG69" s="102" t="n"/>
      <c r="BH69" s="102" t="n"/>
    </row>
    <row r="70" ht="62" customHeight="1">
      <c r="A70" s="39" t="inlineStr">
        <is>
          <t>IMAGE MISSING</t>
        </is>
      </c>
      <c r="B70" s="84" t="inlineStr">
        <is>
          <t>DKBslik</t>
        </is>
      </c>
      <c r="C70" s="32" t="inlineStr">
        <is>
          <t>Silk Pillowcase</t>
        </is>
      </c>
      <c r="D70" s="84" t="inlineStr">
        <is>
          <t>Untiered</t>
        </is>
      </c>
      <c r="E70" s="84" t="inlineStr">
        <is>
          <t>B0B5WGXZTH</t>
        </is>
      </c>
      <c r="F70" s="84" t="inlineStr">
        <is>
          <t>B0B8DXN3K2</t>
        </is>
      </c>
      <c r="G70" s="84" t="n"/>
      <c r="H70" s="84" t="n"/>
      <c r="I70" s="85" t="n"/>
      <c r="J70" s="32" t="inlineStr"/>
      <c r="K70" s="86" t="n">
        <v>11.95</v>
      </c>
      <c r="L70" s="86" t="n"/>
      <c r="M70" s="87">
        <f>IF(AND(ISNUMBER(L70),ISNUMBER(K70),N(K70)&gt;0),L70/K70-1,"")</f>
        <v/>
      </c>
      <c r="N70" s="88">
        <f>IF(M70="","No List Price",IF(M70&lt;=0,"At/below price",IF(M70&lt;=0.12,"&lt;=12% STR zone",IF(M70&lt;=0.25,"12-25%","&gt;25% over"))))</f>
        <v/>
      </c>
      <c r="O70" s="86" t="n">
        <v>49.95</v>
      </c>
      <c r="P70" s="89">
        <f>IF(AND(ISNUMBER(K70),ISNUMBER(O70),N(O70)&gt;0),K70/O70-1,"")</f>
        <v/>
      </c>
      <c r="Q70" s="32" t="inlineStr">
        <is>
          <t>Size not stated - vs our Queen. Ours live: Helium 10 Xray, 2026-10-13; 6 children</t>
        </is>
      </c>
      <c r="R70" s="85" t="n">
        <v>198</v>
      </c>
      <c r="S70" s="85" t="n">
        <v>1040</v>
      </c>
      <c r="T70" s="90">
        <f>IF(AND(ISNUMBER(K70),ISNUMBER(S70)),K70*S70*52/12,"")</f>
        <v/>
      </c>
      <c r="U70" s="91" t="n">
        <v>4.5</v>
      </c>
      <c r="V70" s="85" t="n">
        <v>21803</v>
      </c>
      <c r="W70" s="92" t="n">
        <v>46307</v>
      </c>
      <c r="X70" s="92" t="n"/>
      <c r="Y70" s="84" t="n"/>
      <c r="Z70" s="84" t="n"/>
      <c r="AA70" s="85" t="n"/>
      <c r="AB70" s="85" t="n"/>
      <c r="AC70" s="93" t="n"/>
      <c r="AD70" s="93" t="n"/>
      <c r="AE70" s="32" t="n"/>
      <c r="AF70" s="93" t="n"/>
      <c r="AG70" s="93" t="n"/>
      <c r="AH70" s="93" t="n"/>
      <c r="AI70" s="93" t="n"/>
      <c r="AJ70" s="85" t="n"/>
      <c r="AK70" s="85" t="n"/>
      <c r="AL70" s="85" t="n"/>
      <c r="AM70" s="85" t="n"/>
      <c r="AN70" s="85" t="n"/>
      <c r="AO70" s="85" t="n"/>
      <c r="AP70" s="94" t="n"/>
      <c r="AQ70" s="89" t="n"/>
      <c r="AR70" s="95" t="inlineStr">
        <is>
          <t>N</t>
        </is>
      </c>
      <c r="AS70" s="95" t="inlineStr">
        <is>
          <t>none</t>
        </is>
      </c>
      <c r="AT70" s="101" t="n"/>
      <c r="AU70" s="96" t="n">
        <v>11.95</v>
      </c>
      <c r="AV70" s="95" t="inlineStr">
        <is>
          <t>none</t>
        </is>
      </c>
      <c r="AW70" s="95" t="inlineStr">
        <is>
          <t>Y</t>
        </is>
      </c>
      <c r="AX70" s="95" t="inlineStr">
        <is>
          <t>2026-10-13 23:45:20</t>
        </is>
      </c>
      <c r="AY70" s="102" t="n"/>
      <c r="AZ70" s="102" t="n"/>
      <c r="BA70" s="101" t="n"/>
      <c r="BB70" s="101" t="n"/>
      <c r="BC70" s="87">
        <f>IF(AND(ISNUMBER(BA70),ISNUMBER(BB70),N(BA70)&gt;0),1-BB70/BA70,"")</f>
        <v/>
      </c>
      <c r="BD70" s="103" t="n"/>
      <c r="BE70" s="103" t="n"/>
      <c r="BF70" s="100">
        <f>IF(AND(ISNUMBER(BD70),ISNUMBER(BE70),N(BE70)&gt;0),BD70/BE70,"")</f>
        <v/>
      </c>
      <c r="BG70" s="102" t="n"/>
      <c r="BH70" s="102" t="n"/>
    </row>
    <row r="71" ht="62" customHeight="1">
      <c r="A71" s="10">
        <f>_xlfn.IMAGE("https://images-na.ssl-images-amazon.com/images/I/61aMeMjNdnL.jpg")</f>
        <v/>
      </c>
      <c r="B71" s="84" t="inlineStr">
        <is>
          <t>Suatien</t>
        </is>
      </c>
      <c r="C71" s="32" t="inlineStr">
        <is>
          <t>Mulberry Silk Pillowcase for Hair and Skin Standard Size 20"X 26" Pillow Case with Hidden Zipper Soft Breathable Smooth Cooling Silk Pillow Covers for Sleeping (Haze Blue,Standard,1Pcs)</t>
        </is>
      </c>
      <c r="D71" s="84" t="inlineStr">
        <is>
          <t>Untiered</t>
        </is>
      </c>
      <c r="E71" s="84" t="inlineStr">
        <is>
          <t>B09HZYQK2C</t>
        </is>
      </c>
      <c r="F71" s="84" t="inlineStr">
        <is>
          <t>B09BFQG17F</t>
        </is>
      </c>
      <c r="G71" s="84" t="inlineStr">
        <is>
          <t>Standard</t>
        </is>
      </c>
      <c r="H71" s="84" t="inlineStr">
        <is>
          <t>Haze Blue</t>
        </is>
      </c>
      <c r="I71" s="85" t="n">
        <v>143</v>
      </c>
      <c r="J71" s="32" t="inlineStr"/>
      <c r="K71" s="86" t="n">
        <v>11.99</v>
      </c>
      <c r="L71" s="86" t="n"/>
      <c r="M71" s="87">
        <f>IF(AND(ISNUMBER(L71),ISNUMBER(K71),N(K71)&gt;0),L71/K71-1,"")</f>
        <v/>
      </c>
      <c r="N71" s="88">
        <f>IF(M71="","No List Price",IF(M71&lt;=0,"At/below price",IF(M71&lt;=0.12,"&lt;=12% STR zone",IF(M71&lt;=0.25,"12-25%","&gt;25% over"))))</f>
        <v/>
      </c>
      <c r="O71" s="86" t="n">
        <v>44.95</v>
      </c>
      <c r="P71" s="89">
        <f>IF(AND(ISNUMBER(K71),ISNUMBER(O71),N(O71)&gt;0),K71/O71-1,"")</f>
        <v/>
      </c>
      <c r="Q71" s="32" t="inlineStr">
        <is>
          <t>Same size (Standard). Ours live: Helium 10 Xray, 2026-10-13; 6 children</t>
        </is>
      </c>
      <c r="R71" s="85" t="n">
        <v>499</v>
      </c>
      <c r="S71" s="85" t="n">
        <v>924</v>
      </c>
      <c r="T71" s="90">
        <f>IF(AND(ISNUMBER(K71),ISNUMBER(S71)),K71*S71*52/12,"")</f>
        <v/>
      </c>
      <c r="U71" s="91" t="n">
        <v>4.5</v>
      </c>
      <c r="V71" s="85" t="n">
        <v>41661</v>
      </c>
      <c r="W71" s="92" t="n">
        <v>46307</v>
      </c>
      <c r="X71" s="92" t="n">
        <v>44409</v>
      </c>
      <c r="Y71" s="84" t="inlineStr">
        <is>
          <t>FBA</t>
        </is>
      </c>
      <c r="Z71" s="84" t="inlineStr">
        <is>
          <t>CN</t>
        </is>
      </c>
      <c r="AA71" s="85" t="n"/>
      <c r="AB71" s="85" t="n"/>
      <c r="AC71" s="93" t="n"/>
      <c r="AD71" s="93" t="n"/>
      <c r="AE71" s="32" t="n"/>
      <c r="AF71" s="93" t="n"/>
      <c r="AG71" s="93" t="n"/>
      <c r="AH71" s="93" t="n"/>
      <c r="AI71" s="93" t="n"/>
      <c r="AJ71" s="85" t="n"/>
      <c r="AK71" s="85" t="n"/>
      <c r="AL71" s="85" t="n"/>
      <c r="AM71" s="85" t="n"/>
      <c r="AN71" s="85" t="n"/>
      <c r="AO71" s="85" t="n"/>
      <c r="AP71" s="94" t="n"/>
      <c r="AQ71" s="89" t="n"/>
      <c r="AR71" s="95" t="inlineStr">
        <is>
          <t>N</t>
        </is>
      </c>
      <c r="AS71" s="95" t="inlineStr">
        <is>
          <t>none</t>
        </is>
      </c>
      <c r="AT71" s="101" t="n"/>
      <c r="AU71" s="96" t="n">
        <v>11.99</v>
      </c>
      <c r="AV71" s="95" t="inlineStr">
        <is>
          <t>none</t>
        </is>
      </c>
      <c r="AW71" s="95" t="inlineStr">
        <is>
          <t>Y</t>
        </is>
      </c>
      <c r="AX71" s="95" t="inlineStr">
        <is>
          <t>2026-10-13 23:46:57</t>
        </is>
      </c>
      <c r="AY71" s="102" t="n"/>
      <c r="AZ71" s="102" t="n"/>
      <c r="BA71" s="101" t="n"/>
      <c r="BB71" s="101" t="n"/>
      <c r="BC71" s="87">
        <f>IF(AND(ISNUMBER(BA71),ISNUMBER(BB71),N(BA71)&gt;0),1-BB71/BA71,"")</f>
        <v/>
      </c>
      <c r="BD71" s="103" t="n"/>
      <c r="BE71" s="103" t="n"/>
      <c r="BF71" s="100">
        <f>IF(AND(ISNUMBER(BD71),ISNUMBER(BE71),N(BE71)&gt;0),BD71/BE71,"")</f>
        <v/>
      </c>
      <c r="BG71" s="102" t="n"/>
      <c r="BH71" s="102" t="n"/>
    </row>
    <row r="72" ht="62" customHeight="1">
      <c r="A72" s="39" t="inlineStr">
        <is>
          <t>IMAGE MISSING</t>
        </is>
      </c>
      <c r="B72" s="84" t="inlineStr">
        <is>
          <t>BLISSFORD</t>
        </is>
      </c>
      <c r="C72" s="32" t="inlineStr">
        <is>
          <t>Silk Pillowcase</t>
        </is>
      </c>
      <c r="D72" s="84" t="inlineStr">
        <is>
          <t>Untiered</t>
        </is>
      </c>
      <c r="E72" s="84" t="inlineStr">
        <is>
          <t>B0FXBTQ86V</t>
        </is>
      </c>
      <c r="F72" s="84" t="inlineStr">
        <is>
          <t>B01N0Z6HVO</t>
        </is>
      </c>
      <c r="G72" s="84" t="n"/>
      <c r="H72" s="84" t="n"/>
      <c r="I72" s="85" t="n"/>
      <c r="J72" s="32" t="inlineStr"/>
      <c r="K72" s="86" t="n">
        <v>12.99</v>
      </c>
      <c r="L72" s="86" t="n"/>
      <c r="M72" s="87">
        <f>IF(AND(ISNUMBER(L72),ISNUMBER(K72),N(K72)&gt;0),L72/K72-1,"")</f>
        <v/>
      </c>
      <c r="N72" s="88">
        <f>IF(M72="","No List Price",IF(M72&lt;=0,"At/below price",IF(M72&lt;=0.12,"&lt;=12% STR zone",IF(M72&lt;=0.25,"12-25%","&gt;25% over"))))</f>
        <v/>
      </c>
      <c r="O72" s="86" t="n">
        <v>49.95</v>
      </c>
      <c r="P72" s="89">
        <f>IF(AND(ISNUMBER(K72),ISNUMBER(O72),N(O72)&gt;0),K72/O72-1,"")</f>
        <v/>
      </c>
      <c r="Q72" s="32" t="inlineStr">
        <is>
          <t>Size not stated - vs our Queen. Ours live: Helium 10 Xray, 2026-10-13; 6 children</t>
        </is>
      </c>
      <c r="R72" s="85" t="n">
        <v>2452</v>
      </c>
      <c r="S72" s="85" t="n">
        <v>220</v>
      </c>
      <c r="T72" s="90">
        <f>IF(AND(ISNUMBER(K72),ISNUMBER(S72)),K72*S72*52/12,"")</f>
        <v/>
      </c>
      <c r="U72" s="91" t="n">
        <v>4.6</v>
      </c>
      <c r="V72" s="85" t="n">
        <v>55029</v>
      </c>
      <c r="W72" s="92" t="n">
        <v>46307</v>
      </c>
      <c r="X72" s="92" t="n"/>
      <c r="Y72" s="84" t="n"/>
      <c r="Z72" s="84" t="n"/>
      <c r="AA72" s="85" t="n"/>
      <c r="AB72" s="85" t="n"/>
      <c r="AC72" s="93" t="n"/>
      <c r="AD72" s="93" t="n"/>
      <c r="AE72" s="32" t="n"/>
      <c r="AF72" s="93" t="n"/>
      <c r="AG72" s="93" t="n"/>
      <c r="AH72" s="93" t="n"/>
      <c r="AI72" s="93" t="n"/>
      <c r="AJ72" s="85" t="n"/>
      <c r="AK72" s="85" t="n"/>
      <c r="AL72" s="85" t="n"/>
      <c r="AM72" s="85" t="n"/>
      <c r="AN72" s="85" t="n"/>
      <c r="AO72" s="85" t="n"/>
      <c r="AP72" s="94" t="n"/>
      <c r="AQ72" s="89" t="n"/>
      <c r="AR72" s="95" t="inlineStr">
        <is>
          <t>N</t>
        </is>
      </c>
      <c r="AS72" s="95" t="inlineStr">
        <is>
          <t>none</t>
        </is>
      </c>
      <c r="AT72" s="101" t="n"/>
      <c r="AU72" s="96" t="n">
        <v>13.99</v>
      </c>
      <c r="AV72" s="95" t="inlineStr">
        <is>
          <t>none</t>
        </is>
      </c>
      <c r="AW72" s="95" t="inlineStr">
        <is>
          <t>Y</t>
        </is>
      </c>
      <c r="AX72" s="95" t="inlineStr">
        <is>
          <t>2026-10-13 23:44:55</t>
        </is>
      </c>
      <c r="AY72" s="102" t="n"/>
      <c r="AZ72" s="102" t="n"/>
      <c r="BA72" s="101" t="n"/>
      <c r="BB72" s="101" t="n"/>
      <c r="BC72" s="87">
        <f>IF(AND(ISNUMBER(BA72),ISNUMBER(BB72),N(BA72)&gt;0),1-BB72/BA72,"")</f>
        <v/>
      </c>
      <c r="BD72" s="103" t="n"/>
      <c r="BE72" s="103" t="n"/>
      <c r="BF72" s="100">
        <f>IF(AND(ISNUMBER(BD72),ISNUMBER(BE72),N(BE72)&gt;0),BD72/BE72,"")</f>
        <v/>
      </c>
      <c r="BG72" s="102" t="n"/>
      <c r="BH72" s="102" t="n"/>
    </row>
    <row r="73" ht="62" customHeight="1">
      <c r="A73" s="39" t="inlineStr">
        <is>
          <t>IMAGE MISSING</t>
        </is>
      </c>
      <c r="B73" s="84" t="inlineStr">
        <is>
          <t>Casbrove</t>
        </is>
      </c>
      <c r="C73" s="32" t="inlineStr">
        <is>
          <t>Silk Pillowcase</t>
        </is>
      </c>
      <c r="D73" s="84" t="inlineStr">
        <is>
          <t>Untiered</t>
        </is>
      </c>
      <c r="E73" s="84" t="inlineStr">
        <is>
          <t>B09V4R7MMZ</t>
        </is>
      </c>
      <c r="F73" s="84" t="inlineStr">
        <is>
          <t>B0BXP2FQYZ</t>
        </is>
      </c>
      <c r="G73" s="84" t="n"/>
      <c r="H73" s="84" t="n"/>
      <c r="I73" s="85" t="n"/>
      <c r="J73" s="32" t="inlineStr"/>
      <c r="K73" s="86" t="n">
        <v>9.99</v>
      </c>
      <c r="L73" s="86" t="n"/>
      <c r="M73" s="87">
        <f>IF(AND(ISNUMBER(L73),ISNUMBER(K73),N(K73)&gt;0),L73/K73-1,"")</f>
        <v/>
      </c>
      <c r="N73" s="88">
        <f>IF(M73="","No List Price",IF(M73&lt;=0,"At/below price",IF(M73&lt;=0.12,"&lt;=12% STR zone",IF(M73&lt;=0.25,"12-25%","&gt;25% over"))))</f>
        <v/>
      </c>
      <c r="O73" s="86" t="n">
        <v>49.95</v>
      </c>
      <c r="P73" s="89">
        <f>IF(AND(ISNUMBER(K73),ISNUMBER(O73),N(O73)&gt;0),K73/O73-1,"")</f>
        <v/>
      </c>
      <c r="Q73" s="32" t="inlineStr">
        <is>
          <t>Size not stated - vs our Queen. Ours live: Helium 10 Xray, 2026-10-13; 6 children</t>
        </is>
      </c>
      <c r="R73" s="85" t="n">
        <v>9597</v>
      </c>
      <c r="S73" s="85" t="n">
        <v>197</v>
      </c>
      <c r="T73" s="90">
        <f>IF(AND(ISNUMBER(K73),ISNUMBER(S73)),K73*S73*52/12,"")</f>
        <v/>
      </c>
      <c r="U73" s="91" t="n">
        <v>4.5</v>
      </c>
      <c r="V73" s="85" t="n">
        <v>3879</v>
      </c>
      <c r="W73" s="92" t="n">
        <v>46307</v>
      </c>
      <c r="X73" s="92" t="n"/>
      <c r="Y73" s="84" t="n"/>
      <c r="Z73" s="84" t="n"/>
      <c r="AA73" s="85" t="n"/>
      <c r="AB73" s="85" t="n"/>
      <c r="AC73" s="93" t="n"/>
      <c r="AD73" s="93" t="n"/>
      <c r="AE73" s="32" t="n"/>
      <c r="AF73" s="93" t="n"/>
      <c r="AG73" s="93" t="n"/>
      <c r="AH73" s="93" t="n"/>
      <c r="AI73" s="93" t="n"/>
      <c r="AJ73" s="85" t="n"/>
      <c r="AK73" s="85" t="n"/>
      <c r="AL73" s="85" t="n"/>
      <c r="AM73" s="85" t="n"/>
      <c r="AN73" s="85" t="n"/>
      <c r="AO73" s="85" t="n"/>
      <c r="AP73" s="94" t="n"/>
      <c r="AQ73" s="89" t="n"/>
      <c r="AR73" s="95" t="inlineStr">
        <is>
          <t>N</t>
        </is>
      </c>
      <c r="AS73" s="95" t="inlineStr">
        <is>
          <t>none</t>
        </is>
      </c>
      <c r="AT73" s="101" t="n"/>
      <c r="AU73" s="96" t="n">
        <v>9.99</v>
      </c>
      <c r="AV73" s="95" t="inlineStr">
        <is>
          <t>none</t>
        </is>
      </c>
      <c r="AW73" s="95" t="inlineStr">
        <is>
          <t>Y</t>
        </is>
      </c>
      <c r="AX73" s="95" t="inlineStr">
        <is>
          <t>2026-10-13 23:45:14</t>
        </is>
      </c>
      <c r="AY73" s="102" t="n"/>
      <c r="AZ73" s="102" t="n"/>
      <c r="BA73" s="101" t="n"/>
      <c r="BB73" s="101" t="n"/>
      <c r="BC73" s="87">
        <f>IF(AND(ISNUMBER(BA73),ISNUMBER(BB73),N(BA73)&gt;0),1-BB73/BA73,"")</f>
        <v/>
      </c>
      <c r="BD73" s="103" t="n"/>
      <c r="BE73" s="103" t="n"/>
      <c r="BF73" s="100">
        <f>IF(AND(ISNUMBER(BD73),ISNUMBER(BE73),N(BE73)&gt;0),BD73/BE73,"")</f>
        <v/>
      </c>
      <c r="BG73" s="102" t="n"/>
      <c r="BH73" s="102" t="n"/>
    </row>
    <row r="74" ht="62" customHeight="1">
      <c r="A74" s="10">
        <f>_xlfn.IMAGE("https://images-na.ssl-images-amazon.com/images/I/61dObyBs-kL.jpg")</f>
        <v/>
      </c>
      <c r="B74" s="84" t="inlineStr">
        <is>
          <t>Adubor</t>
        </is>
      </c>
      <c r="C74" s="32" t="inlineStr">
        <is>
          <t>Adubor 100% Silk Pillowcase - Mulberry Silk Pillow Cases, 22 Momme 6A Grade Fibers, Silk Pillow Case for Hair and Skin Health, with Hidden Zipper (Standard 20''×26'', Ivory White, 1PC)</t>
        </is>
      </c>
      <c r="D74" s="84" t="inlineStr">
        <is>
          <t>Untiered</t>
        </is>
      </c>
      <c r="E74" s="84" t="inlineStr">
        <is>
          <t>B07XD9468J</t>
        </is>
      </c>
      <c r="F74" s="84" t="inlineStr">
        <is>
          <t>B07VKRTKRM</t>
        </is>
      </c>
      <c r="G74" s="84" t="inlineStr">
        <is>
          <t>Standard</t>
        </is>
      </c>
      <c r="H74" s="84" t="inlineStr">
        <is>
          <t>Ivory White</t>
        </is>
      </c>
      <c r="I74" s="85" t="n">
        <v>65</v>
      </c>
      <c r="J74" s="32" t="inlineStr"/>
      <c r="K74" s="86" t="n">
        <v>19.99</v>
      </c>
      <c r="L74" s="86" t="n"/>
      <c r="M74" s="87">
        <f>IF(AND(ISNUMBER(L74),ISNUMBER(K74),N(K74)&gt;0),L74/K74-1,"")</f>
        <v/>
      </c>
      <c r="N74" s="88">
        <f>IF(M74="","No List Price",IF(M74&lt;=0,"At/below price",IF(M74&lt;=0.12,"&lt;=12% STR zone",IF(M74&lt;=0.25,"12-25%","&gt;25% over"))))</f>
        <v/>
      </c>
      <c r="O74" s="86" t="n">
        <v>44.95</v>
      </c>
      <c r="P74" s="89">
        <f>IF(AND(ISNUMBER(K74),ISNUMBER(O74),N(O74)&gt;0),K74/O74-1,"")</f>
        <v/>
      </c>
      <c r="Q74" s="32" t="inlineStr">
        <is>
          <t>Same size (Standard). Ours live: Helium 10 Xray, 2026-10-13; 6 children</t>
        </is>
      </c>
      <c r="R74" s="85" t="n">
        <v>11494</v>
      </c>
      <c r="S74" s="85" t="n">
        <v>185</v>
      </c>
      <c r="T74" s="90">
        <f>IF(AND(ISNUMBER(K74),ISNUMBER(S74)),K74*S74*52/12,"")</f>
        <v/>
      </c>
      <c r="U74" s="91" t="n">
        <v>4.4</v>
      </c>
      <c r="V74" s="85" t="n">
        <v>18955</v>
      </c>
      <c r="W74" s="92" t="n">
        <v>46307</v>
      </c>
      <c r="X74" s="92" t="n">
        <v>43670</v>
      </c>
      <c r="Y74" s="84" t="inlineStr">
        <is>
          <t>FBA</t>
        </is>
      </c>
      <c r="Z74" s="84" t="inlineStr">
        <is>
          <t>CN</t>
        </is>
      </c>
      <c r="AA74" s="85" t="n"/>
      <c r="AB74" s="85" t="n"/>
      <c r="AC74" s="93" t="n"/>
      <c r="AD74" s="93" t="n"/>
      <c r="AE74" s="32" t="n"/>
      <c r="AF74" s="93" t="n"/>
      <c r="AG74" s="93" t="n"/>
      <c r="AH74" s="93" t="n"/>
      <c r="AI74" s="93" t="n"/>
      <c r="AJ74" s="85" t="n"/>
      <c r="AK74" s="85" t="n"/>
      <c r="AL74" s="85" t="n"/>
      <c r="AM74" s="85" t="n"/>
      <c r="AN74" s="85" t="n"/>
      <c r="AO74" s="85" t="n"/>
      <c r="AP74" s="94" t="n"/>
      <c r="AQ74" s="89" t="n"/>
      <c r="AR74" s="95" t="inlineStr">
        <is>
          <t>N</t>
        </is>
      </c>
      <c r="AS74" s="95" t="inlineStr">
        <is>
          <t>none</t>
        </is>
      </c>
      <c r="AT74" s="101" t="n"/>
      <c r="AU74" s="96" t="n">
        <v>19.99</v>
      </c>
      <c r="AV74" s="95" t="inlineStr">
        <is>
          <t>none</t>
        </is>
      </c>
      <c r="AW74" s="95" t="inlineStr">
        <is>
          <t>Y</t>
        </is>
      </c>
      <c r="AX74" s="95" t="inlineStr">
        <is>
          <t>2026-10-13 23:44:52</t>
        </is>
      </c>
      <c r="AY74" s="102" t="n"/>
      <c r="AZ74" s="102" t="n"/>
      <c r="BA74" s="101" t="n"/>
      <c r="BB74" s="101" t="n"/>
      <c r="BC74" s="87">
        <f>IF(AND(ISNUMBER(BA74),ISNUMBER(BB74),N(BA74)&gt;0),1-BB74/BA74,"")</f>
        <v/>
      </c>
      <c r="BD74" s="103" t="n"/>
      <c r="BE74" s="103" t="n"/>
      <c r="BF74" s="100">
        <f>IF(AND(ISNUMBER(BD74),ISNUMBER(BE74),N(BE74)&gt;0),BD74/BE74,"")</f>
        <v/>
      </c>
      <c r="BG74" s="102" t="n"/>
      <c r="BH74" s="102" t="n"/>
    </row>
    <row r="75" ht="62" customHeight="1">
      <c r="A75" s="10">
        <f>_xlfn.IMAGE("https://images-na.ssl-images-amazon.com/images/I/71B1EXVMIiL.jpg")</f>
        <v/>
      </c>
      <c r="B75" s="84" t="inlineStr">
        <is>
          <t>J JIMOO</t>
        </is>
      </c>
      <c r="C75" s="32" t="inlineStr">
        <is>
          <t>100% Mulberry Silk Pillowcase for Hair and Skin, 22 Momme Pure Natural Silk Pillow Case Both Sided with Zipper, Pillow Cover for Women Mom Men (Silver Grey, Standard 20''×26'', 1 Pack)</t>
        </is>
      </c>
      <c r="D75" s="84" t="inlineStr">
        <is>
          <t>Untiered</t>
        </is>
      </c>
      <c r="E75" s="84" t="inlineStr">
        <is>
          <t>B0DS1T8ZR7</t>
        </is>
      </c>
      <c r="F75" s="84" t="inlineStr">
        <is>
          <t>B07RGFS927</t>
        </is>
      </c>
      <c r="G75" s="84" t="inlineStr">
        <is>
          <t>Standard</t>
        </is>
      </c>
      <c r="H75" s="84" t="inlineStr">
        <is>
          <t>Silver Grey</t>
        </is>
      </c>
      <c r="I75" s="85" t="n">
        <v>43</v>
      </c>
      <c r="J75" s="32" t="inlineStr"/>
      <c r="K75" s="86" t="n">
        <v>25.99</v>
      </c>
      <c r="L75" s="86" t="n"/>
      <c r="M75" s="87">
        <f>IF(AND(ISNUMBER(L75),ISNUMBER(K75),N(K75)&gt;0),L75/K75-1,"")</f>
        <v/>
      </c>
      <c r="N75" s="88">
        <f>IF(M75="","No List Price",IF(M75&lt;=0,"At/below price",IF(M75&lt;=0.12,"&lt;=12% STR zone",IF(M75&lt;=0.25,"12-25%","&gt;25% over"))))</f>
        <v/>
      </c>
      <c r="O75" s="86" t="n">
        <v>44.95</v>
      </c>
      <c r="P75" s="89">
        <f>IF(AND(ISNUMBER(K75),ISNUMBER(O75),N(O75)&gt;0),K75/O75-1,"")</f>
        <v/>
      </c>
      <c r="Q75" s="32" t="inlineStr">
        <is>
          <t>Same size (Standard). Ours live: Helium 10 Xray, 2026-10-13; 6 children</t>
        </is>
      </c>
      <c r="R75" s="85" t="n">
        <v>5604</v>
      </c>
      <c r="S75" s="85" t="n">
        <v>173</v>
      </c>
      <c r="T75" s="90">
        <f>IF(AND(ISNUMBER(K75),ISNUMBER(S75)),K75*S75*52/12,"")</f>
        <v/>
      </c>
      <c r="U75" s="91" t="n">
        <v>4.5</v>
      </c>
      <c r="V75" s="85" t="n">
        <v>31715</v>
      </c>
      <c r="W75" s="92" t="n">
        <v>46307</v>
      </c>
      <c r="X75" s="92" t="n">
        <v>43589</v>
      </c>
      <c r="Y75" s="84" t="inlineStr">
        <is>
          <t>FBA</t>
        </is>
      </c>
      <c r="Z75" s="84" t="inlineStr">
        <is>
          <t>CN</t>
        </is>
      </c>
      <c r="AA75" s="85" t="n"/>
      <c r="AB75" s="85" t="n"/>
      <c r="AC75" s="93" t="n"/>
      <c r="AD75" s="93" t="n"/>
      <c r="AE75" s="32" t="n"/>
      <c r="AF75" s="93" t="n"/>
      <c r="AG75" s="93" t="n"/>
      <c r="AH75" s="93" t="n"/>
      <c r="AI75" s="93" t="n"/>
      <c r="AJ75" s="85" t="n"/>
      <c r="AK75" s="85" t="n"/>
      <c r="AL75" s="85" t="n"/>
      <c r="AM75" s="85" t="n"/>
      <c r="AN75" s="85" t="n"/>
      <c r="AO75" s="85" t="n"/>
      <c r="AP75" s="94" t="n"/>
      <c r="AQ75" s="89" t="n"/>
      <c r="AR75" s="95" t="inlineStr">
        <is>
          <t>N</t>
        </is>
      </c>
      <c r="AS75" s="95" t="inlineStr">
        <is>
          <t>none</t>
        </is>
      </c>
      <c r="AT75" s="101" t="n"/>
      <c r="AU75" s="96" t="n">
        <v>25.99</v>
      </c>
      <c r="AV75" s="95" t="inlineStr">
        <is>
          <t>none</t>
        </is>
      </c>
      <c r="AW75" s="95" t="inlineStr">
        <is>
          <t>Y</t>
        </is>
      </c>
      <c r="AX75" s="95" t="inlineStr">
        <is>
          <t>2026-10-13 23:45:48</t>
        </is>
      </c>
      <c r="AY75" s="102" t="n"/>
      <c r="AZ75" s="102" t="n"/>
      <c r="BA75" s="101" t="n"/>
      <c r="BB75" s="101" t="n"/>
      <c r="BC75" s="87">
        <f>IF(AND(ISNUMBER(BA75),ISNUMBER(BB75),N(BA75)&gt;0),1-BB75/BA75,"")</f>
        <v/>
      </c>
      <c r="BD75" s="103" t="n"/>
      <c r="BE75" s="103" t="n"/>
      <c r="BF75" s="100">
        <f>IF(AND(ISNUMBER(BD75),ISNUMBER(BE75),N(BE75)&gt;0),BD75/BE75,"")</f>
        <v/>
      </c>
      <c r="BG75" s="102" t="n"/>
      <c r="BH75" s="102" t="n"/>
    </row>
    <row r="76" ht="62" customHeight="1">
      <c r="A76" s="10">
        <f>_xlfn.IMAGE("https://images-na.ssl-images-amazon.com/images/I/51jDXAKxi2L.jpg")</f>
        <v/>
      </c>
      <c r="B76" s="84" t="inlineStr">
        <is>
          <t>Ravmix</t>
        </is>
      </c>
      <c r="C76" s="32" t="inlineStr">
        <is>
          <t>Ravmix 100% Silk Pillow Cases with Zipper, 21 Momme Mulberry Silk Pillowcase for Hair Skin Health, Soft Smooth Breathable Cool Pillow Cover for Beauty Sleep(Standard 20"x26", Ivory White) 1PC</t>
        </is>
      </c>
      <c r="D76" s="84" t="inlineStr">
        <is>
          <t>Untiered</t>
        </is>
      </c>
      <c r="E76" s="84" t="inlineStr">
        <is>
          <t>B0H9S9ZNL2</t>
        </is>
      </c>
      <c r="F76" s="84" t="inlineStr">
        <is>
          <t>B07KJYP1VC</t>
        </is>
      </c>
      <c r="G76" s="84" t="inlineStr">
        <is>
          <t>Standard</t>
        </is>
      </c>
      <c r="H76" s="84" t="inlineStr">
        <is>
          <t>White</t>
        </is>
      </c>
      <c r="I76" s="85" t="n">
        <v>65</v>
      </c>
      <c r="J76" s="32" t="inlineStr"/>
      <c r="K76" s="86" t="n">
        <v>19.99</v>
      </c>
      <c r="L76" s="86" t="n"/>
      <c r="M76" s="87">
        <f>IF(AND(ISNUMBER(L76),ISNUMBER(K76),N(K76)&gt;0),L76/K76-1,"")</f>
        <v/>
      </c>
      <c r="N76" s="88">
        <f>IF(M76="","No List Price",IF(M76&lt;=0,"At/below price",IF(M76&lt;=0.12,"&lt;=12% STR zone",IF(M76&lt;=0.25,"12-25%","&gt;25% over"))))</f>
        <v/>
      </c>
      <c r="O76" s="86" t="n">
        <v>44.95</v>
      </c>
      <c r="P76" s="89">
        <f>IF(AND(ISNUMBER(K76),ISNUMBER(O76),N(O76)&gt;0),K76/O76-1,"")</f>
        <v/>
      </c>
      <c r="Q76" s="32" t="inlineStr">
        <is>
          <t>Same size (Standard). Ours live: Helium 10 Xray, 2026-10-13; 6 children</t>
        </is>
      </c>
      <c r="R76" s="85" t="n">
        <v>17242</v>
      </c>
      <c r="S76" s="85" t="n">
        <v>104</v>
      </c>
      <c r="T76" s="90">
        <f>IF(AND(ISNUMBER(K76),ISNUMBER(S76)),K76*S76*52/12,"")</f>
        <v/>
      </c>
      <c r="U76" s="91" t="n">
        <v>4.5</v>
      </c>
      <c r="V76" s="85" t="n">
        <v>33594</v>
      </c>
      <c r="W76" s="92" t="n">
        <v>46307</v>
      </c>
      <c r="X76" s="92" t="n">
        <v>43429</v>
      </c>
      <c r="Y76" s="84" t="inlineStr">
        <is>
          <t>FBA</t>
        </is>
      </c>
      <c r="Z76" s="84" t="inlineStr">
        <is>
          <t>CN</t>
        </is>
      </c>
      <c r="AA76" s="85" t="n"/>
      <c r="AB76" s="85" t="n"/>
      <c r="AC76" s="93" t="n"/>
      <c r="AD76" s="93" t="n"/>
      <c r="AE76" s="32" t="n"/>
      <c r="AF76" s="93" t="n"/>
      <c r="AG76" s="93" t="n"/>
      <c r="AH76" s="93" t="n"/>
      <c r="AI76" s="93" t="n"/>
      <c r="AJ76" s="85" t="n"/>
      <c r="AK76" s="85" t="n"/>
      <c r="AL76" s="85" t="n"/>
      <c r="AM76" s="85" t="n"/>
      <c r="AN76" s="85" t="n"/>
      <c r="AO76" s="85" t="n"/>
      <c r="AP76" s="94" t="n"/>
      <c r="AQ76" s="89" t="n"/>
      <c r="AR76" s="95" t="inlineStr">
        <is>
          <t>N</t>
        </is>
      </c>
      <c r="AS76" s="95" t="inlineStr">
        <is>
          <t>none</t>
        </is>
      </c>
      <c r="AT76" s="101" t="n"/>
      <c r="AU76" s="96" t="n">
        <v>19.99</v>
      </c>
      <c r="AV76" s="95" t="inlineStr">
        <is>
          <t>none</t>
        </is>
      </c>
      <c r="AW76" s="95" t="inlineStr">
        <is>
          <t>Y</t>
        </is>
      </c>
      <c r="AX76" s="95" t="inlineStr">
        <is>
          <t>2026-10-13 23:46:39</t>
        </is>
      </c>
      <c r="AY76" s="102" t="n"/>
      <c r="AZ76" s="102" t="n"/>
      <c r="BA76" s="101" t="n"/>
      <c r="BB76" s="101" t="n"/>
      <c r="BC76" s="87">
        <f>IF(AND(ISNUMBER(BA76),ISNUMBER(BB76),N(BA76)&gt;0),1-BB76/BA76,"")</f>
        <v/>
      </c>
      <c r="BD76" s="103" t="n"/>
      <c r="BE76" s="103" t="n"/>
      <c r="BF76" s="100">
        <f>IF(AND(ISNUMBER(BD76),ISNUMBER(BE76),N(BE76)&gt;0),BD76/BE76,"")</f>
        <v/>
      </c>
      <c r="BG76" s="102" t="n"/>
      <c r="BH76" s="102" t="n"/>
    </row>
    <row r="77" ht="62" customHeight="1">
      <c r="A77" s="39" t="inlineStr">
        <is>
          <t>IMAGE MISSING</t>
        </is>
      </c>
      <c r="B77" s="84" t="inlineStr">
        <is>
          <t>INSSL</t>
        </is>
      </c>
      <c r="C77" s="32" t="inlineStr">
        <is>
          <t>Silk Pillowcase</t>
        </is>
      </c>
      <c r="D77" s="84" t="inlineStr">
        <is>
          <t>Untiered</t>
        </is>
      </c>
      <c r="E77" s="84" t="inlineStr">
        <is>
          <t>B0BCGZVPCM</t>
        </is>
      </c>
      <c r="F77" s="84" t="inlineStr">
        <is>
          <t>B089SJQP45</t>
        </is>
      </c>
      <c r="G77" s="84" t="n"/>
      <c r="H77" s="84" t="n"/>
      <c r="I77" s="85" t="n"/>
      <c r="J77" s="32" t="inlineStr"/>
      <c r="K77" s="86" t="n">
        <v>13.99</v>
      </c>
      <c r="L77" s="86" t="n"/>
      <c r="M77" s="87">
        <f>IF(AND(ISNUMBER(L77),ISNUMBER(K77),N(K77)&gt;0),L77/K77-1,"")</f>
        <v/>
      </c>
      <c r="N77" s="88">
        <f>IF(M77="","No List Price",IF(M77&lt;=0,"At/below price",IF(M77&lt;=0.12,"&lt;=12% STR zone",IF(M77&lt;=0.25,"12-25%","&gt;25% over"))))</f>
        <v/>
      </c>
      <c r="O77" s="86" t="n">
        <v>49.95</v>
      </c>
      <c r="P77" s="89">
        <f>IF(AND(ISNUMBER(K77),ISNUMBER(O77),N(O77)&gt;0),K77/O77-1,"")</f>
        <v/>
      </c>
      <c r="Q77" s="32" t="inlineStr">
        <is>
          <t>Size not stated - vs our Queen. Ours live: Helium 10 Xray, 2026-10-13; 6 children</t>
        </is>
      </c>
      <c r="R77" s="85" t="n">
        <v>14446</v>
      </c>
      <c r="S77" s="85" t="n">
        <v>92</v>
      </c>
      <c r="T77" s="90">
        <f>IF(AND(ISNUMBER(K77),ISNUMBER(S77)),K77*S77*52/12,"")</f>
        <v/>
      </c>
      <c r="U77" s="91" t="n">
        <v>4.5</v>
      </c>
      <c r="V77" s="85" t="n">
        <v>11647</v>
      </c>
      <c r="W77" s="92" t="n">
        <v>46307</v>
      </c>
      <c r="X77" s="92" t="n"/>
      <c r="Y77" s="84" t="n"/>
      <c r="Z77" s="84" t="n"/>
      <c r="AA77" s="85" t="n"/>
      <c r="AB77" s="85" t="n"/>
      <c r="AC77" s="93" t="n"/>
      <c r="AD77" s="93" t="n"/>
      <c r="AE77" s="32" t="n"/>
      <c r="AF77" s="93" t="n"/>
      <c r="AG77" s="93" t="n"/>
      <c r="AH77" s="93" t="n"/>
      <c r="AI77" s="93" t="n"/>
      <c r="AJ77" s="85" t="n"/>
      <c r="AK77" s="85" t="n"/>
      <c r="AL77" s="85" t="n"/>
      <c r="AM77" s="85" t="n"/>
      <c r="AN77" s="85" t="n"/>
      <c r="AO77" s="85" t="n"/>
      <c r="AP77" s="94" t="n"/>
      <c r="AQ77" s="89" t="n"/>
      <c r="AR77" s="95" t="inlineStr">
        <is>
          <t>N</t>
        </is>
      </c>
      <c r="AS77" s="95" t="inlineStr">
        <is>
          <t>none</t>
        </is>
      </c>
      <c r="AT77" s="101" t="n"/>
      <c r="AU77" s="96" t="n">
        <v>13.99</v>
      </c>
      <c r="AV77" s="95" t="inlineStr">
        <is>
          <t>none</t>
        </is>
      </c>
      <c r="AW77" s="95" t="inlineStr">
        <is>
          <t>Y</t>
        </is>
      </c>
      <c r="AX77" s="95" t="inlineStr">
        <is>
          <t>2026-10-13 23:45:45</t>
        </is>
      </c>
      <c r="AY77" s="102" t="n"/>
      <c r="AZ77" s="102" t="n"/>
      <c r="BA77" s="101" t="n"/>
      <c r="BB77" s="101" t="n"/>
      <c r="BC77" s="87">
        <f>IF(AND(ISNUMBER(BA77),ISNUMBER(BB77),N(BA77)&gt;0),1-BB77/BA77,"")</f>
        <v/>
      </c>
      <c r="BD77" s="103" t="n"/>
      <c r="BE77" s="103" t="n"/>
      <c r="BF77" s="100">
        <f>IF(AND(ISNUMBER(BD77),ISNUMBER(BE77),N(BE77)&gt;0),BD77/BE77,"")</f>
        <v/>
      </c>
      <c r="BG77" s="102" t="n"/>
      <c r="BH77" s="102" t="n"/>
    </row>
    <row r="78" ht="62" customHeight="1">
      <c r="A78" s="39" t="inlineStr">
        <is>
          <t>IMAGE MISSING</t>
        </is>
      </c>
      <c r="B78" s="84" t="inlineStr">
        <is>
          <t>SIYUAN</t>
        </is>
      </c>
      <c r="C78" s="32" t="inlineStr">
        <is>
          <t>Silk Pillowcase</t>
        </is>
      </c>
      <c r="D78" s="84" t="inlineStr">
        <is>
          <t>Untiered</t>
        </is>
      </c>
      <c r="E78" s="84" t="inlineStr">
        <is>
          <t>B0C395RDGT</t>
        </is>
      </c>
      <c r="F78" s="84" t="inlineStr">
        <is>
          <t>B0BBC1GN6H</t>
        </is>
      </c>
      <c r="G78" s="84" t="n"/>
      <c r="H78" s="84" t="n"/>
      <c r="I78" s="85" t="n"/>
      <c r="J78" s="32" t="inlineStr"/>
      <c r="K78" s="86" t="n">
        <v>13.99</v>
      </c>
      <c r="L78" s="86" t="n"/>
      <c r="M78" s="87">
        <f>IF(AND(ISNUMBER(L78),ISNUMBER(K78),N(K78)&gt;0),L78/K78-1,"")</f>
        <v/>
      </c>
      <c r="N78" s="88">
        <f>IF(M78="","No List Price",IF(M78&lt;=0,"At/below price",IF(M78&lt;=0.12,"&lt;=12% STR zone",IF(M78&lt;=0.25,"12-25%","&gt;25% over"))))</f>
        <v/>
      </c>
      <c r="O78" s="86" t="n">
        <v>49.95</v>
      </c>
      <c r="P78" s="89">
        <f>IF(AND(ISNUMBER(K78),ISNUMBER(O78),N(O78)&gt;0),K78/O78-1,"")</f>
        <v/>
      </c>
      <c r="Q78" s="32" t="inlineStr">
        <is>
          <t>Size not stated - vs our Queen. Ours live: Helium 10 Xray, 2026-10-13; 6 children</t>
        </is>
      </c>
      <c r="R78" s="85" t="n">
        <v>3332</v>
      </c>
      <c r="S78" s="85" t="n">
        <v>81</v>
      </c>
      <c r="T78" s="90">
        <f>IF(AND(ISNUMBER(K78),ISNUMBER(S78)),K78*S78*52/12,"")</f>
        <v/>
      </c>
      <c r="U78" s="91" t="n">
        <v>4.5</v>
      </c>
      <c r="V78" s="85" t="n">
        <v>9825</v>
      </c>
      <c r="W78" s="92" t="n">
        <v>46307</v>
      </c>
      <c r="X78" s="92" t="n"/>
      <c r="Y78" s="84" t="n"/>
      <c r="Z78" s="84" t="n"/>
      <c r="AA78" s="85" t="n"/>
      <c r="AB78" s="85" t="n"/>
      <c r="AC78" s="93" t="n"/>
      <c r="AD78" s="93" t="n"/>
      <c r="AE78" s="32" t="n"/>
      <c r="AF78" s="93" t="n"/>
      <c r="AG78" s="93" t="n"/>
      <c r="AH78" s="93" t="n"/>
      <c r="AI78" s="93" t="n"/>
      <c r="AJ78" s="85" t="n"/>
      <c r="AK78" s="85" t="n"/>
      <c r="AL78" s="85" t="n"/>
      <c r="AM78" s="85" t="n"/>
      <c r="AN78" s="85" t="n"/>
      <c r="AO78" s="85" t="n"/>
      <c r="AP78" s="94" t="n"/>
      <c r="AQ78" s="89" t="n"/>
      <c r="AR78" s="95" t="inlineStr">
        <is>
          <t>N</t>
        </is>
      </c>
      <c r="AS78" s="95" t="inlineStr">
        <is>
          <t>none</t>
        </is>
      </c>
      <c r="AT78" s="101" t="n"/>
      <c r="AU78" s="96" t="n">
        <v>13.99</v>
      </c>
      <c r="AV78" s="95" t="inlineStr">
        <is>
          <t>none</t>
        </is>
      </c>
      <c r="AW78" s="95" t="inlineStr">
        <is>
          <t>Y</t>
        </is>
      </c>
      <c r="AX78" s="95" t="inlineStr">
        <is>
          <t>2026-10-13 23:46:48</t>
        </is>
      </c>
      <c r="AY78" s="102" t="n"/>
      <c r="AZ78" s="102" t="n"/>
      <c r="BA78" s="101" t="n"/>
      <c r="BB78" s="101" t="n"/>
      <c r="BC78" s="87">
        <f>IF(AND(ISNUMBER(BA78),ISNUMBER(BB78),N(BA78)&gt;0),1-BB78/BA78,"")</f>
        <v/>
      </c>
      <c r="BD78" s="103" t="n"/>
      <c r="BE78" s="103" t="n"/>
      <c r="BF78" s="100">
        <f>IF(AND(ISNUMBER(BD78),ISNUMBER(BE78),N(BE78)&gt;0),BD78/BE78,"")</f>
        <v/>
      </c>
      <c r="BG78" s="102" t="n"/>
      <c r="BH78" s="102" t="n"/>
    </row>
    <row r="79" ht="62" customHeight="1">
      <c r="A79" s="39" t="inlineStr">
        <is>
          <t>IMAGE MISSING</t>
        </is>
      </c>
      <c r="B79" s="84" t="inlineStr">
        <is>
          <t>WLOSJ</t>
        </is>
      </c>
      <c r="C79" s="32" t="inlineStr">
        <is>
          <t>Silk Pillow</t>
        </is>
      </c>
      <c r="D79" s="84" t="inlineStr">
        <is>
          <t>Untiered</t>
        </is>
      </c>
      <c r="E79" s="84" t="inlineStr">
        <is>
          <t>B0CZF5V1W7</t>
        </is>
      </c>
      <c r="F79" s="84" t="inlineStr">
        <is>
          <t>B09T6DV8BB</t>
        </is>
      </c>
      <c r="G79" s="84" t="n"/>
      <c r="H79" s="84" t="n"/>
      <c r="I79" s="85" t="n"/>
      <c r="J79" s="32" t="inlineStr"/>
      <c r="K79" s="86" t="n">
        <v>19.99</v>
      </c>
      <c r="L79" s="86" t="n"/>
      <c r="M79" s="87">
        <f>IF(AND(ISNUMBER(L79),ISNUMBER(K79),N(K79)&gt;0),L79/K79-1,"")</f>
        <v/>
      </c>
      <c r="N79" s="88">
        <f>IF(M79="","No List Price",IF(M79&lt;=0,"At/below price",IF(M79&lt;=0.12,"&lt;=12% STR zone",IF(M79&lt;=0.25,"12-25%","&gt;25% over"))))</f>
        <v/>
      </c>
      <c r="O79" s="86" t="n">
        <v>49.95</v>
      </c>
      <c r="P79" s="89">
        <f>IF(AND(ISNUMBER(K79),ISNUMBER(O79),N(O79)&gt;0),K79/O79-1,"")</f>
        <v/>
      </c>
      <c r="Q79" s="32" t="inlineStr">
        <is>
          <t>Size not stated - vs our Queen. Ours live: Helium 10 Xray, 2026-10-13; 6 children</t>
        </is>
      </c>
      <c r="R79" s="85" t="n">
        <v>19251</v>
      </c>
      <c r="S79" s="85" t="n">
        <v>81</v>
      </c>
      <c r="T79" s="90">
        <f>IF(AND(ISNUMBER(K79),ISNUMBER(S79)),K79*S79*52/12,"")</f>
        <v/>
      </c>
      <c r="U79" s="91" t="n">
        <v>4.2</v>
      </c>
      <c r="V79" s="85" t="n">
        <v>1464</v>
      </c>
      <c r="W79" s="92" t="n">
        <v>46307</v>
      </c>
      <c r="X79" s="92" t="n"/>
      <c r="Y79" s="84" t="n"/>
      <c r="Z79" s="84" t="n"/>
      <c r="AA79" s="85" t="n"/>
      <c r="AB79" s="85" t="n"/>
      <c r="AC79" s="93" t="n"/>
      <c r="AD79" s="93" t="n"/>
      <c r="AE79" s="32" t="n"/>
      <c r="AF79" s="93" t="n"/>
      <c r="AG79" s="93" t="n"/>
      <c r="AH79" s="93" t="n"/>
      <c r="AI79" s="93" t="n"/>
      <c r="AJ79" s="85" t="n"/>
      <c r="AK79" s="85" t="n"/>
      <c r="AL79" s="85" t="n"/>
      <c r="AM79" s="85" t="n"/>
      <c r="AN79" s="85" t="n"/>
      <c r="AO79" s="85" t="n"/>
      <c r="AP79" s="94" t="n"/>
      <c r="AQ79" s="89" t="n"/>
      <c r="AR79" s="95" t="inlineStr">
        <is>
          <t>N</t>
        </is>
      </c>
      <c r="AS79" s="95" t="inlineStr">
        <is>
          <t>none</t>
        </is>
      </c>
      <c r="AT79" s="101" t="n"/>
      <c r="AU79" s="96" t="n">
        <v>19.99</v>
      </c>
      <c r="AV79" s="95" t="inlineStr">
        <is>
          <t>none</t>
        </is>
      </c>
      <c r="AW79" s="95" t="inlineStr">
        <is>
          <t>Y</t>
        </is>
      </c>
      <c r="AX79" s="95" t="inlineStr">
        <is>
          <t>2026-10-13 23:47:07</t>
        </is>
      </c>
      <c r="AY79" s="102" t="n"/>
      <c r="AZ79" s="102" t="n"/>
      <c r="BA79" s="101" t="n"/>
      <c r="BB79" s="101" t="n"/>
      <c r="BC79" s="87">
        <f>IF(AND(ISNUMBER(BA79),ISNUMBER(BB79),N(BA79)&gt;0),1-BB79/BA79,"")</f>
        <v/>
      </c>
      <c r="BD79" s="103" t="n"/>
      <c r="BE79" s="103" t="n"/>
      <c r="BF79" s="100">
        <f>IF(AND(ISNUMBER(BD79),ISNUMBER(BE79),N(BE79)&gt;0),BD79/BE79,"")</f>
        <v/>
      </c>
      <c r="BG79" s="102" t="n"/>
      <c r="BH79" s="102" t="n"/>
    </row>
    <row r="80" ht="62" customHeight="1">
      <c r="A80" s="39" t="inlineStr">
        <is>
          <t>IMAGE MISSING</t>
        </is>
      </c>
      <c r="B80" s="84" t="inlineStr">
        <is>
          <t>Kinself</t>
        </is>
      </c>
      <c r="C80" s="32" t="inlineStr">
        <is>
          <t>Silk Pillowcase</t>
        </is>
      </c>
      <c r="D80" s="84" t="inlineStr">
        <is>
          <t>Untiered</t>
        </is>
      </c>
      <c r="E80" s="84" t="inlineStr">
        <is>
          <t>B0CM16H4RY</t>
        </is>
      </c>
      <c r="F80" s="84" t="inlineStr">
        <is>
          <t>B0CKLCLQ62</t>
        </is>
      </c>
      <c r="G80" s="84" t="n"/>
      <c r="H80" s="84" t="n"/>
      <c r="I80" s="85" t="n"/>
      <c r="J80" s="32" t="inlineStr"/>
      <c r="K80" s="86" t="n">
        <v>20.99</v>
      </c>
      <c r="L80" s="86" t="n"/>
      <c r="M80" s="87">
        <f>IF(AND(ISNUMBER(L80),ISNUMBER(K80),N(K80)&gt;0),L80/K80-1,"")</f>
        <v/>
      </c>
      <c r="N80" s="88">
        <f>IF(M80="","No List Price",IF(M80&lt;=0,"At/below price",IF(M80&lt;=0.12,"&lt;=12% STR zone",IF(M80&lt;=0.25,"12-25%","&gt;25% over"))))</f>
        <v/>
      </c>
      <c r="O80" s="86" t="n">
        <v>49.95</v>
      </c>
      <c r="P80" s="89">
        <f>IF(AND(ISNUMBER(K80),ISNUMBER(O80),N(O80)&gt;0),K80/O80-1,"")</f>
        <v/>
      </c>
      <c r="Q80" s="32" t="inlineStr">
        <is>
          <t>Size not stated - vs our Queen. Ours live: Helium 10 Xray, 2026-10-13; 6 children</t>
        </is>
      </c>
      <c r="R80" s="85" t="n">
        <v>90616</v>
      </c>
      <c r="S80" s="85" t="n">
        <v>18</v>
      </c>
      <c r="T80" s="90">
        <f>IF(AND(ISNUMBER(K80),ISNUMBER(S80)),K80*S80*52/12,"")</f>
        <v/>
      </c>
      <c r="U80" s="91" t="n">
        <v>4.5</v>
      </c>
      <c r="V80" s="85" t="n">
        <v>1457</v>
      </c>
      <c r="W80" s="92" t="n">
        <v>46307</v>
      </c>
      <c r="X80" s="92" t="n"/>
      <c r="Y80" s="84" t="n"/>
      <c r="Z80" s="84" t="n"/>
      <c r="AA80" s="85" t="n"/>
      <c r="AB80" s="85" t="n"/>
      <c r="AC80" s="93" t="n"/>
      <c r="AD80" s="93" t="n"/>
      <c r="AE80" s="32" t="n"/>
      <c r="AF80" s="93" t="n"/>
      <c r="AG80" s="93" t="n"/>
      <c r="AH80" s="93" t="n"/>
      <c r="AI80" s="93" t="n"/>
      <c r="AJ80" s="85" t="n"/>
      <c r="AK80" s="85" t="n"/>
      <c r="AL80" s="85" t="n"/>
      <c r="AM80" s="85" t="n"/>
      <c r="AN80" s="85" t="n"/>
      <c r="AO80" s="85" t="n"/>
      <c r="AP80" s="94" t="n"/>
      <c r="AQ80" s="89" t="n"/>
      <c r="AR80" s="95" t="inlineStr">
        <is>
          <t>N</t>
        </is>
      </c>
      <c r="AS80" s="95" t="inlineStr">
        <is>
          <t>none</t>
        </is>
      </c>
      <c r="AT80" s="101" t="n"/>
      <c r="AU80" s="96" t="n">
        <v>20.99</v>
      </c>
      <c r="AV80" s="95" t="inlineStr">
        <is>
          <t>none</t>
        </is>
      </c>
      <c r="AW80" s="95" t="inlineStr">
        <is>
          <t>Y</t>
        </is>
      </c>
      <c r="AX80" s="95" t="inlineStr">
        <is>
          <t>2026-10-13 23:46:00</t>
        </is>
      </c>
      <c r="AY80" s="102" t="n"/>
      <c r="AZ80" s="102" t="n"/>
      <c r="BA80" s="101" t="n"/>
      <c r="BB80" s="101" t="n"/>
      <c r="BC80" s="87">
        <f>IF(AND(ISNUMBER(BA80),ISNUMBER(BB80),N(BA80)&gt;0),1-BB80/BA80,"")</f>
        <v/>
      </c>
      <c r="BD80" s="103" t="n"/>
      <c r="BE80" s="103" t="n"/>
      <c r="BF80" s="100">
        <f>IF(AND(ISNUMBER(BD80),ISNUMBER(BE80),N(BE80)&gt;0),BD80/BE80,"")</f>
        <v/>
      </c>
      <c r="BG80" s="102" t="n"/>
      <c r="BH80" s="102" t="n"/>
    </row>
    <row r="81" ht="62" customHeight="1">
      <c r="A81" s="39" t="inlineStr">
        <is>
          <t>IMAGE MISSING</t>
        </is>
      </c>
      <c r="B81" s="84" t="inlineStr">
        <is>
          <t>Jocoku</t>
        </is>
      </c>
      <c r="C81" s="32" t="inlineStr">
        <is>
          <t>Silk Pillowcase</t>
        </is>
      </c>
      <c r="D81" s="84" t="inlineStr">
        <is>
          <t>Untiered</t>
        </is>
      </c>
      <c r="E81" s="84" t="inlineStr">
        <is>
          <t>B08BFG7CNK</t>
        </is>
      </c>
      <c r="F81" s="84" t="inlineStr">
        <is>
          <t>B07JLLJSK5</t>
        </is>
      </c>
      <c r="G81" s="84" t="n"/>
      <c r="H81" s="84" t="n"/>
      <c r="I81" s="85" t="n"/>
      <c r="J81" s="32" t="inlineStr"/>
      <c r="K81" s="86" t="n">
        <v>21.99</v>
      </c>
      <c r="L81" s="86" t="n"/>
      <c r="M81" s="87">
        <f>IF(AND(ISNUMBER(L81),ISNUMBER(K81),N(K81)&gt;0),L81/K81-1,"")</f>
        <v/>
      </c>
      <c r="N81" s="88">
        <f>IF(M81="","No List Price",IF(M81&lt;=0,"At/below price",IF(M81&lt;=0.12,"&lt;=12% STR zone",IF(M81&lt;=0.25,"12-25%","&gt;25% over"))))</f>
        <v/>
      </c>
      <c r="O81" s="86" t="n">
        <v>49.95</v>
      </c>
      <c r="P81" s="89">
        <f>IF(AND(ISNUMBER(K81),ISNUMBER(O81),N(O81)&gt;0),K81/O81-1,"")</f>
        <v/>
      </c>
      <c r="Q81" s="32" t="inlineStr">
        <is>
          <t>Size not stated - vs our Queen. Ours live: Helium 10 Xray, 2026-10-13; 6 children</t>
        </is>
      </c>
      <c r="R81" s="85" t="n">
        <v>83599</v>
      </c>
      <c r="S81" s="85" t="n">
        <v>5</v>
      </c>
      <c r="T81" s="90">
        <f>IF(AND(ISNUMBER(K81),ISNUMBER(S81)),K81*S81*52/12,"")</f>
        <v/>
      </c>
      <c r="U81" s="91" t="n">
        <v>4.4</v>
      </c>
      <c r="V81" s="85" t="n">
        <v>14841</v>
      </c>
      <c r="W81" s="92" t="n">
        <v>46307</v>
      </c>
      <c r="X81" s="92" t="n"/>
      <c r="Y81" s="84" t="n"/>
      <c r="Z81" s="84" t="n"/>
      <c r="AA81" s="85" t="n"/>
      <c r="AB81" s="85" t="n"/>
      <c r="AC81" s="93" t="n"/>
      <c r="AD81" s="93" t="n"/>
      <c r="AE81" s="32" t="n"/>
      <c r="AF81" s="93" t="n"/>
      <c r="AG81" s="93" t="n"/>
      <c r="AH81" s="93" t="n"/>
      <c r="AI81" s="93" t="n"/>
      <c r="AJ81" s="85" t="n"/>
      <c r="AK81" s="85" t="n"/>
      <c r="AL81" s="85" t="n"/>
      <c r="AM81" s="85" t="n"/>
      <c r="AN81" s="85" t="n"/>
      <c r="AO81" s="85" t="n"/>
      <c r="AP81" s="94" t="n"/>
      <c r="AQ81" s="89" t="n"/>
      <c r="AR81" s="95" t="inlineStr">
        <is>
          <t>N</t>
        </is>
      </c>
      <c r="AS81" s="95" t="inlineStr">
        <is>
          <t>none</t>
        </is>
      </c>
      <c r="AT81" s="101" t="n"/>
      <c r="AU81" s="96" t="n">
        <v>21.99</v>
      </c>
      <c r="AV81" s="95" t="inlineStr">
        <is>
          <t>none</t>
        </is>
      </c>
      <c r="AW81" s="95" t="inlineStr">
        <is>
          <t>Y</t>
        </is>
      </c>
      <c r="AX81" s="95" t="inlineStr">
        <is>
          <t>2026-10-13 23:45:57</t>
        </is>
      </c>
      <c r="AY81" s="102" t="n"/>
      <c r="AZ81" s="102" t="n"/>
      <c r="BA81" s="101" t="n"/>
      <c r="BB81" s="101" t="n"/>
      <c r="BC81" s="87">
        <f>IF(AND(ISNUMBER(BA81),ISNUMBER(BB81),N(BA81)&gt;0),1-BB81/BA81,"")</f>
        <v/>
      </c>
      <c r="BD81" s="103" t="n"/>
      <c r="BE81" s="103" t="n"/>
      <c r="BF81" s="100">
        <f>IF(AND(ISNUMBER(BD81),ISNUMBER(BE81),N(BE81)&gt;0),BD81/BE81,"")</f>
        <v/>
      </c>
      <c r="BG81" s="102" t="n"/>
      <c r="BH81" s="102" t="n"/>
    </row>
    <row r="82" ht="62" customHeight="1">
      <c r="A82" s="39" t="inlineStr">
        <is>
          <t>IMAGE MISSING</t>
        </is>
      </c>
      <c r="B82" s="84" t="inlineStr">
        <is>
          <t>JOGJUE</t>
        </is>
      </c>
      <c r="C82" s="32" t="inlineStr">
        <is>
          <t>Silk Pillowcase</t>
        </is>
      </c>
      <c r="D82" s="84" t="inlineStr">
        <is>
          <t>Untiered</t>
        </is>
      </c>
      <c r="E82" s="84" t="inlineStr">
        <is>
          <t>B094NS7KFX</t>
        </is>
      </c>
      <c r="F82" s="84" t="inlineStr">
        <is>
          <t>B07S2XV3TG</t>
        </is>
      </c>
      <c r="G82" s="84" t="n"/>
      <c r="H82" s="84" t="n"/>
      <c r="I82" s="85" t="n"/>
      <c r="J82" s="32" t="inlineStr"/>
      <c r="K82" s="86" t="n">
        <v>20.99</v>
      </c>
      <c r="L82" s="86" t="n"/>
      <c r="M82" s="87">
        <f>IF(AND(ISNUMBER(L82),ISNUMBER(K82),N(K82)&gt;0),L82/K82-1,"")</f>
        <v/>
      </c>
      <c r="N82" s="88">
        <f>IF(M82="","No List Price",IF(M82&lt;=0,"At/below price",IF(M82&lt;=0.12,"&lt;=12% STR zone",IF(M82&lt;=0.25,"12-25%","&gt;25% over"))))</f>
        <v/>
      </c>
      <c r="O82" s="86" t="n">
        <v>49.95</v>
      </c>
      <c r="P82" s="89">
        <f>IF(AND(ISNUMBER(K82),ISNUMBER(O82),N(O82)&gt;0),K82/O82-1,"")</f>
        <v/>
      </c>
      <c r="Q82" s="32" t="inlineStr">
        <is>
          <t>Size not stated - vs our Queen. Ours live: Helium 10 Xray, 2026-10-13; 6 children</t>
        </is>
      </c>
      <c r="R82" s="85" t="n">
        <v>135984</v>
      </c>
      <c r="S82" s="85" t="n">
        <v>5</v>
      </c>
      <c r="T82" s="90">
        <f>IF(AND(ISNUMBER(K82),ISNUMBER(S82)),K82*S82*52/12,"")</f>
        <v/>
      </c>
      <c r="U82" s="91" t="n">
        <v>4.4</v>
      </c>
      <c r="V82" s="85" t="n">
        <v>8036</v>
      </c>
      <c r="W82" s="92" t="n">
        <v>46307</v>
      </c>
      <c r="X82" s="92" t="n"/>
      <c r="Y82" s="84" t="n"/>
      <c r="Z82" s="84" t="n"/>
      <c r="AA82" s="85" t="n"/>
      <c r="AB82" s="85" t="n"/>
      <c r="AC82" s="93" t="n"/>
      <c r="AD82" s="93" t="n"/>
      <c r="AE82" s="32" t="n"/>
      <c r="AF82" s="93" t="n"/>
      <c r="AG82" s="93" t="n"/>
      <c r="AH82" s="93" t="n"/>
      <c r="AI82" s="93" t="n"/>
      <c r="AJ82" s="85" t="n"/>
      <c r="AK82" s="85" t="n"/>
      <c r="AL82" s="85" t="n"/>
      <c r="AM82" s="85" t="n"/>
      <c r="AN82" s="85" t="n"/>
      <c r="AO82" s="85" t="n"/>
      <c r="AP82" s="94" t="n"/>
      <c r="AQ82" s="89" t="n"/>
      <c r="AR82" s="95" t="inlineStr">
        <is>
          <t>N</t>
        </is>
      </c>
      <c r="AS82" s="95" t="inlineStr">
        <is>
          <t>none</t>
        </is>
      </c>
      <c r="AT82" s="101" t="n"/>
      <c r="AU82" s="96" t="n">
        <v>20.99</v>
      </c>
      <c r="AV82" s="95" t="inlineStr">
        <is>
          <t>none</t>
        </is>
      </c>
      <c r="AW82" s="95" t="inlineStr">
        <is>
          <t>Y</t>
        </is>
      </c>
      <c r="AX82" s="95" t="inlineStr">
        <is>
          <t>2026-10-13 23:45:51</t>
        </is>
      </c>
      <c r="AY82" s="102" t="n"/>
      <c r="AZ82" s="102" t="n"/>
      <c r="BA82" s="101" t="n"/>
      <c r="BB82" s="101" t="n"/>
      <c r="BC82" s="87">
        <f>IF(AND(ISNUMBER(BA82),ISNUMBER(BB82),N(BA82)&gt;0),1-BB82/BA82,"")</f>
        <v/>
      </c>
      <c r="BD82" s="103" t="n"/>
      <c r="BE82" s="103" t="n"/>
      <c r="BF82" s="100">
        <f>IF(AND(ISNUMBER(BD82),ISNUMBER(BE82),N(BE82)&gt;0),BD82/BE82,"")</f>
        <v/>
      </c>
      <c r="BG82" s="102" t="n"/>
      <c r="BH82" s="102" t="n"/>
    </row>
    <row r="83" ht="62" customHeight="1">
      <c r="A83" s="39" t="inlineStr">
        <is>
          <t>IMAGE MISSING</t>
        </is>
      </c>
      <c r="B83" s="84" t="inlineStr">
        <is>
          <t>SGMSILK</t>
        </is>
      </c>
      <c r="C83" s="32" t="inlineStr">
        <is>
          <t>Silk Pillowcase</t>
        </is>
      </c>
      <c r="D83" s="84" t="inlineStr">
        <is>
          <t>Untiered</t>
        </is>
      </c>
      <c r="E83" s="84" t="inlineStr">
        <is>
          <t>B0CM9LCN75</t>
        </is>
      </c>
      <c r="F83" s="84" t="inlineStr">
        <is>
          <t>B0CM9N244T</t>
        </is>
      </c>
      <c r="G83" s="84" t="n"/>
      <c r="H83" s="84" t="n"/>
      <c r="I83" s="85" t="n"/>
      <c r="J83" s="32" t="inlineStr"/>
      <c r="K83" s="86" t="n">
        <v>20.99</v>
      </c>
      <c r="L83" s="86" t="n"/>
      <c r="M83" s="87">
        <f>IF(AND(ISNUMBER(L83),ISNUMBER(K83),N(K83)&gt;0),L83/K83-1,"")</f>
        <v/>
      </c>
      <c r="N83" s="88">
        <f>IF(M83="","No List Price",IF(M83&lt;=0,"At/below price",IF(M83&lt;=0.12,"&lt;=12% STR zone",IF(M83&lt;=0.25,"12-25%","&gt;25% over"))))</f>
        <v/>
      </c>
      <c r="O83" s="86" t="n">
        <v>49.95</v>
      </c>
      <c r="P83" s="89">
        <f>IF(AND(ISNUMBER(K83),ISNUMBER(O83),N(O83)&gt;0),K83/O83-1,"")</f>
        <v/>
      </c>
      <c r="Q83" s="32" t="inlineStr">
        <is>
          <t>Size not stated - vs our Queen. Ours live: Helium 10 Xray, 2026-10-13; 6 children</t>
        </is>
      </c>
      <c r="R83" s="85" t="n">
        <v>726721</v>
      </c>
      <c r="S83" s="85" t="n">
        <v>5</v>
      </c>
      <c r="T83" s="90">
        <f>IF(AND(ISNUMBER(K83),ISNUMBER(S83)),K83*S83*52/12,"")</f>
        <v/>
      </c>
      <c r="U83" s="91" t="n">
        <v>4.5</v>
      </c>
      <c r="V83" s="85" t="n">
        <v>673</v>
      </c>
      <c r="W83" s="92" t="n">
        <v>46307</v>
      </c>
      <c r="X83" s="92" t="n"/>
      <c r="Y83" s="84" t="n"/>
      <c r="Z83" s="84" t="n"/>
      <c r="AA83" s="85" t="n"/>
      <c r="AB83" s="85" t="n"/>
      <c r="AC83" s="93" t="n"/>
      <c r="AD83" s="93" t="n"/>
      <c r="AE83" s="32" t="n"/>
      <c r="AF83" s="93" t="n"/>
      <c r="AG83" s="93" t="n"/>
      <c r="AH83" s="93" t="n"/>
      <c r="AI83" s="93" t="n"/>
      <c r="AJ83" s="85" t="n"/>
      <c r="AK83" s="85" t="n"/>
      <c r="AL83" s="85" t="n"/>
      <c r="AM83" s="85" t="n"/>
      <c r="AN83" s="85" t="n"/>
      <c r="AO83" s="85" t="n"/>
      <c r="AP83" s="94" t="n"/>
      <c r="AQ83" s="89" t="n"/>
      <c r="AR83" s="95" t="inlineStr">
        <is>
          <t>N</t>
        </is>
      </c>
      <c r="AS83" s="95" t="inlineStr">
        <is>
          <t>none</t>
        </is>
      </c>
      <c r="AT83" s="101" t="n"/>
      <c r="AU83" s="101" t="n"/>
      <c r="AV83" s="95" t="inlineStr">
        <is>
          <t>none</t>
        </is>
      </c>
      <c r="AW83" s="95" t="inlineStr">
        <is>
          <t>N</t>
        </is>
      </c>
      <c r="AX83" s="95" t="inlineStr">
        <is>
          <t>2026-10-13 23:46:45</t>
        </is>
      </c>
      <c r="AY83" s="102" t="n"/>
      <c r="AZ83" s="102" t="n"/>
      <c r="BA83" s="101" t="n"/>
      <c r="BB83" s="101" t="n"/>
      <c r="BC83" s="87">
        <f>IF(AND(ISNUMBER(BA83),ISNUMBER(BB83),N(BA83)&gt;0),1-BB83/BA83,"")</f>
        <v/>
      </c>
      <c r="BD83" s="103" t="n"/>
      <c r="BE83" s="103" t="n"/>
      <c r="BF83" s="100">
        <f>IF(AND(ISNUMBER(BD83),ISNUMBER(BE83),N(BE83)&gt;0),BD83/BE83,"")</f>
        <v/>
      </c>
      <c r="BG83" s="102" t="n"/>
      <c r="BH83" s="102" t="n"/>
    </row>
    <row r="84" ht="62" customHeight="1">
      <c r="A84" s="39" t="inlineStr">
        <is>
          <t>IMAGE MISSING</t>
        </is>
      </c>
      <c r="B84" s="84" t="inlineStr">
        <is>
          <t>Slpbaby</t>
        </is>
      </c>
      <c r="C84" s="32" t="inlineStr">
        <is>
          <t>Silk Pillowcase</t>
        </is>
      </c>
      <c r="D84" s="84" t="inlineStr">
        <is>
          <t>Untiered</t>
        </is>
      </c>
      <c r="E84" s="84" t="inlineStr">
        <is>
          <t>B075CNDRFJ</t>
        </is>
      </c>
      <c r="F84" s="84" t="inlineStr">
        <is>
          <t>B07TV3NVNX</t>
        </is>
      </c>
      <c r="G84" s="84" t="n"/>
      <c r="H84" s="84" t="n"/>
      <c r="I84" s="85" t="n"/>
      <c r="J84" s="32" t="inlineStr"/>
      <c r="K84" s="86" t="n">
        <v>22.99</v>
      </c>
      <c r="L84" s="86" t="n"/>
      <c r="M84" s="87">
        <f>IF(AND(ISNUMBER(L84),ISNUMBER(K84),N(K84)&gt;0),L84/K84-1,"")</f>
        <v/>
      </c>
      <c r="N84" s="88">
        <f>IF(M84="","No List Price",IF(M84&lt;=0,"At/below price",IF(M84&lt;=0.12,"&lt;=12% STR zone",IF(M84&lt;=0.25,"12-25%","&gt;25% over"))))</f>
        <v/>
      </c>
      <c r="O84" s="86" t="n">
        <v>49.95</v>
      </c>
      <c r="P84" s="89">
        <f>IF(AND(ISNUMBER(K84),ISNUMBER(O84),N(O84)&gt;0),K84/O84-1,"")</f>
        <v/>
      </c>
      <c r="Q84" s="32" t="inlineStr">
        <is>
          <t>Size not stated - vs our Queen. Ours live: Helium 10 Xray, 2026-10-13; 6 children</t>
        </is>
      </c>
      <c r="R84" s="85" t="n">
        <v>48946</v>
      </c>
      <c r="S84" s="85" t="n">
        <v>5</v>
      </c>
      <c r="T84" s="90">
        <f>IF(AND(ISNUMBER(K84),ISNUMBER(S84)),K84*S84*52/12,"")</f>
        <v/>
      </c>
      <c r="U84" s="91" t="n">
        <v>4.7</v>
      </c>
      <c r="V84" s="85" t="n">
        <v>21427</v>
      </c>
      <c r="W84" s="92" t="n">
        <v>46307</v>
      </c>
      <c r="X84" s="92" t="n"/>
      <c r="Y84" s="84" t="n"/>
      <c r="Z84" s="84" t="n"/>
      <c r="AA84" s="85" t="n"/>
      <c r="AB84" s="85" t="n"/>
      <c r="AC84" s="93" t="n"/>
      <c r="AD84" s="93" t="n"/>
      <c r="AE84" s="32" t="n"/>
      <c r="AF84" s="93" t="n"/>
      <c r="AG84" s="93" t="n"/>
      <c r="AH84" s="93" t="n"/>
      <c r="AI84" s="93" t="n"/>
      <c r="AJ84" s="85" t="n"/>
      <c r="AK84" s="85" t="n"/>
      <c r="AL84" s="85" t="n"/>
      <c r="AM84" s="85" t="n"/>
      <c r="AN84" s="85" t="n"/>
      <c r="AO84" s="85" t="n"/>
      <c r="AP84" s="94" t="n"/>
      <c r="AQ84" s="89" t="n"/>
      <c r="AR84" s="95" t="inlineStr">
        <is>
          <t>N</t>
        </is>
      </c>
      <c r="AS84" s="95" t="inlineStr">
        <is>
          <t>none</t>
        </is>
      </c>
      <c r="AT84" s="101" t="n"/>
      <c r="AU84" s="96" t="n">
        <v>22.99</v>
      </c>
      <c r="AV84" s="95" t="inlineStr">
        <is>
          <t>none</t>
        </is>
      </c>
      <c r="AW84" s="95" t="inlineStr">
        <is>
          <t>Y</t>
        </is>
      </c>
      <c r="AX84" s="95" t="inlineStr">
        <is>
          <t>2026-10-13 23:46:54</t>
        </is>
      </c>
      <c r="AY84" s="102" t="n"/>
      <c r="AZ84" s="102" t="n"/>
      <c r="BA84" s="101" t="n"/>
      <c r="BB84" s="101" t="n"/>
      <c r="BC84" s="87">
        <f>IF(AND(ISNUMBER(BA84),ISNUMBER(BB84),N(BA84)&gt;0),1-BB84/BA84,"")</f>
        <v/>
      </c>
      <c r="BD84" s="103" t="n"/>
      <c r="BE84" s="103" t="n"/>
      <c r="BF84" s="100">
        <f>IF(AND(ISNUMBER(BD84),ISNUMBER(BE84),N(BE84)&gt;0),BD84/BE84,"")</f>
        <v/>
      </c>
      <c r="BG84" s="102" t="n"/>
      <c r="BH84" s="102" t="n"/>
    </row>
    <row r="86" ht="20" customHeight="1">
      <c r="A86" s="54" t="inlineStr">
        <is>
          <t>5 · WHAT THIS MEANS FOR BFCM</t>
        </is>
      </c>
    </row>
    <row r="87" ht="30" customHeight="1">
      <c r="A87" s="104" t="inlineStr">
        <is>
          <t>•  Who sells most: INFIIXSO ~1,732/wk at $57.98; Gabire ~1,732/wk at $19.99; INFIIXSO ~1,732/wk at $7.99; DKBslik ~1,040/wk at $11.95; Suatien ~924/wk at $11.99. Tracked rivals ~9,718 units/wk; we sell ~31/wk (0.3% of the tracked set).</t>
        </is>
      </c>
    </row>
    <row r="88" ht="18" customHeight="1">
      <c r="A88" s="104" t="inlineStr">
        <is>
          <t>•  Strikethrough: 2 of 29 rivals set a List Price above price; 2 within 12%: ZIMASILK +9%, ZIMASILK +6%.</t>
        </is>
      </c>
    </row>
    <row r="89" ht="30" customHeight="1">
      <c r="A89" s="104" t="inlineStr">
        <is>
          <t>•  Price: 25 of 29 rivals sit below our price today (same size where the title states one). Cheapest strong rivals: ZIMASILK $23.39, ZIMASILK $23.91, PROMEED $24.00, ALASKA BEAR $25.99.</t>
        </is>
      </c>
    </row>
    <row r="90" ht="30" customHeight="1">
      <c r="A90" s="104" t="inlineStr">
        <is>
          <t>•  Strikethrough on the page today (Oct 13 check): 3 of 28 checked rivals show one: ZIMASILK List Price $25.99 vs $23.91 (+9%), ZIMASILK Typical price $24.69 vs $23.39 (+6%), INFIIXSO List Price $9.79 vs $7.99 (+23%).</t>
        </is>
      </c>
    </row>
    <row r="91" ht="30" customHeight="1">
      <c r="A91" s="104" t="inlineStr">
        <is>
          <t>•  Search: we lose most shared keywords to ZIMASILK (we win 12, lose 245), INFIIXSO (we win 11, lose 243), Fishers Finery (we win 29, lose 220). Biggest ad gaps (they advertise where we don't or harder): INFIIXSO 682 + 20 KWs, ZIMASILK 504 + 21 KWs, Fishers Finery 505 + 28 KWs.</t>
        </is>
      </c>
    </row>
    <row r="92" ht="30" customHeight="1">
      <c r="A92" s="104" t="inlineStr">
        <is>
          <t>•  Brand ads: INFIIXSO (SB 88%, SBV 50%), ZIMASILK (SB 84%, SBV 81%), PROMEED (SB 27%, SBV 95%), Fishers Finery (SB 96%, SBV 78%), ZIMASILK (SB 92%, SBV 74%) hold Sponsored Brands / video on most of their traffic - the plan has our SB, SBV and display live by Nov 1.</t>
        </is>
      </c>
    </row>
    <row r="93" ht="18" customHeight="1">
      <c r="A93" s="104" t="inlineStr">
        <is>
          <t>•  Our BFCM 2025: 1.35x daily sales in BFCM week vs the 30 days before; TACoS 33.6% vs 31.6% before; December 2.99x.</t>
        </is>
      </c>
    </row>
    <row r="94" ht="18" customHeight="1">
      <c r="A94" s="104" t="inlineStr">
        <is>
          <t>•  Prime Day 2026: our organic visibility 1.30x vs rivals' median 1.17x (n=8) - we held or out-gained rivals.</t>
        </is>
      </c>
    </row>
    <row r="95" ht="18" customHeight="1">
      <c r="A95" s="104" t="inlineStr">
        <is>
          <t>•  29 rivals not in the Keepa pulls yet (yellow BFCM 2025 columns) - remaining P2 batches, AGENT_PROMPTS Prompt 2.</t>
        </is>
      </c>
    </row>
  </sheetData>
  <autoFilter ref="B55:BH84"/>
  <mergeCells count="71">
    <mergeCell ref="A15:BH15"/>
    <mergeCell ref="A41:C41"/>
    <mergeCell ref="A46:C46"/>
    <mergeCell ref="L5:Q5"/>
    <mergeCell ref="A49:BH49"/>
    <mergeCell ref="A1:BH1"/>
    <mergeCell ref="A94:BH94"/>
    <mergeCell ref="Q11:T11"/>
    <mergeCell ref="L8:Q8"/>
    <mergeCell ref="A88:BH88"/>
    <mergeCell ref="AY54:BH54"/>
    <mergeCell ref="L4:Q4"/>
    <mergeCell ref="D7:I7"/>
    <mergeCell ref="A13:D13"/>
    <mergeCell ref="AR54:AX54"/>
    <mergeCell ref="I13:L13"/>
    <mergeCell ref="A87:BH87"/>
    <mergeCell ref="A16:BH16"/>
    <mergeCell ref="D4:I4"/>
    <mergeCell ref="L10:Q10"/>
    <mergeCell ref="E12:H12"/>
    <mergeCell ref="Q13:T13"/>
    <mergeCell ref="A54:H54"/>
    <mergeCell ref="A90:BH90"/>
    <mergeCell ref="D9:I9"/>
    <mergeCell ref="A37:BH37"/>
    <mergeCell ref="U12:X12"/>
    <mergeCell ref="L9:Q9"/>
    <mergeCell ref="Q12:T12"/>
    <mergeCell ref="A89:BH89"/>
    <mergeCell ref="A11:D11"/>
    <mergeCell ref="A50:BH50"/>
    <mergeCell ref="I11:L11"/>
    <mergeCell ref="A38:C38"/>
    <mergeCell ref="A3:BH3"/>
    <mergeCell ref="L6:Q6"/>
    <mergeCell ref="D8:I8"/>
    <mergeCell ref="A4:B9"/>
    <mergeCell ref="A43:C43"/>
    <mergeCell ref="T6:Y6"/>
    <mergeCell ref="X54:Z54"/>
    <mergeCell ref="A95:BH95"/>
    <mergeCell ref="A44:C44"/>
    <mergeCell ref="A86:BH86"/>
    <mergeCell ref="K54:W54"/>
    <mergeCell ref="D5:I5"/>
    <mergeCell ref="A40:C40"/>
    <mergeCell ref="A47:BH47"/>
    <mergeCell ref="M11:P11"/>
    <mergeCell ref="U11:X11"/>
    <mergeCell ref="A39:C39"/>
    <mergeCell ref="AA54:AQ54"/>
    <mergeCell ref="E13:H13"/>
    <mergeCell ref="A53:BH53"/>
    <mergeCell ref="A91:BH91"/>
    <mergeCell ref="D10:I10"/>
    <mergeCell ref="L7:Q7"/>
    <mergeCell ref="T5:Y5"/>
    <mergeCell ref="A45:C45"/>
    <mergeCell ref="A52:BH52"/>
    <mergeCell ref="A12:D12"/>
    <mergeCell ref="M13:P13"/>
    <mergeCell ref="I12:L12"/>
    <mergeCell ref="U13:X13"/>
    <mergeCell ref="M12:P12"/>
    <mergeCell ref="A93:BH93"/>
    <mergeCell ref="T4:Y4"/>
    <mergeCell ref="D6:I6"/>
    <mergeCell ref="E11:H11"/>
    <mergeCell ref="A48:BH48"/>
    <mergeCell ref="A92:BH92"/>
  </mergeCells>
  <conditionalFormatting sqref="N56:N84">
    <cfRule type="expression" priority="1" dxfId="1">
      <formula>N56="&lt;=12% STR zone"</formula>
    </cfRule>
  </conditionalFormatting>
  <conditionalFormatting sqref="W56:W84">
    <cfRule type="expression" priority="2" dxfId="0">
      <formula>AND(ISNUMBER(W56),W56&lt;DATE(2026,10,6))</formula>
    </cfRule>
  </conditionalFormatting>
  <conditionalFormatting sqref="Q56:Q84">
    <cfRule type="expression" priority="3" dxfId="0">
      <formula>ISNUMBER(SEARCH("STALE",Q56))</formula>
    </cfRule>
  </conditionalFormatting>
  <conditionalFormatting sqref="P56:P84">
    <cfRule type="expression" priority="4" dxfId="0">
      <formula>AND(ISNUMBER(P56),P56&lt;0)</formula>
    </cfRule>
  </conditionalFormatting>
  <dataValidations count="3">
    <dataValidation sqref="AR56:AR84 BG56:BG84" showDropDown="0" showInputMessage="0" showErrorMessage="0" allowBlank="1" type="list">
      <formula1>"Y,N"</formula1>
    </dataValidation>
    <dataValidation sqref="AS56:AS84" showDropDown="0" showInputMessage="0" showErrorMessage="0" allowBlank="1" type="list">
      <formula1>"List Price,Typical price,Was price,None"</formula1>
    </dataValidation>
    <dataValidation sqref="AY56:AY8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3.xml><?xml version="1.0" encoding="utf-8"?>
<worksheet xmlns="http://schemas.openxmlformats.org/spreadsheetml/2006/main">
  <sheetPr>
    <outlinePr summaryBelow="1" summaryRight="1"/>
    <pageSetUpPr/>
  </sheetPr>
  <dimension ref="A1:BH7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Contoured  ·  Amazon.com (US)  ·  Silk  ·  BFCM role: Gifting  ·  Scope: Other</t>
        </is>
      </c>
    </row>
    <row r="2">
      <c r="A2" s="53" t="inlineStr">
        <is>
          <t>← Dashboard</t>
        </is>
      </c>
    </row>
    <row r="3" ht="20" customHeight="1">
      <c r="A3" s="54" t="inlineStr">
        <is>
          <t>1 · OUR PRODUCT</t>
        </is>
      </c>
    </row>
    <row r="4" ht="34" customHeight="1">
      <c r="A4" s="10">
        <f>_xlfn.IMAGE("https://images-na.ssl-images-amazon.com/images/I/71JEybynRcL.jpg")</f>
        <v/>
      </c>
      <c r="C4" s="11" t="inlineStr">
        <is>
          <t>Title</t>
        </is>
      </c>
      <c r="D4" s="12" t="inlineStr">
        <is>
          <t>SLEEP SANCTUARY 100% Pure Mulberry Silk Sleep Mask - 22 Momme Light Blocking 3D Contour Silk Eye Mask for Sleeping - Secure Fit for Side Sleepers, Women &amp; Men - Cloud Soft (Peacock Blue)</t>
        </is>
      </c>
      <c r="K4" s="11" t="inlineStr">
        <is>
          <t>Sizes</t>
        </is>
      </c>
      <c r="L4" s="55" t="inlineStr">
        <is>
          <t>One Size</t>
        </is>
      </c>
      <c r="S4" s="11" t="inlineStr">
        <is>
          <t>Break-even ACoS</t>
        </is>
      </c>
      <c r="T4" s="55" t="inlineStr">
        <is>
          <t>32%</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4</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B0F4XS1FWJ (one of our child ASINs, not the Amazon parent)</t>
        </is>
      </c>
    </row>
    <row r="7" ht="22" customHeight="1">
      <c r="C7" s="11" t="inlineStr">
        <is>
          <t>Parent ASIN (Amazon)</t>
        </is>
      </c>
      <c r="D7" s="55" t="inlineStr">
        <is>
          <t>B0GDML4FK7</t>
        </is>
      </c>
      <c r="K7" s="11" t="inlineStr">
        <is>
          <t>Rating / reviews now</t>
        </is>
      </c>
      <c r="L7" s="55" t="inlineStr">
        <is>
          <t>Not checked yet</t>
        </is>
      </c>
    </row>
    <row r="8" ht="22" customHeight="1">
      <c r="C8" s="11" t="inlineStr">
        <is>
          <t>Best-selling child ASIN</t>
        </is>
      </c>
      <c r="D8" s="55" t="inlineStr">
        <is>
          <t>B0F4XRFWGR</t>
        </is>
      </c>
      <c r="K8" s="11" t="inlineStr">
        <is>
          <t>Live prices held</t>
        </is>
      </c>
      <c r="L8" s="55" t="inlineStr">
        <is>
          <t>0 of 4 variations</t>
        </is>
      </c>
    </row>
    <row r="9" ht="22" customHeight="1">
      <c r="C9" s="11" t="inlineStr">
        <is>
          <t>Stage</t>
        </is>
      </c>
      <c r="D9" s="55" t="inlineStr">
        <is>
          <t>Liquidation</t>
        </is>
      </c>
      <c r="K9" s="11" t="inlineStr">
        <is>
          <t>Blended price (Command Center)</t>
        </is>
      </c>
      <c r="L9" s="55" t="inlineStr">
        <is>
          <t>$25.95 - fee feed as of 2026-03-30, STALE</t>
        </is>
      </c>
    </row>
    <row r="10">
      <c r="C10" s="11" t="inlineStr">
        <is>
          <t>Total variations (SKUs)</t>
        </is>
      </c>
      <c r="D10" s="55" t="n">
        <v>4</v>
      </c>
      <c r="K10" s="11" t="inlineStr">
        <is>
          <t>Contribution / unit</t>
        </is>
      </c>
      <c r="L10" s="55" t="inlineStr">
        <is>
          <t>$8.34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3.67x</t>
        </is>
      </c>
      <c r="E12" s="57" t="inlineStr">
        <is>
          <t>n/a</t>
        </is>
      </c>
      <c r="I12" s="57" t="inlineStr">
        <is>
          <t>6.58x</t>
        </is>
      </c>
      <c r="M12" s="57" t="inlineStr">
        <is>
          <t>27</t>
        </is>
      </c>
      <c r="Q12" s="57" t="inlineStr">
        <is>
          <t>18</t>
        </is>
      </c>
      <c r="U12" s="57" t="inlineStr">
        <is>
          <t>5</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_xlfn.IMAGE("https://m.media-amazon.com/images/I/71JEybynRcL.jpg")</f>
        <v/>
      </c>
      <c r="B18" s="32" t="inlineStr">
        <is>
          <t>B0F4XRFWGR</t>
        </is>
      </c>
      <c r="C18" s="32" t="inlineStr">
        <is>
          <t>SS-SLEEP-MASK-3D-CONTOURED-PEACOCK-BLUE</t>
        </is>
      </c>
      <c r="D18" s="32" t="inlineStr">
        <is>
          <t>SLEEP SANCTUARY 100% Pure Mulberry Silk Sleep Mask - 22 Momme Light Blocking 3D Contour Silk Eye Mask for Sleeping - Secure Fit for Side Sleepers, Women &amp; Men - Cloud Soft (Peacock Blue)</t>
        </is>
      </c>
      <c r="E18" s="32" t="inlineStr">
        <is>
          <t>One Size</t>
        </is>
      </c>
      <c r="F18" s="32" t="inlineStr">
        <is>
          <t>Peacock Blue</t>
        </is>
      </c>
      <c r="G18" s="33" t="n"/>
      <c r="H18" s="32" t="n"/>
      <c r="I18" s="61" t="n">
        <v>25.95</v>
      </c>
      <c r="J18" s="62" t="inlineStr">
        <is>
          <t>2026-03-30</t>
        </is>
      </c>
      <c r="K18" s="33" t="n">
        <v>8.34</v>
      </c>
      <c r="L18" s="63" t="n">
        <v>0.3213872832369942</v>
      </c>
      <c r="M18" s="64" t="n">
        <v>4</v>
      </c>
      <c r="N18" s="32" t="inlineStr">
        <is>
          <t>Active</t>
        </is>
      </c>
      <c r="O18" s="32" t="n"/>
      <c r="P18" s="65" t="n"/>
      <c r="Q18" s="64" t="n"/>
      <c r="R18" s="64" t="n"/>
      <c r="S18" s="64" t="n"/>
      <c r="T18" s="32" t="n"/>
    </row>
    <row r="19" ht="62" customHeight="1">
      <c r="A19" s="10">
        <f>_xlfn.IMAGE("https://m.media-amazon.com/images/I/71RDEc71JoL.jpg")</f>
        <v/>
      </c>
      <c r="B19" s="32" t="inlineStr">
        <is>
          <t>B0F4XS1FWJ</t>
        </is>
      </c>
      <c r="C19" s="32" t="inlineStr">
        <is>
          <t>SS-SLEEP-MASK-3D-CONTOURED-BLACK</t>
        </is>
      </c>
      <c r="D19" s="32" t="inlineStr">
        <is>
          <t>SLEEP SANCTUARY 100% Pure Mulberry Silk Sleep Mask - 22 Momme Light Blocking 3D Contour Silk Eye Mask for Sleeping - Secure Fit for Side Sleepers, Women &amp; Men - Cloud Soft (Black)</t>
        </is>
      </c>
      <c r="E19" s="32" t="inlineStr">
        <is>
          <t>One Size</t>
        </is>
      </c>
      <c r="F19" s="32" t="inlineStr">
        <is>
          <t>Black</t>
        </is>
      </c>
      <c r="G19" s="33" t="n"/>
      <c r="H19" s="32" t="n"/>
      <c r="I19" s="61" t="n">
        <v>17.95</v>
      </c>
      <c r="J19" s="62" t="inlineStr">
        <is>
          <t>2026-03-30</t>
        </is>
      </c>
      <c r="K19" s="33" t="n">
        <v>1.129999999999999</v>
      </c>
      <c r="L19" s="63" t="n">
        <v>0.06295264623955427</v>
      </c>
      <c r="M19" s="64" t="n">
        <v>0</v>
      </c>
      <c r="N19" s="32" t="inlineStr">
        <is>
          <t>Active</t>
        </is>
      </c>
      <c r="O19" s="32" t="inlineStr">
        <is>
          <t>Yes (53%)</t>
        </is>
      </c>
      <c r="P19" s="65" t="n"/>
      <c r="Q19" s="64" t="n"/>
      <c r="R19" s="64" t="n"/>
      <c r="S19" s="64" t="n"/>
      <c r="T19" s="32" t="n"/>
    </row>
    <row r="20" ht="62" customHeight="1">
      <c r="A20" s="10">
        <f>_xlfn.IMAGE("https://m.media-amazon.com/images/I/613NpRgukuL.jpg")</f>
        <v/>
      </c>
      <c r="B20" s="32" t="inlineStr">
        <is>
          <t>B0F4XP8CYP</t>
        </is>
      </c>
      <c r="C20" s="32" t="inlineStr">
        <is>
          <t>SS-SLEEP-MASK-3D-CONTOURED-MISTY-BLUE</t>
        </is>
      </c>
      <c r="D20" s="32" t="inlineStr">
        <is>
          <t>SLEEP SANCTUARY 100% Pure Mulberry Silk Sleep Mask - 22 Momme Light Blocking 3D Contour Silk Eye Mask for Sleeping - Secure Fit for Side Sleepers, Women &amp; Men - Cloud Soft (Misty Blue)</t>
        </is>
      </c>
      <c r="E20" s="32" t="inlineStr">
        <is>
          <t>One Size</t>
        </is>
      </c>
      <c r="F20" s="32" t="inlineStr">
        <is>
          <t>Misty Blue</t>
        </is>
      </c>
      <c r="G20" s="33" t="n"/>
      <c r="H20" s="32" t="n"/>
      <c r="I20" s="61" t="n">
        <v>17.99</v>
      </c>
      <c r="J20" s="62" t="inlineStr">
        <is>
          <t>2026-03-30</t>
        </is>
      </c>
      <c r="K20" s="33" t="n">
        <v>1.57</v>
      </c>
      <c r="L20" s="63" t="n">
        <v>0.08727070594774877</v>
      </c>
      <c r="M20" s="64" t="n">
        <v>0</v>
      </c>
      <c r="N20" s="32" t="inlineStr">
        <is>
          <t>Active</t>
        </is>
      </c>
      <c r="O20" s="32" t="inlineStr">
        <is>
          <t>Yes (41%)</t>
        </is>
      </c>
      <c r="P20" s="65" t="n"/>
      <c r="Q20" s="64" t="n"/>
      <c r="R20" s="64" t="n"/>
      <c r="S20" s="64" t="n"/>
      <c r="T20" s="32" t="n"/>
    </row>
    <row r="21" ht="62" customHeight="1">
      <c r="A21" s="10">
        <f>_xlfn.IMAGE("https://m.media-amazon.com/images/I/71OdXzreAsL.jpg")</f>
        <v/>
      </c>
      <c r="B21" s="32" t="inlineStr">
        <is>
          <t>B0F4XQBGJV</t>
        </is>
      </c>
      <c r="C21" s="32" t="inlineStr">
        <is>
          <t>SS-SLEEP-MASK-3D-CONTOURED-PINK</t>
        </is>
      </c>
      <c r="D21" s="32" t="inlineStr">
        <is>
          <t>SLEEP SANCTUARY 100% Pure Mulberry Silk Sleep Mask - 22 Momme Light Blocking 3D Contour Silk Eye Mask for Sleeping - Secure Fit for Side Sleepers, Women &amp; Men - Cloud Soft (Pink)</t>
        </is>
      </c>
      <c r="E21" s="32" t="inlineStr">
        <is>
          <t>One Size</t>
        </is>
      </c>
      <c r="F21" s="32" t="inlineStr">
        <is>
          <t>Pink</t>
        </is>
      </c>
      <c r="G21" s="33" t="n"/>
      <c r="H21" s="32" t="n"/>
      <c r="I21" s="61" t="n">
        <v>25.95</v>
      </c>
      <c r="J21" s="62" t="inlineStr">
        <is>
          <t>2026-03-30</t>
        </is>
      </c>
      <c r="K21" s="33" t="n">
        <v>8.34</v>
      </c>
      <c r="L21" s="63" t="n">
        <v>0.3213872832369942</v>
      </c>
      <c r="M21" s="64" t="n">
        <v>0</v>
      </c>
      <c r="N21" s="32" t="inlineStr">
        <is>
          <t>Active</t>
        </is>
      </c>
      <c r="O21" s="32" t="n"/>
      <c r="P21" s="65" t="n"/>
      <c r="Q21" s="64" t="n"/>
      <c r="R21" s="64" t="n"/>
      <c r="S21" s="64" t="n"/>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59.85</v>
      </c>
      <c r="E30" s="73" t="n">
        <v>3</v>
      </c>
      <c r="F30" s="73" t="n">
        <v>3</v>
      </c>
      <c r="G30" s="73" t="n">
        <v>0</v>
      </c>
      <c r="H30" s="71" t="n">
        <v>0</v>
      </c>
      <c r="J30" s="75" t="n">
        <v>0</v>
      </c>
      <c r="K30" s="73" t="n">
        <v>153</v>
      </c>
      <c r="L30" s="75" t="n">
        <v>0.0196078431372549</v>
      </c>
      <c r="M30" s="76" t="n">
        <v>19.95</v>
      </c>
      <c r="N30" s="73" t="n">
        <v>1</v>
      </c>
    </row>
    <row r="31">
      <c r="A31" s="70" t="inlineStr">
        <is>
          <t>BFCM week Nov 20 - Dec 1, 2025 (12d)</t>
        </is>
      </c>
      <c r="B31" s="68" t="n"/>
      <c r="C31" s="69" t="n"/>
      <c r="D31" s="71" t="n">
        <v>87.78</v>
      </c>
      <c r="E31" s="73" t="n">
        <v>5</v>
      </c>
      <c r="F31" s="73" t="n">
        <v>5</v>
      </c>
      <c r="G31" s="73" t="n">
        <v>0</v>
      </c>
      <c r="H31" s="71" t="n">
        <v>0</v>
      </c>
      <c r="J31" s="75" t="n">
        <v>0</v>
      </c>
      <c r="K31" s="73" t="n">
        <v>99</v>
      </c>
      <c r="L31" s="75" t="n">
        <v>0.0505050505050505</v>
      </c>
      <c r="M31" s="76" t="n">
        <v>17.556</v>
      </c>
      <c r="N31" s="73" t="n">
        <v>0</v>
      </c>
    </row>
    <row r="32">
      <c r="A32" s="70" t="inlineStr">
        <is>
          <t>December 2 - 31, 2025 (30d)</t>
        </is>
      </c>
      <c r="B32" s="68" t="n"/>
      <c r="C32" s="69" t="n"/>
      <c r="D32" s="71" t="n">
        <v>394.05</v>
      </c>
      <c r="E32" s="73" t="n">
        <v>19</v>
      </c>
      <c r="F32" s="73" t="n">
        <v>19</v>
      </c>
      <c r="G32" s="73" t="n">
        <v>0</v>
      </c>
      <c r="H32" s="71" t="n">
        <v>0</v>
      </c>
      <c r="J32" s="75" t="n">
        <v>0</v>
      </c>
      <c r="K32" s="73" t="n">
        <v>169</v>
      </c>
      <c r="L32" s="75" t="n">
        <v>0.1124260355029586</v>
      </c>
      <c r="M32" s="76" t="n">
        <v>20.73947368421053</v>
      </c>
      <c r="N32" s="73" t="n">
        <v>3</v>
      </c>
    </row>
    <row r="33">
      <c r="A33" s="59" t="inlineStr">
        <is>
          <t>SellerBoard, Ecotero account, Amazon parent B0GDML4FK7 plus any of this product's child ASINs SellerBoard lists on their own, UTC days. Lift above uses these actual sales.</t>
        </is>
      </c>
    </row>
    <row r="34">
      <c r="A34" s="59" t="inlineStr">
        <is>
          <t>No Command Center visibility history for our best child ASIN.</t>
        </is>
      </c>
    </row>
    <row r="35">
      <c r="A35" s="107" t="inlineStr">
        <is>
          <t>No BFCM 2025 PPC data for this product (not advertised or launched after BFCM 2025).</t>
        </is>
      </c>
    </row>
    <row r="37" ht="20" customHeight="1">
      <c r="A37" s="54" t="inlineStr">
        <is>
          <t>4 · COMPETITOR LANDSCAPE (27 mapped)</t>
        </is>
      </c>
    </row>
    <row r="38">
      <c r="A38" s="59" t="inlineStr">
        <is>
          <t>Sorted by tier, then estimated weekly units. Green = Command Center price/sales; blue = Data Dive listing; purple = Command Center search strategy (ASINsight); yellow = fill from Keepa / page check.</t>
        </is>
      </c>
    </row>
    <row r="39">
      <c r="A39" s="78" t="inlineStr">
        <is>
          <t>COMPETITOR</t>
        </is>
      </c>
      <c r="I39" s="79" t="inlineStr">
        <is>
          <t>LISTING - Data Dive</t>
        </is>
      </c>
      <c r="J39" s="80" t="inlineStr">
        <is>
          <t>SEARCH STRATEGY - Command Center ASINsight</t>
        </is>
      </c>
      <c r="K39" s="81" t="inlineStr">
        <is>
          <t>PRICE &amp; SALES - Command Center snapshot (date per row)</t>
        </is>
      </c>
      <c r="X39" s="79" t="inlineStr">
        <is>
          <t>LISTING - Data Dive</t>
        </is>
      </c>
      <c r="AA39" s="80" t="inlineStr">
        <is>
          <t>SEARCH STRATEGY - Command Center ASINsight</t>
        </is>
      </c>
      <c r="AR39" s="82" t="inlineStr">
        <is>
          <t>STR NOW - Amazon page check (Oct 13, P1 + P2)</t>
        </is>
      </c>
      <c r="AY39" s="83" t="inlineStr">
        <is>
          <t>BFCM 2025 - Keepa (P1 filled; yellow = not pulled yet)</t>
        </is>
      </c>
    </row>
    <row r="40" ht="48" customHeight="1">
      <c r="A40" s="22" t="inlineStr">
        <is>
          <t>Image</t>
        </is>
      </c>
      <c r="B40" s="22" t="inlineStr">
        <is>
          <t>Brand</t>
        </is>
      </c>
      <c r="C40" s="22" t="inlineStr">
        <is>
          <t>Product title</t>
        </is>
      </c>
      <c r="D40" s="22" t="inlineStr">
        <is>
          <t>Tier</t>
        </is>
      </c>
      <c r="E40" s="22" t="inlineStr">
        <is>
          <t>Parent ASIN</t>
        </is>
      </c>
      <c r="F40" s="22" t="inlineStr">
        <is>
          <t>Tracked child ASIN</t>
        </is>
      </c>
      <c r="G40" s="22" t="inlineStr">
        <is>
          <t>Size (title)</t>
        </is>
      </c>
      <c r="H40" s="22" t="inlineStr">
        <is>
          <t>Colour (title)</t>
        </is>
      </c>
      <c r="I40" s="22" t="inlineStr">
        <is>
          <t>Variations</t>
        </is>
      </c>
      <c r="J40" s="22" t="inlineStr">
        <is>
          <t>Hero child ASINs (share of their visibility)</t>
        </is>
      </c>
      <c r="K40" s="22" t="inlineStr">
        <is>
          <t>Price ($)</t>
        </is>
      </c>
      <c r="L40" s="22" t="inlineStr">
        <is>
          <t>List Price ($)</t>
        </is>
      </c>
      <c r="M40" s="22" t="inlineStr">
        <is>
          <t>List Price % over</t>
        </is>
      </c>
      <c r="N40" s="22" t="inlineStr">
        <is>
          <t>STR band</t>
        </is>
      </c>
      <c r="O40" s="22" t="inlineStr">
        <is>
          <t>Our price, same size ($)</t>
        </is>
      </c>
      <c r="P40" s="22" t="inlineStr">
        <is>
          <t>Their price vs ours</t>
        </is>
      </c>
      <c r="Q40" s="22" t="inlineStr">
        <is>
          <t>Comparison basis</t>
        </is>
      </c>
      <c r="R40" s="22" t="inlineStr">
        <is>
          <t>BSR</t>
        </is>
      </c>
      <c r="S40" s="22" t="inlineStr">
        <is>
          <t>Est weekly units</t>
        </is>
      </c>
      <c r="T40" s="22" t="inlineStr">
        <is>
          <t>Est monthly revenue ($)</t>
        </is>
      </c>
      <c r="U40" s="22" t="inlineStr">
        <is>
          <t>Rating</t>
        </is>
      </c>
      <c r="V40" s="22" t="inlineStr">
        <is>
          <t>Reviews</t>
        </is>
      </c>
      <c r="W40" s="22" t="inlineStr">
        <is>
          <t>Snapshot date</t>
        </is>
      </c>
      <c r="X40" s="22" t="inlineStr">
        <is>
          <t>Listed</t>
        </is>
      </c>
      <c r="Y40" s="22" t="inlineStr">
        <is>
          <t>Fulfil.</t>
        </is>
      </c>
      <c r="Z40" s="22" t="inlineStr">
        <is>
          <t>Seller country</t>
        </is>
      </c>
      <c r="AA40" s="22" t="inlineStr">
        <is>
          <t>ASINsight 7d traffic</t>
        </is>
      </c>
      <c r="AB40" s="22" t="inlineStr">
        <is>
          <t>Keywords ranked</t>
        </is>
      </c>
      <c r="AC40" s="22" t="inlineStr">
        <is>
          <t>Organic share of traffic</t>
        </is>
      </c>
      <c r="AD40" s="22" t="inlineStr">
        <is>
          <t>Ad share of traffic</t>
        </is>
      </c>
      <c r="AE40" s="22" t="inlineStr">
        <is>
          <t>Top keyword</t>
        </is>
      </c>
      <c r="AF40" s="22" t="inlineStr">
        <is>
          <t>SP reach</t>
        </is>
      </c>
      <c r="AG40" s="22" t="inlineStr">
        <is>
          <t>SB reach</t>
        </is>
      </c>
      <c r="AH40" s="22" t="inlineStr">
        <is>
          <t>SB video reach</t>
        </is>
      </c>
      <c r="AI40" s="22" t="inlineStr">
        <is>
          <t>Amazon's Choice reach</t>
        </is>
      </c>
      <c r="AJ40" s="22" t="inlineStr">
        <is>
          <t>Shared keywords</t>
        </is>
      </c>
      <c r="AK40" s="22" t="inlineStr">
        <is>
          <t>We win</t>
        </is>
      </c>
      <c r="AL40" s="22" t="inlineStr">
        <is>
          <t>We lose</t>
        </is>
      </c>
      <c r="AM40" s="22" t="inlineStr">
        <is>
          <t>Their keywords we miss</t>
        </is>
      </c>
      <c r="AN40" s="22" t="inlineStr">
        <is>
          <t>KWs they advertise, we don't</t>
        </is>
      </c>
      <c r="AO40" s="22" t="inlineStr">
        <is>
          <t>KWs they out-advertise us</t>
        </is>
      </c>
      <c r="AP40" s="22" t="inlineStr">
        <is>
          <t>Prime Day 2026 organic vis lift</t>
        </is>
      </c>
      <c r="AQ40" s="22" t="inlineStr">
        <is>
          <t>Organic trend (Aug-Sep vs Q2)</t>
        </is>
      </c>
      <c r="AR40" s="22" t="inlineStr">
        <is>
          <t>STR showing now? (Y/N)</t>
        </is>
      </c>
      <c r="AS40" s="22" t="inlineStr">
        <is>
          <t>STR label</t>
        </is>
      </c>
      <c r="AT40" s="22" t="inlineStr">
        <is>
          <t>Strikethrough price ($)</t>
        </is>
      </c>
      <c r="AU40" s="22" t="inlineStr">
        <is>
          <t>Page price at check ($)</t>
        </is>
      </c>
      <c r="AV40" s="22" t="inlineStr">
        <is>
          <t>Deal / coupon now</t>
        </is>
      </c>
      <c r="AW40" s="22" t="inlineStr">
        <is>
          <t>Orderable now (Y/N)</t>
        </is>
      </c>
      <c r="AX40" s="22" t="inlineStr">
        <is>
          <t>Checked (ET)</t>
        </is>
      </c>
      <c r="AY40" s="22" t="inlineStr">
        <is>
          <t>BFCM 2025 deal type</t>
        </is>
      </c>
      <c r="AZ40" s="22" t="inlineStr">
        <is>
          <t>BFCM 2025 deal dates</t>
        </is>
      </c>
      <c r="BA40" s="22" t="inlineStr">
        <is>
          <t>Pre-event price ($)</t>
        </is>
      </c>
      <c r="BB40" s="22" t="inlineStr">
        <is>
          <t>BFCM 2025 low ($)</t>
        </is>
      </c>
      <c r="BC40" s="22" t="inlineStr">
        <is>
          <t>BFCM 2025 discount</t>
        </is>
      </c>
      <c r="BD40" s="22" t="inlineStr">
        <is>
          <t>BSR pre-event</t>
        </is>
      </c>
      <c r="BE40" s="22" t="inlineStr">
        <is>
          <t>BSR BFCM wk</t>
        </is>
      </c>
      <c r="BF40" s="22" t="inlineStr">
        <is>
          <t>BSR lift (x)</t>
        </is>
      </c>
      <c r="BG40" s="22" t="inlineStr">
        <is>
          <t>OOS in BFCM? (Y/N)</t>
        </is>
      </c>
      <c r="BH40" s="22" t="inlineStr">
        <is>
          <t>Notes</t>
        </is>
      </c>
    </row>
    <row r="41" ht="62" customHeight="1">
      <c r="A41" s="39" t="inlineStr">
        <is>
          <t>IMAGE MISSING</t>
        </is>
      </c>
      <c r="B41" s="84" t="inlineStr">
        <is>
          <t>MZOO</t>
        </is>
      </c>
      <c r="C41" s="32" t="inlineStr">
        <is>
          <t>SS Silk Sleep Mask - Contoured</t>
        </is>
      </c>
      <c r="D41" s="84" t="inlineStr">
        <is>
          <t>Aspirational</t>
        </is>
      </c>
      <c r="E41" s="84" t="inlineStr">
        <is>
          <t>B0BQD58J7V</t>
        </is>
      </c>
      <c r="F41" s="84" t="inlineStr">
        <is>
          <t>B07KC5DWCC</t>
        </is>
      </c>
      <c r="G41" s="84" t="n"/>
      <c r="H41" s="84" t="n"/>
      <c r="I41" s="85" t="n"/>
      <c r="J41" s="32" t="inlineStr"/>
      <c r="K41" s="86" t="n">
        <v>13.99</v>
      </c>
      <c r="L41" s="86" t="n">
        <v>17.99</v>
      </c>
      <c r="M41" s="87">
        <f>IF(AND(ISNUMBER(L41),ISNUMBER(K41),N(K41)&gt;0),L41/K41-1,"")</f>
        <v/>
      </c>
      <c r="N41" s="88">
        <f>IF(M41="","No List Price",IF(M41&lt;=0,"At/below price",IF(M41&lt;=0.12,"&lt;=12% STR zone",IF(M41&lt;=0.25,"12-25%","&gt;25% over"))))</f>
        <v/>
      </c>
      <c r="O41" s="86" t="n">
        <v>25.95</v>
      </c>
      <c r="P41" s="89">
        <f>IF(AND(ISNUMBER(K41),ISNUMBER(O41),N(O41)&gt;0),K41/O41-1,"")</f>
        <v/>
      </c>
      <c r="Q41" s="32" t="inlineStr">
        <is>
          <t>vs our blended price (Command Center, Mar 2026 - STALE)</t>
        </is>
      </c>
      <c r="R41" s="85" t="n">
        <v>263</v>
      </c>
      <c r="S41" s="85" t="n">
        <v>13857</v>
      </c>
      <c r="T41" s="90">
        <f>IF(AND(ISNUMBER(K41),ISNUMBER(S41)),K41*S41*52/12,"")</f>
        <v/>
      </c>
      <c r="U41" s="91" t="n">
        <v>4.6</v>
      </c>
      <c r="V41" s="85" t="n">
        <v>101412</v>
      </c>
      <c r="W41" s="92" t="n">
        <v>46307</v>
      </c>
      <c r="X41" s="92" t="n"/>
      <c r="Y41" s="84" t="n"/>
      <c r="Z41" s="84" t="n"/>
      <c r="AA41" s="85" t="n"/>
      <c r="AB41" s="85" t="n"/>
      <c r="AC41" s="93" t="n"/>
      <c r="AD41" s="93" t="n"/>
      <c r="AE41" s="32" t="n"/>
      <c r="AF41" s="93" t="n"/>
      <c r="AG41" s="93" t="n"/>
      <c r="AH41" s="93" t="n"/>
      <c r="AI41" s="93" t="n"/>
      <c r="AJ41" s="85" t="n"/>
      <c r="AK41" s="85" t="n"/>
      <c r="AL41" s="85" t="n"/>
      <c r="AM41" s="85" t="n"/>
      <c r="AN41" s="85" t="n"/>
      <c r="AO41" s="85" t="n"/>
      <c r="AP41" s="94" t="n">
        <v>1.060881633249334</v>
      </c>
      <c r="AQ41" s="89" t="n">
        <v>0.3402625367510042</v>
      </c>
      <c r="AR41" s="95" t="inlineStr">
        <is>
          <t>Y</t>
        </is>
      </c>
      <c r="AS41" s="95" t="inlineStr">
        <is>
          <t>List Price</t>
        </is>
      </c>
      <c r="AT41" s="96" t="n">
        <v>17.99</v>
      </c>
      <c r="AU41" s="96" t="n">
        <v>13.99</v>
      </c>
      <c r="AV41" s="95" t="inlineStr">
        <is>
          <t>Limited time deal</t>
        </is>
      </c>
      <c r="AW41" s="95" t="inlineStr">
        <is>
          <t>Y</t>
        </is>
      </c>
      <c r="AX41" s="95" t="inlineStr">
        <is>
          <t>2026-10-13 23:46:20</t>
        </is>
      </c>
      <c r="AY41" s="102" t="n"/>
      <c r="AZ41" s="102" t="n"/>
      <c r="BA41" s="101" t="n"/>
      <c r="BB41" s="101" t="n"/>
      <c r="BC41" s="87">
        <f>IF(AND(ISNUMBER(BA41),ISNUMBER(BB41),N(BA41)&gt;0),1-BB41/BA41,"")</f>
        <v/>
      </c>
      <c r="BD41" s="103" t="n"/>
      <c r="BE41" s="103" t="n"/>
      <c r="BF41" s="100">
        <f>IF(AND(ISNUMBER(BD41),ISNUMBER(BE41),N(BE41)&gt;0),BD41/BE41,"")</f>
        <v/>
      </c>
      <c r="BG41" s="102" t="n"/>
      <c r="BH41" s="102" t="n"/>
    </row>
    <row r="42" ht="62" customHeight="1">
      <c r="A42" s="39" t="inlineStr">
        <is>
          <t>IMAGE MISSING</t>
        </is>
      </c>
      <c r="B42" s="84" t="inlineStr">
        <is>
          <t>LitBear</t>
        </is>
      </c>
      <c r="C42" s="32" t="inlineStr">
        <is>
          <t>SS Silk Sleep Mask</t>
        </is>
      </c>
      <c r="D42" s="84" t="inlineStr">
        <is>
          <t>Aspirational</t>
        </is>
      </c>
      <c r="E42" s="84" t="inlineStr">
        <is>
          <t>B09YQ2GFGB</t>
        </is>
      </c>
      <c r="F42" s="84" t="inlineStr">
        <is>
          <t>B09H7FZ5JM</t>
        </is>
      </c>
      <c r="G42" s="84" t="n"/>
      <c r="H42" s="84" t="n"/>
      <c r="I42" s="85" t="n"/>
      <c r="J42" s="32" t="inlineStr"/>
      <c r="K42" s="86" t="n">
        <v>12.95</v>
      </c>
      <c r="L42" s="86" t="n">
        <v>14.39</v>
      </c>
      <c r="M42" s="87">
        <f>IF(AND(ISNUMBER(L42),ISNUMBER(K42),N(K42)&gt;0),L42/K42-1,"")</f>
        <v/>
      </c>
      <c r="N42" s="88">
        <f>IF(M42="","No List Price",IF(M42&lt;=0,"At/below price",IF(M42&lt;=0.12,"&lt;=12% STR zone",IF(M42&lt;=0.25,"12-25%","&gt;25% over"))))</f>
        <v/>
      </c>
      <c r="O42" s="86" t="n">
        <v>25.95</v>
      </c>
      <c r="P42" s="89">
        <f>IF(AND(ISNUMBER(K42),ISNUMBER(O42),N(O42)&gt;0),K42/O42-1,"")</f>
        <v/>
      </c>
      <c r="Q42" s="32" t="inlineStr">
        <is>
          <t>vs our blended price (Command Center, Mar 2026 - STALE)</t>
        </is>
      </c>
      <c r="R42" s="85" t="n">
        <v>1574</v>
      </c>
      <c r="S42" s="85" t="n">
        <v>3464</v>
      </c>
      <c r="T42" s="90">
        <f>IF(AND(ISNUMBER(K42),ISNUMBER(S42)),K42*S42*52/12,"")</f>
        <v/>
      </c>
      <c r="U42" s="91" t="n">
        <v>4.7</v>
      </c>
      <c r="V42" s="85" t="n">
        <v>17354</v>
      </c>
      <c r="W42" s="92" t="n">
        <v>46307</v>
      </c>
      <c r="X42" s="92" t="n"/>
      <c r="Y42" s="84" t="n"/>
      <c r="Z42" s="84" t="n"/>
      <c r="AA42" s="85" t="n"/>
      <c r="AB42" s="85" t="n"/>
      <c r="AC42" s="93" t="n"/>
      <c r="AD42" s="93" t="n"/>
      <c r="AE42" s="32" t="n"/>
      <c r="AF42" s="93" t="n"/>
      <c r="AG42" s="93" t="n"/>
      <c r="AH42" s="93" t="n"/>
      <c r="AI42" s="93" t="n"/>
      <c r="AJ42" s="85" t="n"/>
      <c r="AK42" s="85" t="n"/>
      <c r="AL42" s="85" t="n"/>
      <c r="AM42" s="85" t="n"/>
      <c r="AN42" s="85" t="n"/>
      <c r="AO42" s="85" t="n"/>
      <c r="AP42" s="94" t="n">
        <v>0.9930349542112731</v>
      </c>
      <c r="AQ42" s="89" t="n">
        <v>0.2237064116985374</v>
      </c>
      <c r="AR42" s="95" t="inlineStr">
        <is>
          <t>Y</t>
        </is>
      </c>
      <c r="AS42" s="95" t="inlineStr">
        <is>
          <t>Typical price</t>
        </is>
      </c>
      <c r="AT42" s="96" t="n">
        <v>14.39</v>
      </c>
      <c r="AU42" s="96" t="n">
        <v>12.95</v>
      </c>
      <c r="AV42" s="95" t="inlineStr">
        <is>
          <t>Limited time deal</t>
        </is>
      </c>
      <c r="AW42" s="95" t="inlineStr">
        <is>
          <t>Y</t>
        </is>
      </c>
      <c r="AX42" s="95" t="inlineStr">
        <is>
          <t>2026-10-13 23:46:10</t>
        </is>
      </c>
      <c r="AY42" s="102" t="n"/>
      <c r="AZ42" s="102" t="n"/>
      <c r="BA42" s="101" t="n"/>
      <c r="BB42" s="101" t="n"/>
      <c r="BC42" s="87">
        <f>IF(AND(ISNUMBER(BA42),ISNUMBER(BB42),N(BA42)&gt;0),1-BB42/BA42,"")</f>
        <v/>
      </c>
      <c r="BD42" s="103" t="n"/>
      <c r="BE42" s="103" t="n"/>
      <c r="BF42" s="100">
        <f>IF(AND(ISNUMBER(BD42),ISNUMBER(BE42),N(BE42)&gt;0),BD42/BE42,"")</f>
        <v/>
      </c>
      <c r="BG42" s="102" t="n"/>
      <c r="BH42" s="102" t="n"/>
    </row>
    <row r="43" ht="62" customHeight="1">
      <c r="A43" s="39" t="inlineStr">
        <is>
          <t>IMAGE MISSING</t>
        </is>
      </c>
      <c r="B43" s="84" t="inlineStr">
        <is>
          <t>Kitsch</t>
        </is>
      </c>
      <c r="C43" s="32" t="inlineStr">
        <is>
          <t>SS Silk Sleep Mask</t>
        </is>
      </c>
      <c r="D43" s="84" t="inlineStr">
        <is>
          <t>Aspirational</t>
        </is>
      </c>
      <c r="E43" s="84" t="inlineStr">
        <is>
          <t>B0FNPM9ZM4</t>
        </is>
      </c>
      <c r="F43" s="84" t="inlineStr">
        <is>
          <t>B09GYPT47K</t>
        </is>
      </c>
      <c r="G43" s="84" t="n"/>
      <c r="H43" s="84" t="n"/>
      <c r="I43" s="85" t="n"/>
      <c r="J43" s="32" t="inlineStr"/>
      <c r="K43" s="86" t="n">
        <v>17.99</v>
      </c>
      <c r="L43" s="86" t="n">
        <v>17.99</v>
      </c>
      <c r="M43" s="87">
        <f>IF(AND(ISNUMBER(L43),ISNUMBER(K43),N(K43)&gt;0),L43/K43-1,"")</f>
        <v/>
      </c>
      <c r="N43" s="88">
        <f>IF(M43="","No List Price",IF(M43&lt;=0,"At/below price",IF(M43&lt;=0.12,"&lt;=12% STR zone",IF(M43&lt;=0.25,"12-25%","&gt;25% over"))))</f>
        <v/>
      </c>
      <c r="O43" s="86" t="n">
        <v>25.95</v>
      </c>
      <c r="P43" s="89">
        <f>IF(AND(ISNUMBER(K43),ISNUMBER(O43),N(O43)&gt;0),K43/O43-1,"")</f>
        <v/>
      </c>
      <c r="Q43" s="32" t="inlineStr">
        <is>
          <t>vs our blended price (Command Center, Mar 2026 - STALE)</t>
        </is>
      </c>
      <c r="R43" s="85" t="n">
        <v>1837</v>
      </c>
      <c r="S43" s="85" t="n">
        <v>1848</v>
      </c>
      <c r="T43" s="90">
        <f>IF(AND(ISNUMBER(K43),ISNUMBER(S43)),K43*S43*52/12,"")</f>
        <v/>
      </c>
      <c r="U43" s="91" t="n">
        <v>4.3</v>
      </c>
      <c r="V43" s="85" t="n">
        <v>1648</v>
      </c>
      <c r="W43" s="92" t="n">
        <v>46307</v>
      </c>
      <c r="X43" s="92" t="n"/>
      <c r="Y43" s="84" t="n"/>
      <c r="Z43" s="84" t="n"/>
      <c r="AA43" s="85" t="n"/>
      <c r="AB43" s="85" t="n"/>
      <c r="AC43" s="93" t="n"/>
      <c r="AD43" s="93" t="n"/>
      <c r="AE43" s="32" t="n"/>
      <c r="AF43" s="93" t="n"/>
      <c r="AG43" s="93" t="n"/>
      <c r="AH43" s="93" t="n"/>
      <c r="AI43" s="93" t="n"/>
      <c r="AJ43" s="85" t="n"/>
      <c r="AK43" s="85" t="n"/>
      <c r="AL43" s="85" t="n"/>
      <c r="AM43" s="85" t="n"/>
      <c r="AN43" s="85" t="n"/>
      <c r="AO43" s="85" t="n"/>
      <c r="AP43" s="94" t="n"/>
      <c r="AQ43" s="89" t="n"/>
      <c r="AR43" s="95" t="inlineStr">
        <is>
          <t>N</t>
        </is>
      </c>
      <c r="AS43" s="95" t="inlineStr">
        <is>
          <t>none</t>
        </is>
      </c>
      <c r="AT43" s="101" t="n"/>
      <c r="AU43" s="96" t="n">
        <v>17.99</v>
      </c>
      <c r="AV43" s="95" t="inlineStr">
        <is>
          <t>none</t>
        </is>
      </c>
      <c r="AW43" s="95" t="inlineStr">
        <is>
          <t>Y</t>
        </is>
      </c>
      <c r="AX43" s="95" t="inlineStr">
        <is>
          <t>2026-10-13 23:46:04</t>
        </is>
      </c>
      <c r="AY43" s="102" t="n"/>
      <c r="AZ43" s="102" t="n"/>
      <c r="BA43" s="101" t="n"/>
      <c r="BB43" s="101" t="n"/>
      <c r="BC43" s="87">
        <f>IF(AND(ISNUMBER(BA43),ISNUMBER(BB43),N(BA43)&gt;0),1-BB43/BA43,"")</f>
        <v/>
      </c>
      <c r="BD43" s="103" t="n"/>
      <c r="BE43" s="103" t="n"/>
      <c r="BF43" s="100">
        <f>IF(AND(ISNUMBER(BD43),ISNUMBER(BE43),N(BE43)&gt;0),BD43/BE43,"")</f>
        <v/>
      </c>
      <c r="BG43" s="102" t="n"/>
      <c r="BH43" s="102" t="n"/>
    </row>
    <row r="44" ht="62" customHeight="1">
      <c r="A44" s="39" t="inlineStr">
        <is>
          <t>IMAGE MISSING</t>
        </is>
      </c>
      <c r="B44" s="84" t="inlineStr">
        <is>
          <t>YFONG</t>
        </is>
      </c>
      <c r="C44" s="32" t="inlineStr">
        <is>
          <t>SS Silk Sleep Mask - Contoured</t>
        </is>
      </c>
      <c r="D44" s="84" t="inlineStr">
        <is>
          <t>Aspirational</t>
        </is>
      </c>
      <c r="E44" s="84" t="inlineStr">
        <is>
          <t>B0F1MYF2WL</t>
        </is>
      </c>
      <c r="F44" s="84" t="inlineStr">
        <is>
          <t>B09C5PD9VD</t>
        </is>
      </c>
      <c r="G44" s="84" t="n"/>
      <c r="H44" s="84" t="n"/>
      <c r="I44" s="85" t="n"/>
      <c r="J44" s="32" t="inlineStr"/>
      <c r="K44" s="86" t="n">
        <v>16.99</v>
      </c>
      <c r="L44" s="86" t="n"/>
      <c r="M44" s="87">
        <f>IF(AND(ISNUMBER(L44),ISNUMBER(K44),N(K44)&gt;0),L44/K44-1,"")</f>
        <v/>
      </c>
      <c r="N44" s="88">
        <f>IF(M44="","No List Price",IF(M44&lt;=0,"At/below price",IF(M44&lt;=0.12,"&lt;=12% STR zone",IF(M44&lt;=0.25,"12-25%","&gt;25% over"))))</f>
        <v/>
      </c>
      <c r="O44" s="86" t="n">
        <v>25.95</v>
      </c>
      <c r="P44" s="89">
        <f>IF(AND(ISNUMBER(K44),ISNUMBER(O44),N(O44)&gt;0),K44/O44-1,"")</f>
        <v/>
      </c>
      <c r="Q44" s="32" t="inlineStr">
        <is>
          <t>vs our blended price (Command Center, Mar 2026 - STALE)</t>
        </is>
      </c>
      <c r="R44" s="85" t="n">
        <v>5419</v>
      </c>
      <c r="S44" s="85" t="n">
        <v>1848</v>
      </c>
      <c r="T44" s="90">
        <f>IF(AND(ISNUMBER(K44),ISNUMBER(S44)),K44*S44*52/12,"")</f>
        <v/>
      </c>
      <c r="U44" s="91" t="n">
        <v>4.6</v>
      </c>
      <c r="V44" s="85" t="n">
        <v>8046</v>
      </c>
      <c r="W44" s="92" t="n">
        <v>46307</v>
      </c>
      <c r="X44" s="92" t="n"/>
      <c r="Y44" s="84" t="n"/>
      <c r="Z44" s="84" t="n"/>
      <c r="AA44" s="85" t="n"/>
      <c r="AB44" s="85" t="n"/>
      <c r="AC44" s="93" t="n"/>
      <c r="AD44" s="93" t="n"/>
      <c r="AE44" s="32" t="n"/>
      <c r="AF44" s="93" t="n"/>
      <c r="AG44" s="93" t="n"/>
      <c r="AH44" s="93" t="n"/>
      <c r="AI44" s="93" t="n"/>
      <c r="AJ44" s="85" t="n"/>
      <c r="AK44" s="85" t="n"/>
      <c r="AL44" s="85" t="n"/>
      <c r="AM44" s="85" t="n"/>
      <c r="AN44" s="85" t="n"/>
      <c r="AO44" s="85" t="n"/>
      <c r="AP44" s="94" t="n">
        <v>1.063945578231293</v>
      </c>
      <c r="AQ44" s="89" t="n">
        <v>0.4516590389016018</v>
      </c>
      <c r="AR44" s="95" t="inlineStr">
        <is>
          <t>N</t>
        </is>
      </c>
      <c r="AS44" s="95" t="inlineStr">
        <is>
          <t>none</t>
        </is>
      </c>
      <c r="AT44" s="101" t="n"/>
      <c r="AU44" s="96" t="n">
        <v>16.99</v>
      </c>
      <c r="AV44" s="95" t="inlineStr">
        <is>
          <t>none</t>
        </is>
      </c>
      <c r="AW44" s="95" t="inlineStr">
        <is>
          <t>Y</t>
        </is>
      </c>
      <c r="AX44" s="95" t="inlineStr">
        <is>
          <t>2026-10-13 23:47:10</t>
        </is>
      </c>
      <c r="AY44" s="102" t="n"/>
      <c r="AZ44" s="102" t="n"/>
      <c r="BA44" s="101" t="n"/>
      <c r="BB44" s="101" t="n"/>
      <c r="BC44" s="87">
        <f>IF(AND(ISNUMBER(BA44),ISNUMBER(BB44),N(BA44)&gt;0),1-BB44/BA44,"")</f>
        <v/>
      </c>
      <c r="BD44" s="103" t="n"/>
      <c r="BE44" s="103" t="n"/>
      <c r="BF44" s="100">
        <f>IF(AND(ISNUMBER(BD44),ISNUMBER(BE44),N(BE44)&gt;0),BD44/BE44,"")</f>
        <v/>
      </c>
      <c r="BG44" s="102" t="n"/>
      <c r="BH44" s="102" t="n"/>
    </row>
    <row r="45" ht="62" customHeight="1">
      <c r="A45" s="39" t="inlineStr">
        <is>
          <t>IMAGE MISSING</t>
        </is>
      </c>
      <c r="B45" s="84" t="inlineStr">
        <is>
          <t>FengXinZi Store</t>
        </is>
      </c>
      <c r="C45" s="32" t="inlineStr">
        <is>
          <t>SS Silk Sleep Mask - Contoured</t>
        </is>
      </c>
      <c r="D45" s="84" t="inlineStr">
        <is>
          <t>Aspirational</t>
        </is>
      </c>
      <c r="E45" s="84" t="inlineStr">
        <is>
          <t>B09YRXKX5Z</t>
        </is>
      </c>
      <c r="F45" s="84" t="inlineStr">
        <is>
          <t>B09YRX2F83</t>
        </is>
      </c>
      <c r="G45" s="84" t="n"/>
      <c r="H45" s="84" t="n"/>
      <c r="I45" s="85" t="n"/>
      <c r="J45" s="32" t="inlineStr"/>
      <c r="K45" s="86" t="n">
        <v>9.98</v>
      </c>
      <c r="L45" s="86" t="n"/>
      <c r="M45" s="87">
        <f>IF(AND(ISNUMBER(L45),ISNUMBER(K45),N(K45)&gt;0),L45/K45-1,"")</f>
        <v/>
      </c>
      <c r="N45" s="88">
        <f>IF(M45="","No List Price",IF(M45&lt;=0,"At/below price",IF(M45&lt;=0.12,"&lt;=12% STR zone",IF(M45&lt;=0.25,"12-25%","&gt;25% over"))))</f>
        <v/>
      </c>
      <c r="O45" s="86" t="n">
        <v>25.95</v>
      </c>
      <c r="P45" s="89">
        <f>IF(AND(ISNUMBER(K45),ISNUMBER(O45),N(O45)&gt;0),K45/O45-1,"")</f>
        <v/>
      </c>
      <c r="Q45" s="32" t="inlineStr">
        <is>
          <t>vs our blended price (Command Center, Mar 2026 - STALE)</t>
        </is>
      </c>
      <c r="R45" s="85" t="n">
        <v>4808</v>
      </c>
      <c r="S45" s="85" t="n">
        <v>1732</v>
      </c>
      <c r="T45" s="90">
        <f>IF(AND(ISNUMBER(K45),ISNUMBER(S45)),K45*S45*52/12,"")</f>
        <v/>
      </c>
      <c r="U45" s="91" t="n">
        <v>4.6</v>
      </c>
      <c r="V45" s="85" t="n">
        <v>3765</v>
      </c>
      <c r="W45" s="92" t="n">
        <v>46307</v>
      </c>
      <c r="X45" s="92" t="n"/>
      <c r="Y45" s="84" t="n"/>
      <c r="Z45" s="84" t="n"/>
      <c r="AA45" s="85" t="n"/>
      <c r="AB45" s="85" t="n"/>
      <c r="AC45" s="93" t="n"/>
      <c r="AD45" s="93" t="n"/>
      <c r="AE45" s="32" t="n"/>
      <c r="AF45" s="93" t="n"/>
      <c r="AG45" s="93" t="n"/>
      <c r="AH45" s="93" t="n"/>
      <c r="AI45" s="93" t="n"/>
      <c r="AJ45" s="85" t="n"/>
      <c r="AK45" s="85" t="n"/>
      <c r="AL45" s="85" t="n"/>
      <c r="AM45" s="85" t="n"/>
      <c r="AN45" s="85" t="n"/>
      <c r="AO45" s="85" t="n"/>
      <c r="AP45" s="94" t="n">
        <v>1.008796041781199</v>
      </c>
      <c r="AQ45" s="89" t="n">
        <v>-0.2785813630041724</v>
      </c>
      <c r="AR45" s="95" t="inlineStr">
        <is>
          <t>N</t>
        </is>
      </c>
      <c r="AS45" s="95" t="inlineStr">
        <is>
          <t>none</t>
        </is>
      </c>
      <c r="AT45" s="101" t="n"/>
      <c r="AU45" s="96" t="n">
        <v>9.98</v>
      </c>
      <c r="AV45" s="95" t="inlineStr">
        <is>
          <t>none</t>
        </is>
      </c>
      <c r="AW45" s="95" t="inlineStr">
        <is>
          <t>Y</t>
        </is>
      </c>
      <c r="AX45" s="95" t="inlineStr">
        <is>
          <t>2026-10-13 23:45:26</t>
        </is>
      </c>
      <c r="AY45" s="102" t="n"/>
      <c r="AZ45" s="102" t="n"/>
      <c r="BA45" s="101" t="n"/>
      <c r="BB45" s="101" t="n"/>
      <c r="BC45" s="87">
        <f>IF(AND(ISNUMBER(BA45),ISNUMBER(BB45),N(BA45)&gt;0),1-BB45/BA45,"")</f>
        <v/>
      </c>
      <c r="BD45" s="103" t="n"/>
      <c r="BE45" s="103" t="n"/>
      <c r="BF45" s="100">
        <f>IF(AND(ISNUMBER(BD45),ISNUMBER(BE45),N(BE45)&gt;0),BD45/BE45,"")</f>
        <v/>
      </c>
      <c r="BG45" s="102" t="n"/>
      <c r="BH45" s="102" t="n"/>
    </row>
    <row r="46" ht="62" customHeight="1">
      <c r="A46" s="39" t="inlineStr">
        <is>
          <t>IMAGE MISSING</t>
        </is>
      </c>
      <c r="B46" s="84" t="inlineStr">
        <is>
          <t>LULUSILK</t>
        </is>
      </c>
      <c r="C46" s="32" t="inlineStr">
        <is>
          <t>SS Silk Sleep Mask</t>
        </is>
      </c>
      <c r="D46" s="84" t="inlineStr">
        <is>
          <t>Aspirational</t>
        </is>
      </c>
      <c r="E46" s="84" t="inlineStr">
        <is>
          <t>B074TBH52S</t>
        </is>
      </c>
      <c r="F46" s="84" t="inlineStr">
        <is>
          <t>B074TBYWGS</t>
        </is>
      </c>
      <c r="G46" s="84" t="n"/>
      <c r="H46" s="84" t="n"/>
      <c r="I46" s="85" t="n">
        <v>7</v>
      </c>
      <c r="J46" s="32" t="inlineStr">
        <is>
          <t>B074TBYWGS (83%)</t>
        </is>
      </c>
      <c r="K46" s="86" t="n">
        <v>9.99</v>
      </c>
      <c r="L46" s="86" t="n"/>
      <c r="M46" s="87">
        <f>IF(AND(ISNUMBER(L46),ISNUMBER(K46),N(K46)&gt;0),L46/K46-1,"")</f>
        <v/>
      </c>
      <c r="N46" s="88">
        <f>IF(M46="","No List Price",IF(M46&lt;=0,"At/below price",IF(M46&lt;=0.12,"&lt;=12% STR zone",IF(M46&lt;=0.25,"12-25%","&gt;25% over"))))</f>
        <v/>
      </c>
      <c r="O46" s="86" t="n">
        <v>25.95</v>
      </c>
      <c r="P46" s="89">
        <f>IF(AND(ISNUMBER(K46),ISNUMBER(O46),N(O46)&gt;0),K46/O46-1,"")</f>
        <v/>
      </c>
      <c r="Q46" s="32" t="inlineStr">
        <is>
          <t>vs our blended price (Command Center, Mar 2026 - STALE)</t>
        </is>
      </c>
      <c r="R46" s="85" t="n">
        <v>8556</v>
      </c>
      <c r="S46" s="85" t="n">
        <v>809</v>
      </c>
      <c r="T46" s="90">
        <f>IF(AND(ISNUMBER(K46),ISNUMBER(S46)),K46*S46*52/12,"")</f>
        <v/>
      </c>
      <c r="U46" s="91" t="n">
        <v>4.4</v>
      </c>
      <c r="V46" s="85" t="n">
        <v>12325</v>
      </c>
      <c r="W46" s="92" t="n">
        <v>46307</v>
      </c>
      <c r="X46" s="92" t="n"/>
      <c r="Y46" s="84" t="n"/>
      <c r="Z46" s="84" t="n"/>
      <c r="AA46" s="85" t="n">
        <v>106430</v>
      </c>
      <c r="AB46" s="85" t="n">
        <v>644</v>
      </c>
      <c r="AC46" s="93" t="n">
        <v>0.9607324494973225</v>
      </c>
      <c r="AD46" s="93" t="n">
        <v>0.03926767076951988</v>
      </c>
      <c r="AE46" s="32" t="inlineStr">
        <is>
          <t>sleep mask</t>
        </is>
      </c>
      <c r="AF46" s="93" t="n">
        <v>0.67251714742084</v>
      </c>
      <c r="AG46" s="93" t="n"/>
      <c r="AH46" s="93" t="n"/>
      <c r="AI46" s="93" t="n">
        <v>0.00684017664192427</v>
      </c>
      <c r="AJ46" s="85" t="n">
        <v>41</v>
      </c>
      <c r="AK46" s="85" t="n">
        <v>2</v>
      </c>
      <c r="AL46" s="85" t="n">
        <v>34</v>
      </c>
      <c r="AM46" s="85" t="n">
        <v>603</v>
      </c>
      <c r="AN46" s="85" t="n">
        <v>135</v>
      </c>
      <c r="AO46" s="85" t="n">
        <v>0</v>
      </c>
      <c r="AP46" s="94" t="n">
        <v>1.562836624775583</v>
      </c>
      <c r="AQ46" s="89" t="n">
        <v>0.3807249227311043</v>
      </c>
      <c r="AR46" s="95" t="inlineStr">
        <is>
          <t>N</t>
        </is>
      </c>
      <c r="AS46" s="95" t="inlineStr">
        <is>
          <t>none</t>
        </is>
      </c>
      <c r="AT46" s="101" t="n"/>
      <c r="AU46" s="96" t="n">
        <v>9.99</v>
      </c>
      <c r="AV46" s="95" t="inlineStr">
        <is>
          <t>none</t>
        </is>
      </c>
      <c r="AW46" s="95" t="inlineStr">
        <is>
          <t>Y</t>
        </is>
      </c>
      <c r="AX46" s="95" t="inlineStr">
        <is>
          <t>2026-10-13 23:46:07</t>
        </is>
      </c>
      <c r="AY46" s="102" t="n"/>
      <c r="AZ46" s="102" t="n"/>
      <c r="BA46" s="101" t="n"/>
      <c r="BB46" s="101" t="n"/>
      <c r="BC46" s="87">
        <f>IF(AND(ISNUMBER(BA46),ISNUMBER(BB46),N(BA46)&gt;0),1-BB46/BA46,"")</f>
        <v/>
      </c>
      <c r="BD46" s="103" t="n"/>
      <c r="BE46" s="103" t="n"/>
      <c r="BF46" s="100">
        <f>IF(AND(ISNUMBER(BD46),ISNUMBER(BE46),N(BE46)&gt;0),BD46/BE46,"")</f>
        <v/>
      </c>
      <c r="BG46" s="102" t="n"/>
      <c r="BH46" s="102" t="n"/>
    </row>
    <row r="47" ht="62" customHeight="1">
      <c r="A47" s="39" t="inlineStr">
        <is>
          <t>IMAGE MISSING</t>
        </is>
      </c>
      <c r="B47" s="84" t="inlineStr">
        <is>
          <t>BLSSNZ</t>
        </is>
      </c>
      <c r="C47" s="32" t="inlineStr">
        <is>
          <t>SS Silk Sleep Mask - Contoured</t>
        </is>
      </c>
      <c r="D47" s="84" t="inlineStr">
        <is>
          <t>Aspirational</t>
        </is>
      </c>
      <c r="E47" s="84" t="inlineStr">
        <is>
          <t>B0H5JPNHHN</t>
        </is>
      </c>
      <c r="F47" s="84" t="inlineStr">
        <is>
          <t>B0C1YYKVDQ</t>
        </is>
      </c>
      <c r="G47" s="84" t="n"/>
      <c r="H47" s="84" t="n"/>
      <c r="I47" s="85" t="n"/>
      <c r="J47" s="32" t="inlineStr"/>
      <c r="K47" s="86" t="n">
        <v>9.99</v>
      </c>
      <c r="L47" s="86" t="n"/>
      <c r="M47" s="87">
        <f>IF(AND(ISNUMBER(L47),ISNUMBER(K47),N(K47)&gt;0),L47/K47-1,"")</f>
        <v/>
      </c>
      <c r="N47" s="88">
        <f>IF(M47="","No List Price",IF(M47&lt;=0,"At/below price",IF(M47&lt;=0.12,"&lt;=12% STR zone",IF(M47&lt;=0.25,"12-25%","&gt;25% over"))))</f>
        <v/>
      </c>
      <c r="O47" s="86" t="n">
        <v>25.95</v>
      </c>
      <c r="P47" s="89">
        <f>IF(AND(ISNUMBER(K47),ISNUMBER(O47),N(O47)&gt;0),K47/O47-1,"")</f>
        <v/>
      </c>
      <c r="Q47" s="32" t="inlineStr">
        <is>
          <t>vs our blended price (Command Center, Mar 2026 - STALE)</t>
        </is>
      </c>
      <c r="R47" s="85" t="n">
        <v>11877</v>
      </c>
      <c r="S47" s="85" t="n">
        <v>347</v>
      </c>
      <c r="T47" s="90">
        <f>IF(AND(ISNUMBER(K47),ISNUMBER(S47)),K47*S47*52/12,"")</f>
        <v/>
      </c>
      <c r="U47" s="91" t="n">
        <v>4.5</v>
      </c>
      <c r="V47" s="85" t="n">
        <v>1593</v>
      </c>
      <c r="W47" s="92" t="n">
        <v>46307</v>
      </c>
      <c r="X47" s="92" t="n"/>
      <c r="Y47" s="84" t="n"/>
      <c r="Z47" s="84" t="n"/>
      <c r="AA47" s="85" t="n"/>
      <c r="AB47" s="85" t="n"/>
      <c r="AC47" s="93" t="n"/>
      <c r="AD47" s="93" t="n"/>
      <c r="AE47" s="32" t="n"/>
      <c r="AF47" s="93" t="n"/>
      <c r="AG47" s="93" t="n"/>
      <c r="AH47" s="93" t="n"/>
      <c r="AI47" s="93" t="n"/>
      <c r="AJ47" s="85" t="n"/>
      <c r="AK47" s="85" t="n"/>
      <c r="AL47" s="85" t="n"/>
      <c r="AM47" s="85" t="n"/>
      <c r="AN47" s="85" t="n"/>
      <c r="AO47" s="85" t="n"/>
      <c r="AP47" s="94" t="n">
        <v>1.312454479242534</v>
      </c>
      <c r="AQ47" s="89" t="n">
        <v>-0.1724358974358975</v>
      </c>
      <c r="AR47" s="95" t="inlineStr">
        <is>
          <t>N</t>
        </is>
      </c>
      <c r="AS47" s="95" t="inlineStr">
        <is>
          <t>none</t>
        </is>
      </c>
      <c r="AT47" s="101" t="n"/>
      <c r="AU47" s="96" t="n">
        <v>9.99</v>
      </c>
      <c r="AV47" s="95" t="inlineStr">
        <is>
          <t>none</t>
        </is>
      </c>
      <c r="AW47" s="95" t="inlineStr">
        <is>
          <t>Y</t>
        </is>
      </c>
      <c r="AX47" s="95" t="inlineStr">
        <is>
          <t>2026-10-13 23:45:05</t>
        </is>
      </c>
      <c r="AY47" s="102" t="n"/>
      <c r="AZ47" s="102" t="n"/>
      <c r="BA47" s="101" t="n"/>
      <c r="BB47" s="101" t="n"/>
      <c r="BC47" s="87">
        <f>IF(AND(ISNUMBER(BA47),ISNUMBER(BB47),N(BA47)&gt;0),1-BB47/BA47,"")</f>
        <v/>
      </c>
      <c r="BD47" s="103" t="n"/>
      <c r="BE47" s="103" t="n"/>
      <c r="BF47" s="100">
        <f>IF(AND(ISNUMBER(BD47),ISNUMBER(BE47),N(BE47)&gt;0),BD47/BE47,"")</f>
        <v/>
      </c>
      <c r="BG47" s="102" t="n"/>
      <c r="BH47" s="102" t="n"/>
    </row>
    <row r="48" ht="62" customHeight="1">
      <c r="A48" s="10">
        <f>_xlfn.IMAGE("https://images-na.ssl-images-amazon.com/images/I/717uHiZRsrL.jpg")</f>
        <v/>
      </c>
      <c r="B48" s="84" t="inlineStr">
        <is>
          <t>Zenssia</t>
        </is>
      </c>
      <c r="C48" s="32" t="inlineStr">
        <is>
          <t>Zenssia 100% Mulberry Silk Sleep Mask Eye Mask for Man and Woman with Adjustable Headband, Full Size Large Sleep Mask &amp; Blindfold for Total Blackout for All Night Sleep, Travel &amp; Nap- Light Plum</t>
        </is>
      </c>
      <c r="D48" s="84" t="inlineStr">
        <is>
          <t>Aspirational</t>
        </is>
      </c>
      <c r="E48" s="84" t="inlineStr">
        <is>
          <t>B0B5K41YD7</t>
        </is>
      </c>
      <c r="F48" s="84" t="inlineStr">
        <is>
          <t>B07V5BCQFW</t>
        </is>
      </c>
      <c r="G48" s="84" t="inlineStr">
        <is>
          <t>Full</t>
        </is>
      </c>
      <c r="H48" s="84" t="n"/>
      <c r="I48" s="85" t="n">
        <v>6</v>
      </c>
      <c r="J48" s="32" t="inlineStr">
        <is>
          <t>B07V5BCQFW (58%), B07CNT74Z6 (24%)</t>
        </is>
      </c>
      <c r="K48" s="86" t="n">
        <v>19.99</v>
      </c>
      <c r="L48" s="86" t="n"/>
      <c r="M48" s="87">
        <f>IF(AND(ISNUMBER(L48),ISNUMBER(K48),N(K48)&gt;0),L48/K48-1,"")</f>
        <v/>
      </c>
      <c r="N48" s="88">
        <f>IF(M48="","No List Price",IF(M48&lt;=0,"At/below price",IF(M48&lt;=0.12,"&lt;=12% STR zone",IF(M48&lt;=0.25,"12-25%","&gt;25% over"))))</f>
        <v/>
      </c>
      <c r="O48" s="86" t="n">
        <v>25.95</v>
      </c>
      <c r="P48" s="89">
        <f>IF(AND(ISNUMBER(K48),ISNUMBER(O48),N(O48)&gt;0),K48/O48-1,"")</f>
        <v/>
      </c>
      <c r="Q48" s="32" t="inlineStr">
        <is>
          <t>vs our blended price (Command Center, Mar 2026 - STALE)</t>
        </is>
      </c>
      <c r="R48" s="85" t="n">
        <v>11617</v>
      </c>
      <c r="S48" s="85" t="n">
        <v>347</v>
      </c>
      <c r="T48" s="90">
        <f>IF(AND(ISNUMBER(K48),ISNUMBER(S48)),K48*S48*52/12,"")</f>
        <v/>
      </c>
      <c r="U48" s="91" t="n">
        <v>4.5</v>
      </c>
      <c r="V48" s="85" t="n">
        <v>1571</v>
      </c>
      <c r="W48" s="92" t="n">
        <v>46307</v>
      </c>
      <c r="X48" s="92" t="n">
        <v>43655</v>
      </c>
      <c r="Y48" s="84" t="inlineStr">
        <is>
          <t>FBA</t>
        </is>
      </c>
      <c r="Z48" s="84" t="inlineStr">
        <is>
          <t>CN</t>
        </is>
      </c>
      <c r="AA48" s="85" t="n">
        <v>151964</v>
      </c>
      <c r="AB48" s="85" t="n">
        <v>580</v>
      </c>
      <c r="AC48" s="93" t="n">
        <v>0.8624514049380118</v>
      </c>
      <c r="AD48" s="93" t="n">
        <v>0.1375487003500829</v>
      </c>
      <c r="AE48" s="32" t="inlineStr">
        <is>
          <t>sleep mask</t>
        </is>
      </c>
      <c r="AF48" s="93" t="n">
        <v>0.340712273959622</v>
      </c>
      <c r="AG48" s="93" t="n"/>
      <c r="AH48" s="93" t="n">
        <v>0.285751888605196</v>
      </c>
      <c r="AI48" s="93" t="n">
        <v>0.0009278513332104972</v>
      </c>
      <c r="AJ48" s="85" t="n">
        <v>39</v>
      </c>
      <c r="AK48" s="85" t="n">
        <v>1</v>
      </c>
      <c r="AL48" s="85" t="n">
        <v>35</v>
      </c>
      <c r="AM48" s="85" t="n">
        <v>541</v>
      </c>
      <c r="AN48" s="85" t="n">
        <v>59</v>
      </c>
      <c r="AO48" s="85" t="n">
        <v>0</v>
      </c>
      <c r="AP48" s="94" t="n"/>
      <c r="AQ48" s="89" t="n"/>
      <c r="AR48" s="95" t="inlineStr">
        <is>
          <t>N</t>
        </is>
      </c>
      <c r="AS48" s="95" t="inlineStr">
        <is>
          <t>none</t>
        </is>
      </c>
      <c r="AT48" s="101" t="n"/>
      <c r="AU48" s="96" t="n">
        <v>19.99</v>
      </c>
      <c r="AV48" s="95" t="inlineStr">
        <is>
          <t>none</t>
        </is>
      </c>
      <c r="AW48" s="95" t="inlineStr">
        <is>
          <t>Y</t>
        </is>
      </c>
      <c r="AX48" s="95" t="inlineStr">
        <is>
          <t>2026-10-13 23:47:35</t>
        </is>
      </c>
      <c r="AY48" s="102" t="n"/>
      <c r="AZ48" s="102" t="n"/>
      <c r="BA48" s="101" t="n"/>
      <c r="BB48" s="101" t="n"/>
      <c r="BC48" s="87">
        <f>IF(AND(ISNUMBER(BA48),ISNUMBER(BB48),N(BA48)&gt;0),1-BB48/BA48,"")</f>
        <v/>
      </c>
      <c r="BD48" s="103" t="n"/>
      <c r="BE48" s="103" t="n"/>
      <c r="BF48" s="100">
        <f>IF(AND(ISNUMBER(BD48),ISNUMBER(BE48),N(BE48)&gt;0),BD48/BE48,"")</f>
        <v/>
      </c>
      <c r="BG48" s="102" t="n"/>
      <c r="BH48" s="102" t="n"/>
    </row>
    <row r="49" ht="62" customHeight="1">
      <c r="A49" s="39" t="inlineStr">
        <is>
          <t>IMAGE MISSING</t>
        </is>
      </c>
      <c r="B49" s="84" t="inlineStr">
        <is>
          <t>Jersey Slumber</t>
        </is>
      </c>
      <c r="C49" s="32" t="inlineStr">
        <is>
          <t>SS Silk Sleep Mask</t>
        </is>
      </c>
      <c r="D49" s="84" t="inlineStr">
        <is>
          <t>Aspirational</t>
        </is>
      </c>
      <c r="E49" s="84" t="inlineStr">
        <is>
          <t>B0D4MHYD6C</t>
        </is>
      </c>
      <c r="F49" s="84" t="inlineStr">
        <is>
          <t>B014VYD7NW</t>
        </is>
      </c>
      <c r="G49" s="84" t="n"/>
      <c r="H49" s="84" t="n"/>
      <c r="I49" s="85" t="n"/>
      <c r="J49" s="32" t="inlineStr"/>
      <c r="K49" s="86" t="n">
        <v>8.890000000000001</v>
      </c>
      <c r="L49" s="86" t="n"/>
      <c r="M49" s="87">
        <f>IF(AND(ISNUMBER(L49),ISNUMBER(K49),N(K49)&gt;0),L49/K49-1,"")</f>
        <v/>
      </c>
      <c r="N49" s="88">
        <f>IF(M49="","No List Price",IF(M49&lt;=0,"At/below price",IF(M49&lt;=0.12,"&lt;=12% STR zone",IF(M49&lt;=0.25,"12-25%","&gt;25% over"))))</f>
        <v/>
      </c>
      <c r="O49" s="86" t="n">
        <v>25.95</v>
      </c>
      <c r="P49" s="89">
        <f>IF(AND(ISNUMBER(K49),ISNUMBER(O49),N(O49)&gt;0),K49/O49-1,"")</f>
        <v/>
      </c>
      <c r="Q49" s="32" t="inlineStr">
        <is>
          <t>vs our blended price (Command Center, Mar 2026 - STALE)</t>
        </is>
      </c>
      <c r="R49" s="85" t="n">
        <v>25636</v>
      </c>
      <c r="S49" s="85" t="n">
        <v>220</v>
      </c>
      <c r="T49" s="90">
        <f>IF(AND(ISNUMBER(K49),ISNUMBER(S49)),K49*S49*52/12,"")</f>
        <v/>
      </c>
      <c r="U49" s="91" t="n">
        <v>4.5</v>
      </c>
      <c r="V49" s="85" t="n">
        <v>28100</v>
      </c>
      <c r="W49" s="92" t="n">
        <v>46307</v>
      </c>
      <c r="X49" s="92" t="n"/>
      <c r="Y49" s="84" t="n"/>
      <c r="Z49" s="84" t="n"/>
      <c r="AA49" s="85" t="n"/>
      <c r="AB49" s="85" t="n"/>
      <c r="AC49" s="93" t="n"/>
      <c r="AD49" s="93" t="n"/>
      <c r="AE49" s="32" t="n"/>
      <c r="AF49" s="93" t="n"/>
      <c r="AG49" s="93" t="n"/>
      <c r="AH49" s="93" t="n"/>
      <c r="AI49" s="93" t="n"/>
      <c r="AJ49" s="85" t="n"/>
      <c r="AK49" s="85" t="n"/>
      <c r="AL49" s="85" t="n"/>
      <c r="AM49" s="85" t="n"/>
      <c r="AN49" s="85" t="n"/>
      <c r="AO49" s="85" t="n"/>
      <c r="AP49" s="94" t="n">
        <v>0.7335907335907336</v>
      </c>
      <c r="AQ49" s="89" t="n">
        <v>-0.3853006681514476</v>
      </c>
      <c r="AR49" s="95" t="inlineStr">
        <is>
          <t>N</t>
        </is>
      </c>
      <c r="AS49" s="95" t="inlineStr">
        <is>
          <t>none</t>
        </is>
      </c>
      <c r="AT49" s="101" t="n"/>
      <c r="AU49" s="96" t="n">
        <v>8.890000000000001</v>
      </c>
      <c r="AV49" s="95" t="inlineStr">
        <is>
          <t>none</t>
        </is>
      </c>
      <c r="AW49" s="95" t="inlineStr">
        <is>
          <t>Y</t>
        </is>
      </c>
      <c r="AX49" s="95" t="inlineStr">
        <is>
          <t>2026-10-13 23:45:54</t>
        </is>
      </c>
      <c r="AY49" s="102" t="n"/>
      <c r="AZ49" s="102" t="n"/>
      <c r="BA49" s="101" t="n"/>
      <c r="BB49" s="101" t="n"/>
      <c r="BC49" s="87">
        <f>IF(AND(ISNUMBER(BA49),ISNUMBER(BB49),N(BA49)&gt;0),1-BB49/BA49,"")</f>
        <v/>
      </c>
      <c r="BD49" s="103" t="n"/>
      <c r="BE49" s="103" t="n"/>
      <c r="BF49" s="100">
        <f>IF(AND(ISNUMBER(BD49),ISNUMBER(BE49),N(BE49)&gt;0),BD49/BE49,"")</f>
        <v/>
      </c>
      <c r="BG49" s="102" t="n"/>
      <c r="BH49" s="102" t="n"/>
    </row>
    <row r="50" ht="62" customHeight="1">
      <c r="A50" s="39" t="inlineStr">
        <is>
          <t>IMAGE MISSING</t>
        </is>
      </c>
      <c r="B50" s="84" t="inlineStr">
        <is>
          <t>Umisleep Store</t>
        </is>
      </c>
      <c r="C50" s="32" t="inlineStr">
        <is>
          <t>SS Silk Sleep Mask</t>
        </is>
      </c>
      <c r="D50" s="84" t="inlineStr">
        <is>
          <t>Aspirational</t>
        </is>
      </c>
      <c r="E50" s="84" t="inlineStr">
        <is>
          <t>B0FBWPMZHX</t>
        </is>
      </c>
      <c r="F50" s="84" t="inlineStr">
        <is>
          <t>B0F7R9NPSW</t>
        </is>
      </c>
      <c r="G50" s="84" t="n"/>
      <c r="H50" s="84" t="n"/>
      <c r="I50" s="85" t="n">
        <v>3</v>
      </c>
      <c r="J50" s="32" t="inlineStr">
        <is>
          <t>B0F7R9NPSW (84%)</t>
        </is>
      </c>
      <c r="K50" s="86" t="n">
        <v>17.99</v>
      </c>
      <c r="L50" s="86" t="n">
        <v>18.99</v>
      </c>
      <c r="M50" s="87">
        <f>IF(AND(ISNUMBER(L50),ISNUMBER(K50),N(K50)&gt;0),L50/K50-1,"")</f>
        <v/>
      </c>
      <c r="N50" s="88">
        <f>IF(M50="","No List Price",IF(M50&lt;=0,"At/below price",IF(M50&lt;=0.12,"&lt;=12% STR zone",IF(M50&lt;=0.25,"12-25%","&gt;25% over"))))</f>
        <v/>
      </c>
      <c r="O50" s="86" t="n">
        <v>25.95</v>
      </c>
      <c r="P50" s="89">
        <f>IF(AND(ISNUMBER(K50),ISNUMBER(O50),N(O50)&gt;0),K50/O50-1,"")</f>
        <v/>
      </c>
      <c r="Q50" s="32" t="inlineStr">
        <is>
          <t>vs our blended price (Command Center, Mar 2026 - STALE)</t>
        </is>
      </c>
      <c r="R50" s="85" t="n">
        <v>31138</v>
      </c>
      <c r="S50" s="85" t="n">
        <v>173</v>
      </c>
      <c r="T50" s="90">
        <f>IF(AND(ISNUMBER(K50),ISNUMBER(S50)),K50*S50*52/12,"")</f>
        <v/>
      </c>
      <c r="U50" s="91" t="n">
        <v>4.5</v>
      </c>
      <c r="V50" s="85" t="n">
        <v>402</v>
      </c>
      <c r="W50" s="92" t="n">
        <v>46307</v>
      </c>
      <c r="X50" s="92" t="n"/>
      <c r="Y50" s="84" t="n"/>
      <c r="Z50" s="84" t="n"/>
      <c r="AA50" s="85" t="n">
        <v>66655</v>
      </c>
      <c r="AB50" s="85" t="n">
        <v>578</v>
      </c>
      <c r="AC50" s="93" t="n">
        <v>0.5586979461405747</v>
      </c>
      <c r="AD50" s="93" t="n">
        <v>0.4413021498762283</v>
      </c>
      <c r="AE50" s="32" t="inlineStr">
        <is>
          <t>sleep mask</t>
        </is>
      </c>
      <c r="AF50" s="93" t="n">
        <v>0.863221063686145</v>
      </c>
      <c r="AG50" s="93" t="n">
        <v>0.6191433500862651</v>
      </c>
      <c r="AH50" s="93" t="n"/>
      <c r="AI50" s="93" t="n"/>
      <c r="AJ50" s="85" t="n">
        <v>41</v>
      </c>
      <c r="AK50" s="85" t="n">
        <v>3</v>
      </c>
      <c r="AL50" s="85" t="n">
        <v>34</v>
      </c>
      <c r="AM50" s="85" t="n">
        <v>537</v>
      </c>
      <c r="AN50" s="85" t="n">
        <v>178</v>
      </c>
      <c r="AO50" s="85" t="n">
        <v>0</v>
      </c>
      <c r="AP50" s="94" t="n">
        <v>0.9713988559542381</v>
      </c>
      <c r="AQ50" s="89" t="n">
        <v>-0.1567164179104477</v>
      </c>
      <c r="AR50" s="95" t="inlineStr">
        <is>
          <t>Y</t>
        </is>
      </c>
      <c r="AS50" s="95" t="inlineStr">
        <is>
          <t>List Price</t>
        </is>
      </c>
      <c r="AT50" s="96" t="n">
        <v>18.99</v>
      </c>
      <c r="AU50" s="96" t="n">
        <v>17.99</v>
      </c>
      <c r="AV50" s="95" t="inlineStr">
        <is>
          <t>none</t>
        </is>
      </c>
      <c r="AW50" s="95" t="inlineStr">
        <is>
          <t>Y</t>
        </is>
      </c>
      <c r="AX50" s="95" t="inlineStr">
        <is>
          <t>2026-10-13 23:47:03</t>
        </is>
      </c>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39" t="inlineStr">
        <is>
          <t>IMAGE MISSING</t>
        </is>
      </c>
      <c r="B51" s="84" t="inlineStr">
        <is>
          <t>LitBear</t>
        </is>
      </c>
      <c r="C51" s="32" t="inlineStr">
        <is>
          <t>SS Silk Sleep Mask</t>
        </is>
      </c>
      <c r="D51" s="84" t="inlineStr">
        <is>
          <t>Beatable</t>
        </is>
      </c>
      <c r="E51" s="84" t="inlineStr">
        <is>
          <t>B0CNX9RTK8</t>
        </is>
      </c>
      <c r="F51" s="84" t="inlineStr">
        <is>
          <t>B0BN559GVG</t>
        </is>
      </c>
      <c r="G51" s="84" t="n"/>
      <c r="H51" s="84" t="n"/>
      <c r="I51" s="85" t="n">
        <v>4</v>
      </c>
      <c r="J51" s="32" t="inlineStr">
        <is>
          <t>B0BN559GVG (81%)</t>
        </is>
      </c>
      <c r="K51" s="86" t="n">
        <v>29.99</v>
      </c>
      <c r="L51" s="86" t="n"/>
      <c r="M51" s="87">
        <f>IF(AND(ISNUMBER(L51),ISNUMBER(K51),N(K51)&gt;0),L51/K51-1,"")</f>
        <v/>
      </c>
      <c r="N51" s="88">
        <f>IF(M51="","No List Price",IF(M51&lt;=0,"At/below price",IF(M51&lt;=0.12,"&lt;=12% STR zone",IF(M51&lt;=0.25,"12-25%","&gt;25% over"))))</f>
        <v/>
      </c>
      <c r="O51" s="86" t="n">
        <v>25.95</v>
      </c>
      <c r="P51" s="89">
        <f>IF(AND(ISNUMBER(K51),ISNUMBER(O51),N(O51)&gt;0),K51/O51-1,"")</f>
        <v/>
      </c>
      <c r="Q51" s="32" t="inlineStr">
        <is>
          <t>vs our blended price (Command Center, Mar 2026 - STALE)</t>
        </is>
      </c>
      <c r="R51" s="85" t="n">
        <v>9413</v>
      </c>
      <c r="S51" s="85" t="n">
        <v>809</v>
      </c>
      <c r="T51" s="90">
        <f>IF(AND(ISNUMBER(K51),ISNUMBER(S51)),K51*S51*52/12,"")</f>
        <v/>
      </c>
      <c r="U51" s="91" t="n">
        <v>4.4</v>
      </c>
      <c r="V51" s="85" t="n">
        <v>2143</v>
      </c>
      <c r="W51" s="92" t="n">
        <v>46307</v>
      </c>
      <c r="X51" s="92" t="n"/>
      <c r="Y51" s="84" t="n"/>
      <c r="Z51" s="84" t="n"/>
      <c r="AA51" s="85" t="n">
        <v>401761</v>
      </c>
      <c r="AB51" s="85" t="n">
        <v>1367</v>
      </c>
      <c r="AC51" s="93" t="n">
        <v>0.7073638471628658</v>
      </c>
      <c r="AD51" s="93" t="n">
        <v>0.292636280276085</v>
      </c>
      <c r="AE51" s="32" t="inlineStr">
        <is>
          <t>sleep mask</t>
        </is>
      </c>
      <c r="AF51" s="93" t="n">
        <v>0.9110316830155242</v>
      </c>
      <c r="AG51" s="93" t="n">
        <v>0.1794126358705798</v>
      </c>
      <c r="AH51" s="93" t="n">
        <v>0.2505768354817914</v>
      </c>
      <c r="AI51" s="93" t="n">
        <v>0.02166711054582202</v>
      </c>
      <c r="AJ51" s="85" t="n">
        <v>44</v>
      </c>
      <c r="AK51" s="85" t="n">
        <v>0</v>
      </c>
      <c r="AL51" s="85" t="n">
        <v>41</v>
      </c>
      <c r="AM51" s="85" t="n">
        <v>1323</v>
      </c>
      <c r="AN51" s="85" t="n">
        <v>684</v>
      </c>
      <c r="AO51" s="85" t="n">
        <v>0</v>
      </c>
      <c r="AP51" s="94" t="n">
        <v>0.8740317977986141</v>
      </c>
      <c r="AQ51" s="89" t="n">
        <v>0.1626394052044609</v>
      </c>
      <c r="AR51" s="95" t="inlineStr">
        <is>
          <t>N</t>
        </is>
      </c>
      <c r="AS51" s="95" t="inlineStr">
        <is>
          <t>none</t>
        </is>
      </c>
      <c r="AT51" s="101" t="n"/>
      <c r="AU51" s="96" t="n">
        <v>29.99</v>
      </c>
      <c r="AV51" s="95" t="inlineStr">
        <is>
          <t>none</t>
        </is>
      </c>
      <c r="AW51" s="95" t="inlineStr">
        <is>
          <t>Y</t>
        </is>
      </c>
      <c r="AX51" s="95" t="inlineStr">
        <is>
          <t>2026-10-13 23:46:13</t>
        </is>
      </c>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39" t="inlineStr">
        <is>
          <t>IMAGE MISSING</t>
        </is>
      </c>
      <c r="B52" s="84" t="inlineStr">
        <is>
          <t>BLISSY</t>
        </is>
      </c>
      <c r="C52" s="32" t="inlineStr">
        <is>
          <t>SS Silk Sleep Mask</t>
        </is>
      </c>
      <c r="D52" s="84" t="inlineStr">
        <is>
          <t>Beatable</t>
        </is>
      </c>
      <c r="E52" s="84" t="inlineStr">
        <is>
          <t>B0CWRWR64G</t>
        </is>
      </c>
      <c r="F52" s="84" t="inlineStr">
        <is>
          <t>B0BFDGC7CC</t>
        </is>
      </c>
      <c r="G52" s="84" t="n"/>
      <c r="H52" s="84" t="n"/>
      <c r="I52" s="85" t="n">
        <v>19</v>
      </c>
      <c r="J52" s="32" t="inlineStr">
        <is>
          <t>B0BFDGC7CC (80%), B0DFTHSYLY (7%)</t>
        </is>
      </c>
      <c r="K52" s="86" t="n">
        <v>27.87</v>
      </c>
      <c r="L52" s="86" t="n">
        <v>49.95</v>
      </c>
      <c r="M52" s="87">
        <f>IF(AND(ISNUMBER(L52),ISNUMBER(K52),N(K52)&gt;0),L52/K52-1,"")</f>
        <v/>
      </c>
      <c r="N52" s="88">
        <f>IF(M52="","No List Price",IF(M52&lt;=0,"At/below price",IF(M52&lt;=0.12,"&lt;=12% STR zone",IF(M52&lt;=0.25,"12-25%","&gt;25% over"))))</f>
        <v/>
      </c>
      <c r="O52" s="86" t="n">
        <v>25.95</v>
      </c>
      <c r="P52" s="89">
        <f>IF(AND(ISNUMBER(K52),ISNUMBER(O52),N(O52)&gt;0),K52/O52-1,"")</f>
        <v/>
      </c>
      <c r="Q52" s="32" t="inlineStr">
        <is>
          <t>vs our blended price (Command Center, Mar 2026 - STALE)</t>
        </is>
      </c>
      <c r="R52" s="85" t="n">
        <v>9693</v>
      </c>
      <c r="S52" s="85" t="n">
        <v>347</v>
      </c>
      <c r="T52" s="90">
        <f>IF(AND(ISNUMBER(K52),ISNUMBER(S52)),K52*S52*52/12,"")</f>
        <v/>
      </c>
      <c r="U52" s="91" t="n">
        <v>4.4</v>
      </c>
      <c r="V52" s="85" t="n">
        <v>1225</v>
      </c>
      <c r="W52" s="92" t="n">
        <v>46307</v>
      </c>
      <c r="X52" s="92" t="n"/>
      <c r="Y52" s="84" t="n"/>
      <c r="Z52" s="84" t="n"/>
      <c r="AA52" s="85" t="n">
        <v>150410</v>
      </c>
      <c r="AB52" s="85" t="n">
        <v>638</v>
      </c>
      <c r="AC52" s="93" t="n">
        <v>0.7120334106774815</v>
      </c>
      <c r="AD52" s="93" t="n">
        <v>0.2879665893225186</v>
      </c>
      <c r="AE52" s="32" t="inlineStr">
        <is>
          <t>eye mask</t>
        </is>
      </c>
      <c r="AF52" s="93" t="n">
        <v>0.8523834851406157</v>
      </c>
      <c r="AG52" s="93" t="n"/>
      <c r="AH52" s="93" t="n"/>
      <c r="AI52" s="93" t="n">
        <v>0.09252044411940695</v>
      </c>
      <c r="AJ52" s="85" t="n">
        <v>44</v>
      </c>
      <c r="AK52" s="85" t="n">
        <v>2</v>
      </c>
      <c r="AL52" s="85" t="n">
        <v>39</v>
      </c>
      <c r="AM52" s="85" t="n">
        <v>594</v>
      </c>
      <c r="AN52" s="85" t="n">
        <v>227</v>
      </c>
      <c r="AO52" s="85" t="n">
        <v>0</v>
      </c>
      <c r="AP52" s="94" t="n">
        <v>0.8843343432543218</v>
      </c>
      <c r="AQ52" s="89" t="n">
        <v>-0.3999127780200611</v>
      </c>
      <c r="AR52" s="95" t="inlineStr">
        <is>
          <t>Y</t>
        </is>
      </c>
      <c r="AS52" s="95" t="inlineStr">
        <is>
          <t>List Price</t>
        </is>
      </c>
      <c r="AT52" s="96" t="n">
        <v>49.95</v>
      </c>
      <c r="AU52" s="96" t="n">
        <v>27.87</v>
      </c>
      <c r="AV52" s="95" t="inlineStr">
        <is>
          <t>none</t>
        </is>
      </c>
      <c r="AW52" s="95" t="inlineStr">
        <is>
          <t>Y</t>
        </is>
      </c>
      <c r="AX52" s="95" t="inlineStr">
        <is>
          <t>2026-10-13 23:44:58</t>
        </is>
      </c>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10">
        <f>_xlfn.IMAGE("https://images-na.ssl-images-amazon.com/images/I/61t7hRnDSTL.jpg")</f>
        <v/>
      </c>
      <c r="B53" s="84" t="inlineStr">
        <is>
          <t>iCooBreeze</t>
        </is>
      </c>
      <c r="C53" s="32" t="inlineStr">
        <is>
          <t>SS Silk Sleep Mask</t>
        </is>
      </c>
      <c r="D53" s="84" t="inlineStr">
        <is>
          <t>Beatable</t>
        </is>
      </c>
      <c r="E53" s="84" t="inlineStr">
        <is>
          <t>B0BBN7XTW5</t>
        </is>
      </c>
      <c r="F53" s="84" t="inlineStr">
        <is>
          <t>B0BBN627MK</t>
        </is>
      </c>
      <c r="G53" s="84" t="n"/>
      <c r="H53" s="84" t="n"/>
      <c r="I53" s="85" t="n">
        <v>4</v>
      </c>
      <c r="J53" s="32" t="inlineStr">
        <is>
          <t>B0BB9Z23FD (45%), B0BBN627MK (45%)</t>
        </is>
      </c>
      <c r="K53" s="86" t="n">
        <v>19.99</v>
      </c>
      <c r="L53" s="86" t="n"/>
      <c r="M53" s="87">
        <f>IF(AND(ISNUMBER(L53),ISNUMBER(K53),N(K53)&gt;0),L53/K53-1,"")</f>
        <v/>
      </c>
      <c r="N53" s="88">
        <f>IF(M53="","No List Price",IF(M53&lt;=0,"At/below price",IF(M53&lt;=0.12,"&lt;=12% STR zone",IF(M53&lt;=0.25,"12-25%","&gt;25% over"))))</f>
        <v/>
      </c>
      <c r="O53" s="86" t="n">
        <v>25.95</v>
      </c>
      <c r="P53" s="89">
        <f>IF(AND(ISNUMBER(K53),ISNUMBER(O53),N(O53)&gt;0),K53/O53-1,"")</f>
        <v/>
      </c>
      <c r="Q53" s="32" t="inlineStr">
        <is>
          <t>vs our blended price (Command Center, Mar 2026 - STALE)</t>
        </is>
      </c>
      <c r="R53" s="85" t="n">
        <v>12259</v>
      </c>
      <c r="S53" s="85" t="n">
        <v>347</v>
      </c>
      <c r="T53" s="90">
        <f>IF(AND(ISNUMBER(K53),ISNUMBER(S53)),K53*S53*52/12,"")</f>
        <v/>
      </c>
      <c r="U53" s="91" t="n">
        <v>4.5</v>
      </c>
      <c r="V53" s="85" t="n">
        <v>2063</v>
      </c>
      <c r="W53" s="92" t="n">
        <v>46307</v>
      </c>
      <c r="X53" s="92" t="n"/>
      <c r="Y53" s="84" t="n"/>
      <c r="Z53" s="84" t="n"/>
      <c r="AA53" s="85" t="n">
        <v>303791</v>
      </c>
      <c r="AB53" s="85" t="n">
        <v>774</v>
      </c>
      <c r="AC53" s="93" t="n">
        <v>0.556958422402244</v>
      </c>
      <c r="AD53" s="93" t="n">
        <v>0.4430416091984288</v>
      </c>
      <c r="AE53" s="32" t="inlineStr">
        <is>
          <t>sleep mask</t>
        </is>
      </c>
      <c r="AF53" s="93" t="n">
        <v>0.9396492983663111</v>
      </c>
      <c r="AG53" s="93" t="n"/>
      <c r="AH53" s="93" t="n">
        <v>0.03647902669927681</v>
      </c>
      <c r="AI53" s="93" t="n">
        <v>0</v>
      </c>
      <c r="AJ53" s="85" t="n">
        <v>43</v>
      </c>
      <c r="AK53" s="85" t="n">
        <v>3</v>
      </c>
      <c r="AL53" s="85" t="n">
        <v>37</v>
      </c>
      <c r="AM53" s="85" t="n">
        <v>731</v>
      </c>
      <c r="AN53" s="85" t="n">
        <v>172</v>
      </c>
      <c r="AO53" s="85" t="n">
        <v>0</v>
      </c>
      <c r="AP53" s="94" t="n">
        <v>0.2928870292887029</v>
      </c>
      <c r="AQ53" s="89" t="n">
        <v>-0.09840810419681623</v>
      </c>
      <c r="AR53" s="95" t="inlineStr">
        <is>
          <t>N</t>
        </is>
      </c>
      <c r="AS53" s="95" t="inlineStr">
        <is>
          <t>none</t>
        </is>
      </c>
      <c r="AT53" s="101" t="n"/>
      <c r="AU53" s="96" t="n">
        <v>19.99</v>
      </c>
      <c r="AV53" s="95" t="inlineStr">
        <is>
          <t>none</t>
        </is>
      </c>
      <c r="AW53" s="95" t="inlineStr">
        <is>
          <t>Y</t>
        </is>
      </c>
      <c r="AX53" s="95" t="inlineStr">
        <is>
          <t>2026-10-13 23:47:38</t>
        </is>
      </c>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10">
        <f>_xlfn.IMAGE("https://images-na.ssl-images-amazon.com/images/I/61GwSG1wveL.jpg")</f>
        <v/>
      </c>
      <c r="B54" s="84" t="inlineStr">
        <is>
          <t>SECZIPE</t>
        </is>
      </c>
      <c r="C54" s="32" t="inlineStr">
        <is>
          <t>SECZIPE 100% Mulberry Silk Sleep Mask Eye Mask for Women Man with Adjustable Band, for Side Sleeper Blackout Sleep Mask for Travel Rest and Office Large Size (Taupe)</t>
        </is>
      </c>
      <c r="D54" s="84" t="inlineStr">
        <is>
          <t>Beatable</t>
        </is>
      </c>
      <c r="E54" s="84" t="inlineStr">
        <is>
          <t>B0C6DZRBWV</t>
        </is>
      </c>
      <c r="F54" s="84" t="inlineStr">
        <is>
          <t>B0C6DYG511</t>
        </is>
      </c>
      <c r="G54" s="84" t="n"/>
      <c r="H54" s="84" t="inlineStr">
        <is>
          <t>Taupe</t>
        </is>
      </c>
      <c r="I54" s="85" t="n">
        <v>5</v>
      </c>
      <c r="J54" s="32" t="inlineStr">
        <is>
          <t>B0C6DYG511 (87%)</t>
        </is>
      </c>
      <c r="K54" s="86" t="n">
        <v>22.99</v>
      </c>
      <c r="L54" s="86" t="n"/>
      <c r="M54" s="87">
        <f>IF(AND(ISNUMBER(L54),ISNUMBER(K54),N(K54)&gt;0),L54/K54-1,"")</f>
        <v/>
      </c>
      <c r="N54" s="88">
        <f>IF(M54="","No List Price",IF(M54&lt;=0,"At/below price",IF(M54&lt;=0.12,"&lt;=12% STR zone",IF(M54&lt;=0.25,"12-25%","&gt;25% over"))))</f>
        <v/>
      </c>
      <c r="O54" s="86" t="n">
        <v>25.95</v>
      </c>
      <c r="P54" s="89">
        <f>IF(AND(ISNUMBER(K54),ISNUMBER(O54),N(O54)&gt;0),K54/O54-1,"")</f>
        <v/>
      </c>
      <c r="Q54" s="32" t="inlineStr">
        <is>
          <t>vs our blended price (Command Center, Mar 2026 - STALE)</t>
        </is>
      </c>
      <c r="R54" s="85" t="n">
        <v>18076</v>
      </c>
      <c r="S54" s="85" t="n">
        <v>220</v>
      </c>
      <c r="T54" s="90">
        <f>IF(AND(ISNUMBER(K54),ISNUMBER(S54)),K54*S54*52/12,"")</f>
        <v/>
      </c>
      <c r="U54" s="91" t="n">
        <v>4.5</v>
      </c>
      <c r="V54" s="85" t="n">
        <v>867</v>
      </c>
      <c r="W54" s="92" t="n">
        <v>46307</v>
      </c>
      <c r="X54" s="92" t="n">
        <v>45169</v>
      </c>
      <c r="Y54" s="84" t="inlineStr">
        <is>
          <t>FBA</t>
        </is>
      </c>
      <c r="Z54" s="84" t="inlineStr">
        <is>
          <t>CN</t>
        </is>
      </c>
      <c r="AA54" s="85" t="n">
        <v>190502</v>
      </c>
      <c r="AB54" s="85" t="n">
        <v>1005</v>
      </c>
      <c r="AC54" s="93" t="n">
        <v>0.3638504939580689</v>
      </c>
      <c r="AD54" s="93" t="n">
        <v>0.6361497076146179</v>
      </c>
      <c r="AE54" s="32" t="inlineStr">
        <is>
          <t>sleep mask</t>
        </is>
      </c>
      <c r="AF54" s="93" t="n">
        <v>0.9771865912168901</v>
      </c>
      <c r="AG54" s="93" t="n">
        <v>0.1361350537002236</v>
      </c>
      <c r="AH54" s="93" t="n"/>
      <c r="AI54" s="93" t="n">
        <v>0.005595741776989218</v>
      </c>
      <c r="AJ54" s="85" t="n">
        <v>43</v>
      </c>
      <c r="AK54" s="85" t="n">
        <v>4</v>
      </c>
      <c r="AL54" s="85" t="n">
        <v>37</v>
      </c>
      <c r="AM54" s="85" t="n">
        <v>962</v>
      </c>
      <c r="AN54" s="85" t="n">
        <v>417</v>
      </c>
      <c r="AO54" s="85" t="n">
        <v>0</v>
      </c>
      <c r="AP54" s="94" t="n">
        <v>0.9280217292892712</v>
      </c>
      <c r="AQ54" s="89" t="n">
        <v>0.2546646495209279</v>
      </c>
      <c r="AR54" s="95" t="inlineStr">
        <is>
          <t>N</t>
        </is>
      </c>
      <c r="AS54" s="95" t="inlineStr">
        <is>
          <t>none</t>
        </is>
      </c>
      <c r="AT54" s="101" t="n"/>
      <c r="AU54" s="96" t="n">
        <v>22.99</v>
      </c>
      <c r="AV54" s="95" t="inlineStr">
        <is>
          <t>none</t>
        </is>
      </c>
      <c r="AW54" s="95" t="inlineStr">
        <is>
          <t>Y</t>
        </is>
      </c>
      <c r="AX54" s="95" t="inlineStr">
        <is>
          <t>2026-10-13 23:46:42</t>
        </is>
      </c>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39" t="inlineStr">
        <is>
          <t>IMAGE MISSING</t>
        </is>
      </c>
      <c r="B55" s="84" t="inlineStr">
        <is>
          <t>DROWSY</t>
        </is>
      </c>
      <c r="C55" s="32" t="inlineStr">
        <is>
          <t>SS Silk Sleep Mask</t>
        </is>
      </c>
      <c r="D55" s="84" t="inlineStr">
        <is>
          <t>Beatable</t>
        </is>
      </c>
      <c r="E55" s="84" t="inlineStr">
        <is>
          <t>B0GQZL7XLN</t>
        </is>
      </c>
      <c r="F55" s="84" t="inlineStr">
        <is>
          <t>B08NHHDLT6</t>
        </is>
      </c>
      <c r="G55" s="84" t="n"/>
      <c r="H55" s="84" t="n"/>
      <c r="I55" s="85" t="n">
        <v>13</v>
      </c>
      <c r="J55" s="32" t="inlineStr">
        <is>
          <t>B08NHF4HCS (51%), B08NHHDLT6 (32%)</t>
        </is>
      </c>
      <c r="K55" s="86" t="n">
        <v>79</v>
      </c>
      <c r="L55" s="86" t="n"/>
      <c r="M55" s="87">
        <f>IF(AND(ISNUMBER(L55),ISNUMBER(K55),N(K55)&gt;0),L55/K55-1,"")</f>
        <v/>
      </c>
      <c r="N55" s="88">
        <f>IF(M55="","No List Price",IF(M55&lt;=0,"At/below price",IF(M55&lt;=0.12,"&lt;=12% STR zone",IF(M55&lt;=0.25,"12-25%","&gt;25% over"))))</f>
        <v/>
      </c>
      <c r="O55" s="86" t="n">
        <v>25.95</v>
      </c>
      <c r="P55" s="89">
        <f>IF(AND(ISNUMBER(K55),ISNUMBER(O55),N(O55)&gt;0),K55/O55-1,"")</f>
        <v/>
      </c>
      <c r="Q55" s="32" t="inlineStr">
        <is>
          <t>vs our blended price (Command Center, Mar 2026 - STALE)</t>
        </is>
      </c>
      <c r="R55" s="85" t="n">
        <v>7182</v>
      </c>
      <c r="S55" s="85" t="n">
        <v>208</v>
      </c>
      <c r="T55" s="90">
        <f>IF(AND(ISNUMBER(K55),ISNUMBER(S55)),K55*S55*52/12,"")</f>
        <v/>
      </c>
      <c r="U55" s="91" t="n">
        <v>4.3</v>
      </c>
      <c r="V55" s="85" t="n">
        <v>1740</v>
      </c>
      <c r="W55" s="92" t="n">
        <v>46307</v>
      </c>
      <c r="X55" s="92" t="n"/>
      <c r="Y55" s="84" t="n"/>
      <c r="Z55" s="84" t="n"/>
      <c r="AA55" s="85" t="n">
        <v>143864</v>
      </c>
      <c r="AB55" s="85" t="n">
        <v>655</v>
      </c>
      <c r="AC55" s="93" t="n">
        <v>0.5480138186064621</v>
      </c>
      <c r="AD55" s="93" t="n">
        <v>0.4519862036367683</v>
      </c>
      <c r="AE55" s="32" t="inlineStr">
        <is>
          <t>eye masks for sleep</t>
        </is>
      </c>
      <c r="AF55" s="93" t="n">
        <v>0.9813643441027637</v>
      </c>
      <c r="AG55" s="93" t="n"/>
      <c r="AH55" s="93" t="n"/>
      <c r="AI55" s="93" t="n">
        <v>0.1368097647778457</v>
      </c>
      <c r="AJ55" s="85" t="n">
        <v>40</v>
      </c>
      <c r="AK55" s="85" t="n">
        <v>7</v>
      </c>
      <c r="AL55" s="85" t="n">
        <v>25</v>
      </c>
      <c r="AM55" s="85" t="n">
        <v>615</v>
      </c>
      <c r="AN55" s="85" t="n">
        <v>269</v>
      </c>
      <c r="AO55" s="85" t="n">
        <v>0</v>
      </c>
      <c r="AP55" s="94" t="n"/>
      <c r="AQ55" s="89" t="n"/>
      <c r="AR55" s="95" t="inlineStr">
        <is>
          <t>N</t>
        </is>
      </c>
      <c r="AS55" s="95" t="inlineStr">
        <is>
          <t>none</t>
        </is>
      </c>
      <c r="AT55" s="101" t="n"/>
      <c r="AU55" s="96" t="n">
        <v>79</v>
      </c>
      <c r="AV55" s="95" t="inlineStr">
        <is>
          <t>none</t>
        </is>
      </c>
      <c r="AW55" s="95" t="inlineStr">
        <is>
          <t>Y</t>
        </is>
      </c>
      <c r="AX55" s="95" t="inlineStr">
        <is>
          <t>2026-10-13 23:45:23</t>
        </is>
      </c>
      <c r="AY55" s="102" t="n"/>
      <c r="AZ55" s="102" t="n"/>
      <c r="BA55" s="101" t="n"/>
      <c r="BB55" s="101" t="n"/>
      <c r="BC55" s="87">
        <f>IF(AND(ISNUMBER(BA55),ISNUMBER(BB55),N(BA55)&gt;0),1-BB55/BA55,"")</f>
        <v/>
      </c>
      <c r="BD55" s="103" t="n"/>
      <c r="BE55" s="103" t="n"/>
      <c r="BF55" s="100">
        <f>IF(AND(ISNUMBER(BD55),ISNUMBER(BE55),N(BE55)&gt;0),BD55/BE55,"")</f>
        <v/>
      </c>
      <c r="BG55" s="102" t="n"/>
      <c r="BH55" s="102" t="n"/>
    </row>
    <row r="56" ht="62" customHeight="1">
      <c r="A56" s="39" t="inlineStr">
        <is>
          <t>IMAGE MISSING</t>
        </is>
      </c>
      <c r="B56" s="84" t="inlineStr">
        <is>
          <t>Manta Sleep</t>
        </is>
      </c>
      <c r="C56" s="32" t="inlineStr">
        <is>
          <t>SS Silk Sleep Mask - Contoured</t>
        </is>
      </c>
      <c r="D56" s="84" t="inlineStr">
        <is>
          <t>Beatable</t>
        </is>
      </c>
      <c r="E56" s="84" t="inlineStr">
        <is>
          <t>B0DFJDJLDB</t>
        </is>
      </c>
      <c r="F56" s="84" t="inlineStr">
        <is>
          <t>B0D8M5MDCS</t>
        </is>
      </c>
      <c r="G56" s="84" t="n"/>
      <c r="H56" s="84" t="n"/>
      <c r="I56" s="85" t="n"/>
      <c r="J56" s="32" t="inlineStr"/>
      <c r="K56" s="86" t="n">
        <v>75</v>
      </c>
      <c r="L56" s="86" t="n"/>
      <c r="M56" s="87">
        <f>IF(AND(ISNUMBER(L56),ISNUMBER(K56),N(K56)&gt;0),L56/K56-1,"")</f>
        <v/>
      </c>
      <c r="N56" s="88">
        <f>IF(M56="","No List Price",IF(M56&lt;=0,"At/below price",IF(M56&lt;=0.12,"&lt;=12% STR zone",IF(M56&lt;=0.25,"12-25%","&gt;25% over"))))</f>
        <v/>
      </c>
      <c r="O56" s="86" t="n">
        <v>25.95</v>
      </c>
      <c r="P56" s="89">
        <f>IF(AND(ISNUMBER(K56),ISNUMBER(O56),N(O56)&gt;0),K56/O56-1,"")</f>
        <v/>
      </c>
      <c r="Q56" s="32" t="inlineStr">
        <is>
          <t>vs our blended price (Command Center, Mar 2026 - STALE)</t>
        </is>
      </c>
      <c r="R56" s="85" t="n">
        <v>26849</v>
      </c>
      <c r="S56" s="85" t="n">
        <v>197</v>
      </c>
      <c r="T56" s="90">
        <f>IF(AND(ISNUMBER(K56),ISNUMBER(S56)),K56*S56*52/12,"")</f>
        <v/>
      </c>
      <c r="U56" s="91" t="n">
        <v>4</v>
      </c>
      <c r="V56" s="85" t="n">
        <v>587</v>
      </c>
      <c r="W56" s="92" t="n">
        <v>46307</v>
      </c>
      <c r="X56" s="92" t="n"/>
      <c r="Y56" s="84" t="n"/>
      <c r="Z56" s="84" t="n"/>
      <c r="AA56" s="85" t="n"/>
      <c r="AB56" s="85" t="n"/>
      <c r="AC56" s="93" t="n"/>
      <c r="AD56" s="93" t="n"/>
      <c r="AE56" s="32" t="n"/>
      <c r="AF56" s="93" t="n"/>
      <c r="AG56" s="93" t="n"/>
      <c r="AH56" s="93" t="n"/>
      <c r="AI56" s="93" t="n"/>
      <c r="AJ56" s="85" t="n"/>
      <c r="AK56" s="85" t="n"/>
      <c r="AL56" s="85" t="n"/>
      <c r="AM56" s="85" t="n"/>
      <c r="AN56" s="85" t="n"/>
      <c r="AO56" s="85" t="n"/>
      <c r="AP56" s="94" t="n">
        <v>1.158222703874289</v>
      </c>
      <c r="AQ56" s="89" t="n">
        <v>-0.07496927488734118</v>
      </c>
      <c r="AR56" s="95" t="inlineStr">
        <is>
          <t>N</t>
        </is>
      </c>
      <c r="AS56" s="95" t="inlineStr">
        <is>
          <t>none</t>
        </is>
      </c>
      <c r="AT56" s="101" t="n"/>
      <c r="AU56" s="96" t="n">
        <v>75</v>
      </c>
      <c r="AV56" s="95" t="inlineStr">
        <is>
          <t>none</t>
        </is>
      </c>
      <c r="AW56" s="95" t="inlineStr">
        <is>
          <t>Y</t>
        </is>
      </c>
      <c r="AX56" s="95" t="inlineStr">
        <is>
          <t>2026-10-13 23:46:23</t>
        </is>
      </c>
      <c r="AY56" s="102" t="n"/>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39" t="inlineStr">
        <is>
          <t>IMAGE MISSING</t>
        </is>
      </c>
      <c r="B57" s="84" t="inlineStr">
        <is>
          <t>OLESILK</t>
        </is>
      </c>
      <c r="C57" s="32" t="inlineStr">
        <is>
          <t>SS Silk Sleep Mask</t>
        </is>
      </c>
      <c r="D57" s="84" t="inlineStr">
        <is>
          <t>Beatable</t>
        </is>
      </c>
      <c r="E57" s="84" t="inlineStr">
        <is>
          <t>B07C7VH6CQ</t>
        </is>
      </c>
      <c r="F57" s="84" t="inlineStr">
        <is>
          <t>B07C7Y8QSW</t>
        </is>
      </c>
      <c r="G57" s="84" t="n"/>
      <c r="H57" s="84" t="n"/>
      <c r="I57" s="85" t="n">
        <v>13</v>
      </c>
      <c r="J57" s="32" t="inlineStr">
        <is>
          <t>B07C7Y8QSW (63%), B07RL1L8D4 (18%)</t>
        </is>
      </c>
      <c r="K57" s="86" t="n">
        <v>15.99</v>
      </c>
      <c r="L57" s="86" t="n"/>
      <c r="M57" s="87">
        <f>IF(AND(ISNUMBER(L57),ISNUMBER(K57),N(K57)&gt;0),L57/K57-1,"")</f>
        <v/>
      </c>
      <c r="N57" s="88">
        <f>IF(M57="","No List Price",IF(M57&lt;=0,"At/below price",IF(M57&lt;=0.12,"&lt;=12% STR zone",IF(M57&lt;=0.25,"12-25%","&gt;25% over"))))</f>
        <v/>
      </c>
      <c r="O57" s="86" t="n">
        <v>25.95</v>
      </c>
      <c r="P57" s="89">
        <f>IF(AND(ISNUMBER(K57),ISNUMBER(O57),N(O57)&gt;0),K57/O57-1,"")</f>
        <v/>
      </c>
      <c r="Q57" s="32" t="inlineStr">
        <is>
          <t>vs our blended price (Command Center, Mar 2026 - STALE)</t>
        </is>
      </c>
      <c r="R57" s="85" t="n">
        <v>17930</v>
      </c>
      <c r="S57" s="85" t="n">
        <v>185</v>
      </c>
      <c r="T57" s="90">
        <f>IF(AND(ISNUMBER(K57),ISNUMBER(S57)),K57*S57*52/12,"")</f>
        <v/>
      </c>
      <c r="U57" s="91" t="n">
        <v>4.4</v>
      </c>
      <c r="V57" s="85" t="n">
        <v>2501</v>
      </c>
      <c r="W57" s="92" t="n">
        <v>46307</v>
      </c>
      <c r="X57" s="92" t="n"/>
      <c r="Y57" s="84" t="n"/>
      <c r="Z57" s="84" t="n"/>
      <c r="AA57" s="85" t="n">
        <v>123074</v>
      </c>
      <c r="AB57" s="85" t="n">
        <v>563</v>
      </c>
      <c r="AC57" s="93" t="n">
        <v>0.3315021734891204</v>
      </c>
      <c r="AD57" s="93" t="n">
        <v>0.6685029843833791</v>
      </c>
      <c r="AE57" s="32" t="inlineStr">
        <is>
          <t>eye masks for sleep</t>
        </is>
      </c>
      <c r="AF57" s="93" t="n">
        <v>0.9726749760306808</v>
      </c>
      <c r="AG57" s="93" t="n"/>
      <c r="AH57" s="93" t="n"/>
      <c r="AI57" s="93" t="n"/>
      <c r="AJ57" s="85" t="n">
        <v>42</v>
      </c>
      <c r="AK57" s="85" t="n">
        <v>2</v>
      </c>
      <c r="AL57" s="85" t="n">
        <v>34</v>
      </c>
      <c r="AM57" s="85" t="n">
        <v>521</v>
      </c>
      <c r="AN57" s="85" t="n">
        <v>173</v>
      </c>
      <c r="AO57" s="85" t="n">
        <v>0</v>
      </c>
      <c r="AP57" s="94" t="n">
        <v>1.050397877984085</v>
      </c>
      <c r="AQ57" s="89" t="n">
        <v>0.08739076154806491</v>
      </c>
      <c r="AR57" s="95" t="inlineStr">
        <is>
          <t>N</t>
        </is>
      </c>
      <c r="AS57" s="95" t="inlineStr">
        <is>
          <t>none</t>
        </is>
      </c>
      <c r="AT57" s="101" t="n"/>
      <c r="AU57" s="96" t="n">
        <v>15.99</v>
      </c>
      <c r="AV57" s="95" t="inlineStr">
        <is>
          <t>none</t>
        </is>
      </c>
      <c r="AW57" s="95" t="inlineStr">
        <is>
          <t>Y</t>
        </is>
      </c>
      <c r="AX57" s="95" t="inlineStr">
        <is>
          <t>2026-10-13 23:46:26</t>
        </is>
      </c>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39" t="inlineStr">
        <is>
          <t>IMAGE MISSING</t>
        </is>
      </c>
      <c r="B58" s="84" t="inlineStr">
        <is>
          <t>TheSleepGuard</t>
        </is>
      </c>
      <c r="C58" s="32" t="inlineStr">
        <is>
          <t>SS Silk Sleep Mask - Contoured</t>
        </is>
      </c>
      <c r="D58" s="84" t="inlineStr">
        <is>
          <t>Beatable</t>
        </is>
      </c>
      <c r="E58" s="84" t="inlineStr">
        <is>
          <t>B0CJMDTVS2</t>
        </is>
      </c>
      <c r="F58" s="84" t="inlineStr">
        <is>
          <t>B0CJMHPKKC</t>
        </is>
      </c>
      <c r="G58" s="84" t="n"/>
      <c r="H58" s="84" t="n"/>
      <c r="I58" s="85" t="n"/>
      <c r="J58" s="32" t="inlineStr"/>
      <c r="K58" s="86" t="n">
        <v>29.95</v>
      </c>
      <c r="L58" s="86" t="n"/>
      <c r="M58" s="87">
        <f>IF(AND(ISNUMBER(L58),ISNUMBER(K58),N(K58)&gt;0),L58/K58-1,"")</f>
        <v/>
      </c>
      <c r="N58" s="88">
        <f>IF(M58="","No List Price",IF(M58&lt;=0,"At/below price",IF(M58&lt;=0.12,"&lt;=12% STR zone",IF(M58&lt;=0.25,"12-25%","&gt;25% over"))))</f>
        <v/>
      </c>
      <c r="O58" s="86" t="n">
        <v>25.95</v>
      </c>
      <c r="P58" s="89">
        <f>IF(AND(ISNUMBER(K58),ISNUMBER(O58),N(O58)&gt;0),K58/O58-1,"")</f>
        <v/>
      </c>
      <c r="Q58" s="32" t="inlineStr">
        <is>
          <t>vs our blended price (Command Center, Mar 2026 - STALE)</t>
        </is>
      </c>
      <c r="R58" s="85" t="n">
        <v>26824</v>
      </c>
      <c r="S58" s="85" t="n">
        <v>104</v>
      </c>
      <c r="T58" s="90">
        <f>IF(AND(ISNUMBER(K58),ISNUMBER(S58)),K58*S58*52/12,"")</f>
        <v/>
      </c>
      <c r="U58" s="91" t="n">
        <v>4.3</v>
      </c>
      <c r="V58" s="85" t="n">
        <v>717</v>
      </c>
      <c r="W58" s="92" t="n">
        <v>46307</v>
      </c>
      <c r="X58" s="92" t="n"/>
      <c r="Y58" s="84" t="n"/>
      <c r="Z58" s="84" t="n"/>
      <c r="AA58" s="85" t="n"/>
      <c r="AB58" s="85" t="n"/>
      <c r="AC58" s="93" t="n"/>
      <c r="AD58" s="93" t="n"/>
      <c r="AE58" s="32" t="n"/>
      <c r="AF58" s="93" t="n"/>
      <c r="AG58" s="93" t="n"/>
      <c r="AH58" s="93" t="n"/>
      <c r="AI58" s="93" t="n"/>
      <c r="AJ58" s="85" t="n"/>
      <c r="AK58" s="85" t="n"/>
      <c r="AL58" s="85" t="n"/>
      <c r="AM58" s="85" t="n"/>
      <c r="AN58" s="85" t="n"/>
      <c r="AO58" s="85" t="n"/>
      <c r="AP58" s="94" t="n">
        <v>1.295081967213115</v>
      </c>
      <c r="AQ58" s="89" t="n">
        <v>5.956422018348624</v>
      </c>
      <c r="AR58" s="95" t="inlineStr">
        <is>
          <t>N</t>
        </is>
      </c>
      <c r="AS58" s="95" t="inlineStr">
        <is>
          <t>none</t>
        </is>
      </c>
      <c r="AT58" s="101" t="n"/>
      <c r="AU58" s="96" t="n">
        <v>29.95</v>
      </c>
      <c r="AV58" s="95" t="inlineStr">
        <is>
          <t>none</t>
        </is>
      </c>
      <c r="AW58" s="95" t="inlineStr">
        <is>
          <t>Y</t>
        </is>
      </c>
      <c r="AX58" s="95" t="inlineStr">
        <is>
          <t>2026-10-13 23:47:00</t>
        </is>
      </c>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39" t="inlineStr">
        <is>
          <t>IMAGE MISSING</t>
        </is>
      </c>
      <c r="B59" s="84" t="inlineStr">
        <is>
          <t>ZIMASILK</t>
        </is>
      </c>
      <c r="C59" s="32" t="inlineStr">
        <is>
          <t>SS Silk Sleep Mask - Contoured</t>
        </is>
      </c>
      <c r="D59" s="84" t="inlineStr">
        <is>
          <t>Beatable</t>
        </is>
      </c>
      <c r="E59" s="84" t="inlineStr">
        <is>
          <t>B0FV2TSFBG</t>
        </is>
      </c>
      <c r="F59" s="84" t="inlineStr">
        <is>
          <t>B0CZPYKHQW</t>
        </is>
      </c>
      <c r="G59" s="84" t="n"/>
      <c r="H59" s="84" t="n"/>
      <c r="I59" s="85" t="n"/>
      <c r="J59" s="32" t="inlineStr"/>
      <c r="K59" s="86" t="n">
        <v>22.49</v>
      </c>
      <c r="L59" s="86" t="n">
        <v>24.99</v>
      </c>
      <c r="M59" s="87">
        <f>IF(AND(ISNUMBER(L59),ISNUMBER(K59),N(K59)&gt;0),L59/K59-1,"")</f>
        <v/>
      </c>
      <c r="N59" s="88">
        <f>IF(M59="","No List Price",IF(M59&lt;=0,"At/below price",IF(M59&lt;=0.12,"&lt;=12% STR zone",IF(M59&lt;=0.25,"12-25%","&gt;25% over"))))</f>
        <v/>
      </c>
      <c r="O59" s="86" t="n">
        <v>25.95</v>
      </c>
      <c r="P59" s="89">
        <f>IF(AND(ISNUMBER(K59),ISNUMBER(O59),N(O59)&gt;0),K59/O59-1,"")</f>
        <v/>
      </c>
      <c r="Q59" s="32" t="inlineStr">
        <is>
          <t>vs our blended price (Command Center, Mar 2026 - STALE)</t>
        </is>
      </c>
      <c r="R59" s="85" t="n">
        <v>33544</v>
      </c>
      <c r="S59" s="85" t="n">
        <v>104</v>
      </c>
      <c r="T59" s="90">
        <f>IF(AND(ISNUMBER(K59),ISNUMBER(S59)),K59*S59*52/12,"")</f>
        <v/>
      </c>
      <c r="U59" s="91" t="n">
        <v>4.5</v>
      </c>
      <c r="V59" s="85" t="n">
        <v>2507</v>
      </c>
      <c r="W59" s="92" t="n">
        <v>46307</v>
      </c>
      <c r="X59" s="92" t="n"/>
      <c r="Y59" s="84" t="n"/>
      <c r="Z59" s="84" t="n"/>
      <c r="AA59" s="85" t="n"/>
      <c r="AB59" s="85" t="n"/>
      <c r="AC59" s="93" t="n"/>
      <c r="AD59" s="93" t="n"/>
      <c r="AE59" s="32" t="n"/>
      <c r="AF59" s="93" t="n"/>
      <c r="AG59" s="93" t="n"/>
      <c r="AH59" s="93" t="n"/>
      <c r="AI59" s="93" t="n"/>
      <c r="AJ59" s="85" t="n"/>
      <c r="AK59" s="85" t="n"/>
      <c r="AL59" s="85" t="n"/>
      <c r="AM59" s="85" t="n"/>
      <c r="AN59" s="85" t="n"/>
      <c r="AO59" s="85" t="n"/>
      <c r="AP59" s="94" t="n">
        <v>1.276005547850208</v>
      </c>
      <c r="AQ59" s="89" t="n">
        <v>0.1431148526758868</v>
      </c>
      <c r="AR59" s="95" t="inlineStr">
        <is>
          <t>Y</t>
        </is>
      </c>
      <c r="AS59" s="95" t="inlineStr">
        <is>
          <t>List Price</t>
        </is>
      </c>
      <c r="AT59" s="96" t="n">
        <v>24.99</v>
      </c>
      <c r="AU59" s="96" t="n">
        <v>22.49</v>
      </c>
      <c r="AV59" s="95" t="inlineStr">
        <is>
          <t>Limited time deal</t>
        </is>
      </c>
      <c r="AW59" s="95" t="inlineStr">
        <is>
          <t>Y</t>
        </is>
      </c>
      <c r="AX59" s="95" t="inlineStr">
        <is>
          <t>2026-10-13 23:47:26</t>
        </is>
      </c>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10">
        <f>_xlfn.IMAGE("https://images-na.ssl-images-amazon.com/images/I/71VepaC3F7L.jpg")</f>
        <v/>
      </c>
      <c r="B60" s="84" t="inlineStr">
        <is>
          <t>ATreebay</t>
        </is>
      </c>
      <c r="C60" s="32" t="inlineStr">
        <is>
          <t>SS Silk Sleep Mask</t>
        </is>
      </c>
      <c r="D60" s="84" t="inlineStr">
        <is>
          <t>Beatable</t>
        </is>
      </c>
      <c r="E60" s="84" t="inlineStr">
        <is>
          <t>B0DFGZZ7F1</t>
        </is>
      </c>
      <c r="F60" s="84" t="inlineStr">
        <is>
          <t>B0DFGZPP7K</t>
        </is>
      </c>
      <c r="G60" s="84" t="n"/>
      <c r="H60" s="84" t="n"/>
      <c r="I60" s="85" t="n">
        <v>5</v>
      </c>
      <c r="J60" s="32" t="inlineStr">
        <is>
          <t>B0DFGZ1MXL (62%), B0DFGZPP7K (38%)</t>
        </is>
      </c>
      <c r="K60" s="86" t="n">
        <v>22.99</v>
      </c>
      <c r="L60" s="86" t="n"/>
      <c r="M60" s="87">
        <f>IF(AND(ISNUMBER(L60),ISNUMBER(K60),N(K60)&gt;0),L60/K60-1,"")</f>
        <v/>
      </c>
      <c r="N60" s="88">
        <f>IF(M60="","No List Price",IF(M60&lt;=0,"At/below price",IF(M60&lt;=0.12,"&lt;=12% STR zone",IF(M60&lt;=0.25,"12-25%","&gt;25% over"))))</f>
        <v/>
      </c>
      <c r="O60" s="86" t="n">
        <v>25.95</v>
      </c>
      <c r="P60" s="89">
        <f>IF(AND(ISNUMBER(K60),ISNUMBER(O60),N(O60)&gt;0),K60/O60-1,"")</f>
        <v/>
      </c>
      <c r="Q60" s="32" t="inlineStr">
        <is>
          <t>vs our blended price (Command Center, Mar 2026 - STALE)</t>
        </is>
      </c>
      <c r="R60" s="85" t="n">
        <v>30513</v>
      </c>
      <c r="S60" s="85" t="n">
        <v>92</v>
      </c>
      <c r="T60" s="90">
        <f>IF(AND(ISNUMBER(K60),ISNUMBER(S60)),K60*S60*52/12,"")</f>
        <v/>
      </c>
      <c r="U60" s="91" t="n">
        <v>4.5</v>
      </c>
      <c r="V60" s="85" t="n">
        <v>345</v>
      </c>
      <c r="W60" s="92" t="n">
        <v>46307</v>
      </c>
      <c r="X60" s="92" t="n"/>
      <c r="Y60" s="84" t="n"/>
      <c r="Z60" s="84" t="n"/>
      <c r="AA60" s="85" t="n">
        <v>81189</v>
      </c>
      <c r="AB60" s="85" t="n">
        <v>467</v>
      </c>
      <c r="AC60" s="93" t="n">
        <v>0.6977105777876312</v>
      </c>
      <c r="AD60" s="93" t="n">
        <v>0.3022894222123687</v>
      </c>
      <c r="AE60" s="32" t="inlineStr">
        <is>
          <t>sleep mask</t>
        </is>
      </c>
      <c r="AF60" s="93" t="n">
        <v>0.8474423875155501</v>
      </c>
      <c r="AG60" s="93" t="n"/>
      <c r="AH60" s="93" t="n">
        <v>0.1174543349468524</v>
      </c>
      <c r="AI60" s="93" t="n"/>
      <c r="AJ60" s="85" t="n">
        <v>40</v>
      </c>
      <c r="AK60" s="85" t="n">
        <v>2</v>
      </c>
      <c r="AL60" s="85" t="n">
        <v>33</v>
      </c>
      <c r="AM60" s="85" t="n">
        <v>427</v>
      </c>
      <c r="AN60" s="85" t="n">
        <v>38</v>
      </c>
      <c r="AO60" s="85" t="n">
        <v>0</v>
      </c>
      <c r="AP60" s="94" t="n">
        <v>2.084468664850136</v>
      </c>
      <c r="AQ60" s="89" t="n">
        <v>0.4383333333333332</v>
      </c>
      <c r="AR60" s="95" t="inlineStr">
        <is>
          <t>N</t>
        </is>
      </c>
      <c r="AS60" s="95" t="inlineStr">
        <is>
          <t>none</t>
        </is>
      </c>
      <c r="AT60" s="101" t="n"/>
      <c r="AU60" s="96" t="n">
        <v>22.99</v>
      </c>
      <c r="AV60" s="95" t="inlineStr">
        <is>
          <t>none</t>
        </is>
      </c>
      <c r="AW60" s="95" t="inlineStr">
        <is>
          <t>Y</t>
        </is>
      </c>
      <c r="AX60" s="95" t="inlineStr">
        <is>
          <t>2026-10-13 23:44:49</t>
        </is>
      </c>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39" t="inlineStr">
        <is>
          <t>IMAGE MISSING</t>
        </is>
      </c>
      <c r="B61" s="84" t="inlineStr">
        <is>
          <t>SLIP</t>
        </is>
      </c>
      <c r="C61" s="32" t="inlineStr">
        <is>
          <t>SS Silk Sleep Mask - Contoured</t>
        </is>
      </c>
      <c r="D61" s="84" t="inlineStr">
        <is>
          <t>Beatable</t>
        </is>
      </c>
      <c r="E61" s="84" t="inlineStr">
        <is>
          <t>B0D94T2PG7</t>
        </is>
      </c>
      <c r="F61" s="84" t="inlineStr">
        <is>
          <t>B09CLHKX26</t>
        </is>
      </c>
      <c r="G61" s="84" t="n"/>
      <c r="H61" s="84" t="n"/>
      <c r="I61" s="85" t="n"/>
      <c r="J61" s="32" t="inlineStr"/>
      <c r="K61" s="86" t="n">
        <v>79</v>
      </c>
      <c r="L61" s="86" t="n"/>
      <c r="M61" s="87">
        <f>IF(AND(ISNUMBER(L61),ISNUMBER(K61),N(K61)&gt;0),L61/K61-1,"")</f>
        <v/>
      </c>
      <c r="N61" s="88">
        <f>IF(M61="","No List Price",IF(M61&lt;=0,"At/below price",IF(M61&lt;=0.12,"&lt;=12% STR zone",IF(M61&lt;=0.25,"12-25%","&gt;25% over"))))</f>
        <v/>
      </c>
      <c r="O61" s="86" t="n">
        <v>25.95</v>
      </c>
      <c r="P61" s="89">
        <f>IF(AND(ISNUMBER(K61),ISNUMBER(O61),N(O61)&gt;0),K61/O61-1,"")</f>
        <v/>
      </c>
      <c r="Q61" s="32" t="inlineStr">
        <is>
          <t>vs our blended price (Command Center, Mar 2026 - STALE)</t>
        </is>
      </c>
      <c r="R61" s="85" t="n">
        <v>31364</v>
      </c>
      <c r="S61" s="85" t="n">
        <v>92</v>
      </c>
      <c r="T61" s="90">
        <f>IF(AND(ISNUMBER(K61),ISNUMBER(S61)),K61*S61*52/12,"")</f>
        <v/>
      </c>
      <c r="U61" s="91" t="n">
        <v>4.3</v>
      </c>
      <c r="V61" s="85" t="n">
        <v>401</v>
      </c>
      <c r="W61" s="92" t="n">
        <v>46307</v>
      </c>
      <c r="X61" s="92" t="n"/>
      <c r="Y61" s="84" t="n"/>
      <c r="Z61" s="84" t="n"/>
      <c r="AA61" s="85" t="n"/>
      <c r="AB61" s="85" t="n"/>
      <c r="AC61" s="93" t="n"/>
      <c r="AD61" s="93" t="n"/>
      <c r="AE61" s="32" t="n"/>
      <c r="AF61" s="93" t="n"/>
      <c r="AG61" s="93" t="n"/>
      <c r="AH61" s="93" t="n"/>
      <c r="AI61" s="93" t="n"/>
      <c r="AJ61" s="85" t="n"/>
      <c r="AK61" s="85" t="n"/>
      <c r="AL61" s="85" t="n"/>
      <c r="AM61" s="85" t="n"/>
      <c r="AN61" s="85" t="n"/>
      <c r="AO61" s="85" t="n"/>
      <c r="AP61" s="94" t="n">
        <v>1.119019375247133</v>
      </c>
      <c r="AQ61" s="89" t="n">
        <v>-0.2147444847807876</v>
      </c>
      <c r="AR61" s="95" t="inlineStr">
        <is>
          <t>N</t>
        </is>
      </c>
      <c r="AS61" s="95" t="inlineStr">
        <is>
          <t>none</t>
        </is>
      </c>
      <c r="AT61" s="101" t="n"/>
      <c r="AU61" s="96" t="n">
        <v>79</v>
      </c>
      <c r="AV61" s="95" t="inlineStr">
        <is>
          <t>none</t>
        </is>
      </c>
      <c r="AW61" s="95" t="inlineStr">
        <is>
          <t>Y</t>
        </is>
      </c>
      <c r="AX61" s="95" t="inlineStr">
        <is>
          <t>2026-10-13 23:46:51</t>
        </is>
      </c>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39" t="inlineStr">
        <is>
          <t>IMAGE MISSING</t>
        </is>
      </c>
      <c r="B62" s="84" t="inlineStr">
        <is>
          <t>BLISSY</t>
        </is>
      </c>
      <c r="C62" s="32" t="inlineStr">
        <is>
          <t>SS Silk Sleep Mask - Contoured</t>
        </is>
      </c>
      <c r="D62" s="84" t="inlineStr">
        <is>
          <t>Beatable</t>
        </is>
      </c>
      <c r="E62" s="84" t="inlineStr">
        <is>
          <t>B0GY143VLB</t>
        </is>
      </c>
      <c r="F62" s="84" t="inlineStr">
        <is>
          <t>B0G49VVD1Z</t>
        </is>
      </c>
      <c r="G62" s="84" t="n"/>
      <c r="H62" s="84" t="n"/>
      <c r="I62" s="85" t="n"/>
      <c r="J62" s="32" t="inlineStr"/>
      <c r="K62" s="86" t="n">
        <v>37.96</v>
      </c>
      <c r="L62" s="86" t="n"/>
      <c r="M62" s="87">
        <f>IF(AND(ISNUMBER(L62),ISNUMBER(K62),N(K62)&gt;0),L62/K62-1,"")</f>
        <v/>
      </c>
      <c r="N62" s="88">
        <f>IF(M62="","No List Price",IF(M62&lt;=0,"At/below price",IF(M62&lt;=0.12,"&lt;=12% STR zone",IF(M62&lt;=0.25,"12-25%","&gt;25% over"))))</f>
        <v/>
      </c>
      <c r="O62" s="86" t="n">
        <v>25.95</v>
      </c>
      <c r="P62" s="89">
        <f>IF(AND(ISNUMBER(K62),ISNUMBER(O62),N(O62)&gt;0),K62/O62-1,"")</f>
        <v/>
      </c>
      <c r="Q62" s="32" t="inlineStr">
        <is>
          <t>vs our blended price (Command Center, Mar 2026 - STALE)</t>
        </is>
      </c>
      <c r="R62" s="85" t="n">
        <v>31692</v>
      </c>
      <c r="S62" s="85" t="n">
        <v>35</v>
      </c>
      <c r="T62" s="90">
        <f>IF(AND(ISNUMBER(K62),ISNUMBER(S62)),K62*S62*52/12,"")</f>
        <v/>
      </c>
      <c r="U62" s="91" t="n">
        <v>4</v>
      </c>
      <c r="V62" s="85" t="n">
        <v>188</v>
      </c>
      <c r="W62" s="92" t="n">
        <v>46307</v>
      </c>
      <c r="X62" s="92" t="n"/>
      <c r="Y62" s="84" t="n"/>
      <c r="Z62" s="84" t="n"/>
      <c r="AA62" s="85" t="n"/>
      <c r="AB62" s="85" t="n"/>
      <c r="AC62" s="93" t="n"/>
      <c r="AD62" s="93" t="n"/>
      <c r="AE62" s="32" t="n"/>
      <c r="AF62" s="93" t="n"/>
      <c r="AG62" s="93" t="n"/>
      <c r="AH62" s="93" t="n"/>
      <c r="AI62" s="93" t="n"/>
      <c r="AJ62" s="85" t="n"/>
      <c r="AK62" s="85" t="n"/>
      <c r="AL62" s="85" t="n"/>
      <c r="AM62" s="85" t="n"/>
      <c r="AN62" s="85" t="n"/>
      <c r="AO62" s="85" t="n"/>
      <c r="AP62" s="94" t="n"/>
      <c r="AQ62" s="89" t="n"/>
      <c r="AR62" s="95" t="inlineStr">
        <is>
          <t>N</t>
        </is>
      </c>
      <c r="AS62" s="95" t="inlineStr">
        <is>
          <t>none</t>
        </is>
      </c>
      <c r="AT62" s="101" t="n"/>
      <c r="AU62" s="96" t="n">
        <v>37.96</v>
      </c>
      <c r="AV62" s="95" t="inlineStr">
        <is>
          <t>none</t>
        </is>
      </c>
      <c r="AW62" s="95" t="inlineStr">
        <is>
          <t>Y</t>
        </is>
      </c>
      <c r="AX62" s="95" t="inlineStr">
        <is>
          <t>2026-10-13 23:45:02</t>
        </is>
      </c>
      <c r="AY62" s="102" t="n"/>
      <c r="AZ62" s="102" t="n"/>
      <c r="BA62" s="101" t="n"/>
      <c r="BB62" s="101" t="n"/>
      <c r="BC62" s="87">
        <f>IF(AND(ISNUMBER(BA62),ISNUMBER(BB62),N(BA62)&gt;0),1-BB62/BA62,"")</f>
        <v/>
      </c>
      <c r="BD62" s="103" t="n"/>
      <c r="BE62" s="103" t="n"/>
      <c r="BF62" s="100">
        <f>IF(AND(ISNUMBER(BD62),ISNUMBER(BE62),N(BE62)&gt;0),BD62/BE62,"")</f>
        <v/>
      </c>
      <c r="BG62" s="102" t="n"/>
      <c r="BH62" s="102" t="n"/>
    </row>
    <row r="63" ht="62" customHeight="1">
      <c r="A63" s="39" t="inlineStr">
        <is>
          <t>IMAGE MISSING</t>
        </is>
      </c>
      <c r="B63" s="84" t="inlineStr">
        <is>
          <t>ZIMASILK</t>
        </is>
      </c>
      <c r="C63" s="32" t="inlineStr">
        <is>
          <t>SS Silk Sleep Mask - Contoured</t>
        </is>
      </c>
      <c r="D63" s="84" t="inlineStr">
        <is>
          <t>Beatable</t>
        </is>
      </c>
      <c r="E63" s="84" t="inlineStr">
        <is>
          <t>B07KPF57S3</t>
        </is>
      </c>
      <c r="F63" s="84" t="inlineStr">
        <is>
          <t>B0BZRCV4BM</t>
        </is>
      </c>
      <c r="G63" s="84" t="n"/>
      <c r="H63" s="84" t="n"/>
      <c r="I63" s="85" t="n"/>
      <c r="J63" s="32" t="inlineStr"/>
      <c r="K63" s="86" t="n">
        <v>28.99</v>
      </c>
      <c r="L63" s="86" t="n"/>
      <c r="M63" s="87">
        <f>IF(AND(ISNUMBER(L63),ISNUMBER(K63),N(K63)&gt;0),L63/K63-1,"")</f>
        <v/>
      </c>
      <c r="N63" s="88">
        <f>IF(M63="","No List Price",IF(M63&lt;=0,"At/below price",IF(M63&lt;=0.12,"&lt;=12% STR zone",IF(M63&lt;=0.25,"12-25%","&gt;25% over"))))</f>
        <v/>
      </c>
      <c r="O63" s="86" t="n">
        <v>25.95</v>
      </c>
      <c r="P63" s="89">
        <f>IF(AND(ISNUMBER(K63),ISNUMBER(O63),N(O63)&gt;0),K63/O63-1,"")</f>
        <v/>
      </c>
      <c r="Q63" s="32" t="inlineStr">
        <is>
          <t>vs our blended price (Command Center, Mar 2026 - STALE)</t>
        </is>
      </c>
      <c r="R63" s="85" t="n">
        <v>20620</v>
      </c>
      <c r="S63" s="85" t="n">
        <v>35</v>
      </c>
      <c r="T63" s="90">
        <f>IF(AND(ISNUMBER(K63),ISNUMBER(S63)),K63*S63*52/12,"")</f>
        <v/>
      </c>
      <c r="U63" s="91" t="n">
        <v>4.3</v>
      </c>
      <c r="V63" s="85" t="n">
        <v>1106</v>
      </c>
      <c r="W63" s="92" t="n">
        <v>46307</v>
      </c>
      <c r="X63" s="92" t="n"/>
      <c r="Y63" s="84" t="n"/>
      <c r="Z63" s="84" t="n"/>
      <c r="AA63" s="85" t="n"/>
      <c r="AB63" s="85" t="n"/>
      <c r="AC63" s="93" t="n"/>
      <c r="AD63" s="93" t="n"/>
      <c r="AE63" s="32" t="n"/>
      <c r="AF63" s="93" t="n"/>
      <c r="AG63" s="93" t="n"/>
      <c r="AH63" s="93" t="n"/>
      <c r="AI63" s="93" t="n"/>
      <c r="AJ63" s="85" t="n"/>
      <c r="AK63" s="85" t="n"/>
      <c r="AL63" s="85" t="n"/>
      <c r="AM63" s="85" t="n"/>
      <c r="AN63" s="85" t="n"/>
      <c r="AO63" s="85" t="n"/>
      <c r="AP63" s="94" t="n"/>
      <c r="AQ63" s="89" t="n"/>
      <c r="AR63" s="95" t="inlineStr">
        <is>
          <t>N</t>
        </is>
      </c>
      <c r="AS63" s="95" t="inlineStr">
        <is>
          <t>none</t>
        </is>
      </c>
      <c r="AT63" s="101" t="n"/>
      <c r="AU63" s="96" t="n">
        <v>28.99</v>
      </c>
      <c r="AV63" s="95" t="inlineStr">
        <is>
          <t>none</t>
        </is>
      </c>
      <c r="AW63" s="95" t="inlineStr">
        <is>
          <t>Y</t>
        </is>
      </c>
      <c r="AX63" s="95" t="inlineStr">
        <is>
          <t>2026-10-13 23:47:29</t>
        </is>
      </c>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39" t="inlineStr">
        <is>
          <t>IMAGE MISSING</t>
        </is>
      </c>
      <c r="B64" s="84" t="inlineStr">
        <is>
          <t>LitBear</t>
        </is>
      </c>
      <c r="C64" s="32" t="inlineStr">
        <is>
          <t>SS Silk Sleep Mask - Contoured</t>
        </is>
      </c>
      <c r="D64" s="84" t="inlineStr">
        <is>
          <t>Beatable</t>
        </is>
      </c>
      <c r="E64" s="84" t="inlineStr">
        <is>
          <t>B0D5R7CCZ2</t>
        </is>
      </c>
      <c r="F64" s="84" t="inlineStr">
        <is>
          <t>B0FDB7XXSL</t>
        </is>
      </c>
      <c r="G64" s="84" t="n"/>
      <c r="H64" s="84" t="n"/>
      <c r="I64" s="85" t="n"/>
      <c r="J64" s="32" t="inlineStr"/>
      <c r="K64" s="86" t="n">
        <v>24.29</v>
      </c>
      <c r="L64" s="86" t="n">
        <v>26.99</v>
      </c>
      <c r="M64" s="87">
        <f>IF(AND(ISNUMBER(L64),ISNUMBER(K64),N(K64)&gt;0),L64/K64-1,"")</f>
        <v/>
      </c>
      <c r="N64" s="88">
        <f>IF(M64="","No List Price",IF(M64&lt;=0,"At/below price",IF(M64&lt;=0.12,"&lt;=12% STR zone",IF(M64&lt;=0.25,"12-25%","&gt;25% over"))))</f>
        <v/>
      </c>
      <c r="O64" s="86" t="n">
        <v>25.95</v>
      </c>
      <c r="P64" s="89">
        <f>IF(AND(ISNUMBER(K64),ISNUMBER(O64),N(O64)&gt;0),K64/O64-1,"")</f>
        <v/>
      </c>
      <c r="Q64" s="32" t="inlineStr">
        <is>
          <t>vs our blended price (Command Center, Mar 2026 - STALE)</t>
        </is>
      </c>
      <c r="R64" s="85" t="n">
        <v>33096</v>
      </c>
      <c r="S64" s="85" t="n">
        <v>18</v>
      </c>
      <c r="T64" s="90">
        <f>IF(AND(ISNUMBER(K64),ISNUMBER(S64)),K64*S64*52/12,"")</f>
        <v/>
      </c>
      <c r="U64" s="91" t="n">
        <v>4.3</v>
      </c>
      <c r="V64" s="85" t="n">
        <v>441</v>
      </c>
      <c r="W64" s="92" t="n">
        <v>46307</v>
      </c>
      <c r="X64" s="92" t="n"/>
      <c r="Y64" s="84" t="n"/>
      <c r="Z64" s="84" t="n"/>
      <c r="AA64" s="85" t="n"/>
      <c r="AB64" s="85" t="n"/>
      <c r="AC64" s="93" t="n"/>
      <c r="AD64" s="93" t="n"/>
      <c r="AE64" s="32" t="n"/>
      <c r="AF64" s="93" t="n"/>
      <c r="AG64" s="93" t="n"/>
      <c r="AH64" s="93" t="n"/>
      <c r="AI64" s="93" t="n"/>
      <c r="AJ64" s="85" t="n"/>
      <c r="AK64" s="85" t="n"/>
      <c r="AL64" s="85" t="n"/>
      <c r="AM64" s="85" t="n"/>
      <c r="AN64" s="85" t="n"/>
      <c r="AO64" s="85" t="n"/>
      <c r="AP64" s="94" t="n"/>
      <c r="AQ64" s="89" t="n"/>
      <c r="AR64" s="95" t="inlineStr">
        <is>
          <t>Y</t>
        </is>
      </c>
      <c r="AS64" s="95" t="inlineStr">
        <is>
          <t>Typical price</t>
        </is>
      </c>
      <c r="AT64" s="96" t="n">
        <v>26.99</v>
      </c>
      <c r="AU64" s="96" t="n">
        <v>24.29</v>
      </c>
      <c r="AV64" s="95" t="inlineStr">
        <is>
          <t>Limited time deal</t>
        </is>
      </c>
      <c r="AW64" s="95" t="inlineStr">
        <is>
          <t>Y</t>
        </is>
      </c>
      <c r="AX64" s="95" t="inlineStr">
        <is>
          <t>2026-10-13 23:46:16</t>
        </is>
      </c>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39" t="inlineStr">
        <is>
          <t>IMAGE MISSING</t>
        </is>
      </c>
      <c r="B65" s="84" t="inlineStr">
        <is>
          <t>ZIMASILK</t>
        </is>
      </c>
      <c r="C65" s="32" t="inlineStr">
        <is>
          <t>SS Silk Sleep Mask - Contoured</t>
        </is>
      </c>
      <c r="D65" s="84" t="inlineStr">
        <is>
          <t>Beatable</t>
        </is>
      </c>
      <c r="E65" s="84" t="inlineStr">
        <is>
          <t>B0F9STVX64</t>
        </is>
      </c>
      <c r="F65" s="84" t="inlineStr">
        <is>
          <t>B0DSYXFT4M</t>
        </is>
      </c>
      <c r="G65" s="84" t="n"/>
      <c r="H65" s="84" t="n"/>
      <c r="I65" s="85" t="n"/>
      <c r="J65" s="32" t="inlineStr"/>
      <c r="K65" s="86" t="n">
        <v>25.19</v>
      </c>
      <c r="L65" s="86" t="n">
        <v>27.99</v>
      </c>
      <c r="M65" s="87">
        <f>IF(AND(ISNUMBER(L65),ISNUMBER(K65),N(K65)&gt;0),L65/K65-1,"")</f>
        <v/>
      </c>
      <c r="N65" s="88">
        <f>IF(M65="","No List Price",IF(M65&lt;=0,"At/below price",IF(M65&lt;=0.12,"&lt;=12% STR zone",IF(M65&lt;=0.25,"12-25%","&gt;25% over"))))</f>
        <v/>
      </c>
      <c r="O65" s="86" t="n">
        <v>25.95</v>
      </c>
      <c r="P65" s="89">
        <f>IF(AND(ISNUMBER(K65),ISNUMBER(O65),N(O65)&gt;0),K65/O65-1,"")</f>
        <v/>
      </c>
      <c r="Q65" s="32" t="inlineStr">
        <is>
          <t>vs our blended price (Command Center, Mar 2026 - STALE)</t>
        </is>
      </c>
      <c r="R65" s="85" t="n">
        <v>73471</v>
      </c>
      <c r="S65" s="85" t="n">
        <v>18</v>
      </c>
      <c r="T65" s="90">
        <f>IF(AND(ISNUMBER(K65),ISNUMBER(S65)),K65*S65*52/12,"")</f>
        <v/>
      </c>
      <c r="U65" s="91" t="n">
        <v>4.3</v>
      </c>
      <c r="V65" s="85" t="n">
        <v>219</v>
      </c>
      <c r="W65" s="92" t="n">
        <v>46307</v>
      </c>
      <c r="X65" s="92" t="n"/>
      <c r="Y65" s="84" t="n"/>
      <c r="Z65" s="84" t="n"/>
      <c r="AA65" s="85" t="n"/>
      <c r="AB65" s="85" t="n"/>
      <c r="AC65" s="93" t="n"/>
      <c r="AD65" s="93" t="n"/>
      <c r="AE65" s="32" t="n"/>
      <c r="AF65" s="93" t="n"/>
      <c r="AG65" s="93" t="n"/>
      <c r="AH65" s="93" t="n"/>
      <c r="AI65" s="93" t="n"/>
      <c r="AJ65" s="85" t="n"/>
      <c r="AK65" s="85" t="n"/>
      <c r="AL65" s="85" t="n"/>
      <c r="AM65" s="85" t="n"/>
      <c r="AN65" s="85" t="n"/>
      <c r="AO65" s="85" t="n"/>
      <c r="AP65" s="94" t="n"/>
      <c r="AQ65" s="89" t="n"/>
      <c r="AR65" s="95" t="inlineStr">
        <is>
          <t>Y</t>
        </is>
      </c>
      <c r="AS65" s="95" t="inlineStr">
        <is>
          <t>List Price</t>
        </is>
      </c>
      <c r="AT65" s="96" t="n">
        <v>27.99</v>
      </c>
      <c r="AU65" s="96" t="n">
        <v>25.19</v>
      </c>
      <c r="AV65" s="95" t="inlineStr">
        <is>
          <t>Limited time deal</t>
        </is>
      </c>
      <c r="AW65" s="95" t="inlineStr">
        <is>
          <t>Y</t>
        </is>
      </c>
      <c r="AX65" s="95" t="inlineStr">
        <is>
          <t>2026-10-13 23:47:32</t>
        </is>
      </c>
      <c r="AY65" s="102" t="n"/>
      <c r="AZ65" s="102" t="n"/>
      <c r="BA65" s="101" t="n"/>
      <c r="BB65" s="101" t="n"/>
      <c r="BC65" s="87">
        <f>IF(AND(ISNUMBER(BA65),ISNUMBER(BB65),N(BA65)&gt;0),1-BB65/BA65,"")</f>
        <v/>
      </c>
      <c r="BD65" s="103" t="n"/>
      <c r="BE65" s="103" t="n"/>
      <c r="BF65" s="100">
        <f>IF(AND(ISNUMBER(BD65),ISNUMBER(BE65),N(BE65)&gt;0),BD65/BE65,"")</f>
        <v/>
      </c>
      <c r="BG65" s="102" t="n"/>
      <c r="BH65" s="102" t="n"/>
    </row>
    <row r="66" ht="62" customHeight="1">
      <c r="A66" s="39" t="inlineStr">
        <is>
          <t>IMAGE MISSING</t>
        </is>
      </c>
      <c r="B66" s="84" t="inlineStr">
        <is>
          <t>Back Bay Audio</t>
        </is>
      </c>
      <c r="C66" s="32" t="inlineStr">
        <is>
          <t>SS Silk Sleep Mask - Contoured</t>
        </is>
      </c>
      <c r="D66" s="84" t="inlineStr">
        <is>
          <t>Poor</t>
        </is>
      </c>
      <c r="E66" s="84" t="inlineStr">
        <is>
          <t>B0FSG756Y3</t>
        </is>
      </c>
      <c r="F66" s="84" t="inlineStr">
        <is>
          <t>B0DMFYTLQR</t>
        </is>
      </c>
      <c r="G66" s="84" t="n"/>
      <c r="H66" s="84" t="n"/>
      <c r="I66" s="85" t="n"/>
      <c r="J66" s="32" t="inlineStr"/>
      <c r="K66" s="86" t="n">
        <v>34.99</v>
      </c>
      <c r="L66" s="86" t="n"/>
      <c r="M66" s="87">
        <f>IF(AND(ISNUMBER(L66),ISNUMBER(K66),N(K66)&gt;0),L66/K66-1,"")</f>
        <v/>
      </c>
      <c r="N66" s="88">
        <f>IF(M66="","No List Price",IF(M66&lt;=0,"At/below price",IF(M66&lt;=0.12,"&lt;=12% STR zone",IF(M66&lt;=0.25,"12-25%","&gt;25% over"))))</f>
        <v/>
      </c>
      <c r="O66" s="86" t="n">
        <v>25.95</v>
      </c>
      <c r="P66" s="89">
        <f>IF(AND(ISNUMBER(K66),ISNUMBER(O66),N(O66)&gt;0),K66/O66-1,"")</f>
        <v/>
      </c>
      <c r="Q66" s="32" t="inlineStr">
        <is>
          <t>vs our blended price (Command Center, Mar 2026 - STALE)</t>
        </is>
      </c>
      <c r="R66" s="85" t="n">
        <v>92740</v>
      </c>
      <c r="S66" s="85" t="n">
        <v>5</v>
      </c>
      <c r="T66" s="90">
        <f>IF(AND(ISNUMBER(K66),ISNUMBER(S66)),K66*S66*52/12,"")</f>
        <v/>
      </c>
      <c r="U66" s="91" t="n">
        <v>3.8</v>
      </c>
      <c r="V66" s="85" t="n">
        <v>347</v>
      </c>
      <c r="W66" s="92" t="n">
        <v>46307</v>
      </c>
      <c r="X66" s="92" t="n"/>
      <c r="Y66" s="84" t="n"/>
      <c r="Z66" s="84" t="n"/>
      <c r="AA66" s="85" t="n"/>
      <c r="AB66" s="85" t="n"/>
      <c r="AC66" s="93" t="n"/>
      <c r="AD66" s="93" t="n"/>
      <c r="AE66" s="32" t="n"/>
      <c r="AF66" s="93" t="n"/>
      <c r="AG66" s="93" t="n"/>
      <c r="AH66" s="93" t="n"/>
      <c r="AI66" s="93" t="n"/>
      <c r="AJ66" s="85" t="n"/>
      <c r="AK66" s="85" t="n"/>
      <c r="AL66" s="85" t="n"/>
      <c r="AM66" s="85" t="n"/>
      <c r="AN66" s="85" t="n"/>
      <c r="AO66" s="85" t="n"/>
      <c r="AP66" s="94" t="n"/>
      <c r="AQ66" s="89" t="n"/>
      <c r="AR66" s="95" t="inlineStr">
        <is>
          <t>N</t>
        </is>
      </c>
      <c r="AS66" s="95" t="inlineStr">
        <is>
          <t>none</t>
        </is>
      </c>
      <c r="AT66" s="101" t="n"/>
      <c r="AU66" s="96" t="n">
        <v>34.99</v>
      </c>
      <c r="AV66" s="95" t="inlineStr">
        <is>
          <t>none</t>
        </is>
      </c>
      <c r="AW66" s="95" t="inlineStr">
        <is>
          <t>Y</t>
        </is>
      </c>
      <c r="AX66" s="95" t="inlineStr">
        <is>
          <t>2026-10-13 23:45:08</t>
        </is>
      </c>
      <c r="AY66" s="102" t="n"/>
      <c r="AZ66" s="102" t="n"/>
      <c r="BA66" s="101" t="n"/>
      <c r="BB66" s="101" t="n"/>
      <c r="BC66" s="87">
        <f>IF(AND(ISNUMBER(BA66),ISNUMBER(BB66),N(BA66)&gt;0),1-BB66/BA66,"")</f>
        <v/>
      </c>
      <c r="BD66" s="103" t="n"/>
      <c r="BE66" s="103" t="n"/>
      <c r="BF66" s="100">
        <f>IF(AND(ISNUMBER(BD66),ISNUMBER(BE66),N(BE66)&gt;0),BD66/BE66,"")</f>
        <v/>
      </c>
      <c r="BG66" s="102" t="n"/>
      <c r="BH66" s="102" t="n"/>
    </row>
    <row r="67" ht="62" customHeight="1">
      <c r="A67" s="39" t="inlineStr">
        <is>
          <t>IMAGE MISSING</t>
        </is>
      </c>
      <c r="B67" s="84" t="inlineStr">
        <is>
          <t>spacepower</t>
        </is>
      </c>
      <c r="C67" s="32" t="inlineStr">
        <is>
          <t>SS Silk Sleep Mask</t>
        </is>
      </c>
      <c r="D67" s="84" t="inlineStr">
        <is>
          <t>Untiered</t>
        </is>
      </c>
      <c r="E67" s="84" t="inlineStr">
        <is>
          <t>B0H9RJ7HSY</t>
        </is>
      </c>
      <c r="F67" s="84" t="inlineStr">
        <is>
          <t>B07J41LJJZ</t>
        </is>
      </c>
      <c r="G67" s="84" t="n"/>
      <c r="H67" s="84" t="n"/>
      <c r="I67" s="85" t="n"/>
      <c r="J67" s="32" t="inlineStr"/>
      <c r="K67" s="86" t="n">
        <v>4.99</v>
      </c>
      <c r="L67" s="86" t="n"/>
      <c r="M67" s="87">
        <f>IF(AND(ISNUMBER(L67),ISNUMBER(K67),N(K67)&gt;0),L67/K67-1,"")</f>
        <v/>
      </c>
      <c r="N67" s="88">
        <f>IF(M67="","No List Price",IF(M67&lt;=0,"At/below price",IF(M67&lt;=0.12,"&lt;=12% STR zone",IF(M67&lt;=0.25,"12-25%","&gt;25% over"))))</f>
        <v/>
      </c>
      <c r="O67" s="86" t="n">
        <v>25.95</v>
      </c>
      <c r="P67" s="89">
        <f>IF(AND(ISNUMBER(K67),ISNUMBER(O67),N(O67)&gt;0),K67/O67-1,"")</f>
        <v/>
      </c>
      <c r="Q67" s="32" t="inlineStr">
        <is>
          <t>vs our blended price (Command Center, Mar 2026 - STALE)</t>
        </is>
      </c>
      <c r="R67" s="85" t="n">
        <v>8110</v>
      </c>
      <c r="S67" s="85" t="n">
        <v>809</v>
      </c>
      <c r="T67" s="90">
        <f>IF(AND(ISNUMBER(K67),ISNUMBER(S67)),K67*S67*52/12,"")</f>
        <v/>
      </c>
      <c r="U67" s="91" t="n">
        <v>4.6</v>
      </c>
      <c r="V67" s="85" t="n">
        <v>5889</v>
      </c>
      <c r="W67" s="92" t="n">
        <v>46307</v>
      </c>
      <c r="X67" s="92" t="n"/>
      <c r="Y67" s="84" t="n"/>
      <c r="Z67" s="84" t="n"/>
      <c r="AA67" s="85" t="n"/>
      <c r="AB67" s="85" t="n"/>
      <c r="AC67" s="93" t="n"/>
      <c r="AD67" s="93" t="n"/>
      <c r="AE67" s="32" t="n"/>
      <c r="AF67" s="93" t="n"/>
      <c r="AG67" s="93" t="n"/>
      <c r="AH67" s="93" t="n"/>
      <c r="AI67" s="93" t="n"/>
      <c r="AJ67" s="85" t="n"/>
      <c r="AK67" s="85" t="n"/>
      <c r="AL67" s="85" t="n"/>
      <c r="AM67" s="85" t="n"/>
      <c r="AN67" s="85" t="n"/>
      <c r="AO67" s="85" t="n"/>
      <c r="AP67" s="94" t="n"/>
      <c r="AQ67" s="89" t="n"/>
      <c r="AR67" s="95" t="inlineStr">
        <is>
          <t>N</t>
        </is>
      </c>
      <c r="AS67" s="95" t="inlineStr">
        <is>
          <t>none</t>
        </is>
      </c>
      <c r="AT67" s="101" t="n"/>
      <c r="AU67" s="96" t="n">
        <v>4.99</v>
      </c>
      <c r="AV67" s="95" t="inlineStr">
        <is>
          <t>none</t>
        </is>
      </c>
      <c r="AW67" s="95" t="inlineStr">
        <is>
          <t>Y</t>
        </is>
      </c>
      <c r="AX67" s="95" t="inlineStr">
        <is>
          <t>2026-10-13 23:47:42</t>
        </is>
      </c>
      <c r="AY67" s="102" t="n"/>
      <c r="AZ67" s="102" t="n"/>
      <c r="BA67" s="101" t="n"/>
      <c r="BB67" s="101" t="n"/>
      <c r="BC67" s="87">
        <f>IF(AND(ISNUMBER(BA67),ISNUMBER(BB67),N(BA67)&gt;0),1-BB67/BA67,"")</f>
        <v/>
      </c>
      <c r="BD67" s="103" t="n"/>
      <c r="BE67" s="103" t="n"/>
      <c r="BF67" s="100">
        <f>IF(AND(ISNUMBER(BD67),ISNUMBER(BE67),N(BE67)&gt;0),BD67/BE67,"")</f>
        <v/>
      </c>
      <c r="BG67" s="102" t="n"/>
      <c r="BH67" s="102" t="n"/>
    </row>
    <row r="69" ht="20" customHeight="1">
      <c r="A69" s="54" t="inlineStr">
        <is>
          <t>5 · WHAT THIS MEANS FOR BFCM</t>
        </is>
      </c>
    </row>
    <row r="70" ht="30" customHeight="1">
      <c r="A70" s="104" t="inlineStr">
        <is>
          <t>•  Who sells most: MZOO ~13,857/wk at $13.99 (List $17.99, +29%); LitBear ~3,464/wk at $12.95 (List $14.39, +11%); Kitsch ~1,848/wk at $17.99; YFONG ~1,848/wk at $16.99; FengXinZi Store ~1,732/wk at $9.98. Tracked rivals ~28,270 units/wk; we sell ~1/wk (0.0% of the tracked set).</t>
        </is>
      </c>
    </row>
    <row r="71" ht="18" customHeight="1">
      <c r="A71" s="104" t="inlineStr">
        <is>
          <t>•  Strikethrough: 7 of 27 rivals set a List Price above price; 5 within 12%: LitBear +11%, Umisleep Store +6%, ZIMASILK +11%, LitBear +11%, ZIMASILK +11%.</t>
        </is>
      </c>
    </row>
    <row r="72" ht="30" customHeight="1">
      <c r="A72" s="104" t="inlineStr">
        <is>
          <t>•  Price: 18 of 27 rivals sit below our price today (same size where the title states one). Cheapest strong rivals: Jersey Slumber $8.89, FengXinZi Store $9.98, LULUSILK $9.99, BLSSNZ $9.99.</t>
        </is>
      </c>
    </row>
    <row r="73" ht="30" customHeight="1">
      <c r="A73" s="104" t="inlineStr">
        <is>
          <t>•  Strikethrough on the page today (Oct 13 check): 7 of 27 checked rivals show one: MZOO List Price $17.99 vs $13.99 (+29%) with deal, LitBear Typical price $14.39 vs $12.95 (+11%) with deal, Umisleep Store List Price $18.99 vs $17.99 (+6%), BLISSY List Price $49.95 vs $27.87 (+79%), ZIMASILK List Price $24.99 vs $22.49 (+11%) with deal, LitBear Typical price $26.99 vs $24.29 (+11%) with deal.</t>
        </is>
      </c>
    </row>
    <row r="74" ht="30" customHeight="1">
      <c r="A74" s="104" t="inlineStr">
        <is>
          <t>•  Search: we lose most shared keywords to LitBear (we win 0, lose 41), BLISSY (we win 2, lose 39), iCooBreeze (we win 3, lose 37). Biggest ad gaps (they advertise where we don't or harder): iCooBreeze 172 + 0 KWs, SECZIPE 417 + 0 KWs, LitBear 684 + 0 KWs.</t>
        </is>
      </c>
    </row>
    <row r="75" ht="18" customHeight="1">
      <c r="A75" s="104" t="inlineStr">
        <is>
          <t>•  Brand ads: Umisleep Store (SB 62%, SBV 0%) hold Sponsored Brands / video on most of their traffic - the plan has our SB, SBV and display live by Nov 1.</t>
        </is>
      </c>
    </row>
    <row r="76" ht="18" customHeight="1">
      <c r="A76" s="104" t="inlineStr">
        <is>
          <t>•  Our BFCM 2025: 3.67x.</t>
        </is>
      </c>
    </row>
    <row r="77" ht="18" customHeight="1">
      <c r="A77" s="104" t="inlineStr">
        <is>
          <t>•  27 rivals not in the Keepa pulls yet (yellow BFCM 2025 columns) - remaining P2 batches, AGENT_PROMPTS Prompt 2.</t>
        </is>
      </c>
    </row>
  </sheetData>
  <autoFilter ref="B40:BH67"/>
  <mergeCells count="68">
    <mergeCell ref="A15:BH15"/>
    <mergeCell ref="A25:C25"/>
    <mergeCell ref="A39:H39"/>
    <mergeCell ref="A73:BH73"/>
    <mergeCell ref="L5:Q5"/>
    <mergeCell ref="K39:W39"/>
    <mergeCell ref="A1:BH1"/>
    <mergeCell ref="A27:C27"/>
    <mergeCell ref="Q11:T11"/>
    <mergeCell ref="L8:Q8"/>
    <mergeCell ref="A70:BH70"/>
    <mergeCell ref="A26:C26"/>
    <mergeCell ref="L4:Q4"/>
    <mergeCell ref="D7:I7"/>
    <mergeCell ref="A13:D13"/>
    <mergeCell ref="A69:BH69"/>
    <mergeCell ref="I13:L13"/>
    <mergeCell ref="A16:BH16"/>
    <mergeCell ref="D4:I4"/>
    <mergeCell ref="L10:Q10"/>
    <mergeCell ref="E12:H12"/>
    <mergeCell ref="Q13:T13"/>
    <mergeCell ref="A32:C32"/>
    <mergeCell ref="D9:I9"/>
    <mergeCell ref="AA39:AQ39"/>
    <mergeCell ref="A37:BH37"/>
    <mergeCell ref="U12:X12"/>
    <mergeCell ref="L9:Q9"/>
    <mergeCell ref="Q12:T12"/>
    <mergeCell ref="A75:BH75"/>
    <mergeCell ref="A11:D11"/>
    <mergeCell ref="A29:C29"/>
    <mergeCell ref="A74:BH74"/>
    <mergeCell ref="I11:L11"/>
    <mergeCell ref="A3:BH3"/>
    <mergeCell ref="L6:Q6"/>
    <mergeCell ref="D8:I8"/>
    <mergeCell ref="A4:B9"/>
    <mergeCell ref="T6:Y6"/>
    <mergeCell ref="D5:I5"/>
    <mergeCell ref="A31:C31"/>
    <mergeCell ref="A33:BH33"/>
    <mergeCell ref="A71:BH71"/>
    <mergeCell ref="A76:BH76"/>
    <mergeCell ref="M11:P11"/>
    <mergeCell ref="A23:BH23"/>
    <mergeCell ref="AR39:AX39"/>
    <mergeCell ref="A30:C30"/>
    <mergeCell ref="U11:X11"/>
    <mergeCell ref="A24:C24"/>
    <mergeCell ref="X39:Z39"/>
    <mergeCell ref="E13:H13"/>
    <mergeCell ref="D10:I10"/>
    <mergeCell ref="L7:Q7"/>
    <mergeCell ref="T5:Y5"/>
    <mergeCell ref="A38:BH38"/>
    <mergeCell ref="A72:BH72"/>
    <mergeCell ref="A12:D12"/>
    <mergeCell ref="M13:P13"/>
    <mergeCell ref="I12:L12"/>
    <mergeCell ref="U13:X13"/>
    <mergeCell ref="M12:P12"/>
    <mergeCell ref="AY39:BH39"/>
    <mergeCell ref="T4:Y4"/>
    <mergeCell ref="D6:I6"/>
    <mergeCell ref="E11:H11"/>
    <mergeCell ref="A34:BH34"/>
    <mergeCell ref="A77:BH77"/>
  </mergeCells>
  <conditionalFormatting sqref="N41:N67">
    <cfRule type="expression" priority="1" dxfId="1">
      <formula>N41="&lt;=12% STR zone"</formula>
    </cfRule>
  </conditionalFormatting>
  <conditionalFormatting sqref="W41:W67">
    <cfRule type="expression" priority="2" dxfId="0">
      <formula>AND(ISNUMBER(W41),W41&lt;DATE(2026,10,6))</formula>
    </cfRule>
  </conditionalFormatting>
  <conditionalFormatting sqref="Q41:Q67">
    <cfRule type="expression" priority="3" dxfId="0">
      <formula>ISNUMBER(SEARCH("STALE",Q41))</formula>
    </cfRule>
  </conditionalFormatting>
  <conditionalFormatting sqref="P41:P67">
    <cfRule type="expression" priority="4" dxfId="0">
      <formula>AND(ISNUMBER(P41),P41&lt;0)</formula>
    </cfRule>
  </conditionalFormatting>
  <dataValidations count="3">
    <dataValidation sqref="AR41:AR67 BG41:BG67" showDropDown="0" showInputMessage="0" showErrorMessage="0" allowBlank="1" type="list">
      <formula1>"Y,N"</formula1>
    </dataValidation>
    <dataValidation sqref="AS41:AS67" showDropDown="0" showInputMessage="0" showErrorMessage="0" allowBlank="1" type="list">
      <formula1>"List Price,Typical price,Was price,None"</formula1>
    </dataValidation>
    <dataValidation sqref="AY41:AY6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4.xml><?xml version="1.0" encoding="utf-8"?>
<worksheet xmlns="http://schemas.openxmlformats.org/spreadsheetml/2006/main">
  <sheetPr>
    <outlinePr summaryBelow="1" summaryRight="1"/>
    <pageSetUpPr/>
  </sheetPr>
  <dimension ref="A1:BH6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Silk Sleep Mask - Velcro  ·  Amazon.com (US)  ·  Silk  ·  BFCM role: Gifting  ·  Scope: Other</t>
        </is>
      </c>
    </row>
    <row r="2">
      <c r="A2" s="53" t="inlineStr">
        <is>
          <t>← Dashboard</t>
        </is>
      </c>
    </row>
    <row r="3" ht="20" customHeight="1">
      <c r="A3" s="54" t="inlineStr">
        <is>
          <t>1 · OUR PRODUCT</t>
        </is>
      </c>
    </row>
    <row r="4" ht="34" customHeight="1">
      <c r="A4" s="10">
        <f>_xlfn.IMAGE("https://images-na.ssl-images-amazon.com/images/I/61Z2DkWXasL.jpg")</f>
        <v/>
      </c>
      <c r="C4" s="11" t="inlineStr">
        <is>
          <t>Title</t>
        </is>
      </c>
      <c r="D4" s="12" t="inlineStr">
        <is>
          <t>SLEEP SANCTUARY 100% Pure Mulberry Silk Sleep Mask - 22 Momme Light Blocking Hook &amp; Loop Silk Eye Mask for Sleeping - Secure Fit for Side Sleepers, Women &amp; Men - Cloud Soft (Black)</t>
        </is>
      </c>
      <c r="K4" s="11" t="inlineStr">
        <is>
          <t>Sizes</t>
        </is>
      </c>
      <c r="L4" s="55" t="inlineStr">
        <is>
          <t>One Size</t>
        </is>
      </c>
      <c r="S4" s="11" t="inlineStr">
        <is>
          <t>Break-even ACoS</t>
        </is>
      </c>
      <c r="T4" s="55" t="inlineStr">
        <is>
          <t>29%</t>
        </is>
      </c>
    </row>
    <row r="5" ht="22" customHeight="1">
      <c r="C5" s="11" t="inlineStr">
        <is>
          <t>Brand</t>
        </is>
      </c>
      <c r="D5" s="55" t="inlineStr">
        <is>
          <t>Sleephoria</t>
        </is>
      </c>
      <c r="K5" s="11" t="inlineStr">
        <is>
          <t>Colours</t>
        </is>
      </c>
      <c r="L5" s="55" t="inlineStr">
        <is>
          <t>Black, Misty Blue, Peacock Blue, Pink</t>
        </is>
      </c>
      <c r="S5" s="11" t="inlineStr">
        <is>
          <t>Units last 28 days</t>
        </is>
      </c>
      <c r="T5" s="55" t="inlineStr">
        <is>
          <t>13</t>
        </is>
      </c>
    </row>
    <row r="6" ht="22" customHeight="1">
      <c r="C6" s="11" t="inlineStr">
        <is>
          <t>Marketplace</t>
        </is>
      </c>
      <c r="D6" s="55" t="inlineStr">
        <is>
          <t>Amazon.com (US)</t>
        </is>
      </c>
      <c r="K6" s="11" t="inlineStr">
        <is>
          <t>Price now, best child</t>
        </is>
      </c>
      <c r="L6" s="55" t="inlineStr">
        <is>
          <t>$17.99 (Helium 10 Xray, 2026-10-13)</t>
        </is>
      </c>
      <c r="S6" s="11" t="inlineStr">
        <is>
          <t>Command Center product ASIN</t>
        </is>
      </c>
      <c r="T6" s="55" t="inlineStr">
        <is>
          <t>B0F4XQ7L8Q (one of our child ASINs, not the Amazon parent)</t>
        </is>
      </c>
    </row>
    <row r="7" ht="22" customHeight="1">
      <c r="C7" s="11" t="inlineStr">
        <is>
          <t>Parent ASIN (Amazon)</t>
        </is>
      </c>
      <c r="D7" s="55" t="inlineStr">
        <is>
          <t>B0GDMSK15Z</t>
        </is>
      </c>
      <c r="K7" s="11" t="inlineStr">
        <is>
          <t>Rating / reviews now</t>
        </is>
      </c>
      <c r="L7" s="55" t="inlineStr">
        <is>
          <t>4.5 / 83 (Helium 10 Xray, 2026-10-13)</t>
        </is>
      </c>
    </row>
    <row r="8" ht="22" customHeight="1">
      <c r="C8" s="11" t="inlineStr">
        <is>
          <t>Best-selling child ASIN</t>
        </is>
      </c>
      <c r="D8" s="55" t="inlineStr">
        <is>
          <t>B0F4XQ7L8Q</t>
        </is>
      </c>
      <c r="K8" s="11" t="inlineStr">
        <is>
          <t>Live prices held</t>
        </is>
      </c>
      <c r="L8" s="55" t="inlineStr">
        <is>
          <t>4 of 4 variations</t>
        </is>
      </c>
    </row>
    <row r="9" ht="22" customHeight="1">
      <c r="C9" s="11" t="inlineStr">
        <is>
          <t>Stage</t>
        </is>
      </c>
      <c r="D9" s="55" t="inlineStr">
        <is>
          <t>Launch</t>
        </is>
      </c>
      <c r="K9" s="11" t="inlineStr">
        <is>
          <t>Blended price (Command Center)</t>
        </is>
      </c>
      <c r="L9" s="55" t="inlineStr">
        <is>
          <t>$20.41 - fee feed as of 2026-03-30, STALE</t>
        </is>
      </c>
    </row>
    <row r="10">
      <c r="C10" s="11" t="inlineStr">
        <is>
          <t>Total variations (SKUs)</t>
        </is>
      </c>
      <c r="D10" s="55" t="n">
        <v>4</v>
      </c>
      <c r="K10" s="11" t="inlineStr">
        <is>
          <t>Contribution / unit</t>
        </is>
      </c>
      <c r="L10" s="55" t="inlineStr">
        <is>
          <t>$5.83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1.00x</t>
        </is>
      </c>
      <c r="E12" s="57" t="inlineStr">
        <is>
          <t>n/a</t>
        </is>
      </c>
      <c r="I12" s="57" t="inlineStr">
        <is>
          <t>1.75x</t>
        </is>
      </c>
      <c r="M12" s="57" t="inlineStr">
        <is>
          <t>15</t>
        </is>
      </c>
      <c r="Q12" s="57" t="inlineStr">
        <is>
          <t>10</t>
        </is>
      </c>
      <c r="U12" s="57" t="inlineStr">
        <is>
          <t>2</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_xlfn.IMAGE("https://m.media-amazon.com/images/I/61Z2DkWXasL.jpg")</f>
        <v/>
      </c>
      <c r="B18" s="32" t="inlineStr">
        <is>
          <t>B0F4XQ7L8Q</t>
        </is>
      </c>
      <c r="C18" s="32" t="inlineStr">
        <is>
          <t>SS-SLEEP-MASK-VELCRO-STRAP-BLACK</t>
        </is>
      </c>
      <c r="D18" s="32" t="inlineStr">
        <is>
          <t>SLEEP SANCTUARY 100% Pure Mulberry Silk Sleep Mask - 22 Momme Light Blocking Hook &amp; Loop Silk Eye Mask for Sleeping - Secure Fit for Side Sleepers, Women &amp; Men - Cloud Soft (Black)</t>
        </is>
      </c>
      <c r="E18" s="32" t="inlineStr">
        <is>
          <t>One Size</t>
        </is>
      </c>
      <c r="F18" s="32" t="inlineStr">
        <is>
          <t>Black</t>
        </is>
      </c>
      <c r="G18" s="60" t="n">
        <v>17.99</v>
      </c>
      <c r="H18" s="32" t="inlineStr">
        <is>
          <t>Helium 10 Xray, 2026-10-13</t>
        </is>
      </c>
      <c r="I18" s="61" t="n">
        <v>17.95</v>
      </c>
      <c r="J18" s="62" t="inlineStr">
        <is>
          <t>2026-03-30</t>
        </is>
      </c>
      <c r="K18" s="33" t="n">
        <v>4.309999999999999</v>
      </c>
      <c r="L18" s="63" t="n">
        <v>0.2401114206128133</v>
      </c>
      <c r="M18" s="64" t="n">
        <v>5</v>
      </c>
      <c r="N18" s="32" t="inlineStr">
        <is>
          <t>Active</t>
        </is>
      </c>
      <c r="O18" s="32" t="n"/>
      <c r="P18" s="65" t="n">
        <v>4.5</v>
      </c>
      <c r="Q18" s="64" t="n">
        <v>83</v>
      </c>
      <c r="R18" s="64" t="n">
        <v>309550</v>
      </c>
      <c r="S18" s="64" t="n">
        <v>7</v>
      </c>
      <c r="T18" s="32" t="n"/>
    </row>
    <row r="19" ht="62" customHeight="1">
      <c r="A19" s="10">
        <f>_xlfn.IMAGE("https://m.media-amazon.com/images/I/71+1o5JmDVL.jpg")</f>
        <v/>
      </c>
      <c r="B19" s="32" t="inlineStr">
        <is>
          <t>B0F4XS863Y</t>
        </is>
      </c>
      <c r="C19" s="32" t="inlineStr">
        <is>
          <t>SS-SLEEP-MASK-VELCRO-STRAP-MISTY-BLUE</t>
        </is>
      </c>
      <c r="D19" s="32" t="inlineStr">
        <is>
          <t>SLEEP SANCTUARY 100% Pure Mulberry Silk Sleep Mask - 22 Momme Light Blocking Hook &amp; Loop Silk Eye Mask for Sleeping - Secure Fit for Side Sleepers, Women &amp; Men - Cloud Soft (Misty Blue)</t>
        </is>
      </c>
      <c r="E19" s="32" t="inlineStr">
        <is>
          <t>One Size</t>
        </is>
      </c>
      <c r="F19" s="32" t="inlineStr">
        <is>
          <t>Misty Blue</t>
        </is>
      </c>
      <c r="G19" s="60" t="n">
        <v>17.99</v>
      </c>
      <c r="H19" s="32" t="inlineStr">
        <is>
          <t>Helium 10 Xray, 2026-10-13</t>
        </is>
      </c>
      <c r="I19" s="61" t="n">
        <v>25.95</v>
      </c>
      <c r="J19" s="62" t="inlineStr">
        <is>
          <t>2026-03-30</t>
        </is>
      </c>
      <c r="K19" s="33" t="n">
        <v>11.11</v>
      </c>
      <c r="L19" s="63" t="n">
        <v>0.428131021194605</v>
      </c>
      <c r="M19" s="64" t="n">
        <v>4</v>
      </c>
      <c r="N19" s="32" t="inlineStr">
        <is>
          <t>Active</t>
        </is>
      </c>
      <c r="O19" s="32" t="inlineStr">
        <is>
          <t>Yes (19%)</t>
        </is>
      </c>
      <c r="P19" s="65" t="n">
        <v>4.5</v>
      </c>
      <c r="Q19" s="64" t="n">
        <v>83</v>
      </c>
      <c r="R19" s="64" t="n">
        <v>309505</v>
      </c>
      <c r="S19" s="64" t="n">
        <v>8</v>
      </c>
      <c r="T19" s="32" t="n"/>
    </row>
    <row r="20" ht="62" customHeight="1">
      <c r="A20" s="10">
        <f>_xlfn.IMAGE("https://m.media-amazon.com/images/I/71A8XukYuWL.jpg")</f>
        <v/>
      </c>
      <c r="B20" s="32" t="inlineStr">
        <is>
          <t>B0F4XR5RWT</t>
        </is>
      </c>
      <c r="C20" s="32" t="inlineStr">
        <is>
          <t>SS-SLEEP-MASK-VELCRO-STRAP-PINK</t>
        </is>
      </c>
      <c r="D20" s="32" t="inlineStr">
        <is>
          <t>SLEEP SANCTUARY 100% Pure Mulberry Silk Sleep Mask - 22 Momme Light Blocking Hook &amp; Loop Silk Eye Mask for Sleeping - Secure Fit for Side Sleepers, Women &amp; Men - Cloud Soft (Pink)</t>
        </is>
      </c>
      <c r="E20" s="32" t="inlineStr">
        <is>
          <t>One Size</t>
        </is>
      </c>
      <c r="F20" s="32" t="inlineStr">
        <is>
          <t>Pink</t>
        </is>
      </c>
      <c r="G20" s="60" t="n">
        <v>17.99</v>
      </c>
      <c r="H20" s="32" t="inlineStr">
        <is>
          <t>Helium 10 Xray, 2026-10-13</t>
        </is>
      </c>
      <c r="I20" s="61" t="n">
        <v>17.95</v>
      </c>
      <c r="J20" s="62" t="inlineStr">
        <is>
          <t>2026-03-30</t>
        </is>
      </c>
      <c r="K20" s="33" t="n">
        <v>1.839999999999998</v>
      </c>
      <c r="L20" s="63" t="n">
        <v>0.1025069637883008</v>
      </c>
      <c r="M20" s="64" t="n">
        <v>3</v>
      </c>
      <c r="N20" s="32" t="inlineStr">
        <is>
          <t>Active</t>
        </is>
      </c>
      <c r="O20" s="32" t="inlineStr">
        <is>
          <t>Yes (74%)</t>
        </is>
      </c>
      <c r="P20" s="65" t="n">
        <v>4.5</v>
      </c>
      <c r="Q20" s="64" t="n">
        <v>83</v>
      </c>
      <c r="R20" s="64" t="n">
        <v>309550</v>
      </c>
      <c r="S20" s="64" t="n">
        <v>8</v>
      </c>
      <c r="T20" s="32" t="n"/>
    </row>
    <row r="21" ht="62" customHeight="1">
      <c r="A21" s="10">
        <f>_xlfn.IMAGE("https://m.media-amazon.com/images/I/71i193VsS4L.jpg")</f>
        <v/>
      </c>
      <c r="B21" s="32" t="inlineStr">
        <is>
          <t>B0F4XPMS5B</t>
        </is>
      </c>
      <c r="C21" s="32" t="inlineStr">
        <is>
          <t>SS-SLEEP-MASK-VELCRO-STRAP-PEACOCK-BLUE</t>
        </is>
      </c>
      <c r="D21" s="32" t="inlineStr">
        <is>
          <t>SLEEP SANCTUARY 100% Pure Mulberry Silk Sleep Mask - 22 Momme Light Blocking Hook &amp; Loop Silk Eye Mask for Sleeping - Secure Fit for Side Sleepers, Women &amp; Men - Cloud Soft (Peacock Blue)</t>
        </is>
      </c>
      <c r="E21" s="32" t="inlineStr">
        <is>
          <t>One Size</t>
        </is>
      </c>
      <c r="F21" s="32" t="inlineStr">
        <is>
          <t>Peacock Blue</t>
        </is>
      </c>
      <c r="G21" s="60" t="n">
        <v>17.95</v>
      </c>
      <c r="H21" s="32" t="inlineStr">
        <is>
          <t>Helium 10 Xray, 2026-10-13</t>
        </is>
      </c>
      <c r="I21" s="61" t="n">
        <v>17.95</v>
      </c>
      <c r="J21" s="62" t="inlineStr">
        <is>
          <t>2026-03-30</t>
        </is>
      </c>
      <c r="K21" s="33" t="n">
        <v>4.309999999999999</v>
      </c>
      <c r="L21" s="63" t="n">
        <v>0.2401114206128133</v>
      </c>
      <c r="M21" s="64" t="n">
        <v>1</v>
      </c>
      <c r="N21" s="32" t="inlineStr">
        <is>
          <t>Active</t>
        </is>
      </c>
      <c r="O21" s="32" t="n"/>
      <c r="P21" s="65" t="n">
        <v>4.5</v>
      </c>
      <c r="Q21" s="64" t="n">
        <v>83</v>
      </c>
      <c r="R21" s="64" t="n">
        <v>309550</v>
      </c>
      <c r="S21" s="64" t="n">
        <v>11</v>
      </c>
      <c r="T21" s="32" t="n"/>
    </row>
    <row r="23" ht="20" customHeight="1">
      <c r="A23" s="54" t="inlineStr">
        <is>
          <t>3 · OUR BFCM 2025 RESULT &amp; EVENT VISIBILITY</t>
        </is>
      </c>
    </row>
    <row r="24">
      <c r="A24" s="67" t="inlineStr">
        <is>
          <t>Window</t>
        </is>
      </c>
      <c r="B24" s="68" t="n"/>
      <c r="C24" s="69" t="n"/>
      <c r="D24" s="67" t="inlineStr">
        <is>
          <t>Ad spend</t>
        </is>
      </c>
      <c r="E24" s="67" t="inlineStr">
        <is>
          <t>Ad sales</t>
        </is>
      </c>
      <c r="F24" s="67" t="inlineStr">
        <is>
          <t>ACoS</t>
        </is>
      </c>
      <c r="G24" s="67" t="inlineStr">
        <is>
          <t>TACoS</t>
        </is>
      </c>
      <c r="H24" s="67" t="inlineStr">
        <is>
          <t>Total sales (derived)</t>
        </is>
      </c>
      <c r="J24" s="67" t="inlineStr">
        <is>
          <t>Ad orders</t>
        </is>
      </c>
      <c r="K24" s="67" t="inlineStr">
        <is>
          <t>CVR</t>
        </is>
      </c>
    </row>
    <row r="25">
      <c r="A25" s="70" t="inlineStr">
        <is>
          <t>Pre-event Oct 21 - Nov 19, 2025 (30d)</t>
        </is>
      </c>
      <c r="B25" s="68" t="n"/>
      <c r="C25" s="69" t="n"/>
      <c r="D25" s="71" t="n"/>
      <c r="E25" s="71" t="n"/>
      <c r="F25" s="72" t="n"/>
      <c r="G25" s="72" t="n"/>
      <c r="H25" s="71" t="n"/>
      <c r="J25" s="73" t="n"/>
      <c r="K25" s="74" t="n"/>
    </row>
    <row r="26">
      <c r="A26" s="70" t="inlineStr">
        <is>
          <t>BFCM week Nov 20 - Dec 1, 2025 (12d)</t>
        </is>
      </c>
      <c r="B26" s="68" t="n"/>
      <c r="C26" s="69" t="n"/>
      <c r="D26" s="71" t="n"/>
      <c r="E26" s="71" t="n"/>
      <c r="F26" s="72" t="n"/>
      <c r="G26" s="72" t="n"/>
      <c r="H26" s="71" t="n"/>
      <c r="J26" s="73" t="n"/>
      <c r="K26" s="74" t="n"/>
    </row>
    <row r="27">
      <c r="A27" s="70" t="inlineStr">
        <is>
          <t>December 2 - 31, 2025 (30d)</t>
        </is>
      </c>
      <c r="B27" s="68" t="n"/>
      <c r="C27" s="69" t="n"/>
      <c r="D27" s="71" t="n"/>
      <c r="E27" s="71" t="n"/>
      <c r="F27" s="72" t="n"/>
      <c r="G27" s="72" t="n"/>
      <c r="H27" s="71" t="n"/>
      <c r="J27" s="73" t="n"/>
      <c r="K27" s="74" t="n"/>
    </row>
    <row r="29">
      <c r="A29" s="67" t="inlineStr">
        <is>
          <t>Actual sales (SellerBoard)</t>
        </is>
      </c>
      <c r="B29" s="68" t="n"/>
      <c r="C29" s="69" t="n"/>
      <c r="D29" s="67" t="inlineStr">
        <is>
          <t>Sales</t>
        </is>
      </c>
      <c r="E29" s="67" t="inlineStr">
        <is>
          <t>Units</t>
        </is>
      </c>
      <c r="F29" s="67" t="inlineStr">
        <is>
          <t>Organic units</t>
        </is>
      </c>
      <c r="G29" s="67" t="inlineStr">
        <is>
          <t>Ad units</t>
        </is>
      </c>
      <c r="H29" s="67" t="inlineStr">
        <is>
          <t>Ad cost</t>
        </is>
      </c>
      <c r="J29" s="67" t="inlineStr">
        <is>
          <t>TACoS (actual)</t>
        </is>
      </c>
      <c r="K29" s="67" t="inlineStr">
        <is>
          <t>Sessions</t>
        </is>
      </c>
      <c r="L29" s="67" t="inlineStr">
        <is>
          <t>Unit session %</t>
        </is>
      </c>
      <c r="M29" s="67" t="inlineStr">
        <is>
          <t>Avg price</t>
        </is>
      </c>
      <c r="N29" s="67" t="inlineStr">
        <is>
          <t>Refunds</t>
        </is>
      </c>
    </row>
    <row r="30">
      <c r="A30" s="70" t="inlineStr">
        <is>
          <t>Pre-event Oct 21 - Nov 19, 2025 (30d)</t>
        </is>
      </c>
      <c r="B30" s="68" t="n"/>
      <c r="C30" s="69" t="n"/>
      <c r="D30" s="71" t="n">
        <v>39.9</v>
      </c>
      <c r="E30" s="73" t="n">
        <v>2</v>
      </c>
      <c r="F30" s="73" t="n">
        <v>2</v>
      </c>
      <c r="G30" s="73" t="n">
        <v>0</v>
      </c>
      <c r="H30" s="71" t="n">
        <v>0.9</v>
      </c>
      <c r="J30" s="75" t="n">
        <v>0.02255639097744361</v>
      </c>
      <c r="K30" s="73" t="n">
        <v>46</v>
      </c>
      <c r="L30" s="75" t="n">
        <v>0.04347826086956522</v>
      </c>
      <c r="M30" s="76" t="n">
        <v>19.95</v>
      </c>
      <c r="N30" s="73" t="n">
        <v>0</v>
      </c>
    </row>
    <row r="31">
      <c r="A31" s="70" t="inlineStr">
        <is>
          <t>BFCM week Nov 20 - Dec 1, 2025 (12d)</t>
        </is>
      </c>
      <c r="B31" s="68" t="n"/>
      <c r="C31" s="69" t="n"/>
      <c r="D31" s="71" t="n">
        <v>15.96</v>
      </c>
      <c r="E31" s="73" t="n">
        <v>1</v>
      </c>
      <c r="F31" s="73" t="n">
        <v>1</v>
      </c>
      <c r="G31" s="73" t="n">
        <v>0</v>
      </c>
      <c r="H31" s="71" t="n">
        <v>1.35</v>
      </c>
      <c r="J31" s="75" t="n">
        <v>0.08458646616541353</v>
      </c>
      <c r="K31" s="73" t="n">
        <v>33</v>
      </c>
      <c r="L31" s="75" t="n">
        <v>0.0303030303030303</v>
      </c>
      <c r="M31" s="76" t="n">
        <v>15.96</v>
      </c>
      <c r="N31" s="73" t="n">
        <v>0</v>
      </c>
    </row>
    <row r="32">
      <c r="A32" s="70" t="inlineStr">
        <is>
          <t>December 2 - 31, 2025 (30d)</t>
        </is>
      </c>
      <c r="B32" s="68" t="n"/>
      <c r="C32" s="69" t="n"/>
      <c r="D32" s="71" t="n">
        <v>69.84999999999999</v>
      </c>
      <c r="E32" s="73" t="n">
        <v>3</v>
      </c>
      <c r="F32" s="73" t="n">
        <v>3</v>
      </c>
      <c r="G32" s="73" t="n">
        <v>0</v>
      </c>
      <c r="H32" s="71" t="n">
        <v>1.8</v>
      </c>
      <c r="J32" s="75" t="n">
        <v>0.02576950608446672</v>
      </c>
      <c r="K32" s="73" t="n">
        <v>52</v>
      </c>
      <c r="L32" s="75" t="n">
        <v>0.05769230769230769</v>
      </c>
      <c r="M32" s="76" t="n">
        <v>23.28333333333333</v>
      </c>
      <c r="N32" s="73" t="n">
        <v>0</v>
      </c>
    </row>
    <row r="33">
      <c r="A33" s="59" t="inlineStr">
        <is>
          <t>SellerBoard, Ecotero account, Amazon parent B0GDMSK15Z plus any of this product's child ASINs SellerBoard lists on their own, UTC days. Lift above uses these actual sales.</t>
        </is>
      </c>
    </row>
    <row r="34">
      <c r="A34" s="59" t="inlineStr">
        <is>
          <t>No Command Center visibility history for our best child ASIN.</t>
        </is>
      </c>
    </row>
    <row r="35">
      <c r="A35" s="107" t="inlineStr">
        <is>
          <t>No BFCM 2025 PPC data for this product (not advertised or launched after BFCM 2025).</t>
        </is>
      </c>
    </row>
    <row r="37" ht="20" customHeight="1">
      <c r="A37" s="54" t="inlineStr">
        <is>
          <t>4 · COMPETITOR LANDSCAPE (15 mapped)</t>
        </is>
      </c>
    </row>
    <row r="38">
      <c r="A38" s="59" t="inlineStr">
        <is>
          <t>Sorted by tier, then estimated weekly units. Green = Command Center price/sales; blue = Data Dive listing; purple = Command Center search strategy (ASINsight); yellow = fill from Keepa / page check.</t>
        </is>
      </c>
    </row>
    <row r="39">
      <c r="A39" s="78" t="inlineStr">
        <is>
          <t>COMPETITOR</t>
        </is>
      </c>
      <c r="I39" s="79" t="inlineStr">
        <is>
          <t>LISTING - Data Dive</t>
        </is>
      </c>
      <c r="J39" s="80" t="inlineStr">
        <is>
          <t>SEARCH STRATEGY - Command Center ASINsight</t>
        </is>
      </c>
      <c r="K39" s="81" t="inlineStr">
        <is>
          <t>PRICE &amp; SALES - Command Center snapshot (date per row)</t>
        </is>
      </c>
      <c r="X39" s="79" t="inlineStr">
        <is>
          <t>LISTING - Data Dive</t>
        </is>
      </c>
      <c r="AA39" s="80" t="inlineStr">
        <is>
          <t>SEARCH STRATEGY - Command Center ASINsight</t>
        </is>
      </c>
      <c r="AR39" s="82" t="inlineStr">
        <is>
          <t>STR NOW - Amazon page check (Oct 13, P1 + P2)</t>
        </is>
      </c>
      <c r="AY39" s="83" t="inlineStr">
        <is>
          <t>BFCM 2025 - Keepa (P1 filled; yellow = not pulled yet)</t>
        </is>
      </c>
    </row>
    <row r="40" ht="48" customHeight="1">
      <c r="A40" s="22" t="inlineStr">
        <is>
          <t>Image</t>
        </is>
      </c>
      <c r="B40" s="22" t="inlineStr">
        <is>
          <t>Brand</t>
        </is>
      </c>
      <c r="C40" s="22" t="inlineStr">
        <is>
          <t>Product title</t>
        </is>
      </c>
      <c r="D40" s="22" t="inlineStr">
        <is>
          <t>Tier</t>
        </is>
      </c>
      <c r="E40" s="22" t="inlineStr">
        <is>
          <t>Parent ASIN</t>
        </is>
      </c>
      <c r="F40" s="22" t="inlineStr">
        <is>
          <t>Tracked child ASIN</t>
        </is>
      </c>
      <c r="G40" s="22" t="inlineStr">
        <is>
          <t>Size (title)</t>
        </is>
      </c>
      <c r="H40" s="22" t="inlineStr">
        <is>
          <t>Colour (title)</t>
        </is>
      </c>
      <c r="I40" s="22" t="inlineStr">
        <is>
          <t>Variations</t>
        </is>
      </c>
      <c r="J40" s="22" t="inlineStr">
        <is>
          <t>Hero child ASINs (share of their visibility)</t>
        </is>
      </c>
      <c r="K40" s="22" t="inlineStr">
        <is>
          <t>Price ($)</t>
        </is>
      </c>
      <c r="L40" s="22" t="inlineStr">
        <is>
          <t>List Price ($)</t>
        </is>
      </c>
      <c r="M40" s="22" t="inlineStr">
        <is>
          <t>List Price % over</t>
        </is>
      </c>
      <c r="N40" s="22" t="inlineStr">
        <is>
          <t>STR band</t>
        </is>
      </c>
      <c r="O40" s="22" t="inlineStr">
        <is>
          <t>Our price, same size ($)</t>
        </is>
      </c>
      <c r="P40" s="22" t="inlineStr">
        <is>
          <t>Their price vs ours</t>
        </is>
      </c>
      <c r="Q40" s="22" t="inlineStr">
        <is>
          <t>Comparison basis</t>
        </is>
      </c>
      <c r="R40" s="22" t="inlineStr">
        <is>
          <t>BSR</t>
        </is>
      </c>
      <c r="S40" s="22" t="inlineStr">
        <is>
          <t>Est weekly units</t>
        </is>
      </c>
      <c r="T40" s="22" t="inlineStr">
        <is>
          <t>Est monthly revenue ($)</t>
        </is>
      </c>
      <c r="U40" s="22" t="inlineStr">
        <is>
          <t>Rating</t>
        </is>
      </c>
      <c r="V40" s="22" t="inlineStr">
        <is>
          <t>Reviews</t>
        </is>
      </c>
      <c r="W40" s="22" t="inlineStr">
        <is>
          <t>Snapshot date</t>
        </is>
      </c>
      <c r="X40" s="22" t="inlineStr">
        <is>
          <t>Listed</t>
        </is>
      </c>
      <c r="Y40" s="22" t="inlineStr">
        <is>
          <t>Fulfil.</t>
        </is>
      </c>
      <c r="Z40" s="22" t="inlineStr">
        <is>
          <t>Seller country</t>
        </is>
      </c>
      <c r="AA40" s="22" t="inlineStr">
        <is>
          <t>ASINsight 7d traffic</t>
        </is>
      </c>
      <c r="AB40" s="22" t="inlineStr">
        <is>
          <t>Keywords ranked</t>
        </is>
      </c>
      <c r="AC40" s="22" t="inlineStr">
        <is>
          <t>Organic share of traffic</t>
        </is>
      </c>
      <c r="AD40" s="22" t="inlineStr">
        <is>
          <t>Ad share of traffic</t>
        </is>
      </c>
      <c r="AE40" s="22" t="inlineStr">
        <is>
          <t>Top keyword</t>
        </is>
      </c>
      <c r="AF40" s="22" t="inlineStr">
        <is>
          <t>SP reach</t>
        </is>
      </c>
      <c r="AG40" s="22" t="inlineStr">
        <is>
          <t>SB reach</t>
        </is>
      </c>
      <c r="AH40" s="22" t="inlineStr">
        <is>
          <t>SB video reach</t>
        </is>
      </c>
      <c r="AI40" s="22" t="inlineStr">
        <is>
          <t>Amazon's Choice reach</t>
        </is>
      </c>
      <c r="AJ40" s="22" t="inlineStr">
        <is>
          <t>Shared keywords</t>
        </is>
      </c>
      <c r="AK40" s="22" t="inlineStr">
        <is>
          <t>We win</t>
        </is>
      </c>
      <c r="AL40" s="22" t="inlineStr">
        <is>
          <t>We lose</t>
        </is>
      </c>
      <c r="AM40" s="22" t="inlineStr">
        <is>
          <t>Their keywords we miss</t>
        </is>
      </c>
      <c r="AN40" s="22" t="inlineStr">
        <is>
          <t>KWs they advertise, we don't</t>
        </is>
      </c>
      <c r="AO40" s="22" t="inlineStr">
        <is>
          <t>KWs they out-advertise us</t>
        </is>
      </c>
      <c r="AP40" s="22" t="inlineStr">
        <is>
          <t>Prime Day 2026 organic vis lift</t>
        </is>
      </c>
      <c r="AQ40" s="22" t="inlineStr">
        <is>
          <t>Organic trend (Aug-Sep vs Q2)</t>
        </is>
      </c>
      <c r="AR40" s="22" t="inlineStr">
        <is>
          <t>STR showing now? (Y/N)</t>
        </is>
      </c>
      <c r="AS40" s="22" t="inlineStr">
        <is>
          <t>STR label</t>
        </is>
      </c>
      <c r="AT40" s="22" t="inlineStr">
        <is>
          <t>Strikethrough price ($)</t>
        </is>
      </c>
      <c r="AU40" s="22" t="inlineStr">
        <is>
          <t>Page price at check ($)</t>
        </is>
      </c>
      <c r="AV40" s="22" t="inlineStr">
        <is>
          <t>Deal / coupon now</t>
        </is>
      </c>
      <c r="AW40" s="22" t="inlineStr">
        <is>
          <t>Orderable now (Y/N)</t>
        </is>
      </c>
      <c r="AX40" s="22" t="inlineStr">
        <is>
          <t>Checked (ET)</t>
        </is>
      </c>
      <c r="AY40" s="22" t="inlineStr">
        <is>
          <t>BFCM 2025 deal type</t>
        </is>
      </c>
      <c r="AZ40" s="22" t="inlineStr">
        <is>
          <t>BFCM 2025 deal dates</t>
        </is>
      </c>
      <c r="BA40" s="22" t="inlineStr">
        <is>
          <t>Pre-event price ($)</t>
        </is>
      </c>
      <c r="BB40" s="22" t="inlineStr">
        <is>
          <t>BFCM 2025 low ($)</t>
        </is>
      </c>
      <c r="BC40" s="22" t="inlineStr">
        <is>
          <t>BFCM 2025 discount</t>
        </is>
      </c>
      <c r="BD40" s="22" t="inlineStr">
        <is>
          <t>BSR pre-event</t>
        </is>
      </c>
      <c r="BE40" s="22" t="inlineStr">
        <is>
          <t>BSR BFCM wk</t>
        </is>
      </c>
      <c r="BF40" s="22" t="inlineStr">
        <is>
          <t>BSR lift (x)</t>
        </is>
      </c>
      <c r="BG40" s="22" t="inlineStr">
        <is>
          <t>OOS in BFCM? (Y/N)</t>
        </is>
      </c>
      <c r="BH40" s="22" t="inlineStr">
        <is>
          <t>Notes</t>
        </is>
      </c>
    </row>
    <row r="41" ht="62" customHeight="1">
      <c r="A41" s="39" t="inlineStr">
        <is>
          <t>IMAGE MISSING</t>
        </is>
      </c>
      <c r="B41" s="84" t="inlineStr">
        <is>
          <t>LitBear</t>
        </is>
      </c>
      <c r="C41" s="32" t="inlineStr">
        <is>
          <t>SS Silk Sleep Mask</t>
        </is>
      </c>
      <c r="D41" s="84" t="inlineStr">
        <is>
          <t>Aspirational</t>
        </is>
      </c>
      <c r="E41" s="84" t="inlineStr">
        <is>
          <t>B0CNX9RTK8</t>
        </is>
      </c>
      <c r="F41" s="84" t="inlineStr">
        <is>
          <t>B0BN559GVG</t>
        </is>
      </c>
      <c r="G41" s="84" t="n"/>
      <c r="H41" s="84" t="n"/>
      <c r="I41" s="85" t="n">
        <v>4</v>
      </c>
      <c r="J41" s="32" t="inlineStr">
        <is>
          <t>B0BN559GVG (81%)</t>
        </is>
      </c>
      <c r="K41" s="86" t="n">
        <v>29.99</v>
      </c>
      <c r="L41" s="86" t="n"/>
      <c r="M41" s="87">
        <f>IF(AND(ISNUMBER(L41),ISNUMBER(K41),N(K41)&gt;0),L41/K41-1,"")</f>
        <v/>
      </c>
      <c r="N41" s="88">
        <f>IF(M41="","No List Price",IF(M41&lt;=0,"At/below price",IF(M41&lt;=0.12,"&lt;=12% STR zone",IF(M41&lt;=0.25,"12-25%","&gt;25% over"))))</f>
        <v/>
      </c>
      <c r="O41" s="86" t="n">
        <v>20.41153846153846</v>
      </c>
      <c r="P41" s="89">
        <f>IF(AND(ISNUMBER(K41),ISNUMBER(O41),N(O41)&gt;0),K41/O41-1,"")</f>
        <v/>
      </c>
      <c r="Q41" s="32" t="inlineStr">
        <is>
          <t>vs our blended price (Command Center, Mar 2026 - STALE)</t>
        </is>
      </c>
      <c r="R41" s="85" t="n">
        <v>9413</v>
      </c>
      <c r="S41" s="85" t="n">
        <v>809</v>
      </c>
      <c r="T41" s="90">
        <f>IF(AND(ISNUMBER(K41),ISNUMBER(S41)),K41*S41*52/12,"")</f>
        <v/>
      </c>
      <c r="U41" s="91" t="n">
        <v>4.4</v>
      </c>
      <c r="V41" s="85" t="n">
        <v>2143</v>
      </c>
      <c r="W41" s="92" t="n">
        <v>46307</v>
      </c>
      <c r="X41" s="92" t="n"/>
      <c r="Y41" s="84" t="n"/>
      <c r="Z41" s="84" t="n"/>
      <c r="AA41" s="85" t="n">
        <v>401761</v>
      </c>
      <c r="AB41" s="85" t="n">
        <v>1367</v>
      </c>
      <c r="AC41" s="93" t="n">
        <v>0.7073638471628658</v>
      </c>
      <c r="AD41" s="93" t="n">
        <v>0.292636280276085</v>
      </c>
      <c r="AE41" s="32" t="inlineStr">
        <is>
          <t>sleep mask</t>
        </is>
      </c>
      <c r="AF41" s="93" t="n">
        <v>0.9110316830155242</v>
      </c>
      <c r="AG41" s="93" t="n">
        <v>0.1794126358705798</v>
      </c>
      <c r="AH41" s="93" t="n">
        <v>0.2505768354817914</v>
      </c>
      <c r="AI41" s="93" t="n">
        <v>0.02166711054582202</v>
      </c>
      <c r="AJ41" s="85" t="n">
        <v>49</v>
      </c>
      <c r="AK41" s="85" t="n">
        <v>4</v>
      </c>
      <c r="AL41" s="85" t="n">
        <v>45</v>
      </c>
      <c r="AM41" s="85" t="n">
        <v>1318</v>
      </c>
      <c r="AN41" s="85" t="n">
        <v>684</v>
      </c>
      <c r="AO41" s="85" t="n">
        <v>0</v>
      </c>
      <c r="AP41" s="94" t="n">
        <v>0.8740317977986141</v>
      </c>
      <c r="AQ41" s="89" t="n">
        <v>0.1626394052044609</v>
      </c>
      <c r="AR41" s="95" t="inlineStr">
        <is>
          <t>N</t>
        </is>
      </c>
      <c r="AS41" s="95" t="inlineStr">
        <is>
          <t>none</t>
        </is>
      </c>
      <c r="AT41" s="101" t="n"/>
      <c r="AU41" s="96" t="n">
        <v>29.99</v>
      </c>
      <c r="AV41" s="95" t="inlineStr">
        <is>
          <t>none</t>
        </is>
      </c>
      <c r="AW41" s="95" t="inlineStr">
        <is>
          <t>Y</t>
        </is>
      </c>
      <c r="AX41" s="95" t="inlineStr">
        <is>
          <t>2026-10-13 23:46:13</t>
        </is>
      </c>
      <c r="AY41" s="102" t="n"/>
      <c r="AZ41" s="102" t="n"/>
      <c r="BA41" s="101" t="n"/>
      <c r="BB41" s="101" t="n"/>
      <c r="BC41" s="87">
        <f>IF(AND(ISNUMBER(BA41),ISNUMBER(BB41),N(BA41)&gt;0),1-BB41/BA41,"")</f>
        <v/>
      </c>
      <c r="BD41" s="103" t="n"/>
      <c r="BE41" s="103" t="n"/>
      <c r="BF41" s="100">
        <f>IF(AND(ISNUMBER(BD41),ISNUMBER(BE41),N(BE41)&gt;0),BD41/BE41,"")</f>
        <v/>
      </c>
      <c r="BG41" s="102" t="n"/>
      <c r="BH41" s="102" t="n"/>
    </row>
    <row r="42" ht="62" customHeight="1">
      <c r="A42" s="39" t="inlineStr">
        <is>
          <t>IMAGE MISSING</t>
        </is>
      </c>
      <c r="B42" s="84" t="inlineStr">
        <is>
          <t>LULUSILK</t>
        </is>
      </c>
      <c r="C42" s="32" t="inlineStr">
        <is>
          <t>SS Silk Sleep Mask</t>
        </is>
      </c>
      <c r="D42" s="84" t="inlineStr">
        <is>
          <t>Aspirational</t>
        </is>
      </c>
      <c r="E42" s="84" t="inlineStr">
        <is>
          <t>B074TBH52S</t>
        </is>
      </c>
      <c r="F42" s="84" t="inlineStr">
        <is>
          <t>B074TBYWGS</t>
        </is>
      </c>
      <c r="G42" s="84" t="n"/>
      <c r="H42" s="84" t="n"/>
      <c r="I42" s="85" t="n">
        <v>7</v>
      </c>
      <c r="J42" s="32" t="inlineStr">
        <is>
          <t>B074TBYWGS (83%)</t>
        </is>
      </c>
      <c r="K42" s="86" t="n">
        <v>9.99</v>
      </c>
      <c r="L42" s="86" t="n"/>
      <c r="M42" s="87">
        <f>IF(AND(ISNUMBER(L42),ISNUMBER(K42),N(K42)&gt;0),L42/K42-1,"")</f>
        <v/>
      </c>
      <c r="N42" s="88">
        <f>IF(M42="","No List Price",IF(M42&lt;=0,"At/below price",IF(M42&lt;=0.12,"&lt;=12% STR zone",IF(M42&lt;=0.25,"12-25%","&gt;25% over"))))</f>
        <v/>
      </c>
      <c r="O42" s="86" t="n">
        <v>20.41153846153846</v>
      </c>
      <c r="P42" s="89">
        <f>IF(AND(ISNUMBER(K42),ISNUMBER(O42),N(O42)&gt;0),K42/O42-1,"")</f>
        <v/>
      </c>
      <c r="Q42" s="32" t="inlineStr">
        <is>
          <t>vs our blended price (Command Center, Mar 2026 - STALE)</t>
        </is>
      </c>
      <c r="R42" s="85" t="n">
        <v>8556</v>
      </c>
      <c r="S42" s="85" t="n">
        <v>809</v>
      </c>
      <c r="T42" s="90">
        <f>IF(AND(ISNUMBER(K42),ISNUMBER(S42)),K42*S42*52/12,"")</f>
        <v/>
      </c>
      <c r="U42" s="91" t="n">
        <v>4.4</v>
      </c>
      <c r="V42" s="85" t="n">
        <v>12325</v>
      </c>
      <c r="W42" s="92" t="n">
        <v>46307</v>
      </c>
      <c r="X42" s="92" t="n"/>
      <c r="Y42" s="84" t="n"/>
      <c r="Z42" s="84" t="n"/>
      <c r="AA42" s="85" t="n">
        <v>106430</v>
      </c>
      <c r="AB42" s="85" t="n">
        <v>644</v>
      </c>
      <c r="AC42" s="93" t="n">
        <v>0.9607324494973225</v>
      </c>
      <c r="AD42" s="93" t="n">
        <v>0.03926767076951988</v>
      </c>
      <c r="AE42" s="32" t="inlineStr">
        <is>
          <t>sleep mask</t>
        </is>
      </c>
      <c r="AF42" s="93" t="n">
        <v>0.67251714742084</v>
      </c>
      <c r="AG42" s="93" t="n"/>
      <c r="AH42" s="93" t="n"/>
      <c r="AI42" s="93" t="n">
        <v>0.00684017664192427</v>
      </c>
      <c r="AJ42" s="85" t="n">
        <v>47</v>
      </c>
      <c r="AK42" s="85" t="n">
        <v>10</v>
      </c>
      <c r="AL42" s="85" t="n">
        <v>36</v>
      </c>
      <c r="AM42" s="85" t="n">
        <v>597</v>
      </c>
      <c r="AN42" s="85" t="n">
        <v>135</v>
      </c>
      <c r="AO42" s="85" t="n">
        <v>0</v>
      </c>
      <c r="AP42" s="94" t="n">
        <v>1.562836624775583</v>
      </c>
      <c r="AQ42" s="89" t="n">
        <v>0.3807249227311043</v>
      </c>
      <c r="AR42" s="95" t="inlineStr">
        <is>
          <t>N</t>
        </is>
      </c>
      <c r="AS42" s="95" t="inlineStr">
        <is>
          <t>none</t>
        </is>
      </c>
      <c r="AT42" s="101" t="n"/>
      <c r="AU42" s="96" t="n">
        <v>9.99</v>
      </c>
      <c r="AV42" s="95" t="inlineStr">
        <is>
          <t>none</t>
        </is>
      </c>
      <c r="AW42" s="95" t="inlineStr">
        <is>
          <t>Y</t>
        </is>
      </c>
      <c r="AX42" s="95" t="inlineStr">
        <is>
          <t>2026-10-13 23:46:07</t>
        </is>
      </c>
      <c r="AY42" s="102" t="n"/>
      <c r="AZ42" s="102" t="n"/>
      <c r="BA42" s="101" t="n"/>
      <c r="BB42" s="101" t="n"/>
      <c r="BC42" s="87">
        <f>IF(AND(ISNUMBER(BA42),ISNUMBER(BB42),N(BA42)&gt;0),1-BB42/BA42,"")</f>
        <v/>
      </c>
      <c r="BD42" s="103" t="n"/>
      <c r="BE42" s="103" t="n"/>
      <c r="BF42" s="100">
        <f>IF(AND(ISNUMBER(BD42),ISNUMBER(BE42),N(BE42)&gt;0),BD42/BE42,"")</f>
        <v/>
      </c>
      <c r="BG42" s="102" t="n"/>
      <c r="BH42" s="102" t="n"/>
    </row>
    <row r="43" ht="62" customHeight="1">
      <c r="A43" s="10">
        <f>_xlfn.IMAGE("https://images-na.ssl-images-amazon.com/images/I/61t7hRnDSTL.jpg")</f>
        <v/>
      </c>
      <c r="B43" s="84" t="inlineStr">
        <is>
          <t>iCooBreeze</t>
        </is>
      </c>
      <c r="C43" s="32" t="inlineStr">
        <is>
          <t>SS Silk Sleep Mask</t>
        </is>
      </c>
      <c r="D43" s="84" t="inlineStr">
        <is>
          <t>Aspirational</t>
        </is>
      </c>
      <c r="E43" s="84" t="inlineStr">
        <is>
          <t>B0BBN7XTW5</t>
        </is>
      </c>
      <c r="F43" s="84" t="inlineStr">
        <is>
          <t>B0BBN627MK</t>
        </is>
      </c>
      <c r="G43" s="84" t="n"/>
      <c r="H43" s="84" t="n"/>
      <c r="I43" s="85" t="n">
        <v>4</v>
      </c>
      <c r="J43" s="32" t="inlineStr">
        <is>
          <t>B0BB9Z23FD (45%), B0BBN627MK (45%)</t>
        </is>
      </c>
      <c r="K43" s="86" t="n">
        <v>19.99</v>
      </c>
      <c r="L43" s="86" t="n"/>
      <c r="M43" s="87">
        <f>IF(AND(ISNUMBER(L43),ISNUMBER(K43),N(K43)&gt;0),L43/K43-1,"")</f>
        <v/>
      </c>
      <c r="N43" s="88">
        <f>IF(M43="","No List Price",IF(M43&lt;=0,"At/below price",IF(M43&lt;=0.12,"&lt;=12% STR zone",IF(M43&lt;=0.25,"12-25%","&gt;25% over"))))</f>
        <v/>
      </c>
      <c r="O43" s="86" t="n">
        <v>20.41153846153846</v>
      </c>
      <c r="P43" s="89">
        <f>IF(AND(ISNUMBER(K43),ISNUMBER(O43),N(O43)&gt;0),K43/O43-1,"")</f>
        <v/>
      </c>
      <c r="Q43" s="32" t="inlineStr">
        <is>
          <t>vs our blended price (Command Center, Mar 2026 - STALE)</t>
        </is>
      </c>
      <c r="R43" s="85" t="n">
        <v>12259</v>
      </c>
      <c r="S43" s="85" t="n">
        <v>347</v>
      </c>
      <c r="T43" s="90">
        <f>IF(AND(ISNUMBER(K43),ISNUMBER(S43)),K43*S43*52/12,"")</f>
        <v/>
      </c>
      <c r="U43" s="91" t="n">
        <v>4.5</v>
      </c>
      <c r="V43" s="85" t="n">
        <v>2063</v>
      </c>
      <c r="W43" s="92" t="n">
        <v>46307</v>
      </c>
      <c r="X43" s="92" t="n"/>
      <c r="Y43" s="84" t="n"/>
      <c r="Z43" s="84" t="n"/>
      <c r="AA43" s="85" t="n">
        <v>303791</v>
      </c>
      <c r="AB43" s="85" t="n">
        <v>774</v>
      </c>
      <c r="AC43" s="93" t="n">
        <v>0.556958422402244</v>
      </c>
      <c r="AD43" s="93" t="n">
        <v>0.4430416091984288</v>
      </c>
      <c r="AE43" s="32" t="inlineStr">
        <is>
          <t>sleep mask</t>
        </is>
      </c>
      <c r="AF43" s="93" t="n">
        <v>0.9396492983663111</v>
      </c>
      <c r="AG43" s="93" t="n"/>
      <c r="AH43" s="93" t="n">
        <v>0.03647902669927681</v>
      </c>
      <c r="AI43" s="93" t="n">
        <v>0</v>
      </c>
      <c r="AJ43" s="85" t="n">
        <v>47</v>
      </c>
      <c r="AK43" s="85" t="n">
        <v>4</v>
      </c>
      <c r="AL43" s="85" t="n">
        <v>43</v>
      </c>
      <c r="AM43" s="85" t="n">
        <v>727</v>
      </c>
      <c r="AN43" s="85" t="n">
        <v>172</v>
      </c>
      <c r="AO43" s="85" t="n">
        <v>0</v>
      </c>
      <c r="AP43" s="94" t="n">
        <v>0.2928870292887029</v>
      </c>
      <c r="AQ43" s="89" t="n">
        <v>-0.09840810419681623</v>
      </c>
      <c r="AR43" s="95" t="inlineStr">
        <is>
          <t>N</t>
        </is>
      </c>
      <c r="AS43" s="95" t="inlineStr">
        <is>
          <t>none</t>
        </is>
      </c>
      <c r="AT43" s="101" t="n"/>
      <c r="AU43" s="96" t="n">
        <v>19.99</v>
      </c>
      <c r="AV43" s="95" t="inlineStr">
        <is>
          <t>none</t>
        </is>
      </c>
      <c r="AW43" s="95" t="inlineStr">
        <is>
          <t>Y</t>
        </is>
      </c>
      <c r="AX43" s="95" t="inlineStr">
        <is>
          <t>2026-10-13 23:47:38</t>
        </is>
      </c>
      <c r="AY43" s="102" t="n"/>
      <c r="AZ43" s="102" t="n"/>
      <c r="BA43" s="101" t="n"/>
      <c r="BB43" s="101" t="n"/>
      <c r="BC43" s="87">
        <f>IF(AND(ISNUMBER(BA43),ISNUMBER(BB43),N(BA43)&gt;0),1-BB43/BA43,"")</f>
        <v/>
      </c>
      <c r="BD43" s="103" t="n"/>
      <c r="BE43" s="103" t="n"/>
      <c r="BF43" s="100">
        <f>IF(AND(ISNUMBER(BD43),ISNUMBER(BE43),N(BE43)&gt;0),BD43/BE43,"")</f>
        <v/>
      </c>
      <c r="BG43" s="102" t="n"/>
      <c r="BH43" s="102" t="n"/>
    </row>
    <row r="44" ht="62" customHeight="1">
      <c r="A44" s="10">
        <f>_xlfn.IMAGE("https://images-na.ssl-images-amazon.com/images/I/717uHiZRsrL.jpg")</f>
        <v/>
      </c>
      <c r="B44" s="84" t="inlineStr">
        <is>
          <t>Zenssia</t>
        </is>
      </c>
      <c r="C44" s="32" t="inlineStr">
        <is>
          <t>Zenssia 100% Mulberry Silk Sleep Mask Eye Mask for Man and Woman with Adjustable Headband, Full Size Large Sleep Mask &amp; Blindfold for Total Blackout for All Night Sleep, Travel &amp; Nap- Light Plum</t>
        </is>
      </c>
      <c r="D44" s="84" t="inlineStr">
        <is>
          <t>Aspirational</t>
        </is>
      </c>
      <c r="E44" s="84" t="inlineStr">
        <is>
          <t>B0B5K41YD7</t>
        </is>
      </c>
      <c r="F44" s="84" t="inlineStr">
        <is>
          <t>B07V5BCQFW</t>
        </is>
      </c>
      <c r="G44" s="84" t="inlineStr">
        <is>
          <t>Full</t>
        </is>
      </c>
      <c r="H44" s="84" t="n"/>
      <c r="I44" s="85" t="n">
        <v>6</v>
      </c>
      <c r="J44" s="32" t="inlineStr">
        <is>
          <t>B07V5BCQFW (58%), B07CNT74Z6 (24%)</t>
        </is>
      </c>
      <c r="K44" s="86" t="n">
        <v>19.99</v>
      </c>
      <c r="L44" s="86" t="n"/>
      <c r="M44" s="87">
        <f>IF(AND(ISNUMBER(L44),ISNUMBER(K44),N(K44)&gt;0),L44/K44-1,"")</f>
        <v/>
      </c>
      <c r="N44" s="88">
        <f>IF(M44="","No List Price",IF(M44&lt;=0,"At/below price",IF(M44&lt;=0.12,"&lt;=12% STR zone",IF(M44&lt;=0.25,"12-25%","&gt;25% over"))))</f>
        <v/>
      </c>
      <c r="O44" s="86" t="n">
        <v>20.41153846153846</v>
      </c>
      <c r="P44" s="89">
        <f>IF(AND(ISNUMBER(K44),ISNUMBER(O44),N(O44)&gt;0),K44/O44-1,"")</f>
        <v/>
      </c>
      <c r="Q44" s="32" t="inlineStr">
        <is>
          <t>vs our blended price (Command Center, Mar 2026 - STALE)</t>
        </is>
      </c>
      <c r="R44" s="85" t="n">
        <v>11617</v>
      </c>
      <c r="S44" s="85" t="n">
        <v>347</v>
      </c>
      <c r="T44" s="90">
        <f>IF(AND(ISNUMBER(K44),ISNUMBER(S44)),K44*S44*52/12,"")</f>
        <v/>
      </c>
      <c r="U44" s="91" t="n">
        <v>4.5</v>
      </c>
      <c r="V44" s="85" t="n">
        <v>1571</v>
      </c>
      <c r="W44" s="92" t="n">
        <v>46307</v>
      </c>
      <c r="X44" s="92" t="n">
        <v>43655</v>
      </c>
      <c r="Y44" s="84" t="inlineStr">
        <is>
          <t>FBA</t>
        </is>
      </c>
      <c r="Z44" s="84" t="inlineStr">
        <is>
          <t>CN</t>
        </is>
      </c>
      <c r="AA44" s="85" t="n">
        <v>151964</v>
      </c>
      <c r="AB44" s="85" t="n">
        <v>580</v>
      </c>
      <c r="AC44" s="93" t="n">
        <v>0.8624514049380118</v>
      </c>
      <c r="AD44" s="93" t="n">
        <v>0.1375487003500829</v>
      </c>
      <c r="AE44" s="32" t="inlineStr">
        <is>
          <t>sleep mask</t>
        </is>
      </c>
      <c r="AF44" s="93" t="n">
        <v>0.340712273959622</v>
      </c>
      <c r="AG44" s="93" t="n"/>
      <c r="AH44" s="93" t="n">
        <v>0.285751888605196</v>
      </c>
      <c r="AI44" s="93" t="n">
        <v>0.0009278513332104972</v>
      </c>
      <c r="AJ44" s="85" t="n">
        <v>47</v>
      </c>
      <c r="AK44" s="85" t="n">
        <v>5</v>
      </c>
      <c r="AL44" s="85" t="n">
        <v>41</v>
      </c>
      <c r="AM44" s="85" t="n">
        <v>533</v>
      </c>
      <c r="AN44" s="85" t="n">
        <v>59</v>
      </c>
      <c r="AO44" s="85" t="n">
        <v>0</v>
      </c>
      <c r="AP44" s="94" t="n"/>
      <c r="AQ44" s="89" t="n"/>
      <c r="AR44" s="95" t="inlineStr">
        <is>
          <t>N</t>
        </is>
      </c>
      <c r="AS44" s="95" t="inlineStr">
        <is>
          <t>none</t>
        </is>
      </c>
      <c r="AT44" s="101" t="n"/>
      <c r="AU44" s="96" t="n">
        <v>19.99</v>
      </c>
      <c r="AV44" s="95" t="inlineStr">
        <is>
          <t>none</t>
        </is>
      </c>
      <c r="AW44" s="95" t="inlineStr">
        <is>
          <t>Y</t>
        </is>
      </c>
      <c r="AX44" s="95" t="inlineStr">
        <is>
          <t>2026-10-13 23:47:35</t>
        </is>
      </c>
      <c r="AY44" s="102" t="n"/>
      <c r="AZ44" s="102" t="n"/>
      <c r="BA44" s="101" t="n"/>
      <c r="BB44" s="101" t="n"/>
      <c r="BC44" s="87">
        <f>IF(AND(ISNUMBER(BA44),ISNUMBER(BB44),N(BA44)&gt;0),1-BB44/BA44,"")</f>
        <v/>
      </c>
      <c r="BD44" s="103" t="n"/>
      <c r="BE44" s="103" t="n"/>
      <c r="BF44" s="100">
        <f>IF(AND(ISNUMBER(BD44),ISNUMBER(BE44),N(BE44)&gt;0),BD44/BE44,"")</f>
        <v/>
      </c>
      <c r="BG44" s="102" t="n"/>
      <c r="BH44" s="102" t="n"/>
    </row>
    <row r="45" ht="62" customHeight="1">
      <c r="A45" s="39" t="inlineStr">
        <is>
          <t>IMAGE MISSING</t>
        </is>
      </c>
      <c r="B45" s="84" t="inlineStr">
        <is>
          <t>DROWSY</t>
        </is>
      </c>
      <c r="C45" s="32" t="inlineStr">
        <is>
          <t>SS Silk Sleep Mask</t>
        </is>
      </c>
      <c r="D45" s="84" t="inlineStr">
        <is>
          <t>Aspirational</t>
        </is>
      </c>
      <c r="E45" s="84" t="inlineStr">
        <is>
          <t>B0GQZL7XLN</t>
        </is>
      </c>
      <c r="F45" s="84" t="inlineStr">
        <is>
          <t>B08NHHDLT6</t>
        </is>
      </c>
      <c r="G45" s="84" t="n"/>
      <c r="H45" s="84" t="n"/>
      <c r="I45" s="85" t="n">
        <v>13</v>
      </c>
      <c r="J45" s="32" t="inlineStr">
        <is>
          <t>B08NHF4HCS (51%), B08NHHDLT6 (32%)</t>
        </is>
      </c>
      <c r="K45" s="86" t="n">
        <v>79</v>
      </c>
      <c r="L45" s="86" t="n"/>
      <c r="M45" s="87">
        <f>IF(AND(ISNUMBER(L45),ISNUMBER(K45),N(K45)&gt;0),L45/K45-1,"")</f>
        <v/>
      </c>
      <c r="N45" s="88">
        <f>IF(M45="","No List Price",IF(M45&lt;=0,"At/below price",IF(M45&lt;=0.12,"&lt;=12% STR zone",IF(M45&lt;=0.25,"12-25%","&gt;25% over"))))</f>
        <v/>
      </c>
      <c r="O45" s="86" t="n">
        <v>20.41153846153846</v>
      </c>
      <c r="P45" s="89">
        <f>IF(AND(ISNUMBER(K45),ISNUMBER(O45),N(O45)&gt;0),K45/O45-1,"")</f>
        <v/>
      </c>
      <c r="Q45" s="32" t="inlineStr">
        <is>
          <t>vs our blended price (Command Center, Mar 2026 - STALE)</t>
        </is>
      </c>
      <c r="R45" s="85" t="n">
        <v>7182</v>
      </c>
      <c r="S45" s="85" t="n">
        <v>208</v>
      </c>
      <c r="T45" s="90">
        <f>IF(AND(ISNUMBER(K45),ISNUMBER(S45)),K45*S45*52/12,"")</f>
        <v/>
      </c>
      <c r="U45" s="91" t="n">
        <v>4.3</v>
      </c>
      <c r="V45" s="85" t="n">
        <v>1740</v>
      </c>
      <c r="W45" s="92" t="n">
        <v>46307</v>
      </c>
      <c r="X45" s="92" t="n"/>
      <c r="Y45" s="84" t="n"/>
      <c r="Z45" s="84" t="n"/>
      <c r="AA45" s="85" t="n">
        <v>143864</v>
      </c>
      <c r="AB45" s="85" t="n">
        <v>655</v>
      </c>
      <c r="AC45" s="93" t="n">
        <v>0.5480138186064621</v>
      </c>
      <c r="AD45" s="93" t="n">
        <v>0.4519862036367683</v>
      </c>
      <c r="AE45" s="32" t="inlineStr">
        <is>
          <t>eye masks for sleep</t>
        </is>
      </c>
      <c r="AF45" s="93" t="n">
        <v>0.9813643441027637</v>
      </c>
      <c r="AG45" s="93" t="n"/>
      <c r="AH45" s="93" t="n"/>
      <c r="AI45" s="93" t="n">
        <v>0.1368097647778457</v>
      </c>
      <c r="AJ45" s="85" t="n">
        <v>42</v>
      </c>
      <c r="AK45" s="85" t="n">
        <v>5</v>
      </c>
      <c r="AL45" s="85" t="n">
        <v>33</v>
      </c>
      <c r="AM45" s="85" t="n">
        <v>613</v>
      </c>
      <c r="AN45" s="85" t="n">
        <v>269</v>
      </c>
      <c r="AO45" s="85" t="n">
        <v>0</v>
      </c>
      <c r="AP45" s="94" t="n"/>
      <c r="AQ45" s="89" t="n"/>
      <c r="AR45" s="95" t="inlineStr">
        <is>
          <t>N</t>
        </is>
      </c>
      <c r="AS45" s="95" t="inlineStr">
        <is>
          <t>none</t>
        </is>
      </c>
      <c r="AT45" s="101" t="n"/>
      <c r="AU45" s="96" t="n">
        <v>79</v>
      </c>
      <c r="AV45" s="95" t="inlineStr">
        <is>
          <t>none</t>
        </is>
      </c>
      <c r="AW45" s="95" t="inlineStr">
        <is>
          <t>Y</t>
        </is>
      </c>
      <c r="AX45" s="95" t="inlineStr">
        <is>
          <t>2026-10-13 23:45:23</t>
        </is>
      </c>
      <c r="AY45" s="102" t="n"/>
      <c r="AZ45" s="102" t="n"/>
      <c r="BA45" s="101" t="n"/>
      <c r="BB45" s="101" t="n"/>
      <c r="BC45" s="87">
        <f>IF(AND(ISNUMBER(BA45),ISNUMBER(BB45),N(BA45)&gt;0),1-BB45/BA45,"")</f>
        <v/>
      </c>
      <c r="BD45" s="103" t="n"/>
      <c r="BE45" s="103" t="n"/>
      <c r="BF45" s="100">
        <f>IF(AND(ISNUMBER(BD45),ISNUMBER(BE45),N(BE45)&gt;0),BD45/BE45,"")</f>
        <v/>
      </c>
      <c r="BG45" s="102" t="n"/>
      <c r="BH45" s="102" t="n"/>
    </row>
    <row r="46" ht="62" customHeight="1">
      <c r="A46" s="39" t="inlineStr">
        <is>
          <t>IMAGE MISSING</t>
        </is>
      </c>
      <c r="B46" s="84" t="inlineStr">
        <is>
          <t>OLESILK</t>
        </is>
      </c>
      <c r="C46" s="32" t="inlineStr">
        <is>
          <t>SS Silk Sleep Mask</t>
        </is>
      </c>
      <c r="D46" s="84" t="inlineStr">
        <is>
          <t>Aspirational</t>
        </is>
      </c>
      <c r="E46" s="84" t="inlineStr">
        <is>
          <t>B07C7VH6CQ</t>
        </is>
      </c>
      <c r="F46" s="84" t="inlineStr">
        <is>
          <t>B07C7Y8QSW</t>
        </is>
      </c>
      <c r="G46" s="84" t="n"/>
      <c r="H46" s="84" t="n"/>
      <c r="I46" s="85" t="n">
        <v>13</v>
      </c>
      <c r="J46" s="32" t="inlineStr">
        <is>
          <t>B07C7Y8QSW (63%), B07RL1L8D4 (18%)</t>
        </is>
      </c>
      <c r="K46" s="86" t="n">
        <v>15.99</v>
      </c>
      <c r="L46" s="86" t="n"/>
      <c r="M46" s="87">
        <f>IF(AND(ISNUMBER(L46),ISNUMBER(K46),N(K46)&gt;0),L46/K46-1,"")</f>
        <v/>
      </c>
      <c r="N46" s="88">
        <f>IF(M46="","No List Price",IF(M46&lt;=0,"At/below price",IF(M46&lt;=0.12,"&lt;=12% STR zone",IF(M46&lt;=0.25,"12-25%","&gt;25% over"))))</f>
        <v/>
      </c>
      <c r="O46" s="86" t="n">
        <v>20.41153846153846</v>
      </c>
      <c r="P46" s="89">
        <f>IF(AND(ISNUMBER(K46),ISNUMBER(O46),N(O46)&gt;0),K46/O46-1,"")</f>
        <v/>
      </c>
      <c r="Q46" s="32" t="inlineStr">
        <is>
          <t>vs our blended price (Command Center, Mar 2026 - STALE)</t>
        </is>
      </c>
      <c r="R46" s="85" t="n">
        <v>17930</v>
      </c>
      <c r="S46" s="85" t="n">
        <v>185</v>
      </c>
      <c r="T46" s="90">
        <f>IF(AND(ISNUMBER(K46),ISNUMBER(S46)),K46*S46*52/12,"")</f>
        <v/>
      </c>
      <c r="U46" s="91" t="n">
        <v>4.4</v>
      </c>
      <c r="V46" s="85" t="n">
        <v>2501</v>
      </c>
      <c r="W46" s="92" t="n">
        <v>46307</v>
      </c>
      <c r="X46" s="92" t="n"/>
      <c r="Y46" s="84" t="n"/>
      <c r="Z46" s="84" t="n"/>
      <c r="AA46" s="85" t="n">
        <v>123074</v>
      </c>
      <c r="AB46" s="85" t="n">
        <v>563</v>
      </c>
      <c r="AC46" s="93" t="n">
        <v>0.3315021734891204</v>
      </c>
      <c r="AD46" s="93" t="n">
        <v>0.6685029843833791</v>
      </c>
      <c r="AE46" s="32" t="inlineStr">
        <is>
          <t>eye masks for sleep</t>
        </is>
      </c>
      <c r="AF46" s="93" t="n">
        <v>0.9726749760306808</v>
      </c>
      <c r="AG46" s="93" t="n"/>
      <c r="AH46" s="93" t="n"/>
      <c r="AI46" s="93" t="n"/>
      <c r="AJ46" s="85" t="n">
        <v>45</v>
      </c>
      <c r="AK46" s="85" t="n">
        <v>5</v>
      </c>
      <c r="AL46" s="85" t="n">
        <v>37</v>
      </c>
      <c r="AM46" s="85" t="n">
        <v>518</v>
      </c>
      <c r="AN46" s="85" t="n">
        <v>173</v>
      </c>
      <c r="AO46" s="85" t="n">
        <v>0</v>
      </c>
      <c r="AP46" s="94" t="n">
        <v>1.050397877984085</v>
      </c>
      <c r="AQ46" s="89" t="n">
        <v>0.08739076154806491</v>
      </c>
      <c r="AR46" s="95" t="inlineStr">
        <is>
          <t>N</t>
        </is>
      </c>
      <c r="AS46" s="95" t="inlineStr">
        <is>
          <t>none</t>
        </is>
      </c>
      <c r="AT46" s="101" t="n"/>
      <c r="AU46" s="96" t="n">
        <v>15.99</v>
      </c>
      <c r="AV46" s="95" t="inlineStr">
        <is>
          <t>none</t>
        </is>
      </c>
      <c r="AW46" s="95" t="inlineStr">
        <is>
          <t>Y</t>
        </is>
      </c>
      <c r="AX46" s="95" t="inlineStr">
        <is>
          <t>2026-10-13 23:46:26</t>
        </is>
      </c>
      <c r="AY46" s="102" t="n"/>
      <c r="AZ46" s="102" t="n"/>
      <c r="BA46" s="101" t="n"/>
      <c r="BB46" s="101" t="n"/>
      <c r="BC46" s="87">
        <f>IF(AND(ISNUMBER(BA46),ISNUMBER(BB46),N(BA46)&gt;0),1-BB46/BA46,"")</f>
        <v/>
      </c>
      <c r="BD46" s="103" t="n"/>
      <c r="BE46" s="103" t="n"/>
      <c r="BF46" s="100">
        <f>IF(AND(ISNUMBER(BD46),ISNUMBER(BE46),N(BE46)&gt;0),BD46/BE46,"")</f>
        <v/>
      </c>
      <c r="BG46" s="102" t="n"/>
      <c r="BH46" s="102" t="n"/>
    </row>
    <row r="47" ht="62" customHeight="1">
      <c r="A47" s="39" t="inlineStr">
        <is>
          <t>IMAGE MISSING</t>
        </is>
      </c>
      <c r="B47" s="84" t="inlineStr">
        <is>
          <t>BLISSY</t>
        </is>
      </c>
      <c r="C47" s="32" t="inlineStr">
        <is>
          <t>SS Silk Sleep Mask</t>
        </is>
      </c>
      <c r="D47" s="84" t="inlineStr">
        <is>
          <t>Beatable</t>
        </is>
      </c>
      <c r="E47" s="84" t="inlineStr">
        <is>
          <t>B0CWRWR64G</t>
        </is>
      </c>
      <c r="F47" s="84" t="inlineStr">
        <is>
          <t>B0BFDGC7CC</t>
        </is>
      </c>
      <c r="G47" s="84" t="n"/>
      <c r="H47" s="84" t="n"/>
      <c r="I47" s="85" t="n">
        <v>19</v>
      </c>
      <c r="J47" s="32" t="inlineStr">
        <is>
          <t>B0BFDGC7CC (80%), B0DFTHSYLY (7%)</t>
        </is>
      </c>
      <c r="K47" s="86" t="n">
        <v>27.87</v>
      </c>
      <c r="L47" s="86" t="n">
        <v>49.95</v>
      </c>
      <c r="M47" s="87">
        <f>IF(AND(ISNUMBER(L47),ISNUMBER(K47),N(K47)&gt;0),L47/K47-1,"")</f>
        <v/>
      </c>
      <c r="N47" s="88">
        <f>IF(M47="","No List Price",IF(M47&lt;=0,"At/below price",IF(M47&lt;=0.12,"&lt;=12% STR zone",IF(M47&lt;=0.25,"12-25%","&gt;25% over"))))</f>
        <v/>
      </c>
      <c r="O47" s="86" t="n">
        <v>20.41153846153846</v>
      </c>
      <c r="P47" s="89">
        <f>IF(AND(ISNUMBER(K47),ISNUMBER(O47),N(O47)&gt;0),K47/O47-1,"")</f>
        <v/>
      </c>
      <c r="Q47" s="32" t="inlineStr">
        <is>
          <t>vs our blended price (Command Center, Mar 2026 - STALE)</t>
        </is>
      </c>
      <c r="R47" s="85" t="n">
        <v>9693</v>
      </c>
      <c r="S47" s="85" t="n">
        <v>347</v>
      </c>
      <c r="T47" s="90">
        <f>IF(AND(ISNUMBER(K47),ISNUMBER(S47)),K47*S47*52/12,"")</f>
        <v/>
      </c>
      <c r="U47" s="91" t="n">
        <v>4.4</v>
      </c>
      <c r="V47" s="85" t="n">
        <v>1225</v>
      </c>
      <c r="W47" s="92" t="n">
        <v>46307</v>
      </c>
      <c r="X47" s="92" t="n"/>
      <c r="Y47" s="84" t="n"/>
      <c r="Z47" s="84" t="n"/>
      <c r="AA47" s="85" t="n">
        <v>150410</v>
      </c>
      <c r="AB47" s="85" t="n">
        <v>638</v>
      </c>
      <c r="AC47" s="93" t="n">
        <v>0.7120334106774815</v>
      </c>
      <c r="AD47" s="93" t="n">
        <v>0.2879665893225186</v>
      </c>
      <c r="AE47" s="32" t="inlineStr">
        <is>
          <t>eye mask</t>
        </is>
      </c>
      <c r="AF47" s="93" t="n">
        <v>0.8523834851406157</v>
      </c>
      <c r="AG47" s="93" t="n"/>
      <c r="AH47" s="93" t="n"/>
      <c r="AI47" s="93" t="n">
        <v>0.09252044411940695</v>
      </c>
      <c r="AJ47" s="85" t="n">
        <v>50</v>
      </c>
      <c r="AK47" s="85" t="n">
        <v>10</v>
      </c>
      <c r="AL47" s="85" t="n">
        <v>36</v>
      </c>
      <c r="AM47" s="85" t="n">
        <v>588</v>
      </c>
      <c r="AN47" s="85" t="n">
        <v>227</v>
      </c>
      <c r="AO47" s="85" t="n">
        <v>0</v>
      </c>
      <c r="AP47" s="94" t="n">
        <v>0.8843343432543218</v>
      </c>
      <c r="AQ47" s="89" t="n">
        <v>-0.3999127780200611</v>
      </c>
      <c r="AR47" s="95" t="inlineStr">
        <is>
          <t>Y</t>
        </is>
      </c>
      <c r="AS47" s="95" t="inlineStr">
        <is>
          <t>List Price</t>
        </is>
      </c>
      <c r="AT47" s="96" t="n">
        <v>49.95</v>
      </c>
      <c r="AU47" s="96" t="n">
        <v>27.87</v>
      </c>
      <c r="AV47" s="95" t="inlineStr">
        <is>
          <t>none</t>
        </is>
      </c>
      <c r="AW47" s="95" t="inlineStr">
        <is>
          <t>Y</t>
        </is>
      </c>
      <c r="AX47" s="95" t="inlineStr">
        <is>
          <t>2026-10-13 23:44:58</t>
        </is>
      </c>
      <c r="AY47" s="102" t="n"/>
      <c r="AZ47" s="102" t="n"/>
      <c r="BA47" s="101" t="n"/>
      <c r="BB47" s="101" t="n"/>
      <c r="BC47" s="87">
        <f>IF(AND(ISNUMBER(BA47),ISNUMBER(BB47),N(BA47)&gt;0),1-BB47/BA47,"")</f>
        <v/>
      </c>
      <c r="BD47" s="103" t="n"/>
      <c r="BE47" s="103" t="n"/>
      <c r="BF47" s="100">
        <f>IF(AND(ISNUMBER(BD47),ISNUMBER(BE47),N(BE47)&gt;0),BD47/BE47,"")</f>
        <v/>
      </c>
      <c r="BG47" s="102" t="n"/>
      <c r="BH47" s="102" t="n"/>
    </row>
    <row r="48" ht="62" customHeight="1">
      <c r="A48" s="10">
        <f>_xlfn.IMAGE("https://images-na.ssl-images-amazon.com/images/I/61GwSG1wveL.jpg")</f>
        <v/>
      </c>
      <c r="B48" s="84" t="inlineStr">
        <is>
          <t>SECZIPE</t>
        </is>
      </c>
      <c r="C48" s="32" t="inlineStr">
        <is>
          <t>SECZIPE 100% Mulberry Silk Sleep Mask Eye Mask for Women Man with Adjustable Band, for Side Sleeper Blackout Sleep Mask for Travel Rest and Office Large Size (Taupe)</t>
        </is>
      </c>
      <c r="D48" s="84" t="inlineStr">
        <is>
          <t>Beatable</t>
        </is>
      </c>
      <c r="E48" s="84" t="inlineStr">
        <is>
          <t>B0C6DZRBWV</t>
        </is>
      </c>
      <c r="F48" s="84" t="inlineStr">
        <is>
          <t>B0C6DYG511</t>
        </is>
      </c>
      <c r="G48" s="84" t="n"/>
      <c r="H48" s="84" t="inlineStr">
        <is>
          <t>Taupe</t>
        </is>
      </c>
      <c r="I48" s="85" t="n">
        <v>5</v>
      </c>
      <c r="J48" s="32" t="inlineStr">
        <is>
          <t>B0C6DYG511 (87%)</t>
        </is>
      </c>
      <c r="K48" s="86" t="n">
        <v>22.99</v>
      </c>
      <c r="L48" s="86" t="n"/>
      <c r="M48" s="87">
        <f>IF(AND(ISNUMBER(L48),ISNUMBER(K48),N(K48)&gt;0),L48/K48-1,"")</f>
        <v/>
      </c>
      <c r="N48" s="88">
        <f>IF(M48="","No List Price",IF(M48&lt;=0,"At/below price",IF(M48&lt;=0.12,"&lt;=12% STR zone",IF(M48&lt;=0.25,"12-25%","&gt;25% over"))))</f>
        <v/>
      </c>
      <c r="O48" s="86" t="n">
        <v>20.41153846153846</v>
      </c>
      <c r="P48" s="89">
        <f>IF(AND(ISNUMBER(K48),ISNUMBER(O48),N(O48)&gt;0),K48/O48-1,"")</f>
        <v/>
      </c>
      <c r="Q48" s="32" t="inlineStr">
        <is>
          <t>vs our blended price (Command Center, Mar 2026 - STALE)</t>
        </is>
      </c>
      <c r="R48" s="85" t="n">
        <v>18076</v>
      </c>
      <c r="S48" s="85" t="n">
        <v>220</v>
      </c>
      <c r="T48" s="90">
        <f>IF(AND(ISNUMBER(K48),ISNUMBER(S48)),K48*S48*52/12,"")</f>
        <v/>
      </c>
      <c r="U48" s="91" t="n">
        <v>4.5</v>
      </c>
      <c r="V48" s="85" t="n">
        <v>867</v>
      </c>
      <c r="W48" s="92" t="n">
        <v>46307</v>
      </c>
      <c r="X48" s="92" t="n">
        <v>45169</v>
      </c>
      <c r="Y48" s="84" t="inlineStr">
        <is>
          <t>FBA</t>
        </is>
      </c>
      <c r="Z48" s="84" t="inlineStr">
        <is>
          <t>CN</t>
        </is>
      </c>
      <c r="AA48" s="85" t="n">
        <v>190502</v>
      </c>
      <c r="AB48" s="85" t="n">
        <v>1005</v>
      </c>
      <c r="AC48" s="93" t="n">
        <v>0.3638504939580689</v>
      </c>
      <c r="AD48" s="93" t="n">
        <v>0.6361497076146179</v>
      </c>
      <c r="AE48" s="32" t="inlineStr">
        <is>
          <t>sleep mask</t>
        </is>
      </c>
      <c r="AF48" s="93" t="n">
        <v>0.9771865912168901</v>
      </c>
      <c r="AG48" s="93" t="n">
        <v>0.1361350537002236</v>
      </c>
      <c r="AH48" s="93" t="n"/>
      <c r="AI48" s="93" t="n">
        <v>0.005595741776989218</v>
      </c>
      <c r="AJ48" s="85" t="n">
        <v>50</v>
      </c>
      <c r="AK48" s="85" t="n">
        <v>8</v>
      </c>
      <c r="AL48" s="85" t="n">
        <v>39</v>
      </c>
      <c r="AM48" s="85" t="n">
        <v>955</v>
      </c>
      <c r="AN48" s="85" t="n">
        <v>417</v>
      </c>
      <c r="AO48" s="85" t="n">
        <v>0</v>
      </c>
      <c r="AP48" s="94" t="n">
        <v>0.9280217292892712</v>
      </c>
      <c r="AQ48" s="89" t="n">
        <v>0.2546646495209279</v>
      </c>
      <c r="AR48" s="95" t="inlineStr">
        <is>
          <t>N</t>
        </is>
      </c>
      <c r="AS48" s="95" t="inlineStr">
        <is>
          <t>none</t>
        </is>
      </c>
      <c r="AT48" s="101" t="n"/>
      <c r="AU48" s="96" t="n">
        <v>22.99</v>
      </c>
      <c r="AV48" s="95" t="inlineStr">
        <is>
          <t>none</t>
        </is>
      </c>
      <c r="AW48" s="95" t="inlineStr">
        <is>
          <t>Y</t>
        </is>
      </c>
      <c r="AX48" s="95" t="inlineStr">
        <is>
          <t>2026-10-13 23:46:42</t>
        </is>
      </c>
      <c r="AY48" s="102" t="n"/>
      <c r="AZ48" s="102" t="n"/>
      <c r="BA48" s="101" t="n"/>
      <c r="BB48" s="101" t="n"/>
      <c r="BC48" s="87">
        <f>IF(AND(ISNUMBER(BA48),ISNUMBER(BB48),N(BA48)&gt;0),1-BB48/BA48,"")</f>
        <v/>
      </c>
      <c r="BD48" s="103" t="n"/>
      <c r="BE48" s="103" t="n"/>
      <c r="BF48" s="100">
        <f>IF(AND(ISNUMBER(BD48),ISNUMBER(BE48),N(BE48)&gt;0),BD48/BE48,"")</f>
        <v/>
      </c>
      <c r="BG48" s="102" t="n"/>
      <c r="BH48" s="102" t="n"/>
    </row>
    <row r="49" ht="62" customHeight="1">
      <c r="A49" s="39" t="inlineStr">
        <is>
          <t>IMAGE MISSING</t>
        </is>
      </c>
      <c r="B49" s="84" t="inlineStr">
        <is>
          <t>Umisleep Store</t>
        </is>
      </c>
      <c r="C49" s="32" t="inlineStr">
        <is>
          <t>SS Silk Sleep Mask</t>
        </is>
      </c>
      <c r="D49" s="84" t="inlineStr">
        <is>
          <t>Beatable</t>
        </is>
      </c>
      <c r="E49" s="84" t="inlineStr">
        <is>
          <t>B0FBWPMZHX</t>
        </is>
      </c>
      <c r="F49" s="84" t="inlineStr">
        <is>
          <t>B0F7R9NPSW</t>
        </is>
      </c>
      <c r="G49" s="84" t="n"/>
      <c r="H49" s="84" t="n"/>
      <c r="I49" s="85" t="n">
        <v>3</v>
      </c>
      <c r="J49" s="32" t="inlineStr">
        <is>
          <t>B0F7R9NPSW (84%)</t>
        </is>
      </c>
      <c r="K49" s="86" t="n">
        <v>17.99</v>
      </c>
      <c r="L49" s="86" t="n">
        <v>18.99</v>
      </c>
      <c r="M49" s="87">
        <f>IF(AND(ISNUMBER(L49),ISNUMBER(K49),N(K49)&gt;0),L49/K49-1,"")</f>
        <v/>
      </c>
      <c r="N49" s="88">
        <f>IF(M49="","No List Price",IF(M49&lt;=0,"At/below price",IF(M49&lt;=0.12,"&lt;=12% STR zone",IF(M49&lt;=0.25,"12-25%","&gt;25% over"))))</f>
        <v/>
      </c>
      <c r="O49" s="86" t="n">
        <v>20.41153846153846</v>
      </c>
      <c r="P49" s="89">
        <f>IF(AND(ISNUMBER(K49),ISNUMBER(O49),N(O49)&gt;0),K49/O49-1,"")</f>
        <v/>
      </c>
      <c r="Q49" s="32" t="inlineStr">
        <is>
          <t>vs our blended price (Command Center, Mar 2026 - STALE)</t>
        </is>
      </c>
      <c r="R49" s="85" t="n">
        <v>31138</v>
      </c>
      <c r="S49" s="85" t="n">
        <v>173</v>
      </c>
      <c r="T49" s="90">
        <f>IF(AND(ISNUMBER(K49),ISNUMBER(S49)),K49*S49*52/12,"")</f>
        <v/>
      </c>
      <c r="U49" s="91" t="n">
        <v>4.5</v>
      </c>
      <c r="V49" s="85" t="n">
        <v>402</v>
      </c>
      <c r="W49" s="92" t="n">
        <v>46307</v>
      </c>
      <c r="X49" s="92" t="n"/>
      <c r="Y49" s="84" t="n"/>
      <c r="Z49" s="84" t="n"/>
      <c r="AA49" s="85" t="n">
        <v>66655</v>
      </c>
      <c r="AB49" s="85" t="n">
        <v>578</v>
      </c>
      <c r="AC49" s="93" t="n">
        <v>0.5586979461405747</v>
      </c>
      <c r="AD49" s="93" t="n">
        <v>0.4413021498762283</v>
      </c>
      <c r="AE49" s="32" t="inlineStr">
        <is>
          <t>sleep mask</t>
        </is>
      </c>
      <c r="AF49" s="93" t="n">
        <v>0.863221063686145</v>
      </c>
      <c r="AG49" s="93" t="n">
        <v>0.6191433500862651</v>
      </c>
      <c r="AH49" s="93" t="n"/>
      <c r="AI49" s="93" t="n"/>
      <c r="AJ49" s="85" t="n">
        <v>47</v>
      </c>
      <c r="AK49" s="85" t="n">
        <v>7</v>
      </c>
      <c r="AL49" s="85" t="n">
        <v>37</v>
      </c>
      <c r="AM49" s="85" t="n">
        <v>531</v>
      </c>
      <c r="AN49" s="85" t="n">
        <v>178</v>
      </c>
      <c r="AO49" s="85" t="n">
        <v>0</v>
      </c>
      <c r="AP49" s="94" t="n">
        <v>0.9713988559542381</v>
      </c>
      <c r="AQ49" s="89" t="n">
        <v>-0.1567164179104477</v>
      </c>
      <c r="AR49" s="95" t="inlineStr">
        <is>
          <t>Y</t>
        </is>
      </c>
      <c r="AS49" s="95" t="inlineStr">
        <is>
          <t>List Price</t>
        </is>
      </c>
      <c r="AT49" s="96" t="n">
        <v>18.99</v>
      </c>
      <c r="AU49" s="96" t="n">
        <v>17.99</v>
      </c>
      <c r="AV49" s="95" t="inlineStr">
        <is>
          <t>none</t>
        </is>
      </c>
      <c r="AW49" s="95" t="inlineStr">
        <is>
          <t>Y</t>
        </is>
      </c>
      <c r="AX49" s="95" t="inlineStr">
        <is>
          <t>2026-10-13 23:47:03</t>
        </is>
      </c>
      <c r="AY49" s="102" t="n"/>
      <c r="AZ49" s="102" t="n"/>
      <c r="BA49" s="101" t="n"/>
      <c r="BB49" s="101" t="n"/>
      <c r="BC49" s="87">
        <f>IF(AND(ISNUMBER(BA49),ISNUMBER(BB49),N(BA49)&gt;0),1-BB49/BA49,"")</f>
        <v/>
      </c>
      <c r="BD49" s="103" t="n"/>
      <c r="BE49" s="103" t="n"/>
      <c r="BF49" s="100">
        <f>IF(AND(ISNUMBER(BD49),ISNUMBER(BE49),N(BE49)&gt;0),BD49/BE49,"")</f>
        <v/>
      </c>
      <c r="BG49" s="102" t="n"/>
      <c r="BH49" s="102" t="n"/>
    </row>
    <row r="50" ht="62" customHeight="1">
      <c r="A50" s="10">
        <f>_xlfn.IMAGE("https://images-na.ssl-images-amazon.com/images/I/71VepaC3F7L.jpg")</f>
        <v/>
      </c>
      <c r="B50" s="84" t="inlineStr">
        <is>
          <t>ATreebay</t>
        </is>
      </c>
      <c r="C50" s="32" t="inlineStr">
        <is>
          <t>SS Silk Sleep Mask</t>
        </is>
      </c>
      <c r="D50" s="84" t="inlineStr">
        <is>
          <t>Beatable</t>
        </is>
      </c>
      <c r="E50" s="84" t="inlineStr">
        <is>
          <t>B0DFGZZ7F1</t>
        </is>
      </c>
      <c r="F50" s="84" t="inlineStr">
        <is>
          <t>B0DFGZPP7K</t>
        </is>
      </c>
      <c r="G50" s="84" t="n"/>
      <c r="H50" s="84" t="n"/>
      <c r="I50" s="85" t="n">
        <v>5</v>
      </c>
      <c r="J50" s="32" t="inlineStr">
        <is>
          <t>B0DFGZ1MXL (62%), B0DFGZPP7K (38%)</t>
        </is>
      </c>
      <c r="K50" s="86" t="n">
        <v>22.99</v>
      </c>
      <c r="L50" s="86" t="n"/>
      <c r="M50" s="87">
        <f>IF(AND(ISNUMBER(L50),ISNUMBER(K50),N(K50)&gt;0),L50/K50-1,"")</f>
        <v/>
      </c>
      <c r="N50" s="88">
        <f>IF(M50="","No List Price",IF(M50&lt;=0,"At/below price",IF(M50&lt;=0.12,"&lt;=12% STR zone",IF(M50&lt;=0.25,"12-25%","&gt;25% over"))))</f>
        <v/>
      </c>
      <c r="O50" s="86" t="n">
        <v>20.41153846153846</v>
      </c>
      <c r="P50" s="89">
        <f>IF(AND(ISNUMBER(K50),ISNUMBER(O50),N(O50)&gt;0),K50/O50-1,"")</f>
        <v/>
      </c>
      <c r="Q50" s="32" t="inlineStr">
        <is>
          <t>vs our blended price (Command Center, Mar 2026 - STALE)</t>
        </is>
      </c>
      <c r="R50" s="85" t="n">
        <v>30513</v>
      </c>
      <c r="S50" s="85" t="n">
        <v>92</v>
      </c>
      <c r="T50" s="90">
        <f>IF(AND(ISNUMBER(K50),ISNUMBER(S50)),K50*S50*52/12,"")</f>
        <v/>
      </c>
      <c r="U50" s="91" t="n">
        <v>4.5</v>
      </c>
      <c r="V50" s="85" t="n">
        <v>345</v>
      </c>
      <c r="W50" s="92" t="n">
        <v>46307</v>
      </c>
      <c r="X50" s="92" t="n"/>
      <c r="Y50" s="84" t="n"/>
      <c r="Z50" s="84" t="n"/>
      <c r="AA50" s="85" t="n">
        <v>81189</v>
      </c>
      <c r="AB50" s="85" t="n">
        <v>467</v>
      </c>
      <c r="AC50" s="93" t="n">
        <v>0.6977105777876312</v>
      </c>
      <c r="AD50" s="93" t="n">
        <v>0.3022894222123687</v>
      </c>
      <c r="AE50" s="32" t="inlineStr">
        <is>
          <t>sleep mask</t>
        </is>
      </c>
      <c r="AF50" s="93" t="n">
        <v>0.8474423875155501</v>
      </c>
      <c r="AG50" s="93" t="n"/>
      <c r="AH50" s="93" t="n">
        <v>0.1174543349468524</v>
      </c>
      <c r="AI50" s="93" t="n"/>
      <c r="AJ50" s="85" t="n">
        <v>46</v>
      </c>
      <c r="AK50" s="85" t="n">
        <v>8</v>
      </c>
      <c r="AL50" s="85" t="n">
        <v>34</v>
      </c>
      <c r="AM50" s="85" t="n">
        <v>421</v>
      </c>
      <c r="AN50" s="85" t="n">
        <v>38</v>
      </c>
      <c r="AO50" s="85" t="n">
        <v>0</v>
      </c>
      <c r="AP50" s="94" t="n">
        <v>2.084468664850136</v>
      </c>
      <c r="AQ50" s="89" t="n">
        <v>0.4383333333333332</v>
      </c>
      <c r="AR50" s="95" t="inlineStr">
        <is>
          <t>N</t>
        </is>
      </c>
      <c r="AS50" s="95" t="inlineStr">
        <is>
          <t>none</t>
        </is>
      </c>
      <c r="AT50" s="101" t="n"/>
      <c r="AU50" s="96" t="n">
        <v>22.99</v>
      </c>
      <c r="AV50" s="95" t="inlineStr">
        <is>
          <t>none</t>
        </is>
      </c>
      <c r="AW50" s="95" t="inlineStr">
        <is>
          <t>Y</t>
        </is>
      </c>
      <c r="AX50" s="95" t="inlineStr">
        <is>
          <t>2026-10-13 23:44:49</t>
        </is>
      </c>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39" t="inlineStr">
        <is>
          <t>IMAGE MISSING</t>
        </is>
      </c>
      <c r="B51" s="84" t="inlineStr">
        <is>
          <t>YFONG</t>
        </is>
      </c>
      <c r="C51" s="32" t="inlineStr">
        <is>
          <t>SS Silk Sleep Mask</t>
        </is>
      </c>
      <c r="D51" s="84" t="inlineStr">
        <is>
          <t>Beatable</t>
        </is>
      </c>
      <c r="E51" s="84" t="inlineStr">
        <is>
          <t>B0D4Q3KB7S</t>
        </is>
      </c>
      <c r="F51" s="84" t="inlineStr">
        <is>
          <t>B0D4PKVNWB</t>
        </is>
      </c>
      <c r="G51" s="84" t="n"/>
      <c r="H51" s="84" t="n"/>
      <c r="I51" s="85" t="n"/>
      <c r="J51" s="32" t="inlineStr"/>
      <c r="K51" s="86" t="n">
        <v>14.99</v>
      </c>
      <c r="L51" s="86" t="n"/>
      <c r="M51" s="87">
        <f>IF(AND(ISNUMBER(L51),ISNUMBER(K51),N(K51)&gt;0),L51/K51-1,"")</f>
        <v/>
      </c>
      <c r="N51" s="88">
        <f>IF(M51="","No List Price",IF(M51&lt;=0,"At/below price",IF(M51&lt;=0.12,"&lt;=12% STR zone",IF(M51&lt;=0.25,"12-25%","&gt;25% over"))))</f>
        <v/>
      </c>
      <c r="O51" s="86" t="n">
        <v>20.41153846153846</v>
      </c>
      <c r="P51" s="89">
        <f>IF(AND(ISNUMBER(K51),ISNUMBER(O51),N(O51)&gt;0),K51/O51-1,"")</f>
        <v/>
      </c>
      <c r="Q51" s="32" t="inlineStr">
        <is>
          <t>vs our blended price (Command Center, Mar 2026 - STALE)</t>
        </is>
      </c>
      <c r="R51" s="85" t="n">
        <v>47070</v>
      </c>
      <c r="S51" s="85" t="n"/>
      <c r="T51" s="90">
        <f>IF(AND(ISNUMBER(K51),ISNUMBER(S51)),K51*S51*52/12,"")</f>
        <v/>
      </c>
      <c r="U51" s="91" t="n">
        <v>4.3</v>
      </c>
      <c r="V51" s="85" t="n">
        <v>272</v>
      </c>
      <c r="W51" s="92" t="n">
        <v>46307</v>
      </c>
      <c r="X51" s="92" t="n"/>
      <c r="Y51" s="84" t="n"/>
      <c r="Z51" s="84" t="n"/>
      <c r="AA51" s="85" t="n"/>
      <c r="AB51" s="85" t="n"/>
      <c r="AC51" s="93" t="n"/>
      <c r="AD51" s="93" t="n"/>
      <c r="AE51" s="32" t="n"/>
      <c r="AF51" s="93" t="n"/>
      <c r="AG51" s="93" t="n"/>
      <c r="AH51" s="93" t="n"/>
      <c r="AI51" s="93" t="n"/>
      <c r="AJ51" s="85" t="n"/>
      <c r="AK51" s="85" t="n"/>
      <c r="AL51" s="85" t="n"/>
      <c r="AM51" s="85" t="n"/>
      <c r="AN51" s="85" t="n"/>
      <c r="AO51" s="85" t="n"/>
      <c r="AP51" s="94" t="n">
        <v>1.057692307692308</v>
      </c>
      <c r="AQ51" s="89" t="n">
        <v>-1</v>
      </c>
      <c r="AR51" s="95" t="inlineStr">
        <is>
          <t>unknown</t>
        </is>
      </c>
      <c r="AS51" s="102" t="n"/>
      <c r="AT51" s="101" t="n"/>
      <c r="AU51" s="101" t="n"/>
      <c r="AV51" s="102" t="n"/>
      <c r="AW51" s="102" t="n"/>
      <c r="AX51" s="95" t="inlineStr">
        <is>
          <t>2026-10-13 23:47:13</t>
        </is>
      </c>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39" t="inlineStr">
        <is>
          <t>IMAGE MISSING</t>
        </is>
      </c>
      <c r="B52" s="84" t="inlineStr">
        <is>
          <t>LitBear</t>
        </is>
      </c>
      <c r="C52" s="32" t="inlineStr">
        <is>
          <t>SS Silk Sleep Mask</t>
        </is>
      </c>
      <c r="D52" s="84" t="inlineStr">
        <is>
          <t>Untiered</t>
        </is>
      </c>
      <c r="E52" s="84" t="inlineStr">
        <is>
          <t>B09YQ2GFGB</t>
        </is>
      </c>
      <c r="F52" s="84" t="inlineStr">
        <is>
          <t>B09H7FZ5JM</t>
        </is>
      </c>
      <c r="G52" s="84" t="n"/>
      <c r="H52" s="84" t="n"/>
      <c r="I52" s="85" t="n"/>
      <c r="J52" s="32" t="inlineStr"/>
      <c r="K52" s="86" t="n">
        <v>12.95</v>
      </c>
      <c r="L52" s="86" t="n">
        <v>14.39</v>
      </c>
      <c r="M52" s="87">
        <f>IF(AND(ISNUMBER(L52),ISNUMBER(K52),N(K52)&gt;0),L52/K52-1,"")</f>
        <v/>
      </c>
      <c r="N52" s="88">
        <f>IF(M52="","No List Price",IF(M52&lt;=0,"At/below price",IF(M52&lt;=0.12,"&lt;=12% STR zone",IF(M52&lt;=0.25,"12-25%","&gt;25% over"))))</f>
        <v/>
      </c>
      <c r="O52" s="86" t="n">
        <v>20.41153846153846</v>
      </c>
      <c r="P52" s="89">
        <f>IF(AND(ISNUMBER(K52),ISNUMBER(O52),N(O52)&gt;0),K52/O52-1,"")</f>
        <v/>
      </c>
      <c r="Q52" s="32" t="inlineStr">
        <is>
          <t>vs our blended price (Command Center, Mar 2026 - STALE)</t>
        </is>
      </c>
      <c r="R52" s="85" t="n">
        <v>1574</v>
      </c>
      <c r="S52" s="85" t="n">
        <v>3464</v>
      </c>
      <c r="T52" s="90">
        <f>IF(AND(ISNUMBER(K52),ISNUMBER(S52)),K52*S52*52/12,"")</f>
        <v/>
      </c>
      <c r="U52" s="91" t="n">
        <v>4.7</v>
      </c>
      <c r="V52" s="85" t="n">
        <v>17354</v>
      </c>
      <c r="W52" s="92" t="n">
        <v>46307</v>
      </c>
      <c r="X52" s="92" t="n"/>
      <c r="Y52" s="84" t="n"/>
      <c r="Z52" s="84" t="n"/>
      <c r="AA52" s="85" t="n"/>
      <c r="AB52" s="85" t="n"/>
      <c r="AC52" s="93" t="n"/>
      <c r="AD52" s="93" t="n"/>
      <c r="AE52" s="32" t="n"/>
      <c r="AF52" s="93" t="n"/>
      <c r="AG52" s="93" t="n"/>
      <c r="AH52" s="93" t="n"/>
      <c r="AI52" s="93" t="n"/>
      <c r="AJ52" s="85" t="n"/>
      <c r="AK52" s="85" t="n"/>
      <c r="AL52" s="85" t="n"/>
      <c r="AM52" s="85" t="n"/>
      <c r="AN52" s="85" t="n"/>
      <c r="AO52" s="85" t="n"/>
      <c r="AP52" s="94" t="n">
        <v>0.9930349542112731</v>
      </c>
      <c r="AQ52" s="89" t="n">
        <v>0.2237064116985374</v>
      </c>
      <c r="AR52" s="95" t="inlineStr">
        <is>
          <t>Y</t>
        </is>
      </c>
      <c r="AS52" s="95" t="inlineStr">
        <is>
          <t>Typical price</t>
        </is>
      </c>
      <c r="AT52" s="96" t="n">
        <v>14.39</v>
      </c>
      <c r="AU52" s="96" t="n">
        <v>12.95</v>
      </c>
      <c r="AV52" s="95" t="inlineStr">
        <is>
          <t>Limited time deal</t>
        </is>
      </c>
      <c r="AW52" s="95" t="inlineStr">
        <is>
          <t>Y</t>
        </is>
      </c>
      <c r="AX52" s="95" t="inlineStr">
        <is>
          <t>2026-10-13 23:46:10</t>
        </is>
      </c>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39" t="inlineStr">
        <is>
          <t>IMAGE MISSING</t>
        </is>
      </c>
      <c r="B53" s="84" t="inlineStr">
        <is>
          <t>Kitsch</t>
        </is>
      </c>
      <c r="C53" s="32" t="inlineStr">
        <is>
          <t>SS Silk Sleep Mask</t>
        </is>
      </c>
      <c r="D53" s="84" t="inlineStr">
        <is>
          <t>Untiered</t>
        </is>
      </c>
      <c r="E53" s="84" t="inlineStr">
        <is>
          <t>B0FNPM9ZM4</t>
        </is>
      </c>
      <c r="F53" s="84" t="inlineStr">
        <is>
          <t>B09GYPT47K</t>
        </is>
      </c>
      <c r="G53" s="84" t="n"/>
      <c r="H53" s="84" t="n"/>
      <c r="I53" s="85" t="n"/>
      <c r="J53" s="32" t="inlineStr"/>
      <c r="K53" s="86" t="n">
        <v>17.99</v>
      </c>
      <c r="L53" s="86" t="n">
        <v>17.99</v>
      </c>
      <c r="M53" s="87">
        <f>IF(AND(ISNUMBER(L53),ISNUMBER(K53),N(K53)&gt;0),L53/K53-1,"")</f>
        <v/>
      </c>
      <c r="N53" s="88">
        <f>IF(M53="","No List Price",IF(M53&lt;=0,"At/below price",IF(M53&lt;=0.12,"&lt;=12% STR zone",IF(M53&lt;=0.25,"12-25%","&gt;25% over"))))</f>
        <v/>
      </c>
      <c r="O53" s="86" t="n">
        <v>20.41153846153846</v>
      </c>
      <c r="P53" s="89">
        <f>IF(AND(ISNUMBER(K53),ISNUMBER(O53),N(O53)&gt;0),K53/O53-1,"")</f>
        <v/>
      </c>
      <c r="Q53" s="32" t="inlineStr">
        <is>
          <t>vs our blended price (Command Center, Mar 2026 - STALE)</t>
        </is>
      </c>
      <c r="R53" s="85" t="n">
        <v>1837</v>
      </c>
      <c r="S53" s="85" t="n">
        <v>1848</v>
      </c>
      <c r="T53" s="90">
        <f>IF(AND(ISNUMBER(K53),ISNUMBER(S53)),K53*S53*52/12,"")</f>
        <v/>
      </c>
      <c r="U53" s="91" t="n">
        <v>4.3</v>
      </c>
      <c r="V53" s="85" t="n">
        <v>1648</v>
      </c>
      <c r="W53" s="92" t="n">
        <v>46307</v>
      </c>
      <c r="X53" s="92" t="n"/>
      <c r="Y53" s="84" t="n"/>
      <c r="Z53" s="84" t="n"/>
      <c r="AA53" s="85" t="n"/>
      <c r="AB53" s="85" t="n"/>
      <c r="AC53" s="93" t="n"/>
      <c r="AD53" s="93" t="n"/>
      <c r="AE53" s="32" t="n"/>
      <c r="AF53" s="93" t="n"/>
      <c r="AG53" s="93" t="n"/>
      <c r="AH53" s="93" t="n"/>
      <c r="AI53" s="93" t="n"/>
      <c r="AJ53" s="85" t="n"/>
      <c r="AK53" s="85" t="n"/>
      <c r="AL53" s="85" t="n"/>
      <c r="AM53" s="85" t="n"/>
      <c r="AN53" s="85" t="n"/>
      <c r="AO53" s="85" t="n"/>
      <c r="AP53" s="94" t="n"/>
      <c r="AQ53" s="89" t="n"/>
      <c r="AR53" s="95" t="inlineStr">
        <is>
          <t>N</t>
        </is>
      </c>
      <c r="AS53" s="95" t="inlineStr">
        <is>
          <t>none</t>
        </is>
      </c>
      <c r="AT53" s="101" t="n"/>
      <c r="AU53" s="96" t="n">
        <v>17.99</v>
      </c>
      <c r="AV53" s="95" t="inlineStr">
        <is>
          <t>none</t>
        </is>
      </c>
      <c r="AW53" s="95" t="inlineStr">
        <is>
          <t>Y</t>
        </is>
      </c>
      <c r="AX53" s="95" t="inlineStr">
        <is>
          <t>2026-10-13 23:46:04</t>
        </is>
      </c>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39" t="inlineStr">
        <is>
          <t>IMAGE MISSING</t>
        </is>
      </c>
      <c r="B54" s="84" t="inlineStr">
        <is>
          <t>spacepower</t>
        </is>
      </c>
      <c r="C54" s="32" t="inlineStr">
        <is>
          <t>SS Silk Sleep Mask</t>
        </is>
      </c>
      <c r="D54" s="84" t="inlineStr">
        <is>
          <t>Untiered</t>
        </is>
      </c>
      <c r="E54" s="84" t="inlineStr">
        <is>
          <t>B0H9RJ7HSY</t>
        </is>
      </c>
      <c r="F54" s="84" t="inlineStr">
        <is>
          <t>B07J41LJJZ</t>
        </is>
      </c>
      <c r="G54" s="84" t="n"/>
      <c r="H54" s="84" t="n"/>
      <c r="I54" s="85" t="n"/>
      <c r="J54" s="32" t="inlineStr"/>
      <c r="K54" s="86" t="n">
        <v>4.99</v>
      </c>
      <c r="L54" s="86" t="n"/>
      <c r="M54" s="87">
        <f>IF(AND(ISNUMBER(L54),ISNUMBER(K54),N(K54)&gt;0),L54/K54-1,"")</f>
        <v/>
      </c>
      <c r="N54" s="88">
        <f>IF(M54="","No List Price",IF(M54&lt;=0,"At/below price",IF(M54&lt;=0.12,"&lt;=12% STR zone",IF(M54&lt;=0.25,"12-25%","&gt;25% over"))))</f>
        <v/>
      </c>
      <c r="O54" s="86" t="n">
        <v>20.41153846153846</v>
      </c>
      <c r="P54" s="89">
        <f>IF(AND(ISNUMBER(K54),ISNUMBER(O54),N(O54)&gt;0),K54/O54-1,"")</f>
        <v/>
      </c>
      <c r="Q54" s="32" t="inlineStr">
        <is>
          <t>vs our blended price (Command Center, Mar 2026 - STALE)</t>
        </is>
      </c>
      <c r="R54" s="85" t="n">
        <v>8110</v>
      </c>
      <c r="S54" s="85" t="n">
        <v>809</v>
      </c>
      <c r="T54" s="90">
        <f>IF(AND(ISNUMBER(K54),ISNUMBER(S54)),K54*S54*52/12,"")</f>
        <v/>
      </c>
      <c r="U54" s="91" t="n">
        <v>4.6</v>
      </c>
      <c r="V54" s="85" t="n">
        <v>5889</v>
      </c>
      <c r="W54" s="92" t="n">
        <v>46307</v>
      </c>
      <c r="X54" s="92" t="n"/>
      <c r="Y54" s="84" t="n"/>
      <c r="Z54" s="84" t="n"/>
      <c r="AA54" s="85" t="n"/>
      <c r="AB54" s="85" t="n"/>
      <c r="AC54" s="93" t="n"/>
      <c r="AD54" s="93" t="n"/>
      <c r="AE54" s="32" t="n"/>
      <c r="AF54" s="93" t="n"/>
      <c r="AG54" s="93" t="n"/>
      <c r="AH54" s="93" t="n"/>
      <c r="AI54" s="93" t="n"/>
      <c r="AJ54" s="85" t="n"/>
      <c r="AK54" s="85" t="n"/>
      <c r="AL54" s="85" t="n"/>
      <c r="AM54" s="85" t="n"/>
      <c r="AN54" s="85" t="n"/>
      <c r="AO54" s="85" t="n"/>
      <c r="AP54" s="94" t="n"/>
      <c r="AQ54" s="89" t="n"/>
      <c r="AR54" s="95" t="inlineStr">
        <is>
          <t>N</t>
        </is>
      </c>
      <c r="AS54" s="95" t="inlineStr">
        <is>
          <t>none</t>
        </is>
      </c>
      <c r="AT54" s="101" t="n"/>
      <c r="AU54" s="96" t="n">
        <v>4.99</v>
      </c>
      <c r="AV54" s="95" t="inlineStr">
        <is>
          <t>none</t>
        </is>
      </c>
      <c r="AW54" s="95" t="inlineStr">
        <is>
          <t>Y</t>
        </is>
      </c>
      <c r="AX54" s="95" t="inlineStr">
        <is>
          <t>2026-10-13 23:47:42</t>
        </is>
      </c>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39" t="inlineStr">
        <is>
          <t>IMAGE MISSING</t>
        </is>
      </c>
      <c r="B55" s="84" t="inlineStr">
        <is>
          <t>Jersey Slumber</t>
        </is>
      </c>
      <c r="C55" s="32" t="inlineStr">
        <is>
          <t>SS Silk Sleep Mask</t>
        </is>
      </c>
      <c r="D55" s="84" t="inlineStr">
        <is>
          <t>Untiered</t>
        </is>
      </c>
      <c r="E55" s="84" t="inlineStr">
        <is>
          <t>B0D4MHYD6C</t>
        </is>
      </c>
      <c r="F55" s="84" t="inlineStr">
        <is>
          <t>B014VYD7NW</t>
        </is>
      </c>
      <c r="G55" s="84" t="n"/>
      <c r="H55" s="84" t="n"/>
      <c r="I55" s="85" t="n"/>
      <c r="J55" s="32" t="inlineStr"/>
      <c r="K55" s="86" t="n">
        <v>8.890000000000001</v>
      </c>
      <c r="L55" s="86" t="n"/>
      <c r="M55" s="87">
        <f>IF(AND(ISNUMBER(L55),ISNUMBER(K55),N(K55)&gt;0),L55/K55-1,"")</f>
        <v/>
      </c>
      <c r="N55" s="88">
        <f>IF(M55="","No List Price",IF(M55&lt;=0,"At/below price",IF(M55&lt;=0.12,"&lt;=12% STR zone",IF(M55&lt;=0.25,"12-25%","&gt;25% over"))))</f>
        <v/>
      </c>
      <c r="O55" s="86" t="n">
        <v>20.41153846153846</v>
      </c>
      <c r="P55" s="89">
        <f>IF(AND(ISNUMBER(K55),ISNUMBER(O55),N(O55)&gt;0),K55/O55-1,"")</f>
        <v/>
      </c>
      <c r="Q55" s="32" t="inlineStr">
        <is>
          <t>vs our blended price (Command Center, Mar 2026 - STALE)</t>
        </is>
      </c>
      <c r="R55" s="85" t="n">
        <v>25636</v>
      </c>
      <c r="S55" s="85" t="n">
        <v>220</v>
      </c>
      <c r="T55" s="90">
        <f>IF(AND(ISNUMBER(K55),ISNUMBER(S55)),K55*S55*52/12,"")</f>
        <v/>
      </c>
      <c r="U55" s="91" t="n">
        <v>4.5</v>
      </c>
      <c r="V55" s="85" t="n">
        <v>28100</v>
      </c>
      <c r="W55" s="92" t="n">
        <v>46307</v>
      </c>
      <c r="X55" s="92" t="n"/>
      <c r="Y55" s="84" t="n"/>
      <c r="Z55" s="84" t="n"/>
      <c r="AA55" s="85" t="n"/>
      <c r="AB55" s="85" t="n"/>
      <c r="AC55" s="93" t="n"/>
      <c r="AD55" s="93" t="n"/>
      <c r="AE55" s="32" t="n"/>
      <c r="AF55" s="93" t="n"/>
      <c r="AG55" s="93" t="n"/>
      <c r="AH55" s="93" t="n"/>
      <c r="AI55" s="93" t="n"/>
      <c r="AJ55" s="85" t="n"/>
      <c r="AK55" s="85" t="n"/>
      <c r="AL55" s="85" t="n"/>
      <c r="AM55" s="85" t="n"/>
      <c r="AN55" s="85" t="n"/>
      <c r="AO55" s="85" t="n"/>
      <c r="AP55" s="94" t="n">
        <v>0.7335907335907336</v>
      </c>
      <c r="AQ55" s="89" t="n">
        <v>-0.3853006681514476</v>
      </c>
      <c r="AR55" s="95" t="inlineStr">
        <is>
          <t>N</t>
        </is>
      </c>
      <c r="AS55" s="95" t="inlineStr">
        <is>
          <t>none</t>
        </is>
      </c>
      <c r="AT55" s="101" t="n"/>
      <c r="AU55" s="96" t="n">
        <v>8.890000000000001</v>
      </c>
      <c r="AV55" s="95" t="inlineStr">
        <is>
          <t>none</t>
        </is>
      </c>
      <c r="AW55" s="95" t="inlineStr">
        <is>
          <t>Y</t>
        </is>
      </c>
      <c r="AX55" s="95" t="inlineStr">
        <is>
          <t>2026-10-13 23:45:54</t>
        </is>
      </c>
      <c r="AY55" s="102" t="n"/>
      <c r="AZ55" s="102" t="n"/>
      <c r="BA55" s="101" t="n"/>
      <c r="BB55" s="101" t="n"/>
      <c r="BC55" s="87">
        <f>IF(AND(ISNUMBER(BA55),ISNUMBER(BB55),N(BA55)&gt;0),1-BB55/BA55,"")</f>
        <v/>
      </c>
      <c r="BD55" s="103" t="n"/>
      <c r="BE55" s="103" t="n"/>
      <c r="BF55" s="100">
        <f>IF(AND(ISNUMBER(BD55),ISNUMBER(BE55),N(BE55)&gt;0),BD55/BE55,"")</f>
        <v/>
      </c>
      <c r="BG55" s="102" t="n"/>
      <c r="BH55" s="102" t="n"/>
    </row>
    <row r="57" ht="20" customHeight="1">
      <c r="A57" s="54" t="inlineStr">
        <is>
          <t>5 · WHAT THIS MEANS FOR BFCM</t>
        </is>
      </c>
    </row>
    <row r="58" ht="30" customHeight="1">
      <c r="A58" s="104" t="inlineStr">
        <is>
          <t>•  Who sells most: LitBear ~3,464/wk at $12.95 (List $14.39, +11%); Kitsch ~1,848/wk at $17.99; LitBear ~809/wk at $29.99; LULUSILK ~809/wk at $9.99; spacepower ~809/wk at $4.99. Tracked rivals ~9,878 units/wk; we sell ~3/wk (0.0% of the tracked set).</t>
        </is>
      </c>
    </row>
    <row r="59" ht="18" customHeight="1">
      <c r="A59" s="104" t="inlineStr">
        <is>
          <t>•  Strikethrough: 3 of 15 rivals set a List Price above price; 2 within 12%: Umisleep Store +6%, LitBear +11%.</t>
        </is>
      </c>
    </row>
    <row r="60" ht="30" customHeight="1">
      <c r="A60" s="104" t="inlineStr">
        <is>
          <t>•  Price: 10 of 15 rivals sit below our price today (same size where the title states one). Cheapest strong rivals: LULUSILK $9.99, YFONG $14.99, OLESILK $15.99, Umisleep Store $17.99.</t>
        </is>
      </c>
    </row>
    <row r="61" ht="30" customHeight="1">
      <c r="A61" s="104" t="inlineStr">
        <is>
          <t>•  Strikethrough on the page today (Oct 13 check): 3 of 14 checked rivals show one: BLISSY List Price $49.95 vs $27.87 (+79%), Umisleep Store List Price $18.99 vs $17.99 (+6%), LitBear Typical price $14.39 vs $12.95 (+11%) with deal.</t>
        </is>
      </c>
    </row>
    <row r="62" ht="30" customHeight="1">
      <c r="A62" s="104" t="inlineStr">
        <is>
          <t>•  Search: we lose most shared keywords to LitBear (we win 4, lose 45), iCooBreeze (we win 4, lose 43), Zenssia (we win 5, lose 41). Biggest ad gaps (they advertise where we don't or harder): iCooBreeze 172 + 0 KWs, SECZIPE 417 + 0 KWs, LitBear 684 + 0 KWs.</t>
        </is>
      </c>
    </row>
    <row r="63" ht="18" customHeight="1">
      <c r="A63" s="104" t="inlineStr">
        <is>
          <t>•  Brand ads: Umisleep Store (SB 62%, SBV 0%) hold Sponsored Brands / video on most of their traffic - the plan has our SB, SBV and display live by Nov 1.</t>
        </is>
      </c>
    </row>
    <row r="64" ht="18" customHeight="1">
      <c r="A64" s="104" t="inlineStr">
        <is>
          <t>•  Our BFCM 2025: 1.00x.</t>
        </is>
      </c>
    </row>
    <row r="65" ht="18" customHeight="1">
      <c r="A65" s="104" t="inlineStr">
        <is>
          <t>•  15 rivals not in the Keepa pulls yet (yellow BFCM 2025 columns) - remaining P2 batches, AGENT_PROMPTS Prompt 2.</t>
        </is>
      </c>
    </row>
  </sheetData>
  <autoFilter ref="B40:BH55"/>
  <mergeCells count="68">
    <mergeCell ref="A15:BH15"/>
    <mergeCell ref="A25:C25"/>
    <mergeCell ref="A59:BH59"/>
    <mergeCell ref="A39:H39"/>
    <mergeCell ref="A64:BH64"/>
    <mergeCell ref="L5:Q5"/>
    <mergeCell ref="A58:BH58"/>
    <mergeCell ref="A60:BH60"/>
    <mergeCell ref="K39:W39"/>
    <mergeCell ref="A1:BH1"/>
    <mergeCell ref="A27:C27"/>
    <mergeCell ref="Q11:T11"/>
    <mergeCell ref="L8:Q8"/>
    <mergeCell ref="A61:BH61"/>
    <mergeCell ref="A26:C26"/>
    <mergeCell ref="L4:Q4"/>
    <mergeCell ref="D7:I7"/>
    <mergeCell ref="A13:D13"/>
    <mergeCell ref="I13:L13"/>
    <mergeCell ref="A65:BH65"/>
    <mergeCell ref="A16:BH16"/>
    <mergeCell ref="D4:I4"/>
    <mergeCell ref="L10:Q10"/>
    <mergeCell ref="E12:H12"/>
    <mergeCell ref="Q13:T13"/>
    <mergeCell ref="A32:C32"/>
    <mergeCell ref="D9:I9"/>
    <mergeCell ref="AA39:AQ39"/>
    <mergeCell ref="A37:BH37"/>
    <mergeCell ref="U12:X12"/>
    <mergeCell ref="L9:Q9"/>
    <mergeCell ref="Q12:T12"/>
    <mergeCell ref="A11:D11"/>
    <mergeCell ref="A29:C29"/>
    <mergeCell ref="I11:L11"/>
    <mergeCell ref="A3:BH3"/>
    <mergeCell ref="L6:Q6"/>
    <mergeCell ref="D8:I8"/>
    <mergeCell ref="A4:B9"/>
    <mergeCell ref="T6:Y6"/>
    <mergeCell ref="A57:BH57"/>
    <mergeCell ref="D5:I5"/>
    <mergeCell ref="A31:C31"/>
    <mergeCell ref="A33:BH33"/>
    <mergeCell ref="M11:P11"/>
    <mergeCell ref="A23:BH23"/>
    <mergeCell ref="AR39:AX39"/>
    <mergeCell ref="A30:C30"/>
    <mergeCell ref="U11:X11"/>
    <mergeCell ref="A24:C24"/>
    <mergeCell ref="A62:BH62"/>
    <mergeCell ref="X39:Z39"/>
    <mergeCell ref="E13:H13"/>
    <mergeCell ref="D10:I10"/>
    <mergeCell ref="L7:Q7"/>
    <mergeCell ref="T5:Y5"/>
    <mergeCell ref="A38:BH38"/>
    <mergeCell ref="A63:BH63"/>
    <mergeCell ref="A12:D12"/>
    <mergeCell ref="M13:P13"/>
    <mergeCell ref="I12:L12"/>
    <mergeCell ref="U13:X13"/>
    <mergeCell ref="M12:P12"/>
    <mergeCell ref="AY39:BH39"/>
    <mergeCell ref="T4:Y4"/>
    <mergeCell ref="D6:I6"/>
    <mergeCell ref="E11:H11"/>
    <mergeCell ref="A34:BH34"/>
  </mergeCells>
  <conditionalFormatting sqref="N41:N55">
    <cfRule type="expression" priority="1" dxfId="1">
      <formula>N41="&lt;=12% STR zone"</formula>
    </cfRule>
  </conditionalFormatting>
  <conditionalFormatting sqref="W41:W55">
    <cfRule type="expression" priority="2" dxfId="0">
      <formula>AND(ISNUMBER(W41),W41&lt;DATE(2026,10,6))</formula>
    </cfRule>
  </conditionalFormatting>
  <conditionalFormatting sqref="Q41:Q55">
    <cfRule type="expression" priority="3" dxfId="0">
      <formula>ISNUMBER(SEARCH("STALE",Q41))</formula>
    </cfRule>
  </conditionalFormatting>
  <conditionalFormatting sqref="P41:P55">
    <cfRule type="expression" priority="4" dxfId="0">
      <formula>AND(ISNUMBER(P41),P41&lt;0)</formula>
    </cfRule>
  </conditionalFormatting>
  <dataValidations count="3">
    <dataValidation sqref="AR41:AR55 BG41:BG55" showDropDown="0" showInputMessage="0" showErrorMessage="0" allowBlank="1" type="list">
      <formula1>"Y,N"</formula1>
    </dataValidation>
    <dataValidation sqref="AS41:AS55" showDropDown="0" showInputMessage="0" showErrorMessage="0" allowBlank="1" type="list">
      <formula1>"List Price,Typical price,Was price,None"</formula1>
    </dataValidation>
    <dataValidation sqref="AY41:AY5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5.xml><?xml version="1.0" encoding="utf-8"?>
<worksheet xmlns="http://schemas.openxmlformats.org/spreadsheetml/2006/main">
  <sheetPr>
    <outlinePr summaryBelow="1" summaryRight="1"/>
    <pageSetUpPr/>
  </sheetPr>
  <dimension ref="A1:BH14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_xlfn.IMAGE("https://m.media-amazon.com/images/I/81+QctNV9NL._AC_SL1500_.jpg")</f>
        <v/>
      </c>
      <c r="C4" s="11" t="inlineStr">
        <is>
          <t>Title</t>
        </is>
      </c>
      <c r="D4" s="12" t="inlineStr">
        <is>
          <t>DECOLURE Cooling Sheets Queen Set 4pcs - Luxurious &amp; Ultra-Soft Cooling Bed Sheets Queen Size for Hot Sleepers - Comfortable Bamboo Viscose Microfiber Queen Bed Sheets Set Cooling (Navy)</t>
        </is>
      </c>
      <c r="K4" s="11" t="inlineStr">
        <is>
          <t>Sizes</t>
        </is>
      </c>
      <c r="L4" s="55" t="inlineStr">
        <is>
          <t>California King, Cal King, Full, King, Queen, Twin</t>
        </is>
      </c>
      <c r="S4" s="11" t="inlineStr">
        <is>
          <t>Break-even ACoS</t>
        </is>
      </c>
      <c r="T4" s="55" t="inlineStr">
        <is>
          <t>29%</t>
        </is>
      </c>
    </row>
    <row r="5" ht="22" customHeight="1">
      <c r="C5" s="11" t="inlineStr">
        <is>
          <t>Brand</t>
        </is>
      </c>
      <c r="D5" s="55" t="inlineStr">
        <is>
          <t>Decolure</t>
        </is>
      </c>
      <c r="K5" s="11" t="inlineStr">
        <is>
          <t>Colours</t>
        </is>
      </c>
      <c r="L5" s="55" t="inlineStr">
        <is>
          <t>Beige, Cool Grey, Cream, Graphite, Light Blue, Light Grey, Light Pink, Midnight Black, Navy Blue, Regal Purple, Sage Green, White, Navy Blue-01, Cool Grey-01, White-01, Cream-01</t>
        </is>
      </c>
      <c r="S5" s="11" t="inlineStr">
        <is>
          <t>Units last 28 days</t>
        </is>
      </c>
      <c r="T5" s="55" t="inlineStr">
        <is>
          <t>89</t>
        </is>
      </c>
    </row>
    <row r="6" ht="22" customHeight="1">
      <c r="C6" s="11" t="inlineStr">
        <is>
          <t>Marketplace</t>
        </is>
      </c>
      <c r="D6" s="55" t="inlineStr">
        <is>
          <t>Amazon.com (US)</t>
        </is>
      </c>
      <c r="K6" s="11" t="inlineStr">
        <is>
          <t>Price now, best child</t>
        </is>
      </c>
      <c r="L6" s="55" t="inlineStr">
        <is>
          <t>$37.95 (Helium 10 Xray, 2026-10-13)</t>
        </is>
      </c>
      <c r="S6" s="11" t="inlineStr">
        <is>
          <t>Command Center product ASIN</t>
        </is>
      </c>
      <c r="T6" s="55" t="inlineStr">
        <is>
          <t>B0CWJ2ZQJR (one of our child ASINs, not the Amazon parent)</t>
        </is>
      </c>
    </row>
    <row r="7" ht="22" customHeight="1">
      <c r="C7" s="11" t="inlineStr">
        <is>
          <t>Parent ASIN (Amazon)</t>
        </is>
      </c>
      <c r="D7" s="55" t="inlineStr">
        <is>
          <t>B0HLLHYGLQ</t>
        </is>
      </c>
      <c r="K7" s="11" t="inlineStr">
        <is>
          <t>Rating / reviews now</t>
        </is>
      </c>
      <c r="L7" s="55" t="inlineStr">
        <is>
          <t>4.2 / 1,296 (Helium 10 Xray, 2026-10-13)</t>
        </is>
      </c>
    </row>
    <row r="8" ht="22" customHeight="1">
      <c r="C8" s="11" t="inlineStr">
        <is>
          <t>Best-selling child ASIN</t>
        </is>
      </c>
      <c r="D8" s="55" t="inlineStr">
        <is>
          <t>B0C9LS5H2T</t>
        </is>
      </c>
      <c r="K8" s="11" t="inlineStr">
        <is>
          <t>Live prices held</t>
        </is>
      </c>
      <c r="L8" s="55" t="inlineStr">
        <is>
          <t>64 of 66 variations</t>
        </is>
      </c>
    </row>
    <row r="9" ht="22" customHeight="1">
      <c r="C9" s="11" t="inlineStr">
        <is>
          <t>Stage</t>
        </is>
      </c>
      <c r="D9" s="55" t="inlineStr">
        <is>
          <t>Re-Launch</t>
        </is>
      </c>
      <c r="K9" s="11" t="inlineStr">
        <is>
          <t>Blended price (Command Center)</t>
        </is>
      </c>
      <c r="L9" s="55" t="inlineStr">
        <is>
          <t>$40.33 - fee feed as of 2026-03-30, STALE</t>
        </is>
      </c>
    </row>
    <row r="10">
      <c r="C10" s="11" t="inlineStr">
        <is>
          <t>Total variations (SKUs)</t>
        </is>
      </c>
      <c r="D10" s="55" t="n">
        <v>61</v>
      </c>
      <c r="K10" s="11" t="inlineStr">
        <is>
          <t>Contribution / unit</t>
        </is>
      </c>
      <c r="L10" s="55" t="inlineStr">
        <is>
          <t>$11.54</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1.63x</t>
        </is>
      </c>
      <c r="E12" s="57" t="inlineStr">
        <is>
          <t>6.8%</t>
        </is>
      </c>
      <c r="I12" s="57" t="inlineStr">
        <is>
          <t>1.81x</t>
        </is>
      </c>
      <c r="M12" s="57" t="inlineStr">
        <is>
          <t>28</t>
        </is>
      </c>
      <c r="Q12" s="57" t="inlineStr">
        <is>
          <t>3</t>
        </is>
      </c>
      <c r="U12" s="57" t="inlineStr">
        <is>
          <t>1</t>
        </is>
      </c>
    </row>
    <row r="13">
      <c r="A13" s="58" t="inlineStr">
        <is>
          <t>daily sales, BFCM wk vs 30 days before (SellerBoard actual)</t>
        </is>
      </c>
      <c r="E13" s="58" t="inlineStr">
        <is>
          <t>vs 5.1%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(66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_xlfn.IMAGE("https://m.media-amazon.com/images/I/81QaOvY2uCL.jpg")</f>
        <v/>
      </c>
      <c r="B18" s="32" t="inlineStr">
        <is>
          <t>B0C9LS8Z18</t>
        </is>
      </c>
      <c r="C18" s="32" t="inlineStr">
        <is>
          <t>BM-KING-R-PURPLE</t>
        </is>
      </c>
      <c r="D18" s="32" t="inlineStr">
        <is>
          <t>DECOLURE Cooling Bed Sheets King Set 4pcs - Luxurious &amp; Ultra-Soft King Size Cooling Sheets for Hot Sleepers - Comfortable &amp; Cool Bamboo Viscose Microfiber Sheets King Size w/Deep Pockets (Purple)</t>
        </is>
      </c>
      <c r="E18" s="32" t="inlineStr">
        <is>
          <t>King</t>
        </is>
      </c>
      <c r="F18" s="32" t="inlineStr">
        <is>
          <t>Regal Purple</t>
        </is>
      </c>
      <c r="G18" s="60" t="n">
        <v>37.95</v>
      </c>
      <c r="H18" s="32" t="inlineStr">
        <is>
          <t>Helium 10 Xray, 2026-10-13</t>
        </is>
      </c>
      <c r="I18" s="61" t="n">
        <v>37.95</v>
      </c>
      <c r="J18" s="62" t="inlineStr">
        <is>
          <t>2026-03-30</t>
        </is>
      </c>
      <c r="K18" s="33" t="n">
        <v>8.100000000000005</v>
      </c>
      <c r="L18" s="63" t="n">
        <v>0.2134387351778657</v>
      </c>
      <c r="M18" s="64" t="n">
        <v>16</v>
      </c>
      <c r="N18" s="32" t="inlineStr">
        <is>
          <t>Active</t>
        </is>
      </c>
      <c r="O18" s="32" t="inlineStr">
        <is>
          <t>Yes (21%)</t>
        </is>
      </c>
      <c r="P18" s="65" t="n">
        <v>4.2</v>
      </c>
      <c r="Q18" s="64" t="n">
        <v>1296</v>
      </c>
      <c r="R18" s="64" t="n">
        <v>341774</v>
      </c>
      <c r="S18" s="64" t="n">
        <v>1</v>
      </c>
      <c r="T18" s="32" t="n"/>
    </row>
    <row r="19" ht="62" customHeight="1">
      <c r="A19" s="10">
        <f>_xlfn.IMAGE("https://m.media-amazon.com/images/I/81+QctNV9NL.jpg")</f>
        <v/>
      </c>
      <c r="B19" s="32" t="inlineStr">
        <is>
          <t>B0C9LS5H2T</t>
        </is>
      </c>
      <c r="C19" s="32" t="inlineStr">
        <is>
          <t>BM-QUEEN-NAVY-BLUE</t>
        </is>
      </c>
      <c r="D19" s="32" t="inlineStr">
        <is>
          <t>DECOLURE Cooling Sheets Queen Set 4pcs - Luxurious &amp; Ultra-Soft Cooling Bed Sheets Queen Size for Hot Sleepers - Comfortable Bamboo Viscose Microfiber Queen Bed Sheets Set Cooling (Navy)</t>
        </is>
      </c>
      <c r="E19" s="32" t="inlineStr">
        <is>
          <t>Queen</t>
        </is>
      </c>
      <c r="F19" s="32" t="inlineStr">
        <is>
          <t>Navy Blue</t>
        </is>
      </c>
      <c r="G19" s="60" t="n">
        <v>37.95</v>
      </c>
      <c r="H19" s="32" t="inlineStr">
        <is>
          <t>Helium 10 Xray, 2026-10-13</t>
        </is>
      </c>
      <c r="I19" s="61" t="n">
        <v>37.95</v>
      </c>
      <c r="J19" s="62" t="inlineStr">
        <is>
          <t>2026-03-30</t>
        </is>
      </c>
      <c r="K19" s="33" t="n">
        <v>10.20000000000001</v>
      </c>
      <c r="L19" s="63" t="n">
        <v>0.2687747035573124</v>
      </c>
      <c r="M19" s="64" t="n">
        <v>13</v>
      </c>
      <c r="N19" s="32" t="inlineStr">
        <is>
          <t>Active</t>
        </is>
      </c>
      <c r="O19" s="32" t="inlineStr">
        <is>
          <t>Yes (34%)</t>
        </is>
      </c>
      <c r="P19" s="65" t="n">
        <v>4.2</v>
      </c>
      <c r="Q19" s="64" t="n">
        <v>1296</v>
      </c>
      <c r="R19" s="64" t="n">
        <v>341774</v>
      </c>
      <c r="S19" s="64" t="n">
        <v>0.3616</v>
      </c>
      <c r="T19" s="32" t="n"/>
    </row>
    <row r="20" ht="62" customHeight="1">
      <c r="A20" s="10">
        <f>_xlfn.IMAGE("https://m.media-amazon.com/images/I/81XErw+bRVL.jpg")</f>
        <v/>
      </c>
      <c r="B20" s="32" t="inlineStr">
        <is>
          <t>B0CWJ87BTG</t>
        </is>
      </c>
      <c r="C20" s="32" t="inlineStr">
        <is>
          <t>BM-QUEEN-LIGHT-BLUE</t>
        </is>
      </c>
      <c r="D20" s="32" t="inlineStr">
        <is>
          <t>DECOLURE Cooling Sheets Queen Set 4pcs - Luxurious &amp; Ultra-Soft Cooling Bed Sheets Queen Size for Hot Sleepers - Comfortable Bamboo Viscose Microfiber Queen Bed Sheets Set Cooling (Light Blue)</t>
        </is>
      </c>
      <c r="E20" s="32" t="inlineStr">
        <is>
          <t>Queen</t>
        </is>
      </c>
      <c r="F20" s="32" t="inlineStr">
        <is>
          <t>Light Blue</t>
        </is>
      </c>
      <c r="G20" s="60" t="n">
        <v>37.95</v>
      </c>
      <c r="H20" s="32" t="inlineStr">
        <is>
          <t>Helium 10 Xray, 2026-10-13</t>
        </is>
      </c>
      <c r="I20" s="61" t="n">
        <v>37.95</v>
      </c>
      <c r="J20" s="62" t="inlineStr">
        <is>
          <t>2026-03-30</t>
        </is>
      </c>
      <c r="K20" s="33" t="n">
        <v>10.21000000000001</v>
      </c>
      <c r="L20" s="63" t="n">
        <v>0.2690382081686431</v>
      </c>
      <c r="M20" s="64" t="n">
        <v>10</v>
      </c>
      <c r="N20" s="32" t="inlineStr">
        <is>
          <t>Active</t>
        </is>
      </c>
      <c r="O20" s="32" t="n"/>
      <c r="P20" s="65" t="n">
        <v>4.2</v>
      </c>
      <c r="Q20" s="64" t="n">
        <v>1296</v>
      </c>
      <c r="R20" s="64" t="n">
        <v>341774</v>
      </c>
      <c r="S20" s="64" t="n">
        <v>1</v>
      </c>
      <c r="T20" s="32" t="n"/>
    </row>
    <row r="21" ht="62" customHeight="1">
      <c r="A21" s="10">
        <f>_xlfn.IMAGE("https://m.media-amazon.com/images/I/81nTGoALtAL.jpg")</f>
        <v/>
      </c>
      <c r="B21" s="32" t="inlineStr">
        <is>
          <t>B0C9LSB9RT</t>
        </is>
      </c>
      <c r="C21" s="32" t="inlineStr">
        <is>
          <t>BM-QUEEN-MIDNIGHT-BLACK</t>
        </is>
      </c>
      <c r="D21" s="32" t="inlineStr">
        <is>
          <t>DECOLURE Cooling Sheets Queen Set 4pcs - Luxurious &amp; Ultra-Soft Cooling Bed Sheets Queen Size for Hot Sleepers - Comfortable Bamboo Viscose Microfiber Queen Bed Sheets Set Cooling (Black)</t>
        </is>
      </c>
      <c r="E21" s="32" t="inlineStr">
        <is>
          <t>Queen</t>
        </is>
      </c>
      <c r="F21" s="32" t="inlineStr">
        <is>
          <t>Midnight Black</t>
        </is>
      </c>
      <c r="G21" s="60" t="n">
        <v>37.95</v>
      </c>
      <c r="H21" s="32" t="inlineStr">
        <is>
          <t>Helium 10 Xray, 2026-10-13</t>
        </is>
      </c>
      <c r="I21" s="61" t="n">
        <v>49.95</v>
      </c>
      <c r="J21" s="62" t="inlineStr">
        <is>
          <t>2026-03-30</t>
        </is>
      </c>
      <c r="K21" s="33" t="n">
        <v>20.63</v>
      </c>
      <c r="L21" s="63" t="n">
        <v>0.413013013013013</v>
      </c>
      <c r="M21" s="64" t="n">
        <v>9</v>
      </c>
      <c r="N21" s="32" t="inlineStr">
        <is>
          <t>Active</t>
        </is>
      </c>
      <c r="O21" s="32" t="n"/>
      <c r="P21" s="65" t="n">
        <v>4.2</v>
      </c>
      <c r="Q21" s="64" t="n">
        <v>1296</v>
      </c>
      <c r="R21" s="64" t="n">
        <v>341774</v>
      </c>
      <c r="S21" s="64" t="n">
        <v>1</v>
      </c>
      <c r="T21" s="32" t="n"/>
    </row>
    <row r="22" ht="62" customHeight="1">
      <c r="A22" s="10">
        <f>_xlfn.IMAGE("https://m.media-amazon.com/images/I/81Gj0zENECL.jpg")</f>
        <v/>
      </c>
      <c r="B22" s="32" t="inlineStr">
        <is>
          <t>B0C9LTMN8M</t>
        </is>
      </c>
      <c r="C22" s="32" t="inlineStr">
        <is>
          <t>BM-QUEEN-CGREY</t>
        </is>
      </c>
      <c r="D22" s="32" t="inlineStr">
        <is>
          <t>DECOLURE Cooling Sheets Queen Set 4pcs - Luxurious &amp; Ultra-Soft Cooling Bed Sheets Queen Size for Hot Sleepers - Comfortable Bamboo Viscose Microfiber Queen Bed Sheets Set Cooling (Cool Grey)</t>
        </is>
      </c>
      <c r="E22" s="32" t="inlineStr">
        <is>
          <t>Queen</t>
        </is>
      </c>
      <c r="F22" s="32" t="inlineStr">
        <is>
          <t>Cool Grey</t>
        </is>
      </c>
      <c r="G22" s="60" t="n">
        <v>37.95</v>
      </c>
      <c r="H22" s="32" t="inlineStr">
        <is>
          <t>Helium 10 Xray, 2026-10-13</t>
        </is>
      </c>
      <c r="I22" s="61" t="n">
        <v>37.95</v>
      </c>
      <c r="J22" s="62" t="inlineStr">
        <is>
          <t>2026-03-30</t>
        </is>
      </c>
      <c r="K22" s="33" t="n">
        <v>10.18000000000001</v>
      </c>
      <c r="L22" s="63" t="n">
        <v>0.268247694334651</v>
      </c>
      <c r="M22" s="64" t="n">
        <v>8</v>
      </c>
      <c r="N22" s="32" t="inlineStr">
        <is>
          <t>Active</t>
        </is>
      </c>
      <c r="O22" s="32" t="n"/>
      <c r="P22" s="65" t="n">
        <v>4.2</v>
      </c>
      <c r="Q22" s="64" t="n">
        <v>1296</v>
      </c>
      <c r="R22" s="64" t="n">
        <v>341774</v>
      </c>
      <c r="S22" s="64" t="n">
        <v>1</v>
      </c>
      <c r="T22" s="32" t="n"/>
    </row>
    <row r="23" ht="62" customHeight="1">
      <c r="A23" s="10">
        <f>_xlfn.IMAGE("https://m.media-amazon.com/images/I/81XErw+bRVL.jpg")</f>
        <v/>
      </c>
      <c r="B23" s="32" t="inlineStr">
        <is>
          <t>B0CWJ745KL</t>
        </is>
      </c>
      <c r="C23" s="32" t="inlineStr">
        <is>
          <t>BM-KING-LIGHT-BLUE</t>
        </is>
      </c>
      <c r="D23" s="32" t="inlineStr">
        <is>
          <t>DECOLURE Cooling Bed Sheets King Set 4pcs - Luxurious &amp; Ultra-Soft King Size Cooling Sheets for Hot Sleepers - Comfortable &amp; Cool Bamboo Viscose Microfiber Sheets King Size w/Deep Pockets (Light Blue)</t>
        </is>
      </c>
      <c r="E23" s="32" t="inlineStr">
        <is>
          <t>King</t>
        </is>
      </c>
      <c r="F23" s="32" t="inlineStr">
        <is>
          <t>Light Blue</t>
        </is>
      </c>
      <c r="G23" s="60" t="n">
        <v>39.95</v>
      </c>
      <c r="H23" s="32" t="inlineStr">
        <is>
          <t>Helium 10 Xray, 2026-10-13</t>
        </is>
      </c>
      <c r="I23" s="61" t="n">
        <v>39.95</v>
      </c>
      <c r="J23" s="62" t="inlineStr">
        <is>
          <t>2026-03-30</t>
        </is>
      </c>
      <c r="K23" s="33" t="n">
        <v>9.740000000000002</v>
      </c>
      <c r="L23" s="63" t="n">
        <v>0.2438047559449312</v>
      </c>
      <c r="M23" s="64" t="n">
        <v>7</v>
      </c>
      <c r="N23" s="32" t="inlineStr">
        <is>
          <t>Active</t>
        </is>
      </c>
      <c r="O23" s="32" t="n"/>
      <c r="P23" s="65" t="n">
        <v>4.2</v>
      </c>
      <c r="Q23" s="64" t="n">
        <v>1296</v>
      </c>
      <c r="R23" s="64" t="n">
        <v>341774</v>
      </c>
      <c r="S23" s="64" t="n">
        <v>0.9383</v>
      </c>
      <c r="T23" s="32" t="n"/>
    </row>
    <row r="24" ht="62" customHeight="1">
      <c r="A24" s="10">
        <f>_xlfn.IMAGE("https://m.media-amazon.com/images/I/81nTGoALtAL.jpg")</f>
        <v/>
      </c>
      <c r="B24" s="32" t="inlineStr">
        <is>
          <t>B0C9LTM6CX</t>
        </is>
      </c>
      <c r="C24" s="32" t="inlineStr">
        <is>
          <t>BM-KING-MIDNIGHT-BLACK</t>
        </is>
      </c>
      <c r="D24" s="32" t="inlineStr">
        <is>
          <t>DECOLURE Cooling Bed Sheets King Set 4pcs - Luxurious &amp; Ultra-Soft King Size Cooling Sheets for Hot Sleepers - Comfortable &amp; Cool Bamboo Viscose Microfiber w/Deep Pockets (Midnight Black)</t>
        </is>
      </c>
      <c r="E24" s="32" t="inlineStr">
        <is>
          <t>King</t>
        </is>
      </c>
      <c r="F24" s="32" t="inlineStr">
        <is>
          <t>Midnight Black</t>
        </is>
      </c>
      <c r="G24" s="60" t="n">
        <v>39.95</v>
      </c>
      <c r="H24" s="32" t="inlineStr">
        <is>
          <t>Helium 10 Xray, 2026-10-13</t>
        </is>
      </c>
      <c r="I24" s="61" t="n">
        <v>45.95</v>
      </c>
      <c r="J24" s="62" t="inlineStr">
        <is>
          <t>2026-03-30</t>
        </is>
      </c>
      <c r="K24" s="33" t="n">
        <v>15.06</v>
      </c>
      <c r="L24" s="63" t="n">
        <v>0.3277475516866159</v>
      </c>
      <c r="M24" s="64" t="n">
        <v>4</v>
      </c>
      <c r="N24" s="32" t="inlineStr">
        <is>
          <t>Active</t>
        </is>
      </c>
      <c r="O24" s="32" t="inlineStr">
        <is>
          <t>Yes (6%)</t>
        </is>
      </c>
      <c r="P24" s="65" t="n">
        <v>4.2</v>
      </c>
      <c r="Q24" s="64" t="n">
        <v>1296</v>
      </c>
      <c r="R24" s="64" t="n">
        <v>341774</v>
      </c>
      <c r="S24" s="64" t="n">
        <v>0.4598</v>
      </c>
      <c r="T24" s="32" t="n"/>
    </row>
    <row r="25" ht="62" customHeight="1">
      <c r="A25" s="10">
        <f>_xlfn.IMAGE("https://m.media-amazon.com/images/I/81+QctNV9NL.jpg")</f>
        <v/>
      </c>
      <c r="B25" s="32" t="inlineStr">
        <is>
          <t>B0C9LT3V3D</t>
        </is>
      </c>
      <c r="C25" s="32" t="inlineStr">
        <is>
          <t>BM-KING-NAVY-BLUE</t>
        </is>
      </c>
      <c r="D25" s="32" t="inlineStr">
        <is>
          <t>DECOLURE Cooling Bed Sheets King Set 4pcs - Luxurious &amp; Ultra-Soft King Size Cooling Sheets for Hot Sleepers - Comfortable &amp; Cool Bamboo Viscose Microfiber Sheets King Size w/Deep Pockets (Navy)</t>
        </is>
      </c>
      <c r="E25" s="32" t="inlineStr">
        <is>
          <t>King</t>
        </is>
      </c>
      <c r="F25" s="32" t="inlineStr">
        <is>
          <t>Navy Blue</t>
        </is>
      </c>
      <c r="G25" s="60" t="n">
        <v>39.95</v>
      </c>
      <c r="H25" s="32" t="inlineStr">
        <is>
          <t>Helium 10 Xray, 2026-10-13</t>
        </is>
      </c>
      <c r="I25" s="61" t="n">
        <v>39.95</v>
      </c>
      <c r="J25" s="62" t="inlineStr">
        <is>
          <t>2026-03-30</t>
        </is>
      </c>
      <c r="K25" s="33" t="n">
        <v>9.73</v>
      </c>
      <c r="L25" s="63" t="n">
        <v>0.2435544430538173</v>
      </c>
      <c r="M25" s="64" t="n">
        <v>3</v>
      </c>
      <c r="N25" s="32" t="inlineStr">
        <is>
          <t>Active</t>
        </is>
      </c>
      <c r="O25" s="32" t="n"/>
      <c r="P25" s="65" t="n">
        <v>4.2</v>
      </c>
      <c r="Q25" s="64" t="n">
        <v>1296</v>
      </c>
      <c r="R25" s="64" t="n">
        <v>341774</v>
      </c>
      <c r="S25" s="64" t="n">
        <v>0.7537</v>
      </c>
      <c r="T25" s="32" t="n"/>
    </row>
    <row r="26" ht="62" customHeight="1">
      <c r="A26" s="10">
        <f>_xlfn.IMAGE("https://m.media-amazon.com/images/I/81Hts-OSmEL.jpg")</f>
        <v/>
      </c>
      <c r="B26" s="32" t="inlineStr">
        <is>
          <t>B0CWJ4HG9Q</t>
        </is>
      </c>
      <c r="C26" s="32" t="inlineStr">
        <is>
          <t>BM-CALKING-LIGHT-GREY</t>
        </is>
      </c>
      <c r="D26" s="32" t="inlineStr">
        <is>
          <t>DECOLURE Cooling Bed Sheets Cal-King Set 4pcs - Luxurious &amp; Soft California King Size Cooling Sheets for Hot Sleepers - Comfy &amp; Cool California King Bamboo Viscose Microfiber Sheets (Light Grey)</t>
        </is>
      </c>
      <c r="E26" s="32" t="inlineStr">
        <is>
          <t>California King</t>
        </is>
      </c>
      <c r="F26" s="32" t="inlineStr">
        <is>
          <t>Light Grey</t>
        </is>
      </c>
      <c r="G26" s="60" t="n">
        <v>39.95</v>
      </c>
      <c r="H26" s="32" t="inlineStr">
        <is>
          <t>Helium 10 Xray, 2026-10-13</t>
        </is>
      </c>
      <c r="I26" s="61" t="n">
        <v>45.95</v>
      </c>
      <c r="J26" s="62" t="inlineStr">
        <is>
          <t>2026-03-30</t>
        </is>
      </c>
      <c r="K26" s="33" t="n">
        <v>14.73</v>
      </c>
      <c r="L26" s="63" t="n">
        <v>0.3205658324265506</v>
      </c>
      <c r="M26" s="64" t="n">
        <v>2</v>
      </c>
      <c r="N26" s="32" t="inlineStr">
        <is>
          <t>Active</t>
        </is>
      </c>
      <c r="O26" s="32" t="n"/>
      <c r="P26" s="65" t="n">
        <v>4.2</v>
      </c>
      <c r="Q26" s="64" t="n">
        <v>1296</v>
      </c>
      <c r="R26" s="64" t="n">
        <v>341774</v>
      </c>
      <c r="S26" s="64" t="n">
        <v>0.8335</v>
      </c>
      <c r="T26" s="32" t="n"/>
    </row>
    <row r="27" ht="62" customHeight="1">
      <c r="A27" s="10">
        <f>_xlfn.IMAGE("https://m.media-amazon.com/images/I/819aQdxjmYL.jpg")</f>
        <v/>
      </c>
      <c r="B27" s="32" t="inlineStr">
        <is>
          <t>B0C9LVTKF7</t>
        </is>
      </c>
      <c r="C27" s="32" t="inlineStr">
        <is>
          <t>BM-FULL-CGREY</t>
        </is>
      </c>
      <c r="D27" s="32" t="inlineStr">
        <is>
          <t>DECOLURE Cooling Sheets Full Set 4pcs - Luxurious &amp; Ultra-Soft Full Size Cooling Sheets for Hot Sleepers - Comfortable Bamboo Viscose Microfiber Full Cooling Bed Sheets w/Deep Pockets (Cool Grey)</t>
        </is>
      </c>
      <c r="E27" s="32" t="inlineStr">
        <is>
          <t>Full</t>
        </is>
      </c>
      <c r="F27" s="32" t="inlineStr">
        <is>
          <t>Cool Grey</t>
        </is>
      </c>
      <c r="G27" s="60" t="n">
        <v>35.95</v>
      </c>
      <c r="H27" s="32" t="inlineStr">
        <is>
          <t>SellerBoard listing price, 2026-10-14</t>
        </is>
      </c>
      <c r="I27" s="61" t="n">
        <v>35.95</v>
      </c>
      <c r="J27" s="62" t="inlineStr">
        <is>
          <t>2026-03-30</t>
        </is>
      </c>
      <c r="K27" s="33" t="n"/>
      <c r="L27" s="63" t="n"/>
      <c r="M27" s="64" t="n">
        <v>2</v>
      </c>
      <c r="N27" s="32" t="inlineStr">
        <is>
          <t>Inactive</t>
        </is>
      </c>
      <c r="O27" s="32" t="n"/>
      <c r="P27" s="65" t="n"/>
      <c r="Q27" s="64" t="n"/>
      <c r="R27" s="64" t="n"/>
      <c r="S27" s="64" t="n"/>
      <c r="T27" s="32" t="n"/>
    </row>
    <row r="28" ht="62" customHeight="1">
      <c r="A28" s="10">
        <f>_xlfn.IMAGE("https://m.media-amazon.com/images/I/81YbVqqOOBL.jpg")</f>
        <v/>
      </c>
      <c r="B28" s="32" t="inlineStr">
        <is>
          <t>B0C9LR45L9</t>
        </is>
      </c>
      <c r="C28" s="32" t="inlineStr">
        <is>
          <t>BM-FULL-CREAM</t>
        </is>
      </c>
      <c r="D28" s="32" t="inlineStr">
        <is>
          <t>DECOLURE Cooling Sheets Full Set 4pcs - Luxurious &amp; Ultra-Soft Full Size Cooling Sheets for Hot Sleepers - Comfortable Bamboo Viscose Microfiber Full Cooling Bed Sheets w/Deep Pockets (Cream)</t>
        </is>
      </c>
      <c r="E28" s="32" t="inlineStr">
        <is>
          <t>Full</t>
        </is>
      </c>
      <c r="F28" s="32" t="inlineStr">
        <is>
          <t>Cream</t>
        </is>
      </c>
      <c r="G28" s="60" t="n">
        <v>35.95</v>
      </c>
      <c r="H28" s="32" t="inlineStr">
        <is>
          <t>Helium 10 Xray, 2026-10-13</t>
        </is>
      </c>
      <c r="I28" s="61" t="n">
        <v>43.95</v>
      </c>
      <c r="J28" s="62" t="inlineStr">
        <is>
          <t>2026-03-30</t>
        </is>
      </c>
      <c r="K28" s="33" t="n">
        <v>16.07</v>
      </c>
      <c r="L28" s="63" t="n">
        <v>0.3656427758816838</v>
      </c>
      <c r="M28" s="64" t="n">
        <v>2</v>
      </c>
      <c r="N28" s="32" t="inlineStr">
        <is>
          <t>Active</t>
        </is>
      </c>
      <c r="O28" s="32" t="n"/>
      <c r="P28" s="65" t="n">
        <v>4.2</v>
      </c>
      <c r="Q28" s="64" t="n">
        <v>1296</v>
      </c>
      <c r="R28" s="64" t="n">
        <v>341774</v>
      </c>
      <c r="S28" s="64" t="n">
        <v>2</v>
      </c>
      <c r="T28" s="32" t="n"/>
    </row>
    <row r="29" ht="62" customHeight="1">
      <c r="A29" s="10">
        <f>_xlfn.IMAGE("https://m.media-amazon.com/images/I/81LzK078hML.jpg")</f>
        <v/>
      </c>
      <c r="B29" s="32" t="inlineStr">
        <is>
          <t>B0CWJ79M7J</t>
        </is>
      </c>
      <c r="C29" s="32" t="inlineStr">
        <is>
          <t>BM-KING-PINK</t>
        </is>
      </c>
      <c r="D29" s="32" t="inlineStr">
        <is>
          <t>DECOLURE Cooling Bed Sheets King Set 4pcs - Luxurious &amp; Ultra-Soft King Size Cooling Sheets for Hot Sleepers - Comfortable &amp; Cool Bamboo Viscose Microfiber Sheets King Size w/Deep Pockets (Pink)</t>
        </is>
      </c>
      <c r="E29" s="32" t="inlineStr">
        <is>
          <t>King</t>
        </is>
      </c>
      <c r="F29" s="32" t="inlineStr">
        <is>
          <t>Light Pink</t>
        </is>
      </c>
      <c r="G29" s="60" t="n">
        <v>39.95</v>
      </c>
      <c r="H29" s="32" t="inlineStr">
        <is>
          <t>Helium 10 Xray, 2026-10-13</t>
        </is>
      </c>
      <c r="I29" s="61" t="n">
        <v>39.95</v>
      </c>
      <c r="J29" s="62" t="inlineStr">
        <is>
          <t>2026-03-30</t>
        </is>
      </c>
      <c r="K29" s="33" t="n">
        <v>8.719999999999999</v>
      </c>
      <c r="L29" s="63" t="n">
        <v>0.2182728410513141</v>
      </c>
      <c r="M29" s="64" t="n">
        <v>2</v>
      </c>
      <c r="N29" s="32" t="inlineStr">
        <is>
          <t>Active</t>
        </is>
      </c>
      <c r="O29" s="32" t="n"/>
      <c r="P29" s="65" t="n">
        <v>4.2</v>
      </c>
      <c r="Q29" s="64" t="n">
        <v>1296</v>
      </c>
      <c r="R29" s="64" t="n">
        <v>341774</v>
      </c>
      <c r="S29" s="64" t="n">
        <v>0.6859</v>
      </c>
      <c r="T29" s="32" t="n"/>
    </row>
    <row r="30" ht="62" customHeight="1">
      <c r="A30" s="10">
        <f>_xlfn.IMAGE("https://m.media-amazon.com/images/I/81e9ABRlpwL.jpg")</f>
        <v/>
      </c>
      <c r="B30" s="32" t="inlineStr">
        <is>
          <t>B0CWJ1KPGR</t>
        </is>
      </c>
      <c r="C30" s="32" t="inlineStr">
        <is>
          <t>BM-TWIN-LIGHT-GREY</t>
        </is>
      </c>
      <c r="D30" s="32" t="inlineStr">
        <is>
          <t>DECOLURE Cooling Bed Sheets Twin Set 3pcs - Luxurious &amp; Ultra-Soft Twin Size Cooling Sheets for Hot Sleepers - Comfortable Cool Bamboo Viscose Microfiber Sheets Twin Size w/Deep Pockets (Light Grey)</t>
        </is>
      </c>
      <c r="E30" s="32" t="inlineStr">
        <is>
          <t>Twin</t>
        </is>
      </c>
      <c r="F30" s="32" t="inlineStr">
        <is>
          <t>Light Grey</t>
        </is>
      </c>
      <c r="G30" s="60" t="n">
        <v>33.95</v>
      </c>
      <c r="H30" s="32" t="inlineStr">
        <is>
          <t>Helium 10 Xray, 2026-10-13</t>
        </is>
      </c>
      <c r="I30" s="61" t="n">
        <v>39.95</v>
      </c>
      <c r="J30" s="62" t="inlineStr">
        <is>
          <t>2026-03-30</t>
        </is>
      </c>
      <c r="K30" s="33" t="n">
        <v>16.78</v>
      </c>
      <c r="L30" s="63" t="n">
        <v>0.4200250312891114</v>
      </c>
      <c r="M30" s="64" t="n">
        <v>2</v>
      </c>
      <c r="N30" s="32" t="inlineStr">
        <is>
          <t>Active</t>
        </is>
      </c>
      <c r="O30" s="32" t="n"/>
      <c r="P30" s="65" t="n">
        <v>4.2</v>
      </c>
      <c r="Q30" s="64" t="n">
        <v>1296</v>
      </c>
      <c r="R30" s="64" t="n">
        <v>341774</v>
      </c>
      <c r="S30" s="64" t="n">
        <v>3</v>
      </c>
      <c r="T30" s="32" t="n"/>
    </row>
    <row r="31" ht="62" customHeight="1">
      <c r="A31" s="10">
        <f>_xlfn.IMAGE("https://m.media-amazon.com/images/I/81m677YWEDL.jpg")</f>
        <v/>
      </c>
      <c r="B31" s="32" t="inlineStr">
        <is>
          <t>B0CWJ4HG7W</t>
        </is>
      </c>
      <c r="C31" s="32" t="inlineStr">
        <is>
          <t>BM-CALKING-SAGE-GREEN</t>
        </is>
      </c>
      <c r="D31" s="32" t="inlineStr">
        <is>
          <t>DECOLURE Cooling Bed Sheets Cal-King Set 4pcs - Luxurious &amp; Soft California King Size Cooling Sheets for Hot Sleepers - Comfy &amp; Cool California King Bamboo Viscose Microfiber Sheets (Sage Green)</t>
        </is>
      </c>
      <c r="E31" s="32" t="inlineStr">
        <is>
          <t>California King</t>
        </is>
      </c>
      <c r="F31" s="32" t="inlineStr">
        <is>
          <t>Sage Green</t>
        </is>
      </c>
      <c r="G31" s="60" t="n">
        <v>39.95</v>
      </c>
      <c r="H31" s="32" t="inlineStr">
        <is>
          <t>Helium 10 Xray, 2026-10-13</t>
        </is>
      </c>
      <c r="I31" s="61" t="n">
        <v>39.95</v>
      </c>
      <c r="J31" s="62" t="inlineStr">
        <is>
          <t>2026-03-30</t>
        </is>
      </c>
      <c r="K31" s="33" t="n">
        <v>8.690000000000001</v>
      </c>
      <c r="L31" s="63" t="n">
        <v>0.2175219023779725</v>
      </c>
      <c r="M31" s="64" t="n">
        <v>1</v>
      </c>
      <c r="N31" s="32" t="inlineStr">
        <is>
          <t>Active</t>
        </is>
      </c>
      <c r="O31" s="32" t="n"/>
      <c r="P31" s="65" t="n">
        <v>4.2</v>
      </c>
      <c r="Q31" s="64" t="n">
        <v>1296</v>
      </c>
      <c r="R31" s="64" t="n">
        <v>341774</v>
      </c>
      <c r="S31" s="64" t="n">
        <v>0.9221</v>
      </c>
      <c r="T31" s="32" t="n"/>
    </row>
    <row r="32" ht="62" customHeight="1">
      <c r="A32" s="10">
        <f>_xlfn.IMAGE("https://m.media-amazon.com/images/I/81MzWBXjtdL.jpg")</f>
        <v/>
      </c>
      <c r="B32" s="32" t="inlineStr">
        <is>
          <t>B0C9LQWY53</t>
        </is>
      </c>
      <c r="C32" s="32" t="inlineStr">
        <is>
          <t>BM-FULL-GRAPHITE-GREY</t>
        </is>
      </c>
      <c r="D32" s="32" t="inlineStr">
        <is>
          <t>DECOLURE Cooling Sheets Full Set 4pcs - Luxurious &amp; Ultra-Soft Full Size Cooling Sheets for Hot Sleepers - Comfortable Bamboo Viscose Microfiber Full Cooling Bed Sheets w/Deep Pockets (Graphite)</t>
        </is>
      </c>
      <c r="E32" s="32" t="inlineStr">
        <is>
          <t>Full</t>
        </is>
      </c>
      <c r="F32" s="32" t="inlineStr">
        <is>
          <t>Graphite</t>
        </is>
      </c>
      <c r="G32" s="60" t="n">
        <v>35.95</v>
      </c>
      <c r="H32" s="32" t="inlineStr">
        <is>
          <t>Helium 10 Xray, 2026-10-13</t>
        </is>
      </c>
      <c r="I32" s="61" t="n">
        <v>35.95</v>
      </c>
      <c r="J32" s="62" t="inlineStr">
        <is>
          <t>2026-03-30</t>
        </is>
      </c>
      <c r="K32" s="33" t="n">
        <v>6.550000000000001</v>
      </c>
      <c r="L32" s="63" t="n">
        <v>0.1821974965229486</v>
      </c>
      <c r="M32" s="64" t="n">
        <v>1</v>
      </c>
      <c r="N32" s="32" t="inlineStr">
        <is>
          <t>Active</t>
        </is>
      </c>
      <c r="O32" s="32" t="n"/>
      <c r="P32" s="65" t="n">
        <v>4.2</v>
      </c>
      <c r="Q32" s="64" t="n">
        <v>1296</v>
      </c>
      <c r="R32" s="64" t="n">
        <v>341774</v>
      </c>
      <c r="S32" s="64" t="n">
        <v>1</v>
      </c>
      <c r="T32" s="32" t="n"/>
    </row>
    <row r="33" ht="62" customHeight="1">
      <c r="A33" s="10">
        <f>_xlfn.IMAGE("https://m.media-amazon.com/images/I/81XErw+bRVL.jpg")</f>
        <v/>
      </c>
      <c r="B33" s="32" t="inlineStr">
        <is>
          <t>B0CWJ4W1WP</t>
        </is>
      </c>
      <c r="C33" s="32" t="inlineStr">
        <is>
          <t>BM-FULL-LIGHT-BLUE</t>
        </is>
      </c>
      <c r="D33" s="32" t="inlineStr">
        <is>
          <t>DECOLURE Cooling Sheets Full Set 4pcs - Luxurious &amp; Ultra-Soft Full Size Cooling Sheets for Hot Sleepers - Comfortable Bamboo Viscose Microfiber Full Cooling Bed Sheets w/Deep Pockets (Light Blue)</t>
        </is>
      </c>
      <c r="E33" s="32" t="inlineStr">
        <is>
          <t>Full</t>
        </is>
      </c>
      <c r="F33" s="32" t="inlineStr">
        <is>
          <t>Light Blue</t>
        </is>
      </c>
      <c r="G33" s="60" t="n">
        <v>35.95</v>
      </c>
      <c r="H33" s="32" t="inlineStr">
        <is>
          <t>Helium 10 Xray, 2026-10-13</t>
        </is>
      </c>
      <c r="I33" s="61" t="n">
        <v>35.95</v>
      </c>
      <c r="J33" s="62" t="inlineStr">
        <is>
          <t>2026-03-30</t>
        </is>
      </c>
      <c r="K33" s="33" t="n"/>
      <c r="L33" s="63" t="n"/>
      <c r="M33" s="64" t="n">
        <v>1</v>
      </c>
      <c r="N33" s="32" t="inlineStr">
        <is>
          <t>Active</t>
        </is>
      </c>
      <c r="O33" s="32" t="n"/>
      <c r="P33" s="65" t="n">
        <v>4.2</v>
      </c>
      <c r="Q33" s="64" t="n">
        <v>1296</v>
      </c>
      <c r="R33" s="64" t="n">
        <v>341774</v>
      </c>
      <c r="S33" s="64" t="n">
        <v>2</v>
      </c>
      <c r="T33" s="32" t="n"/>
    </row>
    <row r="34" ht="62" customHeight="1">
      <c r="A34" s="10">
        <f>_xlfn.IMAGE("https://m.media-amazon.com/images/I/81+QctNV9NL.jpg")</f>
        <v/>
      </c>
      <c r="B34" s="32" t="inlineStr">
        <is>
          <t>B0C9LT81MY</t>
        </is>
      </c>
      <c r="C34" s="32" t="inlineStr">
        <is>
          <t>BM-FULL-NAVY-BLUE</t>
        </is>
      </c>
      <c r="D34" s="32" t="inlineStr">
        <is>
          <t>DECOLURE Cooling Sheets Full Set 4pcs - Luxurious &amp; Ultra-Soft Full Size Cooling Sheets for Hot Sleepers - Comfortable Bamboo Viscose Microfiber Full Cooling Bed Sheets w/Deep Pockets (Navy-01)</t>
        </is>
      </c>
      <c r="E34" s="32" t="inlineStr">
        <is>
          <t>Full</t>
        </is>
      </c>
      <c r="F34" s="32" t="inlineStr">
        <is>
          <t>Navy Blue-01</t>
        </is>
      </c>
      <c r="G34" s="60" t="n">
        <v>47.95</v>
      </c>
      <c r="H34" s="32" t="inlineStr">
        <is>
          <t>SellerBoard listing price, 2026-10-14</t>
        </is>
      </c>
      <c r="I34" s="61" t="n">
        <v>35.95</v>
      </c>
      <c r="J34" s="62" t="inlineStr">
        <is>
          <t>2026-03-30</t>
        </is>
      </c>
      <c r="K34" s="33" t="n">
        <v>8.820000000000002</v>
      </c>
      <c r="L34" s="63" t="n">
        <v>0.2453407510431155</v>
      </c>
      <c r="M34" s="64" t="n">
        <v>1</v>
      </c>
      <c r="N34" s="32" t="inlineStr">
        <is>
          <t>Active</t>
        </is>
      </c>
      <c r="O34" s="32" t="n"/>
      <c r="P34" s="65" t="n"/>
      <c r="Q34" s="64" t="n"/>
      <c r="R34" s="64" t="n"/>
      <c r="S34" s="64" t="n"/>
      <c r="T34" s="32" t="n"/>
    </row>
    <row r="35" ht="62" customHeight="1">
      <c r="A35" s="10">
        <f>_xlfn.IMAGE("https://m.media-amazon.com/images/I/81m677YWEDL.jpg")</f>
        <v/>
      </c>
      <c r="B35" s="32" t="inlineStr">
        <is>
          <t>B0CWJCY2VP</t>
        </is>
      </c>
      <c r="C35" s="32" t="inlineStr">
        <is>
          <t>BM-FULL-SAGE-GREEN</t>
        </is>
      </c>
      <c r="D35" s="32" t="inlineStr">
        <is>
          <t>DECOLURE Cooling Sheets Full Set 4pcs - Luxurious &amp; Ultra-Soft Full Size Cooling Sheets for Hot Sleepers - Comfortable Bamboo Viscose Microfiber Full Cooling Bed Sheets w/Deep Pockets (Sage Green)</t>
        </is>
      </c>
      <c r="E35" s="32" t="inlineStr">
        <is>
          <t>Full</t>
        </is>
      </c>
      <c r="F35" s="32" t="inlineStr">
        <is>
          <t>Sage Green</t>
        </is>
      </c>
      <c r="G35" s="60" t="n">
        <v>35.95</v>
      </c>
      <c r="H35" s="32" t="inlineStr">
        <is>
          <t>Helium 10 Xray, 2026-10-13</t>
        </is>
      </c>
      <c r="I35" s="61" t="n">
        <v>35.95</v>
      </c>
      <c r="J35" s="62" t="inlineStr">
        <is>
          <t>2026-03-30</t>
        </is>
      </c>
      <c r="K35" s="33" t="n">
        <v>9.180000000000001</v>
      </c>
      <c r="L35" s="63" t="n">
        <v>0.2553546592489569</v>
      </c>
      <c r="M35" s="64" t="n">
        <v>1</v>
      </c>
      <c r="N35" s="32" t="inlineStr">
        <is>
          <t>Active</t>
        </is>
      </c>
      <c r="O35" s="32" t="n"/>
      <c r="P35" s="65" t="n">
        <v>4.2</v>
      </c>
      <c r="Q35" s="64" t="n">
        <v>1296</v>
      </c>
      <c r="R35" s="64" t="n">
        <v>341774</v>
      </c>
      <c r="S35" s="64" t="n">
        <v>2</v>
      </c>
      <c r="T35" s="32" t="n"/>
    </row>
    <row r="36" ht="62" customHeight="1">
      <c r="A36" s="10">
        <f>_xlfn.IMAGE("https://m.media-amazon.com/images/I/81OQAuZYXSL.jpg")</f>
        <v/>
      </c>
      <c r="B36" s="32" t="inlineStr">
        <is>
          <t>B0C9LSHCH5</t>
        </is>
      </c>
      <c r="C36" s="32" t="inlineStr">
        <is>
          <t>BM-FULL-WHITE</t>
        </is>
      </c>
      <c r="D36" s="32" t="inlineStr">
        <is>
          <t>DECOLURE Cooling Sheets Full Set 4pcs - Luxurious &amp; Ultra-Soft Full Size Cooling Sheets for Hot Sleepers - Comfortable Bamboo Viscose Microfiber Full Cooling Bed Sheets w/Deep Pockets (White)</t>
        </is>
      </c>
      <c r="E36" s="32" t="inlineStr">
        <is>
          <t>Full</t>
        </is>
      </c>
      <c r="F36" s="32" t="inlineStr">
        <is>
          <t>White</t>
        </is>
      </c>
      <c r="G36" s="60" t="n">
        <v>35.95</v>
      </c>
      <c r="H36" s="32" t="inlineStr">
        <is>
          <t>Helium 10 Xray, 2026-10-13</t>
        </is>
      </c>
      <c r="I36" s="61" t="n">
        <v>41.95</v>
      </c>
      <c r="J36" s="62" t="inlineStr">
        <is>
          <t>2026-03-30</t>
        </is>
      </c>
      <c r="K36" s="33" t="n">
        <v>12.59</v>
      </c>
      <c r="L36" s="63" t="n">
        <v>0.300119189511323</v>
      </c>
      <c r="M36" s="64" t="n">
        <v>1</v>
      </c>
      <c r="N36" s="32" t="inlineStr">
        <is>
          <t>Active</t>
        </is>
      </c>
      <c r="O36" s="32" t="n"/>
      <c r="P36" s="65" t="n">
        <v>4.2</v>
      </c>
      <c r="Q36" s="64" t="n">
        <v>1296</v>
      </c>
      <c r="R36" s="64" t="n">
        <v>341774</v>
      </c>
      <c r="S36" s="64" t="n">
        <v>1</v>
      </c>
      <c r="T36" s="32" t="n"/>
    </row>
    <row r="37" ht="62" customHeight="1">
      <c r="A37" s="10">
        <f>_xlfn.IMAGE("https://m.media-amazon.com/images/I/81Hts-OSmEL.jpg")</f>
        <v/>
      </c>
      <c r="B37" s="32" t="inlineStr">
        <is>
          <t>B0CWJ188W3</t>
        </is>
      </c>
      <c r="C37" s="32" t="inlineStr">
        <is>
          <t>BM-QUEEN-LIGHT-GREY</t>
        </is>
      </c>
      <c r="D37" s="32" t="inlineStr">
        <is>
          <t>DECOLURE Cooling Sheets Queen Set 4pcs - Luxurious &amp; Ultra-Soft Cooling Bed Sheets Queen Size for Hot Sleepers - Comfortable Bamboo Viscose Microfiber Queen Bed Sheets Set Cooling (Light Grey)</t>
        </is>
      </c>
      <c r="E37" s="32" t="inlineStr">
        <is>
          <t>Queen</t>
        </is>
      </c>
      <c r="F37" s="32" t="inlineStr">
        <is>
          <t>Light Grey</t>
        </is>
      </c>
      <c r="G37" s="60" t="n">
        <v>37.95</v>
      </c>
      <c r="H37" s="32" t="inlineStr">
        <is>
          <t>Helium 10 Xray, 2026-10-13</t>
        </is>
      </c>
      <c r="I37" s="33" t="n"/>
      <c r="J37" s="32" t="n"/>
      <c r="K37" s="33" t="n"/>
      <c r="L37" s="63" t="n"/>
      <c r="M37" s="64" t="n">
        <v>1</v>
      </c>
      <c r="N37" s="32" t="inlineStr">
        <is>
          <t>Active</t>
        </is>
      </c>
      <c r="O37" s="32" t="n"/>
      <c r="P37" s="65" t="n">
        <v>4.2</v>
      </c>
      <c r="Q37" s="64" t="n">
        <v>1296</v>
      </c>
      <c r="R37" s="64" t="n">
        <v>341774</v>
      </c>
      <c r="S37" s="64" t="n">
        <v>0.3397</v>
      </c>
      <c r="T37" s="32" t="n"/>
    </row>
    <row r="38" ht="62" customHeight="1">
      <c r="A38" s="10">
        <f>_xlfn.IMAGE("https://m.media-amazon.com/images/I/81DKT9lQLpL.jpg")</f>
        <v/>
      </c>
      <c r="B38" s="32" t="inlineStr">
        <is>
          <t>B0C9LPF46G</t>
        </is>
      </c>
      <c r="C38" s="32" t="inlineStr">
        <is>
          <t>BM-TWIN-GRAPHITE-GREY</t>
        </is>
      </c>
      <c r="D38" s="32" t="inlineStr">
        <is>
          <t>DECOLURE Cooling Bed Sheets Twin Set 3pcs - Luxurious &amp; Ultra-Soft Twin Size Cooling Sheets for Hot Sleepers - Comfortable Cool Bamboo Viscose Microfiber Sheets Twin Size w/Deep Pockets (Graphite)</t>
        </is>
      </c>
      <c r="E38" s="32" t="inlineStr">
        <is>
          <t>Twin</t>
        </is>
      </c>
      <c r="F38" s="32" t="inlineStr">
        <is>
          <t>Graphite</t>
        </is>
      </c>
      <c r="G38" s="60" t="n">
        <v>33.95</v>
      </c>
      <c r="H38" s="32" t="inlineStr">
        <is>
          <t>Helium 10 Xray, 2026-10-13</t>
        </is>
      </c>
      <c r="I38" s="61" t="n">
        <v>40.95</v>
      </c>
      <c r="J38" s="62" t="inlineStr">
        <is>
          <t>2026-03-30</t>
        </is>
      </c>
      <c r="K38" s="33" t="n">
        <v>17.03</v>
      </c>
      <c r="L38" s="63" t="n">
        <v>0.4158730158730159</v>
      </c>
      <c r="M38" s="64" t="n">
        <v>1</v>
      </c>
      <c r="N38" s="32" t="inlineStr">
        <is>
          <t>Active</t>
        </is>
      </c>
      <c r="O38" s="32" t="n"/>
      <c r="P38" s="65" t="n">
        <v>4.2</v>
      </c>
      <c r="Q38" s="64" t="n">
        <v>1296</v>
      </c>
      <c r="R38" s="64" t="n">
        <v>341790</v>
      </c>
      <c r="S38" s="64" t="n">
        <v>2</v>
      </c>
      <c r="T38" s="32" t="n"/>
    </row>
    <row r="39" ht="62" customHeight="1">
      <c r="A39" s="10">
        <f>_xlfn.IMAGE("https://m.media-amazon.com/images/I/810EckETRlL.jpg")</f>
        <v/>
      </c>
      <c r="B39" s="32" t="inlineStr">
        <is>
          <t>B0C9LVLJ6S</t>
        </is>
      </c>
      <c r="C39" s="32" t="inlineStr">
        <is>
          <t>BM-TWIN-NAVY-BLUE</t>
        </is>
      </c>
      <c r="D39" s="32" t="inlineStr">
        <is>
          <t>DECOLURE Cooling Bed Sheets Twin Set 3pcs - Luxurious &amp; Ultra-Soft Twin Size Cooling Sheets for Hot Sleepers - Comfortable Cool Bamboo Viscose Microfiber Sheets Twin Size w/Deep Pockets (Navy)</t>
        </is>
      </c>
      <c r="E39" s="32" t="inlineStr">
        <is>
          <t>Twin</t>
        </is>
      </c>
      <c r="F39" s="32" t="inlineStr">
        <is>
          <t>Navy Blue</t>
        </is>
      </c>
      <c r="G39" s="60" t="n">
        <v>33.95</v>
      </c>
      <c r="H39" s="32" t="inlineStr">
        <is>
          <t>Helium 10 Xray, 2026-10-13</t>
        </is>
      </c>
      <c r="I39" s="61" t="n">
        <v>40.95</v>
      </c>
      <c r="J39" s="62" t="inlineStr">
        <is>
          <t>2026-03-30</t>
        </is>
      </c>
      <c r="K39" s="33" t="n">
        <v>16.59</v>
      </c>
      <c r="L39" s="63" t="n">
        <v>0.4051282051282052</v>
      </c>
      <c r="M39" s="64" t="n">
        <v>1</v>
      </c>
      <c r="N39" s="32" t="inlineStr">
        <is>
          <t>Active</t>
        </is>
      </c>
      <c r="O39" s="32" t="n"/>
      <c r="P39" s="65" t="n">
        <v>4.2</v>
      </c>
      <c r="Q39" s="64" t="n">
        <v>1296</v>
      </c>
      <c r="R39" s="64" t="n">
        <v>341774</v>
      </c>
      <c r="S39" s="64" t="n">
        <v>3</v>
      </c>
      <c r="T39" s="32" t="n"/>
    </row>
    <row r="40" ht="62" customHeight="1">
      <c r="A40" s="10">
        <f>_xlfn.IMAGE("https://m.media-amazon.com/images/I/81MzWBXjtdL.jpg")</f>
        <v/>
      </c>
      <c r="B40" s="32" t="inlineStr">
        <is>
          <t>B0C9LNSCWB</t>
        </is>
      </c>
      <c r="C40" s="32" t="inlineStr">
        <is>
          <t>BM-CALKING-4PCS-GRAPHITE-GREY</t>
        </is>
      </c>
      <c r="D40" s="32" t="inlineStr">
        <is>
          <t>DECOLURE Cooling Bed Sheets Cal-King Set 4pcs - Luxurious &amp; Soft California King Size Cooling Sheets for Hot Sleepers - Comfy &amp; Cool California King Bamboo Viscose Microfiber Sheets (Graphite-01)</t>
        </is>
      </c>
      <c r="E40" s="32" t="inlineStr">
        <is>
          <t>Cal King</t>
        </is>
      </c>
      <c r="F40" s="32" t="inlineStr">
        <is>
          <t>Graphite</t>
        </is>
      </c>
      <c r="G40" s="60" t="n">
        <v>39.95</v>
      </c>
      <c r="H40" s="32" t="inlineStr">
        <is>
          <t>Helium 10 Xray, 2026-10-13</t>
        </is>
      </c>
      <c r="I40" s="33" t="n"/>
      <c r="J40" s="32" t="n"/>
      <c r="K40" s="33" t="n"/>
      <c r="L40" s="63" t="n"/>
      <c r="M40" s="64" t="n">
        <v>0</v>
      </c>
      <c r="N40" s="32" t="inlineStr">
        <is>
          <t>Active</t>
        </is>
      </c>
      <c r="O40" s="32" t="n"/>
      <c r="P40" s="65" t="n">
        <v>3</v>
      </c>
      <c r="Q40" s="64" t="n">
        <v>15</v>
      </c>
      <c r="R40" s="64" t="n">
        <v>980806</v>
      </c>
      <c r="S40" s="64" t="n">
        <v>0</v>
      </c>
      <c r="T40" s="66" t="inlineStr">
        <is>
          <t>SEPARATE listing - not in the main review family</t>
        </is>
      </c>
    </row>
    <row r="41" ht="62" customHeight="1">
      <c r="A41" s="10">
        <f>_xlfn.IMAGE("https://m.media-amazon.com/images/I/81BtsH28UJL.jpg")</f>
        <v/>
      </c>
      <c r="B41" s="32" t="inlineStr">
        <is>
          <t>B0CWJ2ZQJR</t>
        </is>
      </c>
      <c r="C41" s="32" t="inlineStr">
        <is>
          <t>BM-CALKING-BEIGE</t>
        </is>
      </c>
      <c r="D41" s="32" t="inlineStr">
        <is>
          <t>DECOLURE Cooling Bed Sheets Cal-King Set 4pcs - Luxurious &amp; Soft California King Size Cooling Sheets for Hot Sleepers - Comfy &amp; Cool California King Bamboo Viscose Microfiber Sheets (Beige)</t>
        </is>
      </c>
      <c r="E41" s="32" t="inlineStr">
        <is>
          <t>California King</t>
        </is>
      </c>
      <c r="F41" s="32" t="inlineStr">
        <is>
          <t>Beige</t>
        </is>
      </c>
      <c r="G41" s="60" t="n">
        <v>39.95</v>
      </c>
      <c r="H41" s="32" t="inlineStr">
        <is>
          <t>Helium 10 Xray, 2026-10-13</t>
        </is>
      </c>
      <c r="I41" s="61" t="n">
        <v>39.95</v>
      </c>
      <c r="J41" s="62" t="inlineStr">
        <is>
          <t>2026-03-30</t>
        </is>
      </c>
      <c r="K41" s="33" t="n">
        <v>9.629999999999999</v>
      </c>
      <c r="L41" s="63" t="n">
        <v>0.2410513141426783</v>
      </c>
      <c r="M41" s="64" t="n">
        <v>0</v>
      </c>
      <c r="N41" s="32" t="inlineStr">
        <is>
          <t>Active</t>
        </is>
      </c>
      <c r="O41" s="32" t="n"/>
      <c r="P41" s="65" t="n">
        <v>4.2</v>
      </c>
      <c r="Q41" s="64" t="n">
        <v>1296</v>
      </c>
      <c r="R41" s="64" t="n">
        <v>341774</v>
      </c>
      <c r="S41" s="64" t="n">
        <v>0.7277</v>
      </c>
      <c r="T41" s="32" t="n"/>
    </row>
    <row r="42" ht="62" customHeight="1">
      <c r="A42" s="10">
        <f>_xlfn.IMAGE("https://m.media-amazon.com/images/I/81Gj0zENECL.jpg")</f>
        <v/>
      </c>
      <c r="B42" s="32" t="inlineStr">
        <is>
          <t>B0C9LXDSJ1</t>
        </is>
      </c>
      <c r="C42" s="32" t="inlineStr">
        <is>
          <t>BM-CALKING-CGREY</t>
        </is>
      </c>
      <c r="D42" s="32" t="inlineStr">
        <is>
          <t>DECOLURE Cooling Bed Sheets Cal-King Set 4pcs - Luxurious &amp; Soft California King Size Cooling Sheets for Hot Sleepers - Comfy &amp; Cool California King Bamboo Viscose Microfiber Sheets (Cool Grey)</t>
        </is>
      </c>
      <c r="E42" s="32" t="inlineStr">
        <is>
          <t>California King</t>
        </is>
      </c>
      <c r="F42" s="32" t="inlineStr">
        <is>
          <t>Cool Grey</t>
        </is>
      </c>
      <c r="G42" s="60" t="n">
        <v>39.95</v>
      </c>
      <c r="H42" s="32" t="inlineStr">
        <is>
          <t>Helium 10 Xray, 2026-10-13</t>
        </is>
      </c>
      <c r="I42" s="61" t="n">
        <v>47.95</v>
      </c>
      <c r="J42" s="62" t="inlineStr">
        <is>
          <t>2026-03-30</t>
        </is>
      </c>
      <c r="K42" s="33" t="n">
        <v>16.68</v>
      </c>
      <c r="L42" s="63" t="n">
        <v>0.3478623566214807</v>
      </c>
      <c r="M42" s="64" t="n">
        <v>0</v>
      </c>
      <c r="N42" s="32" t="inlineStr">
        <is>
          <t>Active</t>
        </is>
      </c>
      <c r="O42" s="32" t="inlineStr">
        <is>
          <t>Yes (3%)</t>
        </is>
      </c>
      <c r="P42" s="65" t="n">
        <v>4.2</v>
      </c>
      <c r="Q42" s="64" t="n">
        <v>1296</v>
      </c>
      <c r="R42" s="64" t="n">
        <v>341774</v>
      </c>
      <c r="S42" s="64" t="n">
        <v>0.8683</v>
      </c>
      <c r="T42" s="32" t="n"/>
    </row>
    <row r="43" ht="62" customHeight="1">
      <c r="A43" s="10">
        <f>_xlfn.IMAGE("https://m.media-amazon.com/images/I/81YbVqqOOBL.jpg")</f>
        <v/>
      </c>
      <c r="B43" s="32" t="inlineStr">
        <is>
          <t>B0C9LWPL86</t>
        </is>
      </c>
      <c r="C43" s="32" t="inlineStr">
        <is>
          <t>BM-CALKING-CREAM</t>
        </is>
      </c>
      <c r="D43" s="32" t="inlineStr">
        <is>
          <t>DECOLURE Cooling Bed Sheets Cal-King Set 4pcs - Luxurious &amp; Soft California King Size Cooling Sheets for Hot Sleepers - Comfy &amp; Cool California King Bamboo Viscose Microfiber Sheets (Cream)</t>
        </is>
      </c>
      <c r="E43" s="32" t="inlineStr">
        <is>
          <t>California King</t>
        </is>
      </c>
      <c r="F43" s="32" t="inlineStr">
        <is>
          <t>Cream</t>
        </is>
      </c>
      <c r="G43" s="60" t="n">
        <v>39.95</v>
      </c>
      <c r="H43" s="32" t="inlineStr">
        <is>
          <t>Helium 10 Xray, 2026-10-13</t>
        </is>
      </c>
      <c r="I43" s="61" t="n">
        <v>44.95</v>
      </c>
      <c r="J43" s="62" t="inlineStr">
        <is>
          <t>2026-03-30</t>
        </is>
      </c>
      <c r="K43" s="33" t="n">
        <v>13.59</v>
      </c>
      <c r="L43" s="63" t="n">
        <v>0.3023359288097887</v>
      </c>
      <c r="M43" s="64" t="n">
        <v>0</v>
      </c>
      <c r="N43" s="32" t="inlineStr">
        <is>
          <t>Active</t>
        </is>
      </c>
      <c r="O43" s="32" t="n"/>
      <c r="P43" s="65" t="n">
        <v>4.2</v>
      </c>
      <c r="Q43" s="64" t="n">
        <v>1296</v>
      </c>
      <c r="R43" s="64" t="n">
        <v>341774</v>
      </c>
      <c r="S43" s="64" t="n">
        <v>0.7969000000000001</v>
      </c>
      <c r="T43" s="32" t="n"/>
    </row>
    <row r="44" ht="62" customHeight="1">
      <c r="A44" s="10">
        <f>_xlfn.IMAGE("https://m.media-amazon.com/images/I/81MzWBXjtdL.jpg")</f>
        <v/>
      </c>
      <c r="B44" s="32" t="inlineStr">
        <is>
          <t>B0C9LNSCWB</t>
        </is>
      </c>
      <c r="C44" s="32" t="inlineStr">
        <is>
          <t>BM-CALKING-GRAPHITE-GREY</t>
        </is>
      </c>
      <c r="D44" s="32" t="inlineStr">
        <is>
          <t>DECOLURE Cooling Bed Sheets Cal-King Set 4pcs - Luxurious &amp; Soft California King Size Cooling Sheets for Hot Sleepers - Comfy &amp; Cool California King Bamboo Viscose Microfiber Sheets (Graphite-01)</t>
        </is>
      </c>
      <c r="E44" s="32" t="inlineStr">
        <is>
          <t>California King</t>
        </is>
      </c>
      <c r="F44" s="32" t="inlineStr">
        <is>
          <t>Graphite</t>
        </is>
      </c>
      <c r="G44" s="60" t="n">
        <v>39.95</v>
      </c>
      <c r="H44" s="32" t="inlineStr">
        <is>
          <t>Helium 10 Xray, 2026-10-13</t>
        </is>
      </c>
      <c r="I44" s="61" t="n">
        <v>39.95</v>
      </c>
      <c r="J44" s="62" t="inlineStr">
        <is>
          <t>2026-03-30</t>
        </is>
      </c>
      <c r="K44" s="33" t="n">
        <v>9.590000000000003</v>
      </c>
      <c r="L44" s="63" t="n">
        <v>0.2400500625782228</v>
      </c>
      <c r="M44" s="64" t="n">
        <v>0</v>
      </c>
      <c r="N44" s="32" t="inlineStr">
        <is>
          <t>Active</t>
        </is>
      </c>
      <c r="O44" s="32" t="n"/>
      <c r="P44" s="65" t="n">
        <v>3</v>
      </c>
      <c r="Q44" s="64" t="n">
        <v>15</v>
      </c>
      <c r="R44" s="64" t="n">
        <v>980806</v>
      </c>
      <c r="S44" s="64" t="n">
        <v>0</v>
      </c>
      <c r="T44" s="66" t="inlineStr">
        <is>
          <t>SEPARATE listing - not in the main review family</t>
        </is>
      </c>
    </row>
    <row r="45" ht="62" customHeight="1">
      <c r="A45" s="10">
        <f>_xlfn.IMAGE("https://m.media-amazon.com/images/I/81pyUdhR+eL.jpg")</f>
        <v/>
      </c>
      <c r="B45" s="32" t="inlineStr">
        <is>
          <t>B0CWHT5C1M</t>
        </is>
      </c>
      <c r="C45" s="32" t="inlineStr">
        <is>
          <t>BM-CALKING-LIGHT-BLUE</t>
        </is>
      </c>
      <c r="D45" s="32" t="inlineStr">
        <is>
          <t>DECOLURE Cooling Bed Sheets Cal-King Set 4pcs - Luxurious &amp; Soft California King Size Cooling Sheets for Hot Sleepers - Comfy &amp; Cool California King Bamboo Viscose Microfiber Sheets (Light Blue)</t>
        </is>
      </c>
      <c r="E45" s="32" t="inlineStr">
        <is>
          <t>California King</t>
        </is>
      </c>
      <c r="F45" s="32" t="inlineStr">
        <is>
          <t>Light Blue</t>
        </is>
      </c>
      <c r="G45" s="60" t="n">
        <v>39.95</v>
      </c>
      <c r="H45" s="32" t="inlineStr">
        <is>
          <t>SellerBoard listing price, 2026-10-14</t>
        </is>
      </c>
      <c r="I45" s="61" t="n">
        <v>39.95</v>
      </c>
      <c r="J45" s="62" t="inlineStr">
        <is>
          <t>2026-03-30</t>
        </is>
      </c>
      <c r="K45" s="33" t="n">
        <v>8.690000000000001</v>
      </c>
      <c r="L45" s="63" t="n">
        <v>0.2175219023779725</v>
      </c>
      <c r="M45" s="64" t="n"/>
      <c r="N45" s="32" t="inlineStr">
        <is>
          <t>Inactive</t>
        </is>
      </c>
      <c r="O45" s="32" t="n"/>
      <c r="P45" s="65" t="n"/>
      <c r="Q45" s="64" t="n"/>
      <c r="R45" s="64" t="n"/>
      <c r="S45" s="64" t="n"/>
      <c r="T45" s="32" t="n"/>
    </row>
    <row r="46" ht="62" customHeight="1">
      <c r="A46" s="10">
        <f>_xlfn.IMAGE("https://m.media-amazon.com/images/I/81LzK078hML.jpg")</f>
        <v/>
      </c>
      <c r="B46" s="32" t="inlineStr">
        <is>
          <t>B0CWJ19HT3</t>
        </is>
      </c>
      <c r="C46" s="32" t="inlineStr">
        <is>
          <t>BM-CALKING-PINK</t>
        </is>
      </c>
      <c r="D46" s="32" t="inlineStr">
        <is>
          <t>DECOLURE Cooling Bed Sheets Cal-King Set 4pcs - Luxurious &amp; Soft California King Size Cooling Sheets for Hot Sleepers - Comfy &amp; Cool California King Bamboo Viscose Microfiber Sheets (Pink)</t>
        </is>
      </c>
      <c r="E46" s="32" t="inlineStr">
        <is>
          <t>California King</t>
        </is>
      </c>
      <c r="F46" s="32" t="inlineStr">
        <is>
          <t>Light Pink</t>
        </is>
      </c>
      <c r="G46" s="60" t="n">
        <v>39.95</v>
      </c>
      <c r="H46" s="32" t="inlineStr">
        <is>
          <t>Helium 10 Xray, 2026-10-13</t>
        </is>
      </c>
      <c r="I46" s="61" t="n">
        <v>49.95</v>
      </c>
      <c r="J46" s="62" t="inlineStr">
        <is>
          <t>2026-03-30</t>
        </is>
      </c>
      <c r="K46" s="33" t="n">
        <v>17.11</v>
      </c>
      <c r="L46" s="63" t="n">
        <v>0.3425425425425425</v>
      </c>
      <c r="M46" s="64" t="n">
        <v>0</v>
      </c>
      <c r="N46" s="32" t="inlineStr">
        <is>
          <t>Active</t>
        </is>
      </c>
      <c r="O46" s="32" t="n"/>
      <c r="P46" s="65" t="n">
        <v>4.2</v>
      </c>
      <c r="Q46" s="64" t="n">
        <v>1296</v>
      </c>
      <c r="R46" s="64" t="n">
        <v>341774</v>
      </c>
      <c r="S46" s="64" t="n">
        <v>0.7722</v>
      </c>
      <c r="T46" s="32" t="n"/>
    </row>
    <row r="47" ht="62" customHeight="1">
      <c r="A47" s="10">
        <f>_xlfn.IMAGE("https://m.media-amazon.com/images/I/81Z4qrudvWL.jpg")</f>
        <v/>
      </c>
      <c r="B47" s="32" t="inlineStr">
        <is>
          <t>B0C9LTYXMQ</t>
        </is>
      </c>
      <c r="C47" s="32" t="inlineStr">
        <is>
          <t>BM-CALKING-MIDNIGHT-BLACK</t>
        </is>
      </c>
      <c r="D47" s="32" t="inlineStr">
        <is>
          <t>DECOLURE Cooling Bed Sheets Cal-King Set 4pcs - Luxurious &amp; Soft California King Size Cooling Sheets for Hot Sleepers - Comfy &amp; Cool California King Bamboo Viscose Microfiber Sheets (Midnight Black)</t>
        </is>
      </c>
      <c r="E47" s="32" t="inlineStr">
        <is>
          <t>California King</t>
        </is>
      </c>
      <c r="F47" s="32" t="inlineStr">
        <is>
          <t>Midnight Black</t>
        </is>
      </c>
      <c r="G47" s="60" t="n">
        <v>39.95</v>
      </c>
      <c r="H47" s="32" t="inlineStr">
        <is>
          <t>SellerBoard listing price, 2026-10-14</t>
        </is>
      </c>
      <c r="I47" s="61" t="n">
        <v>55.95</v>
      </c>
      <c r="J47" s="62" t="inlineStr">
        <is>
          <t>2026-03-30</t>
        </is>
      </c>
      <c r="K47" s="33" t="n">
        <v>22.16</v>
      </c>
      <c r="L47" s="63" t="n">
        <v>0.3960679177837355</v>
      </c>
      <c r="M47" s="64" t="n"/>
      <c r="N47" s="32" t="inlineStr">
        <is>
          <t>Inactive</t>
        </is>
      </c>
      <c r="O47" s="32" t="n"/>
      <c r="P47" s="65" t="n"/>
      <c r="Q47" s="64" t="n"/>
      <c r="R47" s="64" t="n"/>
      <c r="S47" s="64" t="n"/>
      <c r="T47" s="32" t="n"/>
    </row>
    <row r="48" ht="62" customHeight="1">
      <c r="A48" s="10">
        <f>_xlfn.IMAGE("https://m.media-amazon.com/images/I/81+QctNV9NL.jpg")</f>
        <v/>
      </c>
      <c r="B48" s="32" t="inlineStr">
        <is>
          <t>B0C9LR2MK4</t>
        </is>
      </c>
      <c r="C48" s="32" t="inlineStr">
        <is>
          <t>BM-CALKING-NAVY-BLUE</t>
        </is>
      </c>
      <c r="D48" s="32" t="inlineStr">
        <is>
          <t>DECOLURE Cooling Bed Sheets Cal-King Set 4pcs - Luxurious &amp; Soft California King Size Cooling Sheets for Hot Sleepers - Comfy &amp; Cool California King Bamboo Viscose Microfiber Sheets (Navy)</t>
        </is>
      </c>
      <c r="E48" s="32" t="inlineStr">
        <is>
          <t>California King</t>
        </is>
      </c>
      <c r="F48" s="32" t="inlineStr">
        <is>
          <t>Navy Blue</t>
        </is>
      </c>
      <c r="G48" s="60" t="n">
        <v>39.95</v>
      </c>
      <c r="H48" s="32" t="inlineStr">
        <is>
          <t>Helium 10 Xray, 2026-10-13</t>
        </is>
      </c>
      <c r="I48" s="33" t="n"/>
      <c r="J48" s="32" t="n"/>
      <c r="K48" s="33" t="n"/>
      <c r="L48" s="63" t="n"/>
      <c r="M48" s="64" t="n">
        <v>0</v>
      </c>
      <c r="N48" s="32" t="inlineStr">
        <is>
          <t>Active</t>
        </is>
      </c>
      <c r="O48" s="32" t="n"/>
      <c r="P48" s="65" t="n">
        <v>4.2</v>
      </c>
      <c r="Q48" s="64" t="n">
        <v>1296</v>
      </c>
      <c r="R48" s="64" t="n">
        <v>341774</v>
      </c>
      <c r="S48" s="64" t="n">
        <v>0.4377</v>
      </c>
      <c r="T48" s="32" t="n"/>
    </row>
    <row r="49" ht="62" customHeight="1">
      <c r="A49" s="10">
        <f>_xlfn.IMAGE("https://m.media-amazon.com/images/I/81ydLFLIitL.jpg")</f>
        <v/>
      </c>
      <c r="B49" s="32" t="inlineStr">
        <is>
          <t>B0C9LSHCGX</t>
        </is>
      </c>
      <c r="C49" s="32" t="inlineStr">
        <is>
          <t>BM-CALKING-R-PURPLE</t>
        </is>
      </c>
      <c r="D49" s="32" t="inlineStr">
        <is>
          <t>DECOLURE Cooling Bed Sheets Cal-King Set 4pcs - Luxurious &amp; Soft California King Size Cooling Sheets for Hot Sleepers - Comfy &amp; Cool California King Bamboo Viscose Microfiber Sheets (Purple)</t>
        </is>
      </c>
      <c r="E49" s="32" t="inlineStr">
        <is>
          <t>California King</t>
        </is>
      </c>
      <c r="F49" s="32" t="inlineStr">
        <is>
          <t>Regal Purple</t>
        </is>
      </c>
      <c r="G49" s="60" t="n">
        <v>39.95</v>
      </c>
      <c r="H49" s="32" t="inlineStr">
        <is>
          <t>SellerBoard listing price, 2026-10-14</t>
        </is>
      </c>
      <c r="I49" s="33" t="n"/>
      <c r="J49" s="32" t="n"/>
      <c r="K49" s="33" t="n"/>
      <c r="L49" s="63" t="n"/>
      <c r="M49" s="64" t="n"/>
      <c r="N49" s="32" t="inlineStr">
        <is>
          <t>Inactive</t>
        </is>
      </c>
      <c r="O49" s="32" t="n"/>
      <c r="P49" s="65" t="n"/>
      <c r="Q49" s="64" t="n"/>
      <c r="R49" s="64" t="n"/>
      <c r="S49" s="64" t="n"/>
      <c r="T49" s="32" t="n"/>
    </row>
    <row r="50" ht="62" customHeight="1">
      <c r="A50" s="10">
        <f>_xlfn.IMAGE("https://m.media-amazon.com/images/I/81OQAuZYXSL.jpg")</f>
        <v/>
      </c>
      <c r="B50" s="32" t="inlineStr">
        <is>
          <t>B0C9LTP7TM</t>
        </is>
      </c>
      <c r="C50" s="32" t="inlineStr">
        <is>
          <t>BM-CALKING-WHITE</t>
        </is>
      </c>
      <c r="D50" s="32" t="inlineStr">
        <is>
          <t>DECOLURE Cooling Bed Sheets Cal-King Set 4pcs - Luxurious &amp; Soft California King Size Cooling Sheets for Hot Sleepers - Comfy &amp; Cool California King Bamboo Viscose Microfiber Sheets (White)</t>
        </is>
      </c>
      <c r="E50" s="32" t="inlineStr">
        <is>
          <t>California King</t>
        </is>
      </c>
      <c r="F50" s="32" t="inlineStr">
        <is>
          <t>White</t>
        </is>
      </c>
      <c r="G50" s="60" t="n">
        <v>39.95</v>
      </c>
      <c r="H50" s="32" t="inlineStr">
        <is>
          <t>Helium 10 Xray, 2026-10-13</t>
        </is>
      </c>
      <c r="I50" s="61" t="n">
        <v>39.95</v>
      </c>
      <c r="J50" s="62" t="inlineStr">
        <is>
          <t>2026-03-30</t>
        </is>
      </c>
      <c r="K50" s="33" t="n">
        <v>9.620000000000001</v>
      </c>
      <c r="L50" s="63" t="n">
        <v>0.2408010012515645</v>
      </c>
      <c r="M50" s="64" t="n">
        <v>0</v>
      </c>
      <c r="N50" s="32" t="inlineStr">
        <is>
          <t>Active</t>
        </is>
      </c>
      <c r="O50" s="32" t="inlineStr">
        <is>
          <t>Yes (15%)</t>
        </is>
      </c>
      <c r="P50" s="65" t="n">
        <v>4.2</v>
      </c>
      <c r="Q50" s="64" t="n">
        <v>1296</v>
      </c>
      <c r="R50" s="64" t="n">
        <v>341774</v>
      </c>
      <c r="S50" s="64" t="n">
        <v>0.4848</v>
      </c>
      <c r="T50" s="32" t="n"/>
    </row>
    <row r="51" ht="62" customHeight="1">
      <c r="A51" s="10">
        <f>_xlfn.IMAGE("https://m.media-amazon.com/images/I/81BtsH28UJL.jpg")</f>
        <v/>
      </c>
      <c r="B51" s="32" t="inlineStr">
        <is>
          <t>B0CWJBHX1G</t>
        </is>
      </c>
      <c r="C51" s="32" t="inlineStr">
        <is>
          <t>BM-FULL-BEIGE</t>
        </is>
      </c>
      <c r="D51" s="32" t="inlineStr">
        <is>
          <t>DECOLURE Cooling Sheets Full Set 4pcs - Luxurious &amp; Ultra-Soft Full Size Cooling Sheets for Hot Sleepers - Comfortable Bamboo Viscose Microfiber Full Cooling Bed Sheets w/Deep Pockets (Beige)</t>
        </is>
      </c>
      <c r="E51" s="32" t="inlineStr">
        <is>
          <t>Full</t>
        </is>
      </c>
      <c r="F51" s="32" t="inlineStr">
        <is>
          <t>Beige</t>
        </is>
      </c>
      <c r="G51" s="60" t="n">
        <v>35.95</v>
      </c>
      <c r="H51" s="32" t="inlineStr">
        <is>
          <t>Helium 10 Xray, 2026-10-13</t>
        </is>
      </c>
      <c r="I51" s="61" t="n">
        <v>35.95</v>
      </c>
      <c r="J51" s="62" t="inlineStr">
        <is>
          <t>2026-03-30</t>
        </is>
      </c>
      <c r="K51" s="33" t="n">
        <v>8.820000000000002</v>
      </c>
      <c r="L51" s="63" t="n">
        <v>0.2453407510431155</v>
      </c>
      <c r="M51" s="64" t="n">
        <v>0</v>
      </c>
      <c r="N51" s="32" t="inlineStr">
        <is>
          <t>Active</t>
        </is>
      </c>
      <c r="O51" s="32" t="n"/>
      <c r="P51" s="65" t="n">
        <v>4.2</v>
      </c>
      <c r="Q51" s="64" t="n">
        <v>1296</v>
      </c>
      <c r="R51" s="64" t="n">
        <v>341774</v>
      </c>
      <c r="S51" s="64" t="n">
        <v>2</v>
      </c>
      <c r="T51" s="32" t="n"/>
    </row>
    <row r="52" ht="62" customHeight="1">
      <c r="A52" s="10">
        <f>_xlfn.IMAGE("https://m.media-amazon.com/images/I/81e9ABRlpwL.jpg")</f>
        <v/>
      </c>
      <c r="B52" s="32" t="inlineStr">
        <is>
          <t>B0CWHYT2NC</t>
        </is>
      </c>
      <c r="C52" s="32" t="inlineStr">
        <is>
          <t>BM-FULL-LIGHT-GREY</t>
        </is>
      </c>
      <c r="D52" s="32" t="inlineStr">
        <is>
          <t>DECOLURE Cooling Sheets Full Set 4pcs - Luxurious &amp; Ultra-Soft Full Size Cooling Sheets for Hot Sleepers - Comfortable Bamboo Viscose Microfiber Full Cooling Bed Sheets w/Deep Pockets (Light Grey)</t>
        </is>
      </c>
      <c r="E52" s="32" t="inlineStr">
        <is>
          <t>Full</t>
        </is>
      </c>
      <c r="F52" s="32" t="inlineStr">
        <is>
          <t>Light Grey</t>
        </is>
      </c>
      <c r="G52" s="60" t="n">
        <v>35.95</v>
      </c>
      <c r="H52" s="32" t="inlineStr">
        <is>
          <t>SellerBoard listing price, 2026-10-14</t>
        </is>
      </c>
      <c r="I52" s="33" t="n"/>
      <c r="J52" s="32" t="n"/>
      <c r="K52" s="33" t="n"/>
      <c r="L52" s="63" t="n"/>
      <c r="M52" s="64" t="n"/>
      <c r="N52" s="32" t="inlineStr">
        <is>
          <t>Inactive</t>
        </is>
      </c>
      <c r="O52" s="32" t="n"/>
      <c r="P52" s="65" t="n"/>
      <c r="Q52" s="64" t="n"/>
      <c r="R52" s="64" t="n"/>
      <c r="S52" s="64" t="n"/>
      <c r="T52" s="32" t="n"/>
    </row>
    <row r="53" ht="62" customHeight="1">
      <c r="A53" s="10">
        <f>_xlfn.IMAGE("https://m.media-amazon.com/images/I/81LzK078hML.jpg")</f>
        <v/>
      </c>
      <c r="B53" s="32" t="inlineStr">
        <is>
          <t>B0CWJ8YXR4</t>
        </is>
      </c>
      <c r="C53" s="32" t="inlineStr">
        <is>
          <t>BM-FULL-PINK</t>
        </is>
      </c>
      <c r="D53" s="32" t="inlineStr">
        <is>
          <t>DECOLURE Cooling Sheets Full Set 4pcs - Luxurious &amp; Ultra-Soft Full Size Cooling Sheets for Hot Sleepers - Comfortable Bamboo Viscose Microfiber Full Cooling Bed Sheets w/Deep Pockets (Pink)</t>
        </is>
      </c>
      <c r="E53" s="32" t="inlineStr">
        <is>
          <t>Full</t>
        </is>
      </c>
      <c r="F53" s="32" t="inlineStr">
        <is>
          <t>Light Pink</t>
        </is>
      </c>
      <c r="G53" s="60" t="n">
        <v>35.95</v>
      </c>
      <c r="H53" s="32" t="inlineStr">
        <is>
          <t>Helium 10 Xray, 2026-10-13</t>
        </is>
      </c>
      <c r="I53" s="61" t="n">
        <v>35.95</v>
      </c>
      <c r="J53" s="62" t="inlineStr">
        <is>
          <t>2026-03-30</t>
        </is>
      </c>
      <c r="K53" s="33" t="n">
        <v>9.050000000000002</v>
      </c>
      <c r="L53" s="63" t="n">
        <v>0.2517385257301809</v>
      </c>
      <c r="M53" s="64" t="n">
        <v>0</v>
      </c>
      <c r="N53" s="32" t="inlineStr">
        <is>
          <t>Active</t>
        </is>
      </c>
      <c r="O53" s="32" t="n"/>
      <c r="P53" s="65" t="n">
        <v>4.2</v>
      </c>
      <c r="Q53" s="64" t="n">
        <v>1296</v>
      </c>
      <c r="R53" s="64" t="n">
        <v>341774</v>
      </c>
      <c r="S53" s="64" t="n">
        <v>2</v>
      </c>
      <c r="T53" s="32" t="n"/>
    </row>
    <row r="54" ht="62" customHeight="1">
      <c r="A54" s="10">
        <f>_xlfn.IMAGE("https://m.media-amazon.com/images/I/81Z4qrudvWL.jpg")</f>
        <v/>
      </c>
      <c r="B54" s="32" t="inlineStr">
        <is>
          <t>B0C9LTQ5YV</t>
        </is>
      </c>
      <c r="C54" s="32" t="inlineStr">
        <is>
          <t>BM-FULL-MIDNIGHT-BLACK</t>
        </is>
      </c>
      <c r="D54" s="32" t="inlineStr">
        <is>
          <t>DECOLURE Cooling Sheets Full Set 4pcs - Luxurious &amp; Ultra-Soft Full Size Cooling Sheets for Hot Sleepers - Comfortable Bamboo Viscose Microfiber Full Cooling Bed Sheets w/Deep Pockets (Midnight Black)</t>
        </is>
      </c>
      <c r="E54" s="32" t="inlineStr">
        <is>
          <t>Full</t>
        </is>
      </c>
      <c r="F54" s="32" t="inlineStr">
        <is>
          <t>Midnight Black</t>
        </is>
      </c>
      <c r="G54" s="60" t="n">
        <v>35.95</v>
      </c>
      <c r="H54" s="32" t="inlineStr">
        <is>
          <t>SellerBoard listing price, 2026-10-14</t>
        </is>
      </c>
      <c r="I54" s="61" t="n">
        <v>35.95</v>
      </c>
      <c r="J54" s="62" t="inlineStr">
        <is>
          <t>2026-03-30</t>
        </is>
      </c>
      <c r="K54" s="33" t="n">
        <v>9.050000000000002</v>
      </c>
      <c r="L54" s="63" t="n">
        <v>0.2517385257301809</v>
      </c>
      <c r="M54" s="64" t="n"/>
      <c r="N54" s="32" t="inlineStr">
        <is>
          <t>Inactive</t>
        </is>
      </c>
      <c r="O54" s="32" t="n"/>
      <c r="P54" s="65" t="n"/>
      <c r="Q54" s="64" t="n"/>
      <c r="R54" s="64" t="n"/>
      <c r="S54" s="64" t="n"/>
      <c r="T54" s="32" t="n"/>
    </row>
    <row r="55" ht="62" customHeight="1">
      <c r="A55" s="10">
        <f>_xlfn.IMAGE("https://m.media-amazon.com/images/I/810EckETRlL.jpg")</f>
        <v/>
      </c>
      <c r="B55" s="32" t="inlineStr">
        <is>
          <t>B0DCK3XMTF</t>
        </is>
      </c>
      <c r="C55" s="32" t="n"/>
      <c r="D55" s="32" t="inlineStr">
        <is>
          <t>DECOLURE Cooling Sheets Full Set 4pcs - Luxurious &amp; Ultra-Soft Full Size Cooling Sheets for Hot Sleepers - Comfortable Bamboo Viscose Microfiber Full Cooling Bed Sheets w/Deep Pockets (Navy)</t>
        </is>
      </c>
      <c r="E55" s="32" t="inlineStr">
        <is>
          <t>Full</t>
        </is>
      </c>
      <c r="F55" s="32" t="inlineStr">
        <is>
          <t>Navy</t>
        </is>
      </c>
      <c r="G55" s="60" t="n">
        <v>35.95</v>
      </c>
      <c r="H55" s="32" t="inlineStr">
        <is>
          <t>SellerBoard listing price, 2026-10-14</t>
        </is>
      </c>
      <c r="I55" s="33" t="n"/>
      <c r="J55" s="32" t="n"/>
      <c r="K55" s="33" t="n"/>
      <c r="L55" s="63" t="n"/>
      <c r="M55" s="64" t="n"/>
      <c r="N55" s="32" t="inlineStr">
        <is>
          <t>Active</t>
        </is>
      </c>
      <c r="O55" s="32" t="n"/>
      <c r="P55" s="65" t="n"/>
      <c r="Q55" s="64" t="n"/>
      <c r="R55" s="64" t="n"/>
      <c r="S55" s="64" t="n"/>
      <c r="T55" s="32" t="n"/>
    </row>
    <row r="56" ht="62" customHeight="1">
      <c r="A56" s="10">
        <f>_xlfn.IMAGE("https://m.media-amazon.com/images/I/81ydLFLIitL.jpg")</f>
        <v/>
      </c>
      <c r="B56" s="32" t="inlineStr">
        <is>
          <t>B0C9LV5QYP</t>
        </is>
      </c>
      <c r="C56" s="32" t="inlineStr">
        <is>
          <t>BM-FULL-R-PURPLE</t>
        </is>
      </c>
      <c r="D56" s="32" t="inlineStr">
        <is>
          <t>DECOLURE Cooling Sheets Full Set 4pcs - Luxurious &amp; Ultra-Soft Full Size Cooling Sheets for Hot Sleepers - Comfortable Bamboo Viscose Microfiber Full Cooling Bed Sheets w/Deep Pockets (Purple)</t>
        </is>
      </c>
      <c r="E56" s="32" t="inlineStr">
        <is>
          <t>Full</t>
        </is>
      </c>
      <c r="F56" s="32" t="inlineStr">
        <is>
          <t>Regal Purple</t>
        </is>
      </c>
      <c r="G56" s="60" t="n">
        <v>35.95</v>
      </c>
      <c r="H56" s="32" t="inlineStr">
        <is>
          <t>SellerBoard listing price, 2026-10-14</t>
        </is>
      </c>
      <c r="I56" s="61" t="n">
        <v>41.95</v>
      </c>
      <c r="J56" s="62" t="inlineStr">
        <is>
          <t>2026-03-30</t>
        </is>
      </c>
      <c r="K56" s="33" t="n">
        <v>12.98</v>
      </c>
      <c r="L56" s="63" t="n">
        <v>0.3094159713945173</v>
      </c>
      <c r="M56" s="64" t="n"/>
      <c r="N56" s="32" t="inlineStr">
        <is>
          <t>Inactive</t>
        </is>
      </c>
      <c r="O56" s="32" t="n"/>
      <c r="P56" s="65" t="n"/>
      <c r="Q56" s="64" t="n"/>
      <c r="R56" s="64" t="n"/>
      <c r="S56" s="64" t="n"/>
      <c r="T56" s="32" t="n"/>
    </row>
    <row r="57" ht="62" customHeight="1">
      <c r="A57" s="10">
        <f>_xlfn.IMAGE("https://m.media-amazon.com/images/I/81dos9D9W7L.jpg")</f>
        <v/>
      </c>
      <c r="B57" s="32" t="inlineStr">
        <is>
          <t>B0CWJFKC2N</t>
        </is>
      </c>
      <c r="C57" s="32" t="inlineStr">
        <is>
          <t>BM-KING-BEIGE</t>
        </is>
      </c>
      <c r="D57" s="32" t="inlineStr">
        <is>
          <t>DECOLURE Cooling Bed Sheets King Set 4pcs - Luxurious &amp; Ultra-Soft King Size Cooling Sheets for Hot Sleepers - Comfortable &amp; Cool Bamboo Viscose Microfiber Sheets King Size w/Deep Pockets (Beige)</t>
        </is>
      </c>
      <c r="E57" s="32" t="inlineStr">
        <is>
          <t>King</t>
        </is>
      </c>
      <c r="F57" s="32" t="inlineStr">
        <is>
          <t>Beige</t>
        </is>
      </c>
      <c r="G57" s="60" t="n">
        <v>51.95</v>
      </c>
      <c r="H57" s="32" t="inlineStr">
        <is>
          <t>SellerBoard listing price, 2026-10-14</t>
        </is>
      </c>
      <c r="I57" s="61" t="n">
        <v>39.95</v>
      </c>
      <c r="J57" s="62" t="inlineStr">
        <is>
          <t>2026-03-30</t>
        </is>
      </c>
      <c r="K57" s="33" t="n">
        <v>9.960000000000001</v>
      </c>
      <c r="L57" s="63" t="n">
        <v>0.2493116395494368</v>
      </c>
      <c r="M57" s="64" t="n"/>
      <c r="N57" s="32" t="inlineStr">
        <is>
          <t>Inactive</t>
        </is>
      </c>
      <c r="O57" s="32" t="n"/>
      <c r="P57" s="65" t="n"/>
      <c r="Q57" s="64" t="n"/>
      <c r="R57" s="64" t="n"/>
      <c r="S57" s="64" t="n"/>
      <c r="T57" s="32" t="n"/>
    </row>
    <row r="58" ht="62" customHeight="1">
      <c r="A58" s="10">
        <f>_xlfn.IMAGE("https://m.media-amazon.com/images/I/819aQdxjmYL.jpg")</f>
        <v/>
      </c>
      <c r="B58" s="32" t="inlineStr">
        <is>
          <t>B0DCK3Z5P8</t>
        </is>
      </c>
      <c r="C58" s="32" t="n"/>
      <c r="D58" s="32" t="inlineStr">
        <is>
          <t>DECOLURE Cooling Bed Sheets King Set 4pcs - Luxurious &amp; Ultra-Soft King Size Cooling Sheets for Hot Sleepers - Comfortable &amp; Cool Bamboo Viscose Microfiber Sheets King Size w/Deep Pockets (Cool Grey)</t>
        </is>
      </c>
      <c r="E58" s="32" t="inlineStr">
        <is>
          <t>King</t>
        </is>
      </c>
      <c r="F58" s="32" t="inlineStr">
        <is>
          <t>Cool Grey</t>
        </is>
      </c>
      <c r="G58" s="60" t="n">
        <v>39.95</v>
      </c>
      <c r="H58" s="32" t="inlineStr">
        <is>
          <t>SellerBoard listing price, 2026-10-14</t>
        </is>
      </c>
      <c r="I58" s="33" t="n"/>
      <c r="J58" s="32" t="n"/>
      <c r="K58" s="33" t="n"/>
      <c r="L58" s="63" t="n"/>
      <c r="M58" s="64" t="n"/>
      <c r="N58" s="32" t="inlineStr">
        <is>
          <t>Active</t>
        </is>
      </c>
      <c r="O58" s="32" t="n"/>
      <c r="P58" s="65" t="n"/>
      <c r="Q58" s="64" t="n"/>
      <c r="R58" s="64" t="n"/>
      <c r="S58" s="64" t="n"/>
      <c r="T58" s="32" t="n"/>
    </row>
    <row r="59" ht="62" customHeight="1">
      <c r="A59" s="10">
        <f>_xlfn.IMAGE("https://m.media-amazon.com/images/I/81Gj0zENECL.jpg")</f>
        <v/>
      </c>
      <c r="B59" s="32" t="inlineStr">
        <is>
          <t>B0C9LSY8S7</t>
        </is>
      </c>
      <c r="C59" s="32" t="inlineStr">
        <is>
          <t>BM-KING-CGREY</t>
        </is>
      </c>
      <c r="D59" s="32" t="inlineStr">
        <is>
          <t>DECOLURE Cooling Bed Sheets King Set 4pcs - Luxurious &amp; Ultra-Soft King Size Cooling Sheets for Hot Sleepers - Comfortable &amp; Cool Microfiber Sheets King Size w/Deep Pockets (Cool Grey-01)</t>
        </is>
      </c>
      <c r="E59" s="32" t="inlineStr">
        <is>
          <t>King</t>
        </is>
      </c>
      <c r="F59" s="32" t="inlineStr">
        <is>
          <t>Cool Grey-01</t>
        </is>
      </c>
      <c r="G59" s="60" t="n">
        <v>39.95</v>
      </c>
      <c r="H59" s="32" t="inlineStr">
        <is>
          <t>SellerBoard listing price, 2026-10-14</t>
        </is>
      </c>
      <c r="I59" s="33" t="n"/>
      <c r="J59" s="32" t="n"/>
      <c r="K59" s="33" t="n"/>
      <c r="L59" s="63" t="n"/>
      <c r="M59" s="64" t="n"/>
      <c r="N59" s="32" t="inlineStr">
        <is>
          <t>Inactive</t>
        </is>
      </c>
      <c r="O59" s="32" t="n"/>
      <c r="P59" s="65" t="n"/>
      <c r="Q59" s="64" t="n"/>
      <c r="R59" s="64" t="n"/>
      <c r="S59" s="64" t="n"/>
      <c r="T59" s="32" t="n"/>
    </row>
    <row r="60" ht="62" customHeight="1">
      <c r="A60" s="10">
        <f>_xlfn.IMAGE("https://m.media-amazon.com/images/I/81YbVqqOOBL.jpg")</f>
        <v/>
      </c>
      <c r="B60" s="32" t="inlineStr">
        <is>
          <t>B0C9LXFDJT</t>
        </is>
      </c>
      <c r="C60" s="32" t="inlineStr">
        <is>
          <t>BM-KING-CREAM</t>
        </is>
      </c>
      <c r="D60" s="32" t="inlineStr">
        <is>
          <t>DECOLURE Cooling Bed Sheets King Set 4pcs - Luxurious &amp; Ultra-Soft King Size Cooling Sheets for Hot Sleepers - Comfortable &amp; Cool Bamboo Viscose Microfiber Sheets King Size w/Deep Pockets (Cream)</t>
        </is>
      </c>
      <c r="E60" s="32" t="inlineStr">
        <is>
          <t>King</t>
        </is>
      </c>
      <c r="F60" s="32" t="inlineStr">
        <is>
          <t>Cream</t>
        </is>
      </c>
      <c r="G60" s="60" t="n">
        <v>39.95</v>
      </c>
      <c r="H60" s="32" t="inlineStr">
        <is>
          <t>SellerBoard listing price, 2026-10-14</t>
        </is>
      </c>
      <c r="I60" s="33" t="n"/>
      <c r="J60" s="32" t="n"/>
      <c r="K60" s="33" t="n"/>
      <c r="L60" s="63" t="n"/>
      <c r="M60" s="64" t="n"/>
      <c r="N60" s="32" t="inlineStr">
        <is>
          <t>Inactive</t>
        </is>
      </c>
      <c r="O60" s="32" t="n"/>
      <c r="P60" s="65" t="n"/>
      <c r="Q60" s="64" t="n"/>
      <c r="R60" s="64" t="n"/>
      <c r="S60" s="64" t="n"/>
      <c r="T60" s="32" t="n"/>
    </row>
    <row r="61" ht="62" customHeight="1">
      <c r="A61" s="10">
        <f>_xlfn.IMAGE("https://m.media-amazon.com/images/I/81DKT9lQLpL.jpg")</f>
        <v/>
      </c>
      <c r="B61" s="32" t="inlineStr">
        <is>
          <t>B0C9LPCX5G</t>
        </is>
      </c>
      <c r="C61" s="32" t="inlineStr">
        <is>
          <t>BM-KING-GRAPHITE-GREY</t>
        </is>
      </c>
      <c r="D61" s="32" t="inlineStr">
        <is>
          <t>DECOLURE Cooling Bed Sheets King Set 4pcs - Luxurious &amp; Ultra-Soft King Size Cooling Sheets for Hot Sleepers - Comfortable &amp; Cool Bamboo Viscose Microfiber Sheets King Size w/Deep Pockets (Graphite)</t>
        </is>
      </c>
      <c r="E61" s="32" t="inlineStr">
        <is>
          <t>King</t>
        </is>
      </c>
      <c r="F61" s="32" t="inlineStr">
        <is>
          <t>Graphite</t>
        </is>
      </c>
      <c r="G61" s="60" t="n">
        <v>39.95</v>
      </c>
      <c r="H61" s="32" t="inlineStr">
        <is>
          <t>SellerBoard listing price, 2026-10-14</t>
        </is>
      </c>
      <c r="I61" s="33" t="n"/>
      <c r="J61" s="32" t="n"/>
      <c r="K61" s="33" t="n"/>
      <c r="L61" s="63" t="n"/>
      <c r="M61" s="64" t="n"/>
      <c r="N61" s="32" t="inlineStr">
        <is>
          <t>Inactive</t>
        </is>
      </c>
      <c r="O61" s="32" t="n"/>
      <c r="P61" s="65" t="n"/>
      <c r="Q61" s="64" t="n"/>
      <c r="R61" s="64" t="n"/>
      <c r="S61" s="64" t="n"/>
      <c r="T61" s="32" t="n"/>
    </row>
    <row r="62" ht="62" customHeight="1">
      <c r="A62" s="10">
        <f>_xlfn.IMAGE("https://m.media-amazon.com/images/I/81DKT9lQLpL.jpg")</f>
        <v/>
      </c>
      <c r="B62" s="32" t="inlineStr">
        <is>
          <t>B0HM7TRRMM</t>
        </is>
      </c>
      <c r="C62" s="32" t="n"/>
      <c r="D62" s="32" t="inlineStr">
        <is>
          <t>DECOLURE Cooling Bed Sheets Cal-King Set 4pcs - Luxurious &amp; Soft California King Size Cooling Sheets for Hot Sleepers - Comfy &amp; Cool California King Bamboo Viscose Microfiber Sheets (Graphite)</t>
        </is>
      </c>
      <c r="E62" s="32" t="inlineStr">
        <is>
          <t>King</t>
        </is>
      </c>
      <c r="F62" s="32" t="inlineStr">
        <is>
          <t>Graphite</t>
        </is>
      </c>
      <c r="G62" s="33" t="n"/>
      <c r="H62" s="32" t="n"/>
      <c r="I62" s="33" t="n"/>
      <c r="J62" s="32" t="n"/>
      <c r="K62" s="33" t="n"/>
      <c r="L62" s="63" t="n"/>
      <c r="M62" s="64" t="n"/>
      <c r="N62" s="32" t="inlineStr">
        <is>
          <t>Inactive</t>
        </is>
      </c>
      <c r="O62" s="32" t="n"/>
      <c r="P62" s="65" t="n"/>
      <c r="Q62" s="64" t="n"/>
      <c r="R62" s="64" t="n"/>
      <c r="S62" s="64" t="n"/>
      <c r="T62" s="32" t="n"/>
    </row>
    <row r="63" ht="62" customHeight="1">
      <c r="A63" s="10">
        <f>_xlfn.IMAGE("https://m.media-amazon.com/images/I/81e9ABRlpwL.jpg")</f>
        <v/>
      </c>
      <c r="B63" s="32" t="inlineStr">
        <is>
          <t>B0CWJ4FTLV</t>
        </is>
      </c>
      <c r="C63" s="32" t="inlineStr">
        <is>
          <t>BM-KING-LIGHT-GREY</t>
        </is>
      </c>
      <c r="D63" s="32" t="inlineStr">
        <is>
          <t>DECOLURE Cooling Bed Sheets King Set 4pcs - Luxurious &amp; Ultra-Soft King Size Cooling Sheets for Hot Sleepers - Comfortable &amp; Cool Bamboo Viscose Microfiber Sheets King Size w/Deep Pockets (Light Grey)</t>
        </is>
      </c>
      <c r="E63" s="32" t="inlineStr">
        <is>
          <t>King</t>
        </is>
      </c>
      <c r="F63" s="32" t="inlineStr">
        <is>
          <t>Light Grey</t>
        </is>
      </c>
      <c r="G63" s="60" t="n">
        <v>39.95</v>
      </c>
      <c r="H63" s="32" t="inlineStr">
        <is>
          <t>SellerBoard listing price, 2026-10-14</t>
        </is>
      </c>
      <c r="I63" s="33" t="n"/>
      <c r="J63" s="32" t="n"/>
      <c r="K63" s="33" t="n"/>
      <c r="L63" s="63" t="n"/>
      <c r="M63" s="64" t="n"/>
      <c r="N63" s="32" t="inlineStr">
        <is>
          <t>Inactive</t>
        </is>
      </c>
      <c r="O63" s="32" t="n"/>
      <c r="P63" s="65" t="n"/>
      <c r="Q63" s="64" t="n"/>
      <c r="R63" s="64" t="n"/>
      <c r="S63" s="64" t="n"/>
      <c r="T63" s="32" t="n"/>
    </row>
    <row r="64" ht="62" customHeight="1">
      <c r="A64" s="10">
        <f>_xlfn.IMAGE("https://m.media-amazon.com/images/I/81m677YWEDL.jpg")</f>
        <v/>
      </c>
      <c r="B64" s="32" t="inlineStr">
        <is>
          <t>B0CWJ2BG1V</t>
        </is>
      </c>
      <c r="C64" s="32" t="inlineStr">
        <is>
          <t>BM-KING-SAGE-GREEN</t>
        </is>
      </c>
      <c r="D64" s="32" t="inlineStr">
        <is>
          <t>DECOLURE Cooling Bed Sheets King Set 4pcs - Luxurious &amp; Ultra-Soft King Size Cooling Sheets for Hot Sleepers - Comfortable &amp; Cool Bamboo Viscose Microfiber Sheets King Size w/Deep Pockets (Sage Green)</t>
        </is>
      </c>
      <c r="E64" s="32" t="inlineStr">
        <is>
          <t>King</t>
        </is>
      </c>
      <c r="F64" s="32" t="inlineStr">
        <is>
          <t>Sage Green</t>
        </is>
      </c>
      <c r="G64" s="60" t="n">
        <v>39.95</v>
      </c>
      <c r="H64" s="32" t="inlineStr">
        <is>
          <t>SellerBoard listing price, 2026-10-14</t>
        </is>
      </c>
      <c r="I64" s="61" t="n">
        <v>39.95</v>
      </c>
      <c r="J64" s="62" t="inlineStr">
        <is>
          <t>2026-03-30</t>
        </is>
      </c>
      <c r="K64" s="33" t="n">
        <v>8.800000000000001</v>
      </c>
      <c r="L64" s="63" t="n">
        <v>0.2202753441802253</v>
      </c>
      <c r="M64" s="64" t="n"/>
      <c r="N64" s="32" t="inlineStr">
        <is>
          <t>Inactive</t>
        </is>
      </c>
      <c r="O64" s="32" t="n"/>
      <c r="P64" s="65" t="n"/>
      <c r="Q64" s="64" t="n"/>
      <c r="R64" s="64" t="n"/>
      <c r="S64" s="64" t="n"/>
      <c r="T64" s="32" t="n"/>
    </row>
    <row r="65" ht="62" customHeight="1">
      <c r="A65" s="10">
        <f>_xlfn.IMAGE("https://m.media-amazon.com/images/I/81QKz6f4V8L.jpg")</f>
        <v/>
      </c>
      <c r="B65" s="32" t="inlineStr">
        <is>
          <t>B0DCK6T525</t>
        </is>
      </c>
      <c r="C65" s="32" t="n"/>
      <c r="D65" s="32" t="inlineStr">
        <is>
          <t>DECOLURE Cooling Bed Sheets King Set 4pcs - Luxurious &amp; Ultra-Soft King Size Cooling Sheets for Hot Sleepers - Comfortable &amp; Cool Bamboo Viscose Microfiber Sheets King Size w/Deep Pockets (White)</t>
        </is>
      </c>
      <c r="E65" s="32" t="inlineStr">
        <is>
          <t>King</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10">
        <f>_xlfn.IMAGE("https://m.media-amazon.com/images/I/81OQAuZYXSL.jpg")</f>
        <v/>
      </c>
      <c r="B66" s="32" t="inlineStr">
        <is>
          <t>B0C9LTTX5N</t>
        </is>
      </c>
      <c r="C66" s="32" t="inlineStr">
        <is>
          <t>BM-KING-WHITE</t>
        </is>
      </c>
      <c r="D66" s="32" t="inlineStr">
        <is>
          <t>DECOLURE Cooling Bed Sheets King Set 4pcs - Luxurious &amp; Ultra-Soft King Size Cooling Sheets for Hot Sleepers - Comfortable &amp; Cool Bamboo Viscose Microfiber Sheets King Size w/Deep Pockets (White-01)</t>
        </is>
      </c>
      <c r="E66" s="32" t="inlineStr">
        <is>
          <t>King</t>
        </is>
      </c>
      <c r="F66" s="32" t="inlineStr">
        <is>
          <t>White-01</t>
        </is>
      </c>
      <c r="G66" s="60" t="n">
        <v>39.95</v>
      </c>
      <c r="H66" s="32" t="inlineStr">
        <is>
          <t>SellerBoard listing price, 2026-10-14</t>
        </is>
      </c>
      <c r="I66" s="61" t="n">
        <v>39.95</v>
      </c>
      <c r="J66" s="62" t="inlineStr">
        <is>
          <t>2026-03-30</t>
        </is>
      </c>
      <c r="K66" s="33" t="n">
        <v>10.04</v>
      </c>
      <c r="L66" s="63" t="n">
        <v>0.251314142678348</v>
      </c>
      <c r="M66" s="64" t="n"/>
      <c r="N66" s="32" t="inlineStr">
        <is>
          <t>Inactive</t>
        </is>
      </c>
      <c r="O66" s="32" t="n"/>
      <c r="P66" s="65" t="n"/>
      <c r="Q66" s="64" t="n"/>
      <c r="R66" s="64" t="n"/>
      <c r="S66" s="64" t="n"/>
      <c r="T66" s="32" t="n"/>
    </row>
    <row r="67" ht="62" customHeight="1">
      <c r="A67" s="10">
        <f>_xlfn.IMAGE("https://m.media-amazon.com/images/I/81BtsH28UJL.jpg")</f>
        <v/>
      </c>
      <c r="B67" s="32" t="inlineStr">
        <is>
          <t>B0CWJBC82X</t>
        </is>
      </c>
      <c r="C67" s="32" t="inlineStr">
        <is>
          <t>BM-QUEEN-BEIGE</t>
        </is>
      </c>
      <c r="D67" s="32" t="inlineStr">
        <is>
          <t>DECOLURE Cooling Sheets Queen Set 4pcs - Luxurious &amp; Ultra-Soft Cooling Bed Sheets Queen Size for Hot Sleepers - Comfortable Bamboo Viscose Microfiber Queen Bed Sheets Set Cooling (Beige)</t>
        </is>
      </c>
      <c r="E67" s="32" t="inlineStr">
        <is>
          <t>Queen</t>
        </is>
      </c>
      <c r="F67" s="32" t="inlineStr">
        <is>
          <t>Beige</t>
        </is>
      </c>
      <c r="G67" s="60" t="n">
        <v>37.95</v>
      </c>
      <c r="H67" s="32" t="inlineStr">
        <is>
          <t>Helium 10 Xray, 2026-10-13</t>
        </is>
      </c>
      <c r="I67" s="61" t="n">
        <v>37.95</v>
      </c>
      <c r="J67" s="62" t="inlineStr">
        <is>
          <t>2026-03-30</t>
        </is>
      </c>
      <c r="K67" s="33" t="n">
        <v>10.43000000000001</v>
      </c>
      <c r="L67" s="63" t="n">
        <v>0.2748353096179185</v>
      </c>
      <c r="M67" s="64" t="n">
        <v>0</v>
      </c>
      <c r="N67" s="32" t="inlineStr">
        <is>
          <t>Active</t>
        </is>
      </c>
      <c r="O67" s="32" t="n"/>
      <c r="P67" s="65" t="n">
        <v>4.2</v>
      </c>
      <c r="Q67" s="64" t="n">
        <v>1296</v>
      </c>
      <c r="R67" s="64" t="n">
        <v>341774</v>
      </c>
      <c r="S67" s="64" t="n">
        <v>0.3446</v>
      </c>
      <c r="T67" s="32" t="n"/>
    </row>
    <row r="68" ht="62" customHeight="1">
      <c r="A68" s="10">
        <f>_xlfn.IMAGE("https://m.media-amazon.com/images/I/81av0t1ND-L.jpg")</f>
        <v/>
      </c>
      <c r="B68" s="32" t="inlineStr">
        <is>
          <t>B0DCK54DQP</t>
        </is>
      </c>
      <c r="C68" s="32" t="n"/>
      <c r="D68" s="32" t="inlineStr">
        <is>
          <t>DECOLURE Cooling Sheets Queen Set 4pcs - Luxurious &amp; Ultra-Soft Cooling Bed Sheets Queen Size for Hot Sleepers - Comfortable Bamboo Viscose Microfiber Queen Bed Sheets Set Cooling (Cream)</t>
        </is>
      </c>
      <c r="E68" s="32" t="inlineStr">
        <is>
          <t>Queen</t>
        </is>
      </c>
      <c r="F68" s="32" t="inlineStr">
        <is>
          <t>Cream</t>
        </is>
      </c>
      <c r="G68" s="60" t="n">
        <v>37.95</v>
      </c>
      <c r="H68" s="32" t="inlineStr">
        <is>
          <t>Helium 10 Xray, 2026-10-13</t>
        </is>
      </c>
      <c r="I68" s="33" t="n"/>
      <c r="J68" s="32" t="n"/>
      <c r="K68" s="33" t="n"/>
      <c r="L68" s="63" t="n"/>
      <c r="M68" s="64" t="n"/>
      <c r="N68" s="32" t="inlineStr">
        <is>
          <t>Active</t>
        </is>
      </c>
      <c r="O68" s="32" t="inlineStr">
        <is>
          <t>Yes (3%)</t>
        </is>
      </c>
      <c r="P68" s="65" t="n">
        <v>4.2</v>
      </c>
      <c r="Q68" s="64" t="n">
        <v>1296</v>
      </c>
      <c r="R68" s="64" t="n">
        <v>341790</v>
      </c>
      <c r="S68" s="64" t="n">
        <v>1</v>
      </c>
      <c r="T68" s="32" t="n"/>
    </row>
    <row r="69" ht="62" customHeight="1">
      <c r="A69" s="10">
        <f>_xlfn.IMAGE("https://m.media-amazon.com/images/I/81YbVqqOOBL.jpg")</f>
        <v/>
      </c>
      <c r="B69" s="32" t="inlineStr">
        <is>
          <t>B0C9LRJQCW</t>
        </is>
      </c>
      <c r="C69" s="32" t="inlineStr">
        <is>
          <t>BM-QUEEN-CREAM</t>
        </is>
      </c>
      <c r="D69" s="32" t="inlineStr">
        <is>
          <t>DECOLURE Cooling Sheets Queen Set 4pcs - Luxurious &amp; Ultra-Soft Cooling Bed Sheets Queen Size for Hot Sleepers - Comfortable Bamboo Viscose Microfiber Queen Bed Sheets Set Cooling (Cream)</t>
        </is>
      </c>
      <c r="E69" s="32" t="inlineStr">
        <is>
          <t>Queen</t>
        </is>
      </c>
      <c r="F69" s="32" t="inlineStr">
        <is>
          <t>Cream-01</t>
        </is>
      </c>
      <c r="G69" s="60" t="n">
        <v>44.95</v>
      </c>
      <c r="H69" s="32" t="inlineStr">
        <is>
          <t>SellerBoard listing price, 2026-10-14</t>
        </is>
      </c>
      <c r="I69" s="61" t="n">
        <v>37.95</v>
      </c>
      <c r="J69" s="62" t="inlineStr">
        <is>
          <t>2026-03-30</t>
        </is>
      </c>
      <c r="K69" s="33" t="n">
        <v>9.680000000000007</v>
      </c>
      <c r="L69" s="63" t="n">
        <v>0.2550724637681161</v>
      </c>
      <c r="M69" s="64" t="n">
        <v>0</v>
      </c>
      <c r="N69" s="32" t="inlineStr">
        <is>
          <t>Active</t>
        </is>
      </c>
      <c r="O69" s="32" t="n"/>
      <c r="P69" s="65" t="n"/>
      <c r="Q69" s="64" t="n"/>
      <c r="R69" s="64" t="n"/>
      <c r="S69" s="64" t="n"/>
      <c r="T69" s="32" t="n"/>
    </row>
    <row r="70" ht="62" customHeight="1">
      <c r="A70" s="10">
        <f>_xlfn.IMAGE("https://m.media-amazon.com/images/I/81DKT9lQLpL.jpg")</f>
        <v/>
      </c>
      <c r="B70" s="32" t="inlineStr">
        <is>
          <t>B0C9LQWPC7</t>
        </is>
      </c>
      <c r="C70" s="32" t="inlineStr">
        <is>
          <t>BM-QUEEN-GRAPHITE-GREY</t>
        </is>
      </c>
      <c r="D70" s="32" t="inlineStr">
        <is>
          <t>DECOLURE Cooling Sheets Queen Set 4pcs - Luxurious &amp; Ultra-Soft Cooling Bed Sheets Queen Size for Hot Sleepers - Comfortable Bamboo Viscose Microfiber Queen Bed Sheets Set Cooling (Graphite)</t>
        </is>
      </c>
      <c r="E70" s="32" t="inlineStr">
        <is>
          <t>Queen</t>
        </is>
      </c>
      <c r="F70" s="32" t="inlineStr">
        <is>
          <t>Graphite</t>
        </is>
      </c>
      <c r="G70" s="60" t="n">
        <v>49.95</v>
      </c>
      <c r="H70" s="32" t="inlineStr">
        <is>
          <t>Data Dive, 2026-10-12</t>
        </is>
      </c>
      <c r="I70" s="61" t="n">
        <v>37.95</v>
      </c>
      <c r="J70" s="62" t="inlineStr">
        <is>
          <t>2026-03-30</t>
        </is>
      </c>
      <c r="K70" s="33" t="n">
        <v>9.680000000000007</v>
      </c>
      <c r="L70" s="63" t="n">
        <v>0.2550724637681161</v>
      </c>
      <c r="M70" s="64" t="n"/>
      <c r="N70" s="32" t="inlineStr">
        <is>
          <t>Inactive</t>
        </is>
      </c>
      <c r="O70" s="32" t="n"/>
      <c r="P70" s="65" t="n"/>
      <c r="Q70" s="64" t="n"/>
      <c r="R70" s="64" t="n"/>
      <c r="S70" s="64" t="n"/>
      <c r="T70" s="32" t="n"/>
    </row>
    <row r="71" ht="62" customHeight="1">
      <c r="A71" s="10">
        <f>_xlfn.IMAGE("https://m.media-amazon.com/images/I/81LzK078hML.jpg")</f>
        <v/>
      </c>
      <c r="B71" s="32" t="inlineStr">
        <is>
          <t>B0CWJ2X18T</t>
        </is>
      </c>
      <c r="C71" s="32" t="inlineStr">
        <is>
          <t>BM-QUEEN-PINK</t>
        </is>
      </c>
      <c r="D71" s="32" t="inlineStr">
        <is>
          <t>DECOLURE Cooling Sheets Queen Set 4pcs - Luxurious &amp; Ultra-Soft Cooling Bed Sheets Queen Size for Hot Sleepers - Comfortable Bamboo Viscose Microfiber Queen Bed Sheets Set Cooling (Pink)</t>
        </is>
      </c>
      <c r="E71" s="32" t="inlineStr">
        <is>
          <t>Queen</t>
        </is>
      </c>
      <c r="F71" s="32" t="inlineStr">
        <is>
          <t>Light Pink</t>
        </is>
      </c>
      <c r="G71" s="60" t="n">
        <v>37.95</v>
      </c>
      <c r="H71" s="32" t="inlineStr">
        <is>
          <t>SellerBoard listing price, 2026-10-14</t>
        </is>
      </c>
      <c r="I71" s="61" t="n">
        <v>37.95</v>
      </c>
      <c r="J71" s="62" t="inlineStr">
        <is>
          <t>2026-03-30</t>
        </is>
      </c>
      <c r="K71" s="33" t="n">
        <v>8.880000000000006</v>
      </c>
      <c r="L71" s="63" t="n">
        <v>0.2339920948616602</v>
      </c>
      <c r="M71" s="64" t="n"/>
      <c r="N71" s="32" t="inlineStr">
        <is>
          <t>Inactive</t>
        </is>
      </c>
      <c r="O71" s="32" t="n"/>
      <c r="P71" s="65" t="n"/>
      <c r="Q71" s="64" t="n"/>
      <c r="R71" s="64" t="n"/>
      <c r="S71" s="64" t="n"/>
      <c r="T71" s="32" t="n"/>
    </row>
    <row r="72" ht="62" customHeight="1">
      <c r="A72" s="10">
        <f>_xlfn.IMAGE("https://m.media-amazon.com/images/I/81ydLFLIitL.jpg")</f>
        <v/>
      </c>
      <c r="B72" s="32" t="inlineStr">
        <is>
          <t>B0C9LTT7CL</t>
        </is>
      </c>
      <c r="C72" s="32" t="inlineStr">
        <is>
          <t>BM-QUEEN-R-PURPLE</t>
        </is>
      </c>
      <c r="D72" s="32" t="inlineStr">
        <is>
          <t>DECOLURE Cooling Sheets Queen Set 4pcs - Luxurious &amp; Ultra-Soft Cooling Bed Sheets Queen Size for Hot Sleepers - Comfortable Bamboo Viscose Microfiber Queen Bed Sheets Set Cooling (Purple)</t>
        </is>
      </c>
      <c r="E72" s="32" t="inlineStr">
        <is>
          <t>Queen</t>
        </is>
      </c>
      <c r="F72" s="32" t="inlineStr">
        <is>
          <t>Regal Purple</t>
        </is>
      </c>
      <c r="G72" s="60" t="n">
        <v>37.95</v>
      </c>
      <c r="H72" s="32" t="inlineStr">
        <is>
          <t>SellerBoard listing price, 2026-10-14</t>
        </is>
      </c>
      <c r="I72" s="33" t="n"/>
      <c r="J72" s="32" t="n"/>
      <c r="K72" s="33" t="n"/>
      <c r="L72" s="63" t="n"/>
      <c r="M72" s="64" t="n"/>
      <c r="N72" s="32" t="inlineStr">
        <is>
          <t>Inactive</t>
        </is>
      </c>
      <c r="O72" s="32" t="n"/>
      <c r="P72" s="65" t="n"/>
      <c r="Q72" s="64" t="n"/>
      <c r="R72" s="64" t="n"/>
      <c r="S72" s="64" t="n"/>
      <c r="T72" s="32" t="n"/>
    </row>
    <row r="73" ht="62" customHeight="1">
      <c r="A73" s="10">
        <f>_xlfn.IMAGE("https://m.media-amazon.com/images/I/81m677YWEDL.jpg")</f>
        <v/>
      </c>
      <c r="B73" s="32" t="inlineStr">
        <is>
          <t>B0CWHXCW71</t>
        </is>
      </c>
      <c r="C73" s="32" t="inlineStr">
        <is>
          <t>BM-QUEEN-SAGE-GREEN</t>
        </is>
      </c>
      <c r="D73" s="32" t="inlineStr">
        <is>
          <t>DECOLURE Cooling Sheets Queen Set 4pcs - Luxurious &amp; Ultra-Soft Cooling Bed Sheets Queen Size for Hot Sleepers - Comfortable Bamboo Viscose Microfiber Queen Bed Sheets Set Cooling (Sage Green)</t>
        </is>
      </c>
      <c r="E73" s="32" t="inlineStr">
        <is>
          <t>Queen</t>
        </is>
      </c>
      <c r="F73" s="32" t="inlineStr">
        <is>
          <t>Sage Green</t>
        </is>
      </c>
      <c r="G73" s="60" t="n">
        <v>37.95</v>
      </c>
      <c r="H73" s="32" t="inlineStr">
        <is>
          <t>SellerBoard listing price, 2026-10-14</t>
        </is>
      </c>
      <c r="I73" s="61" t="n">
        <v>37.95</v>
      </c>
      <c r="J73" s="62" t="inlineStr">
        <is>
          <t>2026-03-30</t>
        </is>
      </c>
      <c r="K73" s="33" t="n">
        <v>8.930000000000007</v>
      </c>
      <c r="L73" s="63" t="n">
        <v>0.2353096179183137</v>
      </c>
      <c r="M73" s="64" t="n"/>
      <c r="N73" s="32" t="inlineStr">
        <is>
          <t>Inactive</t>
        </is>
      </c>
      <c r="O73" s="32" t="n"/>
      <c r="P73" s="65" t="n"/>
      <c r="Q73" s="64" t="n"/>
      <c r="R73" s="64" t="n"/>
      <c r="S73" s="64" t="n"/>
      <c r="T73" s="32" t="n"/>
    </row>
    <row r="74" ht="62" customHeight="1">
      <c r="A74" s="10">
        <f>_xlfn.IMAGE("https://m.media-amazon.com/images/I/81QKz6f4V8L.jpg")</f>
        <v/>
      </c>
      <c r="B74" s="32" t="inlineStr">
        <is>
          <t>B0C9LS4KC5</t>
        </is>
      </c>
      <c r="C74" s="32" t="inlineStr">
        <is>
          <t>BM-QUEEN-WHITE</t>
        </is>
      </c>
      <c r="D74" s="32" t="inlineStr">
        <is>
          <t>DECOLURE Cooling Sheets Queen Set 4pcs - Luxurious &amp; Ultra-Soft Cooling Bed Sheets Queen Size for Hot Sleepers - Comfortable Bamboo Viscose Microfiber Queen Bed Sheets Set Cooling (White)</t>
        </is>
      </c>
      <c r="E74" s="32" t="inlineStr">
        <is>
          <t>Queen</t>
        </is>
      </c>
      <c r="F74" s="32" t="inlineStr">
        <is>
          <t>White</t>
        </is>
      </c>
      <c r="G74" s="60" t="n">
        <v>36.05</v>
      </c>
      <c r="H74" s="32" t="inlineStr">
        <is>
          <t>SellerBoard listing price, 2026-10-14</t>
        </is>
      </c>
      <c r="I74" s="61" t="n">
        <v>37.95</v>
      </c>
      <c r="J74" s="62" t="inlineStr">
        <is>
          <t>2026-03-30</t>
        </is>
      </c>
      <c r="K74" s="33" t="n">
        <v>8.650000000000006</v>
      </c>
      <c r="L74" s="63" t="n">
        <v>0.2279314888010542</v>
      </c>
      <c r="M74" s="64" t="n"/>
      <c r="N74" s="32" t="inlineStr">
        <is>
          <t>Inactive</t>
        </is>
      </c>
      <c r="O74" s="32" t="n"/>
      <c r="P74" s="65" t="n"/>
      <c r="Q74" s="64" t="n"/>
      <c r="R74" s="64" t="n"/>
      <c r="S74" s="64" t="n"/>
      <c r="T74" s="32" t="n"/>
    </row>
    <row r="75" ht="62" customHeight="1">
      <c r="A75" s="10">
        <f>_xlfn.IMAGE("https://m.media-amazon.com/images/I/81dos9D9W7L.jpg")</f>
        <v/>
      </c>
      <c r="B75" s="32" t="inlineStr">
        <is>
          <t>B0CWJ24ZTV</t>
        </is>
      </c>
      <c r="C75" s="32" t="inlineStr">
        <is>
          <t>BM-TWIN-BEIGE</t>
        </is>
      </c>
      <c r="D75" s="32" t="inlineStr">
        <is>
          <t>DECOLURE Cooling Bed Sheets Twin Set 3pcs - Luxurious &amp; Ultra-Soft Twin Size Cooling Sheets for Hot Sleepers - Comfortable Cool Bamboo Viscose Microfiber Sheets Twin Size w/Deep Pockets (Beige)</t>
        </is>
      </c>
      <c r="E75" s="32" t="inlineStr">
        <is>
          <t>Twin</t>
        </is>
      </c>
      <c r="F75" s="32" t="inlineStr">
        <is>
          <t>Beige</t>
        </is>
      </c>
      <c r="G75" s="60" t="n">
        <v>33.95</v>
      </c>
      <c r="H75" s="32" t="inlineStr">
        <is>
          <t>Helium 10 Xray, 2026-10-13</t>
        </is>
      </c>
      <c r="I75" s="61" t="n">
        <v>38.95</v>
      </c>
      <c r="J75" s="62" t="inlineStr">
        <is>
          <t>2026-03-30</t>
        </is>
      </c>
      <c r="K75" s="33" t="n">
        <v>15.93</v>
      </c>
      <c r="L75" s="63" t="n">
        <v>0.4089858793324775</v>
      </c>
      <c r="M75" s="64" t="n">
        <v>0</v>
      </c>
      <c r="N75" s="32" t="inlineStr">
        <is>
          <t>Active</t>
        </is>
      </c>
      <c r="O75" s="32" t="n"/>
      <c r="P75" s="65" t="n">
        <v>4.2</v>
      </c>
      <c r="Q75" s="64" t="n">
        <v>1296</v>
      </c>
      <c r="R75" s="64" t="n">
        <v>341774</v>
      </c>
      <c r="S75" s="64" t="n">
        <v>1</v>
      </c>
      <c r="T75" s="32" t="n"/>
    </row>
    <row r="76" ht="62" customHeight="1">
      <c r="A76" s="10">
        <f>_xlfn.IMAGE("https://m.media-amazon.com/images/I/819aQdxjmYL.jpg")</f>
        <v/>
      </c>
      <c r="B76" s="32" t="inlineStr">
        <is>
          <t>B0C9LSZTPN</t>
        </is>
      </c>
      <c r="C76" s="32" t="inlineStr">
        <is>
          <t>BM-TWIN-CGREY</t>
        </is>
      </c>
      <c r="D76" s="32" t="inlineStr">
        <is>
          <t>DECOLURE Cooling Bed Sheets Twin Set 3pcs - Luxurious &amp; Ultra-Soft Twin Size Cooling Sheets for Hot Sleepers - Comfortable Cool Bamboo Viscose Microfiber Sheets Twin Size w/Deep Pockets (Cool Grey)</t>
        </is>
      </c>
      <c r="E76" s="32" t="inlineStr">
        <is>
          <t>Twin</t>
        </is>
      </c>
      <c r="F76" s="32" t="inlineStr">
        <is>
          <t>Cool Grey</t>
        </is>
      </c>
      <c r="G76" s="60" t="n">
        <v>33.95</v>
      </c>
      <c r="H76" s="32" t="inlineStr">
        <is>
          <t>Helium 10 Xray, 2026-10-13</t>
        </is>
      </c>
      <c r="I76" s="61" t="n">
        <v>20.47</v>
      </c>
      <c r="J76" s="62" t="inlineStr">
        <is>
          <t>2026-03-30</t>
        </is>
      </c>
      <c r="K76" s="33" t="n">
        <v>-0.2500000000000018</v>
      </c>
      <c r="L76" s="63" t="n">
        <v>-1.221299462628245</v>
      </c>
      <c r="M76" s="64" t="n">
        <v>0</v>
      </c>
      <c r="N76" s="32" t="inlineStr">
        <is>
          <t>Active</t>
        </is>
      </c>
      <c r="O76" s="32" t="n"/>
      <c r="P76" s="65" t="n">
        <v>4.2</v>
      </c>
      <c r="Q76" s="64" t="n">
        <v>1296</v>
      </c>
      <c r="R76" s="64" t="n">
        <v>341774</v>
      </c>
      <c r="S76" s="64" t="n">
        <v>0.8095</v>
      </c>
      <c r="T76" s="32" t="n"/>
    </row>
    <row r="77" ht="62" customHeight="1">
      <c r="A77" s="10">
        <f>_xlfn.IMAGE("https://m.media-amazon.com/images/I/81YbVqqOOBL.jpg")</f>
        <v/>
      </c>
      <c r="B77" s="32" t="inlineStr">
        <is>
          <t>B0C9LWVB7D</t>
        </is>
      </c>
      <c r="C77" s="32" t="inlineStr">
        <is>
          <t>BM-TWIN-CREAM</t>
        </is>
      </c>
      <c r="D77" s="32" t="inlineStr">
        <is>
          <t>DECOLURE Cooling Bed Sheets Twin Set 3pcs - Luxurious &amp; Ultra-Soft Twin Size Cooling Sheets for Hot Sleepers - Comfortable Cool Bamboo Viscose Microfiber Sheets Twin Size w/Deep Pockets (Cream)</t>
        </is>
      </c>
      <c r="E77" s="32" t="inlineStr">
        <is>
          <t>Twin</t>
        </is>
      </c>
      <c r="F77" s="32" t="inlineStr">
        <is>
          <t>Cream</t>
        </is>
      </c>
      <c r="G77" s="60" t="n">
        <v>33.95</v>
      </c>
      <c r="H77" s="32" t="inlineStr">
        <is>
          <t>SellerBoard listing price, 2026-10-14</t>
        </is>
      </c>
      <c r="I77" s="33" t="n"/>
      <c r="J77" s="32" t="n"/>
      <c r="K77" s="33" t="n"/>
      <c r="L77" s="63" t="n"/>
      <c r="M77" s="64" t="n"/>
      <c r="N77" s="32" t="inlineStr">
        <is>
          <t>Inactive</t>
        </is>
      </c>
      <c r="O77" s="32" t="n"/>
      <c r="P77" s="65" t="n"/>
      <c r="Q77" s="64" t="n"/>
      <c r="R77" s="64" t="n"/>
      <c r="S77" s="64" t="n"/>
      <c r="T77" s="32" t="n"/>
    </row>
    <row r="78" ht="62" customHeight="1">
      <c r="A78" s="10">
        <f>_xlfn.IMAGE("https://m.media-amazon.com/images/I/81pyUdhR+eL.jpg")</f>
        <v/>
      </c>
      <c r="B78" s="32" t="inlineStr">
        <is>
          <t>B0CWJBZFZ7</t>
        </is>
      </c>
      <c r="C78" s="32" t="inlineStr">
        <is>
          <t>BM-TWIN-LIGHT-BLUE</t>
        </is>
      </c>
      <c r="D78" s="32" t="inlineStr">
        <is>
          <t>DECOLURE Cooling Bed Sheets Twin Set 3pcs - Luxurious &amp; Ultra-Soft Twin Size Cooling Sheets for Hot Sleepers - Comfortable Cool Bamboo Viscose Microfiber Sheets Twin Size w/Deep Pockets (Light Blue)</t>
        </is>
      </c>
      <c r="E78" s="32" t="inlineStr">
        <is>
          <t>Twin</t>
        </is>
      </c>
      <c r="F78" s="32" t="inlineStr">
        <is>
          <t>Light Blue</t>
        </is>
      </c>
      <c r="G78" s="60" t="n">
        <v>33.95</v>
      </c>
      <c r="H78" s="32" t="inlineStr">
        <is>
          <t>Helium 10 Xray, 2026-10-13</t>
        </is>
      </c>
      <c r="I78" s="61" t="n">
        <v>33.95</v>
      </c>
      <c r="J78" s="62" t="inlineStr">
        <is>
          <t>2026-03-30</t>
        </is>
      </c>
      <c r="K78" s="33" t="n">
        <v>11.95</v>
      </c>
      <c r="L78" s="63" t="n">
        <v>0.3519882179675995</v>
      </c>
      <c r="M78" s="64" t="n">
        <v>0</v>
      </c>
      <c r="N78" s="32" t="inlineStr">
        <is>
          <t>Active</t>
        </is>
      </c>
      <c r="O78" s="32" t="n"/>
      <c r="P78" s="65" t="n">
        <v>4.2</v>
      </c>
      <c r="Q78" s="64" t="n">
        <v>1296</v>
      </c>
      <c r="R78" s="64" t="n">
        <v>341774</v>
      </c>
      <c r="S78" s="64" t="n">
        <v>3</v>
      </c>
      <c r="T78" s="32" t="n"/>
    </row>
    <row r="79" ht="62" customHeight="1">
      <c r="A79" s="10">
        <f>_xlfn.IMAGE("https://m.media-amazon.com/images/I/81LzK078hML.jpg")</f>
        <v/>
      </c>
      <c r="B79" s="32" t="inlineStr">
        <is>
          <t>B0CWJ6KZ15</t>
        </is>
      </c>
      <c r="C79" s="32" t="inlineStr">
        <is>
          <t>BM-TWIN-PINK</t>
        </is>
      </c>
      <c r="D79" s="32" t="inlineStr">
        <is>
          <t>DECOLURE Cooling Bed Sheets Twin Set 3pcs - Luxurious &amp; Ultra-Soft Twin Size Cooling Sheets for Hot Sleepers - Comfortable Cool Bamboo Viscose Microfiber Sheets Twin Size w/Deep Pockets (Pink)</t>
        </is>
      </c>
      <c r="E79" s="32" t="inlineStr">
        <is>
          <t>Twin</t>
        </is>
      </c>
      <c r="F79" s="32" t="inlineStr">
        <is>
          <t>Light Pink</t>
        </is>
      </c>
      <c r="G79" s="60" t="n">
        <v>35.95</v>
      </c>
      <c r="H79" s="32" t="inlineStr">
        <is>
          <t>SellerBoard listing price, 2026-10-14</t>
        </is>
      </c>
      <c r="I79" s="61" t="n">
        <v>35.95</v>
      </c>
      <c r="J79" s="62" t="inlineStr">
        <is>
          <t>2026-03-10</t>
        </is>
      </c>
      <c r="K79" s="33" t="n"/>
      <c r="L79" s="63" t="n"/>
      <c r="M79" s="64" t="n"/>
      <c r="N79" s="32" t="inlineStr">
        <is>
          <t>Inactive</t>
        </is>
      </c>
      <c r="O79" s="32" t="n"/>
      <c r="P79" s="65" t="n"/>
      <c r="Q79" s="64" t="n"/>
      <c r="R79" s="64" t="n"/>
      <c r="S79" s="64" t="n"/>
      <c r="T79" s="32" t="n"/>
    </row>
    <row r="80" ht="62" customHeight="1">
      <c r="A80" s="10">
        <f>_xlfn.IMAGE("https://m.media-amazon.com/images/I/81Z4qrudvWL.jpg")</f>
        <v/>
      </c>
      <c r="B80" s="32" t="inlineStr">
        <is>
          <t>B0C9LTZ8BC</t>
        </is>
      </c>
      <c r="C80" s="32" t="inlineStr">
        <is>
          <t>BM-TWIN-MIDNIGHT-BLACK</t>
        </is>
      </c>
      <c r="D80" s="32" t="inlineStr">
        <is>
          <t>DECOLURE Cooling Bed Sheets Twin Set 3pcs - Luxurious &amp; Ultra-Soft Twin Size Cooling Sheets for Hot Sleepers - Comfortable Bamboo Viscose Microfiber Sheets Twin Size w/Deep Pockets (Midnight Black)</t>
        </is>
      </c>
      <c r="E80" s="32" t="inlineStr">
        <is>
          <t>Twin</t>
        </is>
      </c>
      <c r="F80" s="32" t="inlineStr">
        <is>
          <t>Midnight Black</t>
        </is>
      </c>
      <c r="G80" s="60" t="n">
        <v>33.95</v>
      </c>
      <c r="H80" s="32" t="inlineStr">
        <is>
          <t>Helium 10 Xray, 2026-10-13</t>
        </is>
      </c>
      <c r="I80" s="61" t="n">
        <v>28.66</v>
      </c>
      <c r="J80" s="62" t="inlineStr">
        <is>
          <t>2026-03-30</t>
        </is>
      </c>
      <c r="K80" s="33" t="n">
        <v>6.99</v>
      </c>
      <c r="L80" s="63" t="n">
        <v>0.243893928820656</v>
      </c>
      <c r="M80" s="64" t="n">
        <v>0</v>
      </c>
      <c r="N80" s="32" t="inlineStr">
        <is>
          <t>Active</t>
        </is>
      </c>
      <c r="O80" s="32" t="n"/>
      <c r="P80" s="65" t="n">
        <v>4.2</v>
      </c>
      <c r="Q80" s="64" t="n">
        <v>1296</v>
      </c>
      <c r="R80" s="64" t="n">
        <v>341774</v>
      </c>
      <c r="S80" s="64" t="n">
        <v>3</v>
      </c>
      <c r="T80" s="32" t="n"/>
    </row>
    <row r="81" ht="62" customHeight="1">
      <c r="A81" s="10">
        <f>_xlfn.IMAGE("https://m.media-amazon.com/images/I/81ydLFLIitL.jpg")</f>
        <v/>
      </c>
      <c r="B81" s="32" t="inlineStr">
        <is>
          <t>B0C9LS4RWT</t>
        </is>
      </c>
      <c r="C81" s="32" t="inlineStr">
        <is>
          <t>BM-TWIN-R-PURPLE</t>
        </is>
      </c>
      <c r="D81" s="32" t="inlineStr">
        <is>
          <t>DECOLURE Cooling Bed Sheets Twin Set 3pcs - Luxurious &amp; Ultra-Soft Twin Size Cooling Sheets for Hot Sleepers - Comfortable Cool Bamboo Viscose Microfiber Sheets Twin Size w/Deep Pockets (Purple)</t>
        </is>
      </c>
      <c r="E81" s="32" t="inlineStr">
        <is>
          <t>Twin</t>
        </is>
      </c>
      <c r="F81" s="32" t="inlineStr">
        <is>
          <t>Regal Purple</t>
        </is>
      </c>
      <c r="G81" s="60" t="n">
        <v>33.95</v>
      </c>
      <c r="H81" s="32" t="inlineStr">
        <is>
          <t>Helium 10 Xray, 2026-10-13</t>
        </is>
      </c>
      <c r="I81" s="61" t="n">
        <v>33.95</v>
      </c>
      <c r="J81" s="62" t="inlineStr">
        <is>
          <t>2026-03-30</t>
        </is>
      </c>
      <c r="K81" s="33" t="n">
        <v>10.74000000000001</v>
      </c>
      <c r="L81" s="63" t="n">
        <v>0.3163475699558175</v>
      </c>
      <c r="M81" s="64" t="n">
        <v>0</v>
      </c>
      <c r="N81" s="32" t="inlineStr">
        <is>
          <t>Active</t>
        </is>
      </c>
      <c r="O81" s="32" t="n"/>
      <c r="P81" s="65" t="n">
        <v>4.2</v>
      </c>
      <c r="Q81" s="64" t="n">
        <v>1296</v>
      </c>
      <c r="R81" s="64" t="n">
        <v>341774</v>
      </c>
      <c r="S81" s="64" t="n">
        <v>3</v>
      </c>
      <c r="T81" s="32" t="n"/>
    </row>
    <row r="82" ht="62" customHeight="1">
      <c r="A82" s="10">
        <f>_xlfn.IMAGE("https://m.media-amazon.com/images/I/81m677YWEDL.jpg")</f>
        <v/>
      </c>
      <c r="B82" s="32" t="inlineStr">
        <is>
          <t>B0CWJD4D6N</t>
        </is>
      </c>
      <c r="C82" s="32" t="inlineStr">
        <is>
          <t>BM-TWIN-SAGE-GREEN</t>
        </is>
      </c>
      <c r="D82" s="32" t="inlineStr">
        <is>
          <t>DECOLURE Cooling Bed Sheets Twin Set 3pcs - Luxurious &amp; Ultra-Soft Twin Size Cooling Sheets for Hot Sleepers - Comfortable Cool Bamboo Viscose Microfiber Sheets Twin Size w/Deep Pockets (Sage Green)</t>
        </is>
      </c>
      <c r="E82" s="32" t="inlineStr">
        <is>
          <t>Twin</t>
        </is>
      </c>
      <c r="F82" s="32" t="inlineStr">
        <is>
          <t>Sage Green</t>
        </is>
      </c>
      <c r="G82" s="60" t="n">
        <v>28.86</v>
      </c>
      <c r="H82" s="32" t="inlineStr">
        <is>
          <t>SellerBoard listing price, 2026-10-14</t>
        </is>
      </c>
      <c r="I82" s="61" t="n">
        <v>33.95</v>
      </c>
      <c r="J82" s="62" t="inlineStr">
        <is>
          <t>2026-03-30</t>
        </is>
      </c>
      <c r="K82" s="33" t="n">
        <v>11.68</v>
      </c>
      <c r="L82" s="63" t="n">
        <v>0.3440353460972018</v>
      </c>
      <c r="M82" s="64" t="n"/>
      <c r="N82" s="32" t="inlineStr">
        <is>
          <t>Inactive</t>
        </is>
      </c>
      <c r="O82" s="32" t="n"/>
      <c r="P82" s="65" t="n"/>
      <c r="Q82" s="64" t="n"/>
      <c r="R82" s="64" t="n"/>
      <c r="S82" s="64" t="n"/>
      <c r="T82" s="32" t="n"/>
    </row>
    <row r="83" ht="62" customHeight="1">
      <c r="A83" s="10">
        <f>_xlfn.IMAGE("https://m.media-amazon.com/images/I/81QKz6f4V8L.jpg")</f>
        <v/>
      </c>
      <c r="B83" s="32" t="inlineStr">
        <is>
          <t>B0C9LVNKHG</t>
        </is>
      </c>
      <c r="C83" s="32" t="inlineStr">
        <is>
          <t>BM-TWIN-WHITE</t>
        </is>
      </c>
      <c r="D83" s="32" t="inlineStr">
        <is>
          <t>DECOLURE Cooling Bed Sheets Twin Set 3pcs - Luxurious &amp; Ultra-Soft Twin Size Cooling Sheets for Hot Sleepers - Comfortable Cool Bamboo Viscose Microfiber Sheets Twin Size w/Deep Pockets (White)</t>
        </is>
      </c>
      <c r="E83" s="32" t="inlineStr">
        <is>
          <t>Twin</t>
        </is>
      </c>
      <c r="F83" s="32" t="inlineStr">
        <is>
          <t>White</t>
        </is>
      </c>
      <c r="G83" s="60" t="n">
        <v>33.95</v>
      </c>
      <c r="H83" s="32" t="inlineStr">
        <is>
          <t>Helium 10 Xray, 2026-10-13</t>
        </is>
      </c>
      <c r="I83" s="61" t="n">
        <v>39.95</v>
      </c>
      <c r="J83" s="62" t="inlineStr">
        <is>
          <t>2026-03-30</t>
        </is>
      </c>
      <c r="K83" s="33" t="n">
        <v>15.9</v>
      </c>
      <c r="L83" s="63" t="n">
        <v>0.3979974968710889</v>
      </c>
      <c r="M83" s="64" t="n">
        <v>0</v>
      </c>
      <c r="N83" s="32" t="inlineStr">
        <is>
          <t>Active</t>
        </is>
      </c>
      <c r="O83" s="32" t="n"/>
      <c r="P83" s="65" t="n">
        <v>4.2</v>
      </c>
      <c r="Q83" s="64" t="n">
        <v>1296</v>
      </c>
      <c r="R83" s="64" t="n">
        <v>341774</v>
      </c>
      <c r="S83" s="64" t="n">
        <v>3</v>
      </c>
      <c r="T83" s="32" t="n"/>
    </row>
    <row r="85" ht="20" customHeight="1">
      <c r="A85" s="54" t="inlineStr">
        <is>
          <t>3 · OUR BFCM 2025 RESULT &amp; EVENT VISIBILITY</t>
        </is>
      </c>
    </row>
    <row r="86">
      <c r="A86" s="67" t="inlineStr">
        <is>
          <t>Window</t>
        </is>
      </c>
      <c r="B86" s="68" t="n"/>
      <c r="C86" s="69" t="n"/>
      <c r="D86" s="67" t="inlineStr">
        <is>
          <t>Ad spend</t>
        </is>
      </c>
      <c r="E86" s="67" t="inlineStr">
        <is>
          <t>Ad sales</t>
        </is>
      </c>
      <c r="F86" s="67" t="inlineStr">
        <is>
          <t>ACoS</t>
        </is>
      </c>
      <c r="G86" s="67" t="inlineStr">
        <is>
          <t>TACoS</t>
        </is>
      </c>
      <c r="H86" s="67" t="inlineStr">
        <is>
          <t>Total sales (derived)</t>
        </is>
      </c>
      <c r="J86" s="67" t="inlineStr">
        <is>
          <t>Ad orders</t>
        </is>
      </c>
      <c r="K86" s="67" t="inlineStr">
        <is>
          <t>CVR</t>
        </is>
      </c>
    </row>
    <row r="87">
      <c r="A87" s="70" t="inlineStr">
        <is>
          <t>Pre-event Oct 21 - Nov 19, 2025 (30d)</t>
        </is>
      </c>
      <c r="B87" s="68" t="n"/>
      <c r="C87" s="69" t="n"/>
      <c r="D87" s="71" t="n">
        <v>247.96</v>
      </c>
      <c r="E87" s="71" t="n">
        <v>727.3299999999999</v>
      </c>
      <c r="F87" s="72" t="n">
        <v>34.1</v>
      </c>
      <c r="G87" s="72" t="n">
        <v>5.130815517426894</v>
      </c>
      <c r="H87" s="71" t="n">
        <v>4832.76</v>
      </c>
      <c r="J87" s="73" t="n">
        <v>14</v>
      </c>
      <c r="K87" s="74" t="n">
        <v>10.14</v>
      </c>
    </row>
    <row r="88">
      <c r="A88" s="70" t="inlineStr">
        <is>
          <t>BFCM week Nov 20 - Dec 1, 2025 (12d)</t>
        </is>
      </c>
      <c r="B88" s="68" t="n"/>
      <c r="C88" s="69" t="n"/>
      <c r="D88" s="71" t="n">
        <v>215.53</v>
      </c>
      <c r="E88" s="71" t="n">
        <v>634.4599999999999</v>
      </c>
      <c r="F88" s="72" t="n">
        <v>34</v>
      </c>
      <c r="G88" s="72" t="n">
        <v>6.846895500103245</v>
      </c>
      <c r="H88" s="71" t="n">
        <v>3147.85</v>
      </c>
      <c r="J88" s="73" t="n">
        <v>14</v>
      </c>
      <c r="K88" s="74" t="n">
        <v>12.96</v>
      </c>
    </row>
    <row r="89">
      <c r="A89" s="70" t="inlineStr">
        <is>
          <t>December 2 - 31, 2025 (30d)</t>
        </is>
      </c>
      <c r="B89" s="68" t="n"/>
      <c r="C89" s="69" t="n"/>
      <c r="D89" s="71" t="n">
        <v>540.34</v>
      </c>
      <c r="E89" s="71" t="n">
        <v>1695.65</v>
      </c>
      <c r="F89" s="72" t="n">
        <v>31.9</v>
      </c>
      <c r="G89" s="72" t="n">
        <v>6.186945743712466</v>
      </c>
      <c r="H89" s="71" t="n">
        <v>8733.549999999999</v>
      </c>
      <c r="J89" s="73" t="n">
        <v>35</v>
      </c>
      <c r="K89" s="74" t="n">
        <v>11.63</v>
      </c>
    </row>
    <row r="91">
      <c r="A91" s="67" t="inlineStr">
        <is>
          <t>Actual sales (SellerBoard)</t>
        </is>
      </c>
      <c r="B91" s="68" t="n"/>
      <c r="C91" s="69" t="n"/>
      <c r="D91" s="67" t="inlineStr">
        <is>
          <t>Sales</t>
        </is>
      </c>
      <c r="E91" s="67" t="inlineStr">
        <is>
          <t>Units</t>
        </is>
      </c>
      <c r="F91" s="67" t="inlineStr">
        <is>
          <t>Organic units</t>
        </is>
      </c>
      <c r="G91" s="67" t="inlineStr">
        <is>
          <t>Ad units</t>
        </is>
      </c>
      <c r="H91" s="67" t="inlineStr">
        <is>
          <t>Ad cost</t>
        </is>
      </c>
      <c r="J91" s="67" t="inlineStr">
        <is>
          <t>TACoS (actual)</t>
        </is>
      </c>
      <c r="K91" s="67" t="inlineStr">
        <is>
          <t>Sessions</t>
        </is>
      </c>
      <c r="L91" s="67" t="inlineStr">
        <is>
          <t>Unit session %</t>
        </is>
      </c>
      <c r="M91" s="67" t="inlineStr">
        <is>
          <t>Avg price</t>
        </is>
      </c>
      <c r="N91" s="67" t="inlineStr">
        <is>
          <t>Refunds</t>
        </is>
      </c>
    </row>
    <row r="92">
      <c r="A92" s="70" t="inlineStr">
        <is>
          <t>Pre-event Oct 21 - Nov 19, 2025 (30d)</t>
        </is>
      </c>
      <c r="B92" s="68" t="n"/>
      <c r="C92" s="69" t="n"/>
      <c r="D92" s="71" t="n">
        <v>4832.76</v>
      </c>
      <c r="E92" s="73" t="n">
        <v>123</v>
      </c>
      <c r="F92" s="73" t="n">
        <v>111</v>
      </c>
      <c r="G92" s="73" t="n">
        <v>12</v>
      </c>
      <c r="H92" s="71" t="n">
        <v>466.95</v>
      </c>
      <c r="J92" s="75" t="n">
        <v>0.09662180617287015</v>
      </c>
      <c r="K92" s="73" t="n">
        <v>4250</v>
      </c>
      <c r="L92" s="75" t="n">
        <v>0.02894117647058823</v>
      </c>
      <c r="M92" s="76" t="n">
        <v>39.29073170731707</v>
      </c>
      <c r="N92" s="73" t="n">
        <v>8</v>
      </c>
    </row>
    <row r="93">
      <c r="A93" s="70" t="inlineStr">
        <is>
          <t>BFCM week Nov 20 - Dec 1, 2025 (12d)</t>
        </is>
      </c>
      <c r="B93" s="68" t="n"/>
      <c r="C93" s="69" t="n"/>
      <c r="D93" s="71" t="n">
        <v>3147.85</v>
      </c>
      <c r="E93" s="73" t="n">
        <v>83</v>
      </c>
      <c r="F93" s="73" t="n">
        <v>79</v>
      </c>
      <c r="G93" s="73" t="n">
        <v>4</v>
      </c>
      <c r="H93" s="71" t="n">
        <v>314.59</v>
      </c>
      <c r="J93" s="75" t="n">
        <v>0.09993805295678003</v>
      </c>
      <c r="K93" s="73" t="n">
        <v>1884</v>
      </c>
      <c r="L93" s="75" t="n">
        <v>0.0440552016985138</v>
      </c>
      <c r="M93" s="76" t="n">
        <v>37.92590361445784</v>
      </c>
      <c r="N93" s="73" t="n">
        <v>1</v>
      </c>
    </row>
    <row r="94">
      <c r="A94" s="70" t="inlineStr">
        <is>
          <t>December 2 - 31, 2025 (30d)</t>
        </is>
      </c>
      <c r="B94" s="68" t="n"/>
      <c r="C94" s="69" t="n"/>
      <c r="D94" s="71" t="n">
        <v>8733.549999999999</v>
      </c>
      <c r="E94" s="73" t="n">
        <v>229</v>
      </c>
      <c r="F94" s="73" t="n">
        <v>216</v>
      </c>
      <c r="G94" s="73" t="n">
        <v>13</v>
      </c>
      <c r="H94" s="71" t="n">
        <v>804.3200000000001</v>
      </c>
      <c r="J94" s="75" t="n">
        <v>0.09209542511349911</v>
      </c>
      <c r="K94" s="73" t="n">
        <v>5044</v>
      </c>
      <c r="L94" s="75" t="n">
        <v>0.04540047581284695</v>
      </c>
      <c r="M94" s="76" t="n">
        <v>38.13777292576419</v>
      </c>
      <c r="N94" s="73" t="n">
        <v>21</v>
      </c>
    </row>
    <row r="95">
      <c r="A95" s="59" t="inlineStr">
        <is>
          <t>SellerBoard, Ecotero account, Amazon parent B0HLLHYGLQ plus any of this product's child ASINs SellerBoard lists on their own, UTC days. Lift above uses these actual sales (1.63x; the ad-spend estimate was 1.63x).</t>
        </is>
      </c>
    </row>
    <row r="96" ht="30" customHeight="1">
      <c r="A96" s="77" t="inlineStr">
        <is>
          <t>Deals we ran or scheduled, Nov 1 - Dec 5, 2025 (DataHub promotions; scheduled deal price not in the feed. Keepa price = lowest Buy Box seen during the deal, an observation for the hero child only, not the scheduled deal price): Lightning Deal 11-09 to 11-10 (cancelled, 32 variations); Lightning Deal 11-12 to 11-13 (cancelled, 32 variations); Best Deal 11-20 to 12-02 (cancelled, 38 variations).</t>
        </is>
      </c>
    </row>
    <row r="97" ht="26" customHeight="1">
      <c r="A97" s="77" t="inlineStr">
        <is>
          <t>Stock in BFCM week 2025 (FBA inventory snapshots, child-ASIN level, revision 2): 2 of 31 variations hit zero FBA stock on at least one observed day; weighted by today's sales mix that is ~0.0% of variation-days lost. Most important: B0C9LS4KC5 2/9 days; B0C9LXFDJT 3/9 days. Snapshots missing: US Nov 26-27 and Dec 1 (Cyber Monday); CA Nov 24, 29-30.</t>
        </is>
      </c>
    </row>
    <row r="98">
      <c r="A98" s="59" t="inlineStr">
        <is>
          <t>Command Center visibility for our best child B0C9LS5H2T: organic score 0.0 before BFCM 2025 → 0.0 in BFCM week; Prime Day 2026 0.0 → 0.0; Aug-Sep 2026 0.6.</t>
        </is>
      </c>
    </row>
    <row r="100" ht="20" customHeight="1">
      <c r="A100" s="54" t="inlineStr">
        <is>
          <t>4 · COMPETITOR LANDSCAPE (28 mapped)</t>
        </is>
      </c>
    </row>
    <row r="101">
      <c r="A101" s="59" t="inlineStr">
        <is>
          <t>Sorted by tier, then estimated weekly units. Green = Command Center price/sales; blue = Data Dive listing; purple = Command Center search strategy (ASINsight); yellow = fill from Keepa / page check.</t>
        </is>
      </c>
    </row>
    <row r="102">
      <c r="A102" s="78" t="inlineStr">
        <is>
          <t>COMPETITOR</t>
        </is>
      </c>
      <c r="I102" s="79" t="inlineStr">
        <is>
          <t>LISTING - Data Dive</t>
        </is>
      </c>
      <c r="J102" s="80" t="inlineStr">
        <is>
          <t>SEARCH STRATEGY - Command Center ASINsight</t>
        </is>
      </c>
      <c r="K102" s="81" t="inlineStr">
        <is>
          <t>PRICE &amp; SALES - Command Center snapshot (date per row)</t>
        </is>
      </c>
      <c r="X102" s="79" t="inlineStr">
        <is>
          <t>LISTING - Data Dive</t>
        </is>
      </c>
      <c r="AA102" s="80" t="inlineStr">
        <is>
          <t>SEARCH STRATEGY - Command Center ASINsight</t>
        </is>
      </c>
      <c r="AR102" s="82" t="inlineStr">
        <is>
          <t>STR NOW - Amazon page check (Oct 13, P1 + P2)</t>
        </is>
      </c>
      <c r="AY102" s="83" t="inlineStr">
        <is>
          <t>BFCM 2025 - Keepa (P1 filled; yellow = not pulled yet)</t>
        </is>
      </c>
    </row>
    <row r="103" ht="48" customHeight="1">
      <c r="A103" s="22" t="inlineStr">
        <is>
          <t>Image</t>
        </is>
      </c>
      <c r="B103" s="22" t="inlineStr">
        <is>
          <t>Brand</t>
        </is>
      </c>
      <c r="C103" s="22" t="inlineStr">
        <is>
          <t>Product title</t>
        </is>
      </c>
      <c r="D103" s="22" t="inlineStr">
        <is>
          <t>Tier</t>
        </is>
      </c>
      <c r="E103" s="22" t="inlineStr">
        <is>
          <t>Parent ASIN</t>
        </is>
      </c>
      <c r="F103" s="22" t="inlineStr">
        <is>
          <t>Tracked child ASIN</t>
        </is>
      </c>
      <c r="G103" s="22" t="inlineStr">
        <is>
          <t>Size (title)</t>
        </is>
      </c>
      <c r="H103" s="22" t="inlineStr">
        <is>
          <t>Colour (title)</t>
        </is>
      </c>
      <c r="I103" s="22" t="inlineStr">
        <is>
          <t>Variations</t>
        </is>
      </c>
      <c r="J103" s="22" t="inlineStr">
        <is>
          <t>Hero child ASINs (share of their visibility)</t>
        </is>
      </c>
      <c r="K103" s="22" t="inlineStr">
        <is>
          <t>Price ($)</t>
        </is>
      </c>
      <c r="L103" s="22" t="inlineStr">
        <is>
          <t>List Price ($)</t>
        </is>
      </c>
      <c r="M103" s="22" t="inlineStr">
        <is>
          <t>List Price % over</t>
        </is>
      </c>
      <c r="N103" s="22" t="inlineStr">
        <is>
          <t>STR band</t>
        </is>
      </c>
      <c r="O103" s="22" t="inlineStr">
        <is>
          <t>Our price, same size ($)</t>
        </is>
      </c>
      <c r="P103" s="22" t="inlineStr">
        <is>
          <t>Their price vs ours</t>
        </is>
      </c>
      <c r="Q103" s="22" t="inlineStr">
        <is>
          <t>Comparison basis</t>
        </is>
      </c>
      <c r="R103" s="22" t="inlineStr">
        <is>
          <t>BSR</t>
        </is>
      </c>
      <c r="S103" s="22" t="inlineStr">
        <is>
          <t>Est weekly units</t>
        </is>
      </c>
      <c r="T103" s="22" t="inlineStr">
        <is>
          <t>Est monthly revenue ($)</t>
        </is>
      </c>
      <c r="U103" s="22" t="inlineStr">
        <is>
          <t>Rating</t>
        </is>
      </c>
      <c r="V103" s="22" t="inlineStr">
        <is>
          <t>Reviews</t>
        </is>
      </c>
      <c r="W103" s="22" t="inlineStr">
        <is>
          <t>Snapshot date</t>
        </is>
      </c>
      <c r="X103" s="22" t="inlineStr">
        <is>
          <t>Listed</t>
        </is>
      </c>
      <c r="Y103" s="22" t="inlineStr">
        <is>
          <t>Fulfil.</t>
        </is>
      </c>
      <c r="Z103" s="22" t="inlineStr">
        <is>
          <t>Seller country</t>
        </is>
      </c>
      <c r="AA103" s="22" t="inlineStr">
        <is>
          <t>ASINsight 7d traffic</t>
        </is>
      </c>
      <c r="AB103" s="22" t="inlineStr">
        <is>
          <t>Keywords ranked</t>
        </is>
      </c>
      <c r="AC103" s="22" t="inlineStr">
        <is>
          <t>Organic share of traffic</t>
        </is>
      </c>
      <c r="AD103" s="22" t="inlineStr">
        <is>
          <t>Ad share of traffic</t>
        </is>
      </c>
      <c r="AE103" s="22" t="inlineStr">
        <is>
          <t>Top keyword</t>
        </is>
      </c>
      <c r="AF103" s="22" t="inlineStr">
        <is>
          <t>SP reach</t>
        </is>
      </c>
      <c r="AG103" s="22" t="inlineStr">
        <is>
          <t>SB reach</t>
        </is>
      </c>
      <c r="AH103" s="22" t="inlineStr">
        <is>
          <t>SB video reach</t>
        </is>
      </c>
      <c r="AI103" s="22" t="inlineStr">
        <is>
          <t>Amazon's Choice reach</t>
        </is>
      </c>
      <c r="AJ103" s="22" t="inlineStr">
        <is>
          <t>Shared keywords</t>
        </is>
      </c>
      <c r="AK103" s="22" t="inlineStr">
        <is>
          <t>We win</t>
        </is>
      </c>
      <c r="AL103" s="22" t="inlineStr">
        <is>
          <t>We lose</t>
        </is>
      </c>
      <c r="AM103" s="22" t="inlineStr">
        <is>
          <t>Their keywords we miss</t>
        </is>
      </c>
      <c r="AN103" s="22" t="inlineStr">
        <is>
          <t>KWs they advertise, we don't</t>
        </is>
      </c>
      <c r="AO103" s="22" t="inlineStr">
        <is>
          <t>KWs they out-advertise us</t>
        </is>
      </c>
      <c r="AP103" s="22" t="inlineStr">
        <is>
          <t>Prime Day 2026 organic vis lift</t>
        </is>
      </c>
      <c r="AQ103" s="22" t="inlineStr">
        <is>
          <t>Organic trend (Aug-Sep vs Q2)</t>
        </is>
      </c>
      <c r="AR103" s="22" t="inlineStr">
        <is>
          <t>STR showing now? (Y/N)</t>
        </is>
      </c>
      <c r="AS103" s="22" t="inlineStr">
        <is>
          <t>STR label</t>
        </is>
      </c>
      <c r="AT103" s="22" t="inlineStr">
        <is>
          <t>Strikethrough price ($)</t>
        </is>
      </c>
      <c r="AU103" s="22" t="inlineStr">
        <is>
          <t>Page price at check ($)</t>
        </is>
      </c>
      <c r="AV103" s="22" t="inlineStr">
        <is>
          <t>Deal / coupon now</t>
        </is>
      </c>
      <c r="AW103" s="22" t="inlineStr">
        <is>
          <t>Orderable now (Y/N)</t>
        </is>
      </c>
      <c r="AX103" s="22" t="inlineStr">
        <is>
          <t>Checked (ET)</t>
        </is>
      </c>
      <c r="AY103" s="22" t="inlineStr">
        <is>
          <t>BFCM 2025 deal type</t>
        </is>
      </c>
      <c r="AZ103" s="22" t="inlineStr">
        <is>
          <t>BFCM 2025 deal dates</t>
        </is>
      </c>
      <c r="BA103" s="22" t="inlineStr">
        <is>
          <t>Pre-event price ($)</t>
        </is>
      </c>
      <c r="BB103" s="22" t="inlineStr">
        <is>
          <t>BFCM 2025 low ($)</t>
        </is>
      </c>
      <c r="BC103" s="22" t="inlineStr">
        <is>
          <t>BFCM 2025 discount</t>
        </is>
      </c>
      <c r="BD103" s="22" t="inlineStr">
        <is>
          <t>BSR pre-event</t>
        </is>
      </c>
      <c r="BE103" s="22" t="inlineStr">
        <is>
          <t>BSR BFCM wk</t>
        </is>
      </c>
      <c r="BF103" s="22" t="inlineStr">
        <is>
          <t>BSR lift (x)</t>
        </is>
      </c>
      <c r="BG103" s="22" t="inlineStr">
        <is>
          <t>OOS in BFCM? (Y/N)</t>
        </is>
      </c>
      <c r="BH103" s="22" t="inlineStr">
        <is>
          <t>Notes</t>
        </is>
      </c>
    </row>
    <row r="104" ht="62" customHeight="1">
      <c r="A104" s="10">
        <f>_xlfn.IMAGE("https://images-na.ssl-images-amazon.com/images/I/91dfner9BkL.jpg")</f>
        <v/>
      </c>
      <c r="B104" s="84" t="inlineStr">
        <is>
          <t>Pure Bamboo</t>
        </is>
      </c>
      <c r="C104" s="32" t="inlineStr">
        <is>
          <t>Pure Bamboo King Sheets, Genuine 100% Organic Viscose Derived from Bamboo Bed Sheet Set, Luxuriously Soft &amp; Cooling, Double Stitching, 2 Year Quality Promise (King, Ivory)</t>
        </is>
      </c>
      <c r="D104" s="84" t="inlineStr">
        <is>
          <t>Aspirational</t>
        </is>
      </c>
      <c r="E104" s="84" t="inlineStr">
        <is>
          <t>B0CZQ52MTQ</t>
        </is>
      </c>
      <c r="F104" s="84" t="inlineStr">
        <is>
          <t>B07DZTQ4JC</t>
        </is>
      </c>
      <c r="G104" s="84" t="inlineStr">
        <is>
          <t>King</t>
        </is>
      </c>
      <c r="H104" s="84" t="inlineStr">
        <is>
          <t>Ivory</t>
        </is>
      </c>
      <c r="I104" s="85" t="n">
        <v>181</v>
      </c>
      <c r="J104" s="32" t="inlineStr">
        <is>
          <t>B07MZ4GKZH (30%), B079RXWGSD (12%), B07DZTQ4JC (11%), B074CHDX7V (10%), B07DZMB498 (5%)</t>
        </is>
      </c>
      <c r="K104" s="86" t="n">
        <v>109.99</v>
      </c>
      <c r="L104" s="86" t="n"/>
      <c r="M104" s="87">
        <f>IF(AND(ISNUMBER(L104),ISNUMBER(K104),N(K104)&gt;0),L104/K104-1,"")</f>
        <v/>
      </c>
      <c r="N104" s="88">
        <f>IF(M104="","No List Price",IF(M104&lt;=0,"At/below price",IF(M104&lt;=0.12,"&lt;=12% STR zone",IF(M104&lt;=0.25,"12-25%","&gt;25% over"))))</f>
        <v/>
      </c>
      <c r="O104" s="86" t="n">
        <v>39.95</v>
      </c>
      <c r="P104" s="89">
        <f>IF(AND(ISNUMBER(K104),ISNUMBER(O104),N(O104)&gt;0),K104/O104-1,"")</f>
        <v/>
      </c>
      <c r="Q104" s="32" t="inlineStr">
        <is>
          <t>Same size (King). Ours live: Helium 10 Xray, 2026-10-13; 13 children</t>
        </is>
      </c>
      <c r="R104" s="85" t="n">
        <v>304</v>
      </c>
      <c r="S104" s="85" t="n">
        <v>809</v>
      </c>
      <c r="T104" s="90">
        <f>IF(AND(ISNUMBER(K104),ISNUMBER(S104)),K104*S104*52/12,"")</f>
        <v/>
      </c>
      <c r="U104" s="91" t="n">
        <v>4.5</v>
      </c>
      <c r="V104" s="85" t="n">
        <v>21927</v>
      </c>
      <c r="W104" s="92" t="n">
        <v>46307</v>
      </c>
      <c r="X104" s="92" t="n">
        <v>43281</v>
      </c>
      <c r="Y104" s="84" t="inlineStr">
        <is>
          <t>FBA</t>
        </is>
      </c>
      <c r="Z104" s="84" t="inlineStr">
        <is>
          <t>US</t>
        </is>
      </c>
      <c r="AA104" s="85" t="n">
        <v>2565055</v>
      </c>
      <c r="AB104" s="85" t="n">
        <v>8283</v>
      </c>
      <c r="AC104" s="93" t="n">
        <v>0.4648594811807159</v>
      </c>
      <c r="AD104" s="93" t="n">
        <v>0.5351407059497737</v>
      </c>
      <c r="AE104" s="32" t="inlineStr">
        <is>
          <t>bamboo sheets</t>
        </is>
      </c>
      <c r="AF104" s="93" t="n">
        <v>0.8806310196077667</v>
      </c>
      <c r="AG104" s="93" t="n">
        <v>0.8210506207469236</v>
      </c>
      <c r="AH104" s="93" t="n">
        <v>0.8831019217911507</v>
      </c>
      <c r="AI104" s="93" t="n">
        <v>0.2663467255088098</v>
      </c>
      <c r="AJ104" s="85" t="n">
        <v>382</v>
      </c>
      <c r="AK104" s="85" t="n">
        <v>8</v>
      </c>
      <c r="AL104" s="85" t="n">
        <v>359</v>
      </c>
      <c r="AM104" s="85" t="n">
        <v>7901</v>
      </c>
      <c r="AN104" s="85" t="n">
        <v>3779</v>
      </c>
      <c r="AO104" s="85" t="n">
        <v>8</v>
      </c>
      <c r="AP104" s="94" t="n">
        <v>1.180104147961932</v>
      </c>
      <c r="AQ104" s="89" t="n">
        <v>1.570823710546574</v>
      </c>
      <c r="AR104" s="95" t="inlineStr">
        <is>
          <t>N</t>
        </is>
      </c>
      <c r="AS104" s="95" t="inlineStr">
        <is>
          <t>none</t>
        </is>
      </c>
      <c r="AT104" s="101" t="n"/>
      <c r="AU104" s="96" t="n">
        <v>109.99</v>
      </c>
      <c r="AV104" s="95" t="inlineStr">
        <is>
          <t>none</t>
        </is>
      </c>
      <c r="AW104" s="95" t="inlineStr">
        <is>
          <t>Y</t>
        </is>
      </c>
      <c r="AX104" s="95" t="inlineStr">
        <is>
          <t>2026-10-13 12:11:16</t>
        </is>
      </c>
      <c r="AY104" s="97" t="inlineStr">
        <is>
          <t>None</t>
        </is>
      </c>
      <c r="AZ104" s="102" t="n"/>
      <c r="BA104" s="98" t="n">
        <v>109.99</v>
      </c>
      <c r="BB104" s="98" t="n">
        <v>109.99</v>
      </c>
      <c r="BC104" s="87">
        <f>IF(AND(ISNUMBER(BA104),ISNUMBER(BB104),N(BA104)&gt;0),1-BB104/BA104,"")</f>
        <v/>
      </c>
      <c r="BD104" s="99" t="n">
        <v>287</v>
      </c>
      <c r="BE104" s="99" t="n">
        <v>598</v>
      </c>
      <c r="BF104" s="100">
        <f>IF(AND(ISNUMBER(BD104),ISNUMBER(BE104),N(BE104)&gt;0),BD104/BE104,"")</f>
        <v/>
      </c>
      <c r="BG104" s="97" t="inlineStr">
        <is>
          <t>N</t>
        </is>
      </c>
      <c r="BH104" s="97" t="inlineStr">
        <is>
          <t>List Price $139.99/$149.99</t>
        </is>
      </c>
    </row>
    <row r="105" ht="62" customHeight="1">
      <c r="A105" s="10">
        <f>_xlfn.IMAGE("https://images-na.ssl-images-amazon.com/images/I/71oEhkRYQ+L.jpg")</f>
        <v/>
      </c>
      <c r="B105" s="84" t="inlineStr">
        <is>
          <t>Hotel Sheets Direct</t>
        </is>
      </c>
      <c r="C105" s="32" t="inlineStr">
        <is>
          <t>Hotel Sheets Direct 4 Piece Bed Sheet Set Queen Size, 100% Viscose Derived from Bamboo Sheets Set with 2 Pillowcases, Cooling &amp; Breathable Luxury Bedding, Moisture-Wicking &amp; Silky Soft Texture, White</t>
        </is>
      </c>
      <c r="D105" s="84" t="inlineStr">
        <is>
          <t>Aspirational</t>
        </is>
      </c>
      <c r="E105" s="84" t="inlineStr">
        <is>
          <t>B0G5N99X9R</t>
        </is>
      </c>
      <c r="F105" s="84" t="inlineStr">
        <is>
          <t>B01N9L2O9P</t>
        </is>
      </c>
      <c r="G105" s="84" t="inlineStr">
        <is>
          <t>Queen</t>
        </is>
      </c>
      <c r="H105" s="84" t="inlineStr">
        <is>
          <t>White</t>
        </is>
      </c>
      <c r="I105" s="85" t="n">
        <v>61</v>
      </c>
      <c r="J105" s="32" t="inlineStr">
        <is>
          <t>B01N9L2O9P (30%), B01N0UB2GO (20%), B072WD91XH (10%), B072WV76WK (6%), B07RJBYJ9L (5%)</t>
        </is>
      </c>
      <c r="K105" s="86" t="n">
        <v>79.98999999999999</v>
      </c>
      <c r="L105" s="86" t="n"/>
      <c r="M105" s="87">
        <f>IF(AND(ISNUMBER(L105),ISNUMBER(K105),N(K105)&gt;0),L105/K105-1,"")</f>
        <v/>
      </c>
      <c r="N105" s="88">
        <f>IF(M105="","No List Price",IF(M105&lt;=0,"At/below price",IF(M105&lt;=0.12,"&lt;=12% STR zone",IF(M105&lt;=0.25,"12-25%","&gt;25% over"))))</f>
        <v/>
      </c>
      <c r="O105" s="86" t="n">
        <v>37.95</v>
      </c>
      <c r="P105" s="89">
        <f>IF(AND(ISNUMBER(K105),ISNUMBER(O105),N(O105)&gt;0),K105/O105-1,"")</f>
        <v/>
      </c>
      <c r="Q105" s="32" t="inlineStr">
        <is>
          <t>Same size (Queen). Ours live: Helium 10 Xray, 2026-10-13; 13 children</t>
        </is>
      </c>
      <c r="R105" s="85" t="n">
        <v>2984</v>
      </c>
      <c r="S105" s="85" t="n">
        <v>347</v>
      </c>
      <c r="T105" s="90">
        <f>IF(AND(ISNUMBER(K105),ISNUMBER(S105)),K105*S105*52/12,"")</f>
        <v/>
      </c>
      <c r="U105" s="91" t="n">
        <v>4.4</v>
      </c>
      <c r="V105" s="85" t="n">
        <v>37179</v>
      </c>
      <c r="W105" s="92" t="n">
        <v>46307</v>
      </c>
      <c r="X105" s="92" t="n">
        <v>42729</v>
      </c>
      <c r="Y105" s="84" t="inlineStr">
        <is>
          <t>FBA</t>
        </is>
      </c>
      <c r="Z105" s="84" t="inlineStr">
        <is>
          <t>US</t>
        </is>
      </c>
      <c r="AA105" s="85" t="n">
        <v>451969</v>
      </c>
      <c r="AB105" s="85" t="n">
        <v>4094</v>
      </c>
      <c r="AC105" s="93" t="n">
        <v>0.6071584272372669</v>
      </c>
      <c r="AD105" s="93" t="n">
        <v>0.3928415727627336</v>
      </c>
      <c r="AE105" s="32" t="inlineStr">
        <is>
          <t>hotel</t>
        </is>
      </c>
      <c r="AF105" s="93" t="n">
        <v>0.9036371963563873</v>
      </c>
      <c r="AG105" s="93" t="n">
        <v>0.4767871247806819</v>
      </c>
      <c r="AH105" s="93" t="n">
        <v>0.1264024745059949</v>
      </c>
      <c r="AI105" s="93" t="n">
        <v>0.3227168234989568</v>
      </c>
      <c r="AJ105" s="85" t="n">
        <v>369</v>
      </c>
      <c r="AK105" s="85" t="n">
        <v>44</v>
      </c>
      <c r="AL105" s="85" t="n">
        <v>306</v>
      </c>
      <c r="AM105" s="85" t="n">
        <v>3725</v>
      </c>
      <c r="AN105" s="85" t="n">
        <v>952</v>
      </c>
      <c r="AO105" s="85" t="n">
        <v>3</v>
      </c>
      <c r="AP105" s="94" t="n">
        <v>1.799620493358634</v>
      </c>
      <c r="AQ105" s="89" t="n">
        <v>0.004829621679635077</v>
      </c>
      <c r="AR105" s="95" t="inlineStr">
        <is>
          <t>N</t>
        </is>
      </c>
      <c r="AS105" s="95" t="inlineStr">
        <is>
          <t>none</t>
        </is>
      </c>
      <c r="AT105" s="101" t="n"/>
      <c r="AU105" s="96" t="n">
        <v>79.98999999999999</v>
      </c>
      <c r="AV105" s="95" t="inlineStr">
        <is>
          <t>none</t>
        </is>
      </c>
      <c r="AW105" s="95" t="inlineStr">
        <is>
          <t>Y</t>
        </is>
      </c>
      <c r="AX105" s="95" t="inlineStr">
        <is>
          <t>2026-10-13 12:10:54</t>
        </is>
      </c>
      <c r="AY105" s="97" t="inlineStr">
        <is>
          <t>Price cut only</t>
        </is>
      </c>
      <c r="AZ105" s="97" t="inlineStr">
        <is>
          <t>11-20 to 12-01</t>
        </is>
      </c>
      <c r="BA105" s="98" t="n">
        <v>72.98999999999999</v>
      </c>
      <c r="BB105" s="98" t="n">
        <v>57.99</v>
      </c>
      <c r="BC105" s="87">
        <f>IF(AND(ISNUMBER(BA105),ISNUMBER(BB105),N(BA105)&gt;0),1-BB105/BA105,"")</f>
        <v/>
      </c>
      <c r="BD105" s="99" t="n">
        <v>3871</v>
      </c>
      <c r="BE105" s="99" t="n">
        <v>1703</v>
      </c>
      <c r="BF105" s="100">
        <f>IF(AND(ISNUMBER(BD105),ISNUMBER(BE105),N(BE105)&gt;0),BD105/BE105,"")</f>
        <v/>
      </c>
      <c r="BG105" s="97" t="inlineStr">
        <is>
          <t>N</t>
        </is>
      </c>
      <c r="BH105" s="97" t="inlineStr">
        <is>
          <t>Lightning Deal 11-07 to 11-11; Coupon 20% (11-12 to 12-02); List Price $72.99</t>
        </is>
      </c>
    </row>
    <row r="106" ht="62" customHeight="1">
      <c r="A106" s="39" t="inlineStr">
        <is>
          <t>IMAGE MISSING</t>
        </is>
      </c>
      <c r="B106" s="84" t="inlineStr">
        <is>
          <t>Bedlifes</t>
        </is>
      </c>
      <c r="C106" s="32" t="inlineStr">
        <is>
          <t>Cooling Sheets</t>
        </is>
      </c>
      <c r="D106" s="84" t="inlineStr">
        <is>
          <t>Aspirational</t>
        </is>
      </c>
      <c r="E106" s="84" t="inlineStr">
        <is>
          <t>B0957W6SPP</t>
        </is>
      </c>
      <c r="F106" s="84" t="inlineStr">
        <is>
          <t>B0894QH86C</t>
        </is>
      </c>
      <c r="G106" s="84" t="n"/>
      <c r="H106" s="84" t="n"/>
      <c r="I106" s="85" t="n">
        <v>84</v>
      </c>
      <c r="J106" s="32" t="inlineStr">
        <is>
          <t>B0894QH86C (33%), B0FJLSCV4B (10%), B0894RBF7W (8%), B0BK4JY1MQ (6%), B0894QBCFS (5%)</t>
        </is>
      </c>
      <c r="K106" s="86" t="n">
        <v>23.99</v>
      </c>
      <c r="L106" s="86" t="n"/>
      <c r="M106" s="87">
        <f>IF(AND(ISNUMBER(L106),ISNUMBER(K106),N(K106)&gt;0),L106/K106-1,"")</f>
        <v/>
      </c>
      <c r="N106" s="88">
        <f>IF(M106="","No List Price",IF(M106&lt;=0,"At/below price",IF(M106&lt;=0.12,"&lt;=12% STR zone",IF(M106&lt;=0.25,"12-25%","&gt;25% over"))))</f>
        <v/>
      </c>
      <c r="O106" s="86" t="n">
        <v>37.95</v>
      </c>
      <c r="P106" s="89">
        <f>IF(AND(ISNUMBER(K106),ISNUMBER(O106),N(O106)&gt;0),K106/O106-1,"")</f>
        <v/>
      </c>
      <c r="Q106" s="32" t="inlineStr">
        <is>
          <t>Size not stated - vs our Queen. Ours live: Helium 10 Xray, 2026-10-13; 13 children</t>
        </is>
      </c>
      <c r="R106" s="85" t="n">
        <v>9402</v>
      </c>
      <c r="S106" s="85" t="n">
        <v>92</v>
      </c>
      <c r="T106" s="90">
        <f>IF(AND(ISNUMBER(K106),ISNUMBER(S106)),K106*S106*52/12,"")</f>
        <v/>
      </c>
      <c r="U106" s="91" t="n">
        <v>4.6</v>
      </c>
      <c r="V106" s="85" t="n">
        <v>13223</v>
      </c>
      <c r="W106" s="92" t="n">
        <v>46307</v>
      </c>
      <c r="X106" s="92" t="n"/>
      <c r="Y106" s="84" t="n"/>
      <c r="Z106" s="84" t="n"/>
      <c r="AA106" s="85" t="n">
        <v>80103</v>
      </c>
      <c r="AB106" s="85" t="n">
        <v>2211</v>
      </c>
      <c r="AC106" s="93" t="n">
        <v>0.9185560415964454</v>
      </c>
      <c r="AD106" s="93" t="n">
        <v>0.08144459758061494</v>
      </c>
      <c r="AE106" s="32" t="inlineStr">
        <is>
          <t>bamboo sheets</t>
        </is>
      </c>
      <c r="AF106" s="93" t="n">
        <v>0.3502116025617018</v>
      </c>
      <c r="AG106" s="93" t="n">
        <v>0.07300600476886009</v>
      </c>
      <c r="AH106" s="93" t="n"/>
      <c r="AI106" s="93" t="n">
        <v>0.03850043069547957</v>
      </c>
      <c r="AJ106" s="85" t="n">
        <v>291</v>
      </c>
      <c r="AK106" s="85" t="n">
        <v>76</v>
      </c>
      <c r="AL106" s="85" t="n">
        <v>187</v>
      </c>
      <c r="AM106" s="85" t="n">
        <v>1920</v>
      </c>
      <c r="AN106" s="85" t="n">
        <v>331</v>
      </c>
      <c r="AO106" s="85" t="n">
        <v>2</v>
      </c>
      <c r="AP106" s="94" t="n">
        <v>1.235737351991389</v>
      </c>
      <c r="AQ106" s="89" t="n">
        <v>-0.1396797153024911</v>
      </c>
      <c r="AR106" s="95" t="inlineStr">
        <is>
          <t>N</t>
        </is>
      </c>
      <c r="AS106" s="95" t="inlineStr">
        <is>
          <t>none</t>
        </is>
      </c>
      <c r="AT106" s="101" t="n"/>
      <c r="AU106" s="96" t="n">
        <v>23.99</v>
      </c>
      <c r="AV106" s="95" t="inlineStr">
        <is>
          <t>none</t>
        </is>
      </c>
      <c r="AW106" s="95" t="inlineStr">
        <is>
          <t>Y</t>
        </is>
      </c>
      <c r="AX106" s="95" t="inlineStr">
        <is>
          <t>2026-10-13 12:11:45</t>
        </is>
      </c>
      <c r="AY106" s="97" t="inlineStr">
        <is>
          <t>Prime Exclusive Discount</t>
        </is>
      </c>
      <c r="AZ106" s="97" t="inlineStr">
        <is>
          <t>11-20 to 12-01</t>
        </is>
      </c>
      <c r="BA106" s="98" t="n">
        <v>25.99</v>
      </c>
      <c r="BB106" s="98" t="n">
        <v>14.03</v>
      </c>
      <c r="BC106" s="87">
        <f>IF(AND(ISNUMBER(BA106),ISNUMBER(BB106),N(BA106)&gt;0),1-BB106/BA106,"")</f>
        <v/>
      </c>
      <c r="BD106" s="99" t="n">
        <v>6553</v>
      </c>
      <c r="BE106" s="99" t="n">
        <v>6923</v>
      </c>
      <c r="BF106" s="100">
        <f>IF(AND(ISNUMBER(BD106),ISNUMBER(BE106),N(BE106)&gt;0),BD106/BE106,"")</f>
        <v/>
      </c>
      <c r="BG106" s="97" t="inlineStr">
        <is>
          <t>N</t>
        </is>
      </c>
      <c r="BH106" s="97" t="inlineStr">
        <is>
          <t>Coupon 10% (11-01 to 11-19); List Price $35.99</t>
        </is>
      </c>
    </row>
    <row r="107" ht="62" customHeight="1">
      <c r="A107" s="10">
        <f>_xlfn.IMAGE("https://images-na.ssl-images-amazon.com/images/I/61fbapIObwL.jpg")</f>
        <v/>
      </c>
      <c r="B107" s="84" t="inlineStr">
        <is>
          <t>BAMPURE</t>
        </is>
      </c>
      <c r="C107" s="32" t="inlineStr">
        <is>
          <t>BAMPURE 100% Rayon from Bamboo Sheets King Size - 4pc Cooling King Sheets</t>
        </is>
      </c>
      <c r="D107" s="84" t="inlineStr">
        <is>
          <t>Aspirational</t>
        </is>
      </c>
      <c r="E107" s="84" t="inlineStr">
        <is>
          <t>B0HC778XB4</t>
        </is>
      </c>
      <c r="F107" s="84" t="inlineStr">
        <is>
          <t>B07XFP6BY2</t>
        </is>
      </c>
      <c r="G107" s="84" t="inlineStr">
        <is>
          <t>King</t>
        </is>
      </c>
      <c r="H107" s="84" t="n"/>
      <c r="I107" s="85" t="n">
        <v>40</v>
      </c>
      <c r="J107" s="32" t="inlineStr">
        <is>
          <t>B07XBJY2JR (65%), B07XFP6BY2 (21%)</t>
        </is>
      </c>
      <c r="K107" s="86" t="n">
        <v>67.98</v>
      </c>
      <c r="L107" s="86" t="n">
        <v>99.98999999999999</v>
      </c>
      <c r="M107" s="87">
        <f>IF(AND(ISNUMBER(L107),ISNUMBER(K107),N(K107)&gt;0),L107/K107-1,"")</f>
        <v/>
      </c>
      <c r="N107" s="88">
        <f>IF(M107="","No List Price",IF(M107&lt;=0,"At/below price",IF(M107&lt;=0.12,"&lt;=12% STR zone",IF(M107&lt;=0.25,"12-25%","&gt;25% over"))))</f>
        <v/>
      </c>
      <c r="O107" s="86" t="n">
        <v>39.95</v>
      </c>
      <c r="P107" s="89">
        <f>IF(AND(ISNUMBER(K107),ISNUMBER(O107),N(O107)&gt;0),K107/O107-1,"")</f>
        <v/>
      </c>
      <c r="Q107" s="32" t="inlineStr">
        <is>
          <t>Same size (King). Ours live: Helium 10 Xray, 2026-10-13; 13 children</t>
        </is>
      </c>
      <c r="R107" s="85" t="n">
        <v>14479</v>
      </c>
      <c r="S107" s="85" t="n">
        <v>81</v>
      </c>
      <c r="T107" s="90">
        <f>IF(AND(ISNUMBER(K107),ISNUMBER(S107)),K107*S107*52/12,"")</f>
        <v/>
      </c>
      <c r="U107" s="91" t="n">
        <v>4.4</v>
      </c>
      <c r="V107" s="85" t="n">
        <v>4095</v>
      </c>
      <c r="W107" s="92" t="n">
        <v>46307</v>
      </c>
      <c r="X107" s="92" t="n">
        <v>43776</v>
      </c>
      <c r="Y107" s="84" t="inlineStr">
        <is>
          <t>FBA</t>
        </is>
      </c>
      <c r="Z107" s="84" t="inlineStr">
        <is>
          <t>US</t>
        </is>
      </c>
      <c r="AA107" s="85" t="n">
        <v>67699</v>
      </c>
      <c r="AB107" s="85" t="n">
        <v>1687</v>
      </c>
      <c r="AC107" s="93" t="n">
        <v>0.8589487052984534</v>
      </c>
      <c r="AD107" s="93" t="n">
        <v>0.1410512947015465</v>
      </c>
      <c r="AE107" s="32" t="inlineStr">
        <is>
          <t>bamboo sheets</t>
        </is>
      </c>
      <c r="AF107" s="93" t="n">
        <v>0.9117121375500377</v>
      </c>
      <c r="AG107" s="93" t="n"/>
      <c r="AH107" s="93" t="n"/>
      <c r="AI107" s="93" t="n"/>
      <c r="AJ107" s="85" t="n">
        <v>323</v>
      </c>
      <c r="AK107" s="85" t="n">
        <v>93</v>
      </c>
      <c r="AL107" s="85" t="n">
        <v>183</v>
      </c>
      <c r="AM107" s="85" t="n">
        <v>1364</v>
      </c>
      <c r="AN107" s="85" t="n">
        <v>301</v>
      </c>
      <c r="AO107" s="85" t="n">
        <v>1</v>
      </c>
      <c r="AP107" s="94" t="n">
        <v>1.016706443914081</v>
      </c>
      <c r="AQ107" s="89" t="n">
        <v>-0.2868217054263565</v>
      </c>
      <c r="AR107" s="95" t="inlineStr">
        <is>
          <t>Y</t>
        </is>
      </c>
      <c r="AS107" s="95" t="inlineStr">
        <is>
          <t>List Price</t>
        </is>
      </c>
      <c r="AT107" s="96" t="n">
        <v>99.98999999999999</v>
      </c>
      <c r="AU107" s="96" t="n">
        <v>67.98</v>
      </c>
      <c r="AV107" s="95" t="inlineStr">
        <is>
          <t>Limited time deal</t>
        </is>
      </c>
      <c r="AW107" s="95" t="inlineStr">
        <is>
          <t>Y</t>
        </is>
      </c>
      <c r="AX107" s="95" t="inlineStr">
        <is>
          <t>2026-10-13 12:10:12</t>
        </is>
      </c>
      <c r="AY107" s="97" t="inlineStr">
        <is>
          <t>Prime Exclusive Discount</t>
        </is>
      </c>
      <c r="AZ107" s="97" t="inlineStr">
        <is>
          <t>11-22 to 12-01</t>
        </is>
      </c>
      <c r="BA107" s="98" t="n">
        <v>84.98999999999999</v>
      </c>
      <c r="BB107" s="98" t="n">
        <v>79.98999999999999</v>
      </c>
      <c r="BC107" s="87">
        <f>IF(AND(ISNUMBER(BA107),ISNUMBER(BB107),N(BA107)&gt;0),1-BB107/BA107,"")</f>
        <v/>
      </c>
      <c r="BD107" s="99" t="n">
        <v>31768</v>
      </c>
      <c r="BE107" s="99" t="n">
        <v>27833</v>
      </c>
      <c r="BF107" s="100">
        <f>IF(AND(ISNUMBER(BD107),ISNUMBER(BE107),N(BE107)&gt;0),BD107/BE107,"")</f>
        <v/>
      </c>
      <c r="BG107" s="97" t="inlineStr">
        <is>
          <t>N</t>
        </is>
      </c>
      <c r="BH107" s="97" t="inlineStr">
        <is>
          <t>Coupon 5.00 USD (11-01 to 11-04); Buy Box RAISED in BFCM week (median $99.99 vs $84.99 before); List Price $99.99</t>
        </is>
      </c>
    </row>
    <row r="108" ht="62" customHeight="1">
      <c r="A108" s="39" t="inlineStr">
        <is>
          <t>IMAGE MISSING</t>
        </is>
      </c>
      <c r="B108" s="84" t="inlineStr">
        <is>
          <t>BAMPURE</t>
        </is>
      </c>
      <c r="C108" s="32" t="inlineStr">
        <is>
          <t>Bamboo Sheets</t>
        </is>
      </c>
      <c r="D108" s="84" t="inlineStr">
        <is>
          <t>Aspirational</t>
        </is>
      </c>
      <c r="E108" s="84" t="inlineStr">
        <is>
          <t>B0FH2WGKJV</t>
        </is>
      </c>
      <c r="F108" s="84" t="inlineStr">
        <is>
          <t>B07XC2KVM7</t>
        </is>
      </c>
      <c r="G108" s="84" t="n"/>
      <c r="H108" s="84" t="n"/>
      <c r="I108" s="85" t="n"/>
      <c r="J108" s="32" t="inlineStr"/>
      <c r="K108" s="86" t="n">
        <v>37.99</v>
      </c>
      <c r="L108" s="86" t="n"/>
      <c r="M108" s="87">
        <f>IF(AND(ISNUMBER(L108),ISNUMBER(K108),N(K108)&gt;0),L108/K108-1,"")</f>
        <v/>
      </c>
      <c r="N108" s="88">
        <f>IF(M108="","No List Price",IF(M108&lt;=0,"At/below price",IF(M108&lt;=0.12,"&lt;=12% STR zone",IF(M108&lt;=0.25,"12-25%","&gt;25% over"))))</f>
        <v/>
      </c>
      <c r="O108" s="86" t="n">
        <v>37.95</v>
      </c>
      <c r="P108" s="89">
        <f>IF(AND(ISNUMBER(K108),ISNUMBER(O108),N(O108)&gt;0),K108/O108-1,"")</f>
        <v/>
      </c>
      <c r="Q108" s="32" t="inlineStr">
        <is>
          <t>Size not stated - vs our Queen. Ours live: Helium 10 Xray, 2026-10-13; 13 children</t>
        </is>
      </c>
      <c r="R108" s="85" t="n">
        <v>2541068</v>
      </c>
      <c r="S108" s="85" t="n">
        <v>5</v>
      </c>
      <c r="T108" s="90">
        <f>IF(AND(ISNUMBER(K108),ISNUMBER(S108)),K108*S108*52/12,"")</f>
        <v/>
      </c>
      <c r="U108" s="91" t="n">
        <v>4.4</v>
      </c>
      <c r="V108" s="85" t="n">
        <v>30</v>
      </c>
      <c r="W108" s="92" t="n">
        <v>46307</v>
      </c>
      <c r="X108" s="92" t="n"/>
      <c r="Y108" s="84" t="n"/>
      <c r="Z108" s="84" t="n"/>
      <c r="AA108" s="85" t="n"/>
      <c r="AB108" s="85" t="n"/>
      <c r="AC108" s="93" t="n"/>
      <c r="AD108" s="93" t="n"/>
      <c r="AE108" s="32" t="n"/>
      <c r="AF108" s="93" t="n"/>
      <c r="AG108" s="93" t="n"/>
      <c r="AH108" s="93" t="n"/>
      <c r="AI108" s="93" t="n"/>
      <c r="AJ108" s="85" t="n"/>
      <c r="AK108" s="85" t="n"/>
      <c r="AL108" s="85" t="n"/>
      <c r="AM108" s="85" t="n"/>
      <c r="AN108" s="85" t="n"/>
      <c r="AO108" s="85" t="n"/>
      <c r="AP108" s="94" t="n"/>
      <c r="AQ108" s="89" t="n"/>
      <c r="AR108" s="95" t="inlineStr">
        <is>
          <t>N</t>
        </is>
      </c>
      <c r="AS108" s="95" t="inlineStr">
        <is>
          <t>none</t>
        </is>
      </c>
      <c r="AT108" s="101" t="n"/>
      <c r="AU108" s="101" t="n"/>
      <c r="AV108" s="95" t="inlineStr">
        <is>
          <t>none</t>
        </is>
      </c>
      <c r="AW108" s="95" t="inlineStr">
        <is>
          <t>N</t>
        </is>
      </c>
      <c r="AX108" s="95" t="inlineStr">
        <is>
          <t>2026-10-13 12:10:15</t>
        </is>
      </c>
      <c r="AY108" s="97" t="inlineStr">
        <is>
          <t>None</t>
        </is>
      </c>
      <c r="AZ108" s="102" t="n"/>
      <c r="BA108" s="98" t="n">
        <v>69.98999999999999</v>
      </c>
      <c r="BB108" s="98" t="n">
        <v>69.98999999999999</v>
      </c>
      <c r="BC108" s="87">
        <f>IF(AND(ISNUMBER(BA108),ISNUMBER(BB108),N(BA108)&gt;0),1-BB108/BA108,"")</f>
        <v/>
      </c>
      <c r="BD108" s="99" t="n">
        <v>31768</v>
      </c>
      <c r="BE108" s="99" t="n">
        <v>27950</v>
      </c>
      <c r="BF108" s="100">
        <f>IF(AND(ISNUMBER(BD108),ISNUMBER(BE108),N(BE108)&gt;0),BD108/BE108,"")</f>
        <v/>
      </c>
      <c r="BG108" s="97" t="inlineStr">
        <is>
          <t>N</t>
        </is>
      </c>
      <c r="BH108" s="97" t="inlineStr">
        <is>
          <t>List Price $69.99</t>
        </is>
      </c>
    </row>
    <row r="109" ht="62" customHeight="1">
      <c r="A109" s="10">
        <f>_xlfn.IMAGE("https://images-na.ssl-images-amazon.com/images/I/81svKInu7aL.jpg")</f>
        <v/>
      </c>
      <c r="B109" s="84" t="inlineStr">
        <is>
          <t>Bambaw</t>
        </is>
      </c>
      <c r="C109" s="32" t="inlineStr">
        <is>
          <t>Bambaw 100% Viscose Derived from Bamboo Sheets Queen Size Set – 4pcs Cooling Sheet Set, Super Soft Sheets Queen Size, Luxury Bed Sheets, Deep Pocket Fits Up to 16'' Mattresses (Charcoal)</t>
        </is>
      </c>
      <c r="D109" s="84" t="inlineStr">
        <is>
          <t>Beatable</t>
        </is>
      </c>
      <c r="E109" s="84" t="inlineStr">
        <is>
          <t>B07K6SYX8L</t>
        </is>
      </c>
      <c r="F109" s="84" t="inlineStr">
        <is>
          <t>B0DR99Q37Y</t>
        </is>
      </c>
      <c r="G109" s="84" t="inlineStr">
        <is>
          <t>Queen</t>
        </is>
      </c>
      <c r="H109" s="84" t="inlineStr">
        <is>
          <t>Charcoal</t>
        </is>
      </c>
      <c r="I109" s="85" t="n">
        <v>104</v>
      </c>
      <c r="J109" s="32" t="inlineStr">
        <is>
          <t>B0DR99Q37Y (55%), B0DR98VW37 (10%), B0F2J1742T (7%), B0DR98HVG3 (5%), B0H3BQSQ1X (5%)</t>
        </is>
      </c>
      <c r="K109" s="86" t="n">
        <v>89.98999999999999</v>
      </c>
      <c r="L109" s="86" t="n"/>
      <c r="M109" s="87">
        <f>IF(AND(ISNUMBER(L109),ISNUMBER(K109),N(K109)&gt;0),L109/K109-1,"")</f>
        <v/>
      </c>
      <c r="N109" s="88">
        <f>IF(M109="","No List Price",IF(M109&lt;=0,"At/below price",IF(M109&lt;=0.12,"&lt;=12% STR zone",IF(M109&lt;=0.25,"12-25%","&gt;25% over"))))</f>
        <v/>
      </c>
      <c r="O109" s="86" t="n">
        <v>37.95</v>
      </c>
      <c r="P109" s="89">
        <f>IF(AND(ISNUMBER(K109),ISNUMBER(O109),N(O109)&gt;0),K109/O109-1,"")</f>
        <v/>
      </c>
      <c r="Q109" s="32" t="inlineStr">
        <is>
          <t>Same size (Queen). Ours live: Helium 10 Xray, 2026-10-13; 13 children</t>
        </is>
      </c>
      <c r="R109" s="85" t="n">
        <v>6971</v>
      </c>
      <c r="S109" s="85" t="n">
        <v>104</v>
      </c>
      <c r="T109" s="90">
        <f>IF(AND(ISNUMBER(K109),ISNUMBER(S109)),K109*S109*52/12,"")</f>
        <v/>
      </c>
      <c r="U109" s="91" t="n">
        <v>4.3</v>
      </c>
      <c r="V109" s="85" t="n">
        <v>2766</v>
      </c>
      <c r="W109" s="92" t="n">
        <v>46307</v>
      </c>
      <c r="X109" s="92" t="n">
        <v>45649</v>
      </c>
      <c r="Y109" s="84" t="inlineStr">
        <is>
          <t>FBA</t>
        </is>
      </c>
      <c r="Z109" s="84" t="inlineStr">
        <is>
          <t>BE</t>
        </is>
      </c>
      <c r="AA109" s="85" t="n">
        <v>407949</v>
      </c>
      <c r="AB109" s="85" t="n">
        <v>2137</v>
      </c>
      <c r="AC109" s="93" t="n">
        <v>0.5037485506766772</v>
      </c>
      <c r="AD109" s="93" t="n">
        <v>0.4962515277645003</v>
      </c>
      <c r="AE109" s="32" t="inlineStr">
        <is>
          <t>bamboo sheets</t>
        </is>
      </c>
      <c r="AF109" s="93" t="n">
        <v>0.8267479513370544</v>
      </c>
      <c r="AG109" s="93" t="n">
        <v>0.000431426477329274</v>
      </c>
      <c r="AH109" s="93" t="n">
        <v>0.3636508485129268</v>
      </c>
      <c r="AI109" s="93" t="n">
        <v>0.003414642516589083</v>
      </c>
      <c r="AJ109" s="85" t="n">
        <v>347</v>
      </c>
      <c r="AK109" s="85" t="n">
        <v>19</v>
      </c>
      <c r="AL109" s="85" t="n">
        <v>308</v>
      </c>
      <c r="AM109" s="85" t="n">
        <v>1790</v>
      </c>
      <c r="AN109" s="85" t="n">
        <v>580</v>
      </c>
      <c r="AO109" s="85" t="n">
        <v>9</v>
      </c>
      <c r="AP109" s="94" t="n">
        <v>1.374474053295933</v>
      </c>
      <c r="AQ109" s="89" t="n">
        <v>1.381825760733639</v>
      </c>
      <c r="AR109" s="95" t="inlineStr">
        <is>
          <t>N</t>
        </is>
      </c>
      <c r="AS109" s="95" t="inlineStr">
        <is>
          <t>none</t>
        </is>
      </c>
      <c r="AT109" s="101" t="n"/>
      <c r="AU109" s="96" t="n">
        <v>89.98999999999999</v>
      </c>
      <c r="AV109" s="95" t="inlineStr">
        <is>
          <t>none</t>
        </is>
      </c>
      <c r="AW109" s="95" t="inlineStr">
        <is>
          <t>Y</t>
        </is>
      </c>
      <c r="AX109" s="95" t="inlineStr">
        <is>
          <t>2026-10-13 12:10:28</t>
        </is>
      </c>
      <c r="AY109" s="97" t="inlineStr">
        <is>
          <t>None</t>
        </is>
      </c>
      <c r="AZ109" s="102" t="n"/>
      <c r="BA109" s="98" t="n">
        <v>89.98999999999999</v>
      </c>
      <c r="BB109" s="98" t="n">
        <v>89.98999999999999</v>
      </c>
      <c r="BC109" s="87">
        <f>IF(AND(ISNUMBER(BA109),ISNUMBER(BB109),N(BA109)&gt;0),1-BB109/BA109,"")</f>
        <v/>
      </c>
      <c r="BD109" s="99" t="n">
        <v>12712</v>
      </c>
      <c r="BE109" s="99" t="n">
        <v>10881</v>
      </c>
      <c r="BF109" s="100">
        <f>IF(AND(ISNUMBER(BD109),ISNUMBER(BE109),N(BE109)&gt;0),BD109/BE109,"")</f>
        <v/>
      </c>
      <c r="BG109" s="97" t="inlineStr">
        <is>
          <t>N</t>
        </is>
      </c>
      <c r="BH109" s="97" t="inlineStr">
        <is>
          <t>List Price $103.45</t>
        </is>
      </c>
    </row>
    <row r="110" ht="62" customHeight="1">
      <c r="A110" s="10">
        <f>_xlfn.IMAGE("https://images-na.ssl-images-amazon.com/images/I/81suQgVR0GL.jpg")</f>
        <v/>
      </c>
      <c r="B110" s="84" t="inlineStr">
        <is>
          <t>Bedsure</t>
        </is>
      </c>
      <c r="C110" s="32" t="inlineStr">
        <is>
          <t>Bedsure PureWoven Organically Grown Bamboo Viscose Queen Sheet Set, 4PCS</t>
        </is>
      </c>
      <c r="D110" s="84" t="inlineStr">
        <is>
          <t>Beatable</t>
        </is>
      </c>
      <c r="E110" s="84" t="inlineStr">
        <is>
          <t>B0FB8XS4D1</t>
        </is>
      </c>
      <c r="F110" s="84" t="inlineStr">
        <is>
          <t>B0FB8XR43Q</t>
        </is>
      </c>
      <c r="G110" s="84" t="inlineStr">
        <is>
          <t>Queen</t>
        </is>
      </c>
      <c r="H110" s="84" t="n"/>
      <c r="I110" s="85" t="n">
        <v>39</v>
      </c>
      <c r="J110" s="32" t="inlineStr">
        <is>
          <t>B0FB8XR43Q (31%), B0FB8ZTD7M (18%), B0GLN6VP9Y (11%), B0FB8YV6C7 (10%), B0FB8Z4GGW (10%)</t>
        </is>
      </c>
      <c r="K110" s="86" t="n">
        <v>89.98999999999999</v>
      </c>
      <c r="L110" s="86" t="n">
        <v>119.99</v>
      </c>
      <c r="M110" s="87">
        <f>IF(AND(ISNUMBER(L110),ISNUMBER(K110),N(K110)&gt;0),L110/K110-1,"")</f>
        <v/>
      </c>
      <c r="N110" s="88">
        <f>IF(M110="","No List Price",IF(M110&lt;=0,"At/below price",IF(M110&lt;=0.12,"&lt;=12% STR zone",IF(M110&lt;=0.25,"12-25%","&gt;25% over"))))</f>
        <v/>
      </c>
      <c r="O110" s="86" t="n">
        <v>37.95</v>
      </c>
      <c r="P110" s="89">
        <f>IF(AND(ISNUMBER(K110),ISNUMBER(O110),N(O110)&gt;0),K110/O110-1,"")</f>
        <v/>
      </c>
      <c r="Q110" s="32" t="inlineStr">
        <is>
          <t>Same size (Queen). Ours live: Helium 10 Xray, 2026-10-13; 13 children</t>
        </is>
      </c>
      <c r="R110" s="85" t="n">
        <v>8938</v>
      </c>
      <c r="S110" s="85" t="n">
        <v>104</v>
      </c>
      <c r="T110" s="90">
        <f>IF(AND(ISNUMBER(K110),ISNUMBER(S110)),K110*S110*52/12,"")</f>
        <v/>
      </c>
      <c r="U110" s="91" t="n">
        <v>4.5</v>
      </c>
      <c r="V110" s="85" t="n">
        <v>588</v>
      </c>
      <c r="W110" s="92" t="n">
        <v>46307</v>
      </c>
      <c r="X110" s="92" t="n">
        <v>45936</v>
      </c>
      <c r="Y110" s="84" t="inlineStr">
        <is>
          <t>FBA</t>
        </is>
      </c>
      <c r="Z110" s="84" t="inlineStr">
        <is>
          <t>US</t>
        </is>
      </c>
      <c r="AA110" s="85" t="n">
        <v>840292</v>
      </c>
      <c r="AB110" s="85" t="n">
        <v>3961</v>
      </c>
      <c r="AC110" s="93" t="n">
        <v>0.1404099194089678</v>
      </c>
      <c r="AD110" s="93" t="n">
        <v>0.8595901834124341</v>
      </c>
      <c r="AE110" s="32" t="inlineStr">
        <is>
          <t>bamboo sheets</t>
        </is>
      </c>
      <c r="AF110" s="93" t="n">
        <v>0.9284082199997143</v>
      </c>
      <c r="AG110" s="93" t="n">
        <v>0.9843340172225845</v>
      </c>
      <c r="AH110" s="93" t="n">
        <v>0.5269953777972419</v>
      </c>
      <c r="AI110" s="93" t="n">
        <v>0.000478405125837209</v>
      </c>
      <c r="AJ110" s="85" t="n">
        <v>350</v>
      </c>
      <c r="AK110" s="85" t="n">
        <v>22</v>
      </c>
      <c r="AL110" s="85" t="n">
        <v>314</v>
      </c>
      <c r="AM110" s="85" t="n">
        <v>3611</v>
      </c>
      <c r="AN110" s="85" t="n">
        <v>2447</v>
      </c>
      <c r="AO110" s="85" t="n">
        <v>21</v>
      </c>
      <c r="AP110" s="94" t="n">
        <v>1.764832022873481</v>
      </c>
      <c r="AQ110" s="89" t="n">
        <v>-0.09047044632086854</v>
      </c>
      <c r="AR110" s="95" t="inlineStr">
        <is>
          <t>Y</t>
        </is>
      </c>
      <c r="AS110" s="95" t="inlineStr">
        <is>
          <t>List Price</t>
        </is>
      </c>
      <c r="AT110" s="96" t="n">
        <v>119.99</v>
      </c>
      <c r="AU110" s="96" t="n">
        <v>89.98999999999999</v>
      </c>
      <c r="AV110" s="95" t="inlineStr">
        <is>
          <t>none</t>
        </is>
      </c>
      <c r="AW110" s="95" t="inlineStr">
        <is>
          <t>Y</t>
        </is>
      </c>
      <c r="AX110" s="95" t="inlineStr">
        <is>
          <t>2026-10-13 12:10:38</t>
        </is>
      </c>
      <c r="AY110" s="97" t="inlineStr">
        <is>
          <t>Prime Exclusive Discount</t>
        </is>
      </c>
      <c r="AZ110" s="97" t="inlineStr">
        <is>
          <t>11-10 to 12-05</t>
        </is>
      </c>
      <c r="BA110" s="98" t="n">
        <v>99.98999999999999</v>
      </c>
      <c r="BB110" s="98" t="n">
        <v>72.64</v>
      </c>
      <c r="BC110" s="87">
        <f>IF(AND(ISNUMBER(BA110),ISNUMBER(BB110),N(BA110)&gt;0),1-BB110/BA110,"")</f>
        <v/>
      </c>
      <c r="BD110" s="99" t="n">
        <v>53160</v>
      </c>
      <c r="BE110" s="99" t="n">
        <v>53782</v>
      </c>
      <c r="BF110" s="100">
        <f>IF(AND(ISNUMBER(BD110),ISNUMBER(BE110),N(BE110)&gt;0),BD110/BE110,"")</f>
        <v/>
      </c>
      <c r="BG110" s="97" t="inlineStr">
        <is>
          <t>N</t>
        </is>
      </c>
      <c r="BH110" s="97" t="inlineStr">
        <is>
          <t>Prime Exclusive already running before BFCM week; List Price $114.99</t>
        </is>
      </c>
    </row>
    <row r="111" ht="62" customHeight="1">
      <c r="A111" s="10">
        <f>_xlfn.IMAGE("https://images-na.ssl-images-amazon.com/images/I/71sqxa1EquL.jpg")</f>
        <v/>
      </c>
      <c r="B111" s="84" t="inlineStr">
        <is>
          <t>SONORO KATE</t>
        </is>
      </c>
      <c r="C111" s="32" t="inlineStr">
        <is>
          <t>Bamboo Sheets</t>
        </is>
      </c>
      <c r="D111" s="84" t="inlineStr">
        <is>
          <t>Beatable</t>
        </is>
      </c>
      <c r="E111" s="84" t="inlineStr">
        <is>
          <t>B0F4852T9V</t>
        </is>
      </c>
      <c r="F111" s="84" t="inlineStr">
        <is>
          <t>B0F4873G4H</t>
        </is>
      </c>
      <c r="G111" s="84" t="n"/>
      <c r="H111" s="84" t="n"/>
      <c r="I111" s="85" t="n">
        <v>33</v>
      </c>
      <c r="J111" s="32" t="inlineStr">
        <is>
          <t>B0F486MGJ1 (46%), B0F4873G4H (45%)</t>
        </is>
      </c>
      <c r="K111" s="86" t="n">
        <v>79.98999999999999</v>
      </c>
      <c r="L111" s="86" t="n"/>
      <c r="M111" s="87">
        <f>IF(AND(ISNUMBER(L111),ISNUMBER(K111),N(K111)&gt;0),L111/K111-1,"")</f>
        <v/>
      </c>
      <c r="N111" s="88">
        <f>IF(M111="","No List Price",IF(M111&lt;=0,"At/below price",IF(M111&lt;=0.12,"&lt;=12% STR zone",IF(M111&lt;=0.25,"12-25%","&gt;25% over"))))</f>
        <v/>
      </c>
      <c r="O111" s="86" t="n">
        <v>37.95</v>
      </c>
      <c r="P111" s="89">
        <f>IF(AND(ISNUMBER(K111),ISNUMBER(O111),N(O111)&gt;0),K111/O111-1,"")</f>
        <v/>
      </c>
      <c r="Q111" s="32" t="inlineStr">
        <is>
          <t>Size not stated - vs our Queen. Ours live: Helium 10 Xray, 2026-10-13; 13 children</t>
        </is>
      </c>
      <c r="R111" s="85" t="n">
        <v>7961</v>
      </c>
      <c r="S111" s="85" t="n">
        <v>104</v>
      </c>
      <c r="T111" s="90">
        <f>IF(AND(ISNUMBER(K111),ISNUMBER(S111)),K111*S111*52/12,"")</f>
        <v/>
      </c>
      <c r="U111" s="91" t="n">
        <v>4.5</v>
      </c>
      <c r="V111" s="85" t="n">
        <v>3776</v>
      </c>
      <c r="W111" s="92" t="n">
        <v>46307</v>
      </c>
      <c r="X111" s="92" t="n"/>
      <c r="Y111" s="84" t="n"/>
      <c r="Z111" s="84" t="n"/>
      <c r="AA111" s="85" t="n">
        <v>185157</v>
      </c>
      <c r="AB111" s="85" t="n">
        <v>1447</v>
      </c>
      <c r="AC111" s="93" t="n">
        <v>0.9776013545261586</v>
      </c>
      <c r="AD111" s="93" t="n">
        <v>0.02239928493116653</v>
      </c>
      <c r="AE111" s="32" t="inlineStr">
        <is>
          <t>bamboo sheets</t>
        </is>
      </c>
      <c r="AF111" s="93" t="n">
        <v>0.4342476924987983</v>
      </c>
      <c r="AG111" s="93" t="n"/>
      <c r="AH111" s="93" t="n"/>
      <c r="AI111" s="93" t="n">
        <v>0.1639959601851402</v>
      </c>
      <c r="AJ111" s="85" t="n">
        <v>298</v>
      </c>
      <c r="AK111" s="85" t="n">
        <v>31</v>
      </c>
      <c r="AL111" s="85" t="n">
        <v>247</v>
      </c>
      <c r="AM111" s="85" t="n">
        <v>1149</v>
      </c>
      <c r="AN111" s="85" t="n">
        <v>122</v>
      </c>
      <c r="AO111" s="85" t="n">
        <v>0</v>
      </c>
      <c r="AP111" s="94" t="n">
        <v>1.314808539478143</v>
      </c>
      <c r="AQ111" s="89" t="n">
        <v>0.6186540731995278</v>
      </c>
      <c r="AR111" s="95" t="inlineStr">
        <is>
          <t>N</t>
        </is>
      </c>
      <c r="AS111" s="95" t="inlineStr">
        <is>
          <t>none</t>
        </is>
      </c>
      <c r="AT111" s="101" t="n"/>
      <c r="AU111" s="96" t="n">
        <v>79.98999999999999</v>
      </c>
      <c r="AV111" s="95" t="inlineStr">
        <is>
          <t>coupon $5</t>
        </is>
      </c>
      <c r="AW111" s="95" t="inlineStr">
        <is>
          <t>Y</t>
        </is>
      </c>
      <c r="AX111" s="95" t="inlineStr">
        <is>
          <t>2026-10-13 12:11:19</t>
        </is>
      </c>
      <c r="AY111" s="97" t="inlineStr">
        <is>
          <t>Prime Exclusive Discount</t>
        </is>
      </c>
      <c r="AZ111" s="97" t="inlineStr">
        <is>
          <t>11-20 to 12-01</t>
        </is>
      </c>
      <c r="BA111" s="98" t="n">
        <v>79.98999999999999</v>
      </c>
      <c r="BB111" s="98" t="n">
        <v>63.99</v>
      </c>
      <c r="BC111" s="87">
        <f>IF(AND(ISNUMBER(BA111),ISNUMBER(BB111),N(BA111)&gt;0),1-BB111/BA111,"")</f>
        <v/>
      </c>
      <c r="BD111" s="99" t="n">
        <v>36662</v>
      </c>
      <c r="BE111" s="99" t="n">
        <v>23612</v>
      </c>
      <c r="BF111" s="100">
        <f>IF(AND(ISNUMBER(BD111),ISNUMBER(BE111),N(BE111)&gt;0),BD111/BE111,"")</f>
        <v/>
      </c>
      <c r="BG111" s="97" t="inlineStr">
        <is>
          <t>N</t>
        </is>
      </c>
      <c r="BH111" s="97" t="inlineStr">
        <is>
          <t>Coupon 15% (11-06 to 11-19); List Price $79.99</t>
        </is>
      </c>
    </row>
    <row r="112" ht="62" customHeight="1">
      <c r="A112" s="10">
        <f>_xlfn.IMAGE("https://images-na.ssl-images-amazon.com/images/I/71Pl57-j67L.jpg")</f>
        <v/>
      </c>
      <c r="B112" s="84" t="inlineStr">
        <is>
          <t>BC BELLA COTERIE</t>
        </is>
      </c>
      <c r="C112" s="32" t="inlineStr">
        <is>
          <t>Bella Coterie Luxury Bamboo Viscose King Size Sheet Set</t>
        </is>
      </c>
      <c r="D112" s="84" t="inlineStr">
        <is>
          <t>Beatable</t>
        </is>
      </c>
      <c r="E112" s="84" t="inlineStr">
        <is>
          <t>B0H29V113N</t>
        </is>
      </c>
      <c r="F112" s="84" t="inlineStr">
        <is>
          <t>B08L86VLZB</t>
        </is>
      </c>
      <c r="G112" s="84" t="inlineStr">
        <is>
          <t>King</t>
        </is>
      </c>
      <c r="H112" s="84" t="n"/>
      <c r="I112" s="85" t="n">
        <v>258</v>
      </c>
      <c r="J112" s="32" t="inlineStr">
        <is>
          <t>B0C979FD5Z (12%), B09JTQMF5C (11%), B08L86VLZB (6%), B08L85SV5Z (5%), B09JV1NG9R (4%)</t>
        </is>
      </c>
      <c r="K112" s="86" t="n">
        <v>134.99</v>
      </c>
      <c r="L112" s="86" t="n"/>
      <c r="M112" s="87">
        <f>IF(AND(ISNUMBER(L112),ISNUMBER(K112),N(K112)&gt;0),L112/K112-1,"")</f>
        <v/>
      </c>
      <c r="N112" s="88">
        <f>IF(M112="","No List Price",IF(M112&lt;=0,"At/below price",IF(M112&lt;=0.12,"&lt;=12% STR zone",IF(M112&lt;=0.25,"12-25%","&gt;25% over"))))</f>
        <v/>
      </c>
      <c r="O112" s="86" t="n">
        <v>39.95</v>
      </c>
      <c r="P112" s="89">
        <f>IF(AND(ISNUMBER(K112),ISNUMBER(O112),N(O112)&gt;0),K112/O112-1,"")</f>
        <v/>
      </c>
      <c r="Q112" s="32" t="inlineStr">
        <is>
          <t>Same size (King). Ours live: Helium 10 Xray, 2026-10-13; 13 children</t>
        </is>
      </c>
      <c r="R112" s="85" t="n">
        <v>1358</v>
      </c>
      <c r="S112" s="85" t="n">
        <v>92</v>
      </c>
      <c r="T112" s="90">
        <f>IF(AND(ISNUMBER(K112),ISNUMBER(S112)),K112*S112*52/12,"")</f>
        <v/>
      </c>
      <c r="U112" s="91" t="n">
        <v>4.4</v>
      </c>
      <c r="V112" s="85" t="n">
        <v>5871</v>
      </c>
      <c r="W112" s="92" t="n">
        <v>46307</v>
      </c>
      <c r="X112" s="92" t="n">
        <v>44154</v>
      </c>
      <c r="Y112" s="84" t="inlineStr">
        <is>
          <t>FBA</t>
        </is>
      </c>
      <c r="Z112" s="84" t="inlineStr">
        <is>
          <t>US</t>
        </is>
      </c>
      <c r="AA112" s="85" t="n">
        <v>591713</v>
      </c>
      <c r="AB112" s="85" t="n">
        <v>5504</v>
      </c>
      <c r="AC112" s="93" t="n">
        <v>0.3622702587234016</v>
      </c>
      <c r="AD112" s="93" t="n">
        <v>0.6377298332130611</v>
      </c>
      <c r="AE112" s="32" t="inlineStr">
        <is>
          <t>bamboo sheets</t>
        </is>
      </c>
      <c r="AF112" s="93" t="n">
        <v>0.9808184035165697</v>
      </c>
      <c r="AG112" s="93" t="n">
        <v>0.5730548424658576</v>
      </c>
      <c r="AH112" s="93" t="n">
        <v>0.5581810776508206</v>
      </c>
      <c r="AI112" s="93" t="n">
        <v>0.03836488297536136</v>
      </c>
      <c r="AJ112" s="85" t="n">
        <v>379</v>
      </c>
      <c r="AK112" s="85" t="n">
        <v>46</v>
      </c>
      <c r="AL112" s="85" t="n">
        <v>305</v>
      </c>
      <c r="AM112" s="85" t="n">
        <v>5125</v>
      </c>
      <c r="AN112" s="85" t="n">
        <v>2442</v>
      </c>
      <c r="AO112" s="85" t="n">
        <v>7</v>
      </c>
      <c r="AP112" s="94" t="n">
        <v>1.778087279480037</v>
      </c>
      <c r="AQ112" s="89" t="n">
        <v>0.3772549019607843</v>
      </c>
      <c r="AR112" s="95" t="inlineStr">
        <is>
          <t>N</t>
        </is>
      </c>
      <c r="AS112" s="95" t="inlineStr">
        <is>
          <t>none</t>
        </is>
      </c>
      <c r="AT112" s="101" t="n"/>
      <c r="AU112" s="96" t="n">
        <v>169.99</v>
      </c>
      <c r="AV112" s="95" t="inlineStr">
        <is>
          <t>none</t>
        </is>
      </c>
      <c r="AW112" s="95" t="inlineStr">
        <is>
          <t>Y</t>
        </is>
      </c>
      <c r="AX112" s="95" t="inlineStr">
        <is>
          <t>2026-10-13 12:14:18</t>
        </is>
      </c>
      <c r="AY112" s="97" t="inlineStr">
        <is>
          <t>Price cut only</t>
        </is>
      </c>
      <c r="AZ112" s="97" t="inlineStr">
        <is>
          <t>11-20 to 12-01</t>
        </is>
      </c>
      <c r="BA112" s="98" t="n">
        <v>134.99</v>
      </c>
      <c r="BB112" s="98" t="n">
        <v>110.5</v>
      </c>
      <c r="BC112" s="87">
        <f>IF(AND(ISNUMBER(BA112),ISNUMBER(BB112),N(BA112)&gt;0),1-BB112/BA112,"")</f>
        <v/>
      </c>
      <c r="BD112" s="99" t="n">
        <v>3072</v>
      </c>
      <c r="BE112" s="99" t="n">
        <v>1155</v>
      </c>
      <c r="BF112" s="100">
        <f>IF(AND(ISNUMBER(BD112),ISNUMBER(BE112),N(BE112)&gt;0),BD112/BE112,"")</f>
        <v/>
      </c>
      <c r="BG112" s="97" t="inlineStr">
        <is>
          <t>N</t>
        </is>
      </c>
      <c r="BH112" s="97" t="inlineStr">
        <is>
          <t>Coupon 20.00 USD (12-03 to 12-05); List Price $169.99</t>
        </is>
      </c>
    </row>
    <row r="113" ht="62" customHeight="1">
      <c r="A113" s="39" t="inlineStr">
        <is>
          <t>IMAGE MISSING</t>
        </is>
      </c>
      <c r="B113" s="84" t="inlineStr">
        <is>
          <t>REST</t>
        </is>
      </c>
      <c r="C113" s="32" t="inlineStr">
        <is>
          <t>Cooling Sheets</t>
        </is>
      </c>
      <c r="D113" s="84" t="inlineStr">
        <is>
          <t>Beatable</t>
        </is>
      </c>
      <c r="E113" s="84" t="inlineStr">
        <is>
          <t>B0HC6866B7</t>
        </is>
      </c>
      <c r="F113" s="84" t="inlineStr">
        <is>
          <t>B0D9JHBBCZ</t>
        </is>
      </c>
      <c r="G113" s="84" t="n"/>
      <c r="H113" s="84" t="n"/>
      <c r="I113" s="85" t="n">
        <v>69</v>
      </c>
      <c r="J113" s="32" t="inlineStr">
        <is>
          <t>B0C56ZNQVQ (16%), B0BLYSGFRW (15%), B0BLYVMGYB (7%), B0BLYW9CJZ (7%), B0C56YLKZW (7%)</t>
        </is>
      </c>
      <c r="K113" s="86" t="n">
        <v>224.25</v>
      </c>
      <c r="L113" s="86" t="n">
        <v>299</v>
      </c>
      <c r="M113" s="87">
        <f>IF(AND(ISNUMBER(L113),ISNUMBER(K113),N(K113)&gt;0),L113/K113-1,"")</f>
        <v/>
      </c>
      <c r="N113" s="88">
        <f>IF(M113="","No List Price",IF(M113&lt;=0,"At/below price",IF(M113&lt;=0.12,"&lt;=12% STR zone",IF(M113&lt;=0.25,"12-25%","&gt;25% over"))))</f>
        <v/>
      </c>
      <c r="O113" s="86" t="n">
        <v>37.95</v>
      </c>
      <c r="P113" s="89">
        <f>IF(AND(ISNUMBER(K113),ISNUMBER(O113),N(O113)&gt;0),K113/O113-1,"")</f>
        <v/>
      </c>
      <c r="Q113" s="32" t="inlineStr">
        <is>
          <t>Size not stated - vs our Queen. Ours live: Helium 10 Xray, 2026-10-13; 13 children</t>
        </is>
      </c>
      <c r="R113" s="85" t="n">
        <v>5255</v>
      </c>
      <c r="S113" s="85" t="n">
        <v>81</v>
      </c>
      <c r="T113" s="90">
        <f>IF(AND(ISNUMBER(K113),ISNUMBER(S113)),K113*S113*52/12,"")</f>
        <v/>
      </c>
      <c r="U113" s="91" t="n">
        <v>4.3</v>
      </c>
      <c r="V113" s="85" t="n">
        <v>1149</v>
      </c>
      <c r="W113" s="92" t="n">
        <v>46307</v>
      </c>
      <c r="X113" s="92" t="n"/>
      <c r="Y113" s="84" t="n"/>
      <c r="Z113" s="84" t="n"/>
      <c r="AA113" s="85" t="n">
        <v>522593</v>
      </c>
      <c r="AB113" s="85" t="n">
        <v>7281</v>
      </c>
      <c r="AC113" s="93" t="n">
        <v>0.2234137663535486</v>
      </c>
      <c r="AD113" s="93" t="n">
        <v>0.7765862336464519</v>
      </c>
      <c r="AE113" s="32" t="inlineStr">
        <is>
          <t>cooling sheets</t>
        </is>
      </c>
      <c r="AF113" s="93" t="n">
        <v>0.7800085343661319</v>
      </c>
      <c r="AG113" s="93" t="n">
        <v>0.8614600654811679</v>
      </c>
      <c r="AH113" s="93" t="n">
        <v>0.4534561312531932</v>
      </c>
      <c r="AI113" s="93" t="n">
        <v>0.1182067115326841</v>
      </c>
      <c r="AJ113" s="85" t="n">
        <v>279</v>
      </c>
      <c r="AK113" s="85" t="n">
        <v>51</v>
      </c>
      <c r="AL113" s="85" t="n">
        <v>200</v>
      </c>
      <c r="AM113" s="85" t="n">
        <v>7002</v>
      </c>
      <c r="AN113" s="85" t="n">
        <v>3275</v>
      </c>
      <c r="AO113" s="85" t="n">
        <v>15</v>
      </c>
      <c r="AP113" s="94" t="n"/>
      <c r="AQ113" s="89" t="n"/>
      <c r="AR113" s="95" t="inlineStr">
        <is>
          <t>Y</t>
        </is>
      </c>
      <c r="AS113" s="95" t="inlineStr">
        <is>
          <t>List Price</t>
        </is>
      </c>
      <c r="AT113" s="96" t="n">
        <v>299</v>
      </c>
      <c r="AU113" s="96" t="n">
        <v>224.25</v>
      </c>
      <c r="AV113" s="95" t="inlineStr">
        <is>
          <t>none</t>
        </is>
      </c>
      <c r="AW113" s="95" t="inlineStr">
        <is>
          <t>Y</t>
        </is>
      </c>
      <c r="AX113" s="95" t="inlineStr">
        <is>
          <t>2026-10-13 12:12:07</t>
        </is>
      </c>
      <c r="AY113" s="97" t="inlineStr">
        <is>
          <t>Price cut only</t>
        </is>
      </c>
      <c r="AZ113" s="97" t="inlineStr">
        <is>
          <t>11-20 to 12-01</t>
        </is>
      </c>
      <c r="BA113" s="98" t="n">
        <v>299</v>
      </c>
      <c r="BB113" s="98" t="n">
        <v>215.88</v>
      </c>
      <c r="BC113" s="87">
        <f>IF(AND(ISNUMBER(BA113),ISNUMBER(BB113),N(BA113)&gt;0),1-BB113/BA113,"")</f>
        <v/>
      </c>
      <c r="BD113" s="99" t="n">
        <v>30243</v>
      </c>
      <c r="BE113" s="99" t="n">
        <v>15706</v>
      </c>
      <c r="BF113" s="100">
        <f>IF(AND(ISNUMBER(BD113),ISNUMBER(BE113),N(BE113)&gt;0),BD113/BE113,"")</f>
        <v/>
      </c>
      <c r="BG113" s="97" t="inlineStr">
        <is>
          <t>N</t>
        </is>
      </c>
      <c r="BH113" s="97" t="inlineStr">
        <is>
          <t>Lightning Deal 11-14 to 11-14; List Price $299.00</t>
        </is>
      </c>
    </row>
    <row r="114" ht="62" customHeight="1">
      <c r="A114" s="10">
        <f>_xlfn.IMAGE("https://images-na.ssl-images-amazon.com/images/I/71HeTCWM4hL.jpg")</f>
        <v/>
      </c>
      <c r="B114" s="84" t="inlineStr">
        <is>
          <t>SONORO KATE</t>
        </is>
      </c>
      <c r="C114" s="32" t="inlineStr">
        <is>
          <t>SONORO KATE 100% Viscose Derived from Bamboo_Sheets Queen Size,4PC</t>
        </is>
      </c>
      <c r="D114" s="84" t="inlineStr">
        <is>
          <t>Beatable</t>
        </is>
      </c>
      <c r="E114" s="84" t="inlineStr">
        <is>
          <t>B0F29FQLFD</t>
        </is>
      </c>
      <c r="F114" s="84" t="inlineStr">
        <is>
          <t>B0F29F1JM5</t>
        </is>
      </c>
      <c r="G114" s="84" t="inlineStr">
        <is>
          <t>Queen</t>
        </is>
      </c>
      <c r="H114" s="84" t="n"/>
      <c r="I114" s="85" t="n">
        <v>42</v>
      </c>
      <c r="J114" s="32" t="inlineStr">
        <is>
          <t>B0F29F1JM5 (71%), B0F29HFNNS (19%)</t>
        </is>
      </c>
      <c r="K114" s="86" t="n">
        <v>59.99</v>
      </c>
      <c r="L114" s="86" t="n"/>
      <c r="M114" s="87">
        <f>IF(AND(ISNUMBER(L114),ISNUMBER(K114),N(K114)&gt;0),L114/K114-1,"")</f>
        <v/>
      </c>
      <c r="N114" s="88">
        <f>IF(M114="","No List Price",IF(M114&lt;=0,"At/below price",IF(M114&lt;=0.12,"&lt;=12% STR zone",IF(M114&lt;=0.25,"12-25%","&gt;25% over"))))</f>
        <v/>
      </c>
      <c r="O114" s="86" t="n">
        <v>37.95</v>
      </c>
      <c r="P114" s="89">
        <f>IF(AND(ISNUMBER(K114),ISNUMBER(O114),N(O114)&gt;0),K114/O114-1,"")</f>
        <v/>
      </c>
      <c r="Q114" s="32" t="inlineStr">
        <is>
          <t>Same size (Queen). Ours live: Helium 10 Xray, 2026-10-13; 13 children</t>
        </is>
      </c>
      <c r="R114" s="85" t="n">
        <v>23979</v>
      </c>
      <c r="S114" s="85" t="n">
        <v>81</v>
      </c>
      <c r="T114" s="90">
        <f>IF(AND(ISNUMBER(K114),ISNUMBER(S114)),K114*S114*52/12,"")</f>
        <v/>
      </c>
      <c r="U114" s="91" t="n">
        <v>4.5</v>
      </c>
      <c r="V114" s="85" t="n">
        <v>3911</v>
      </c>
      <c r="W114" s="92" t="n">
        <v>46307</v>
      </c>
      <c r="X114" s="92" t="n">
        <v>45740</v>
      </c>
      <c r="Y114" s="84" t="inlineStr">
        <is>
          <t>FBA</t>
        </is>
      </c>
      <c r="Z114" s="84" t="inlineStr">
        <is>
          <t>CN</t>
        </is>
      </c>
      <c r="AA114" s="85" t="n">
        <v>114504</v>
      </c>
      <c r="AB114" s="85" t="n">
        <v>947</v>
      </c>
      <c r="AC114" s="93" t="n">
        <v>0.8792897182631171</v>
      </c>
      <c r="AD114" s="93" t="n">
        <v>0.1207102817368825</v>
      </c>
      <c r="AE114" s="32" t="inlineStr">
        <is>
          <t>bamboo sheets</t>
        </is>
      </c>
      <c r="AF114" s="93" t="n">
        <v>0.3106878362327953</v>
      </c>
      <c r="AG114" s="93" t="n"/>
      <c r="AH114" s="93" t="n"/>
      <c r="AI114" s="93" t="n">
        <v>0.03587647593097185</v>
      </c>
      <c r="AJ114" s="85" t="n">
        <v>299</v>
      </c>
      <c r="AK114" s="85" t="n">
        <v>32</v>
      </c>
      <c r="AL114" s="85" t="n">
        <v>249</v>
      </c>
      <c r="AM114" s="85" t="n">
        <v>648</v>
      </c>
      <c r="AN114" s="85" t="n">
        <v>84</v>
      </c>
      <c r="AO114" s="85" t="n">
        <v>0</v>
      </c>
      <c r="AP114" s="94" t="n">
        <v>1.095271210013908</v>
      </c>
      <c r="AQ114" s="89" t="n">
        <v>-0.1040240897892143</v>
      </c>
      <c r="AR114" s="95" t="inlineStr">
        <is>
          <t>N</t>
        </is>
      </c>
      <c r="AS114" s="95" t="inlineStr">
        <is>
          <t>none</t>
        </is>
      </c>
      <c r="AT114" s="101" t="n"/>
      <c r="AU114" s="96" t="n">
        <v>59.99</v>
      </c>
      <c r="AV114" s="95" t="inlineStr">
        <is>
          <t>coupon 15%</t>
        </is>
      </c>
      <c r="AW114" s="95" t="inlineStr">
        <is>
          <t>Y</t>
        </is>
      </c>
      <c r="AX114" s="95" t="inlineStr">
        <is>
          <t>2026-10-13 12:11:22</t>
        </is>
      </c>
      <c r="AY114" s="97" t="inlineStr">
        <is>
          <t>Prime Exclusive Discount</t>
        </is>
      </c>
      <c r="AZ114" s="97" t="inlineStr">
        <is>
          <t>11-20 to 12-01</t>
        </is>
      </c>
      <c r="BA114" s="98" t="n">
        <v>59.99</v>
      </c>
      <c r="BB114" s="98" t="n">
        <v>47.99</v>
      </c>
      <c r="BC114" s="87">
        <f>IF(AND(ISNUMBER(BA114),ISNUMBER(BB114),N(BA114)&gt;0),1-BB114/BA114,"")</f>
        <v/>
      </c>
      <c r="BD114" s="99" t="n">
        <v>22774</v>
      </c>
      <c r="BE114" s="99" t="n">
        <v>19002</v>
      </c>
      <c r="BF114" s="100">
        <f>IF(AND(ISNUMBER(BD114),ISNUMBER(BE114),N(BE114)&gt;0),BD114/BE114,"")</f>
        <v/>
      </c>
      <c r="BG114" s="97" t="inlineStr">
        <is>
          <t>N</t>
        </is>
      </c>
      <c r="BH114" s="97" t="inlineStr">
        <is>
          <t>Coupon 10% (11-04 to 12-05); List Price $59.99</t>
        </is>
      </c>
    </row>
    <row r="115" ht="62" customHeight="1">
      <c r="A115" s="39" t="inlineStr">
        <is>
          <t>IMAGE MISSING</t>
        </is>
      </c>
      <c r="B115" s="84" t="inlineStr">
        <is>
          <t>Breescape</t>
        </is>
      </c>
      <c r="C115" s="32" t="inlineStr">
        <is>
          <t>Cooling Sheets</t>
        </is>
      </c>
      <c r="D115" s="84" t="inlineStr">
        <is>
          <t>Beatable</t>
        </is>
      </c>
      <c r="E115" s="84" t="inlineStr">
        <is>
          <t>B0H41M1N4B</t>
        </is>
      </c>
      <c r="F115" s="84" t="inlineStr">
        <is>
          <t>B0DSPZJKTB</t>
        </is>
      </c>
      <c r="G115" s="84" t="n"/>
      <c r="H115" s="84" t="n"/>
      <c r="I115" s="85" t="n">
        <v>26</v>
      </c>
      <c r="J115" s="32" t="inlineStr">
        <is>
          <t>B0DSPZJKTB (49%), B0DSPZSVFL (26%), B0DSPZKCCN (6%)</t>
        </is>
      </c>
      <c r="K115" s="86" t="n">
        <v>149.99</v>
      </c>
      <c r="L115" s="86" t="n">
        <v>179.99</v>
      </c>
      <c r="M115" s="87">
        <f>IF(AND(ISNUMBER(L115),ISNUMBER(K115),N(K115)&gt;0),L115/K115-1,"")</f>
        <v/>
      </c>
      <c r="N115" s="88">
        <f>IF(M115="","No List Price",IF(M115&lt;=0,"At/below price",IF(M115&lt;=0.12,"&lt;=12% STR zone",IF(M115&lt;=0.25,"12-25%","&gt;25% over"))))</f>
        <v/>
      </c>
      <c r="O115" s="86" t="n">
        <v>37.95</v>
      </c>
      <c r="P115" s="89">
        <f>IF(AND(ISNUMBER(K115),ISNUMBER(O115),N(O115)&gt;0),K115/O115-1,"")</f>
        <v/>
      </c>
      <c r="Q115" s="32" t="inlineStr">
        <is>
          <t>Size not stated - vs our Queen. Ours live: Helium 10 Xray, 2026-10-13; 13 children</t>
        </is>
      </c>
      <c r="R115" s="85" t="n">
        <v>49910</v>
      </c>
      <c r="S115" s="85" t="n">
        <v>35</v>
      </c>
      <c r="T115" s="90">
        <f>IF(AND(ISNUMBER(K115),ISNUMBER(S115)),K115*S115*52/12,"")</f>
        <v/>
      </c>
      <c r="U115" s="91" t="n">
        <v>4.2</v>
      </c>
      <c r="V115" s="85" t="n">
        <v>595</v>
      </c>
      <c r="W115" s="92" t="n">
        <v>46307</v>
      </c>
      <c r="X115" s="92" t="n"/>
      <c r="Y115" s="84" t="n"/>
      <c r="Z115" s="84" t="n"/>
      <c r="AA115" s="85" t="n">
        <v>107224</v>
      </c>
      <c r="AB115" s="85" t="n">
        <v>1884</v>
      </c>
      <c r="AC115" s="93" t="n">
        <v>0.5282540960978878</v>
      </c>
      <c r="AD115" s="93" t="n">
        <v>0.4717459934343065</v>
      </c>
      <c r="AE115" s="32" t="inlineStr">
        <is>
          <t>cooling sheets</t>
        </is>
      </c>
      <c r="AF115" s="93" t="n">
        <v>0.853279116615683</v>
      </c>
      <c r="AG115" s="93" t="n">
        <v>0.6382059986570171</v>
      </c>
      <c r="AH115" s="93" t="n">
        <v>0.7425203312691189</v>
      </c>
      <c r="AI115" s="93" t="n">
        <v>0.09657352831455644</v>
      </c>
      <c r="AJ115" s="85" t="n">
        <v>246</v>
      </c>
      <c r="AK115" s="85" t="n">
        <v>59</v>
      </c>
      <c r="AL115" s="85" t="n">
        <v>161</v>
      </c>
      <c r="AM115" s="85" t="n">
        <v>1638</v>
      </c>
      <c r="AN115" s="85" t="n">
        <v>504</v>
      </c>
      <c r="AO115" s="85" t="n">
        <v>7</v>
      </c>
      <c r="AP115" s="94" t="n">
        <v>1.443271767810026</v>
      </c>
      <c r="AQ115" s="89" t="n">
        <v>0.2381786339754817</v>
      </c>
      <c r="AR115" s="95" t="inlineStr">
        <is>
          <t>Y</t>
        </is>
      </c>
      <c r="AS115" s="95" t="inlineStr">
        <is>
          <t>List Price</t>
        </is>
      </c>
      <c r="AT115" s="96" t="n">
        <v>179.99</v>
      </c>
      <c r="AU115" s="96" t="n">
        <v>149.99</v>
      </c>
      <c r="AV115" s="95" t="inlineStr">
        <is>
          <t>none</t>
        </is>
      </c>
      <c r="AW115" s="95" t="inlineStr">
        <is>
          <t>Y</t>
        </is>
      </c>
      <c r="AX115" s="95" t="inlineStr">
        <is>
          <t>2026-10-13 12:11:52</t>
        </is>
      </c>
      <c r="AY115" s="97" t="inlineStr">
        <is>
          <t>Price cut only</t>
        </is>
      </c>
      <c r="AZ115" s="97" t="inlineStr">
        <is>
          <t>11-20 to 12-01</t>
        </is>
      </c>
      <c r="BA115" s="98" t="n">
        <v>125.99</v>
      </c>
      <c r="BB115" s="98" t="n">
        <v>119.69</v>
      </c>
      <c r="BC115" s="87">
        <f>IF(AND(ISNUMBER(BA115),ISNUMBER(BB115),N(BA115)&gt;0),1-BB115/BA115,"")</f>
        <v/>
      </c>
      <c r="BD115" s="99" t="n">
        <v>74970</v>
      </c>
      <c r="BE115" s="99" t="n">
        <v>53655</v>
      </c>
      <c r="BF115" s="100">
        <f>IF(AND(ISNUMBER(BD115),ISNUMBER(BE115),N(BE115)&gt;0),BD115/BE115,"")</f>
        <v/>
      </c>
      <c r="BG115" s="97" t="inlineStr">
        <is>
          <t>N</t>
        </is>
      </c>
      <c r="BH115" s="97" t="inlineStr">
        <is>
          <t>Coupon 30% (11-01 to 11-02); List Price $179.99</t>
        </is>
      </c>
    </row>
    <row r="116" ht="62" customHeight="1">
      <c r="A116" s="10">
        <f>_xlfn.IMAGE("https://images-na.ssl-images-amazon.com/images/I/710aWpCd4AL.jpg")</f>
        <v/>
      </c>
      <c r="B116" s="84" t="inlineStr">
        <is>
          <t>DOZ by SIJO</t>
        </is>
      </c>
      <c r="C116" s="32" t="inlineStr">
        <is>
          <t>Bamboo Sheets</t>
        </is>
      </c>
      <c r="D116" s="84" t="inlineStr">
        <is>
          <t>Beatable</t>
        </is>
      </c>
      <c r="E116" s="84" t="inlineStr">
        <is>
          <t>B0DCZGYVZ9</t>
        </is>
      </c>
      <c r="F116" s="84" t="inlineStr">
        <is>
          <t>B0F24TRXCZ</t>
        </is>
      </c>
      <c r="G116" s="84" t="n"/>
      <c r="H116" s="84" t="n"/>
      <c r="I116" s="85" t="n">
        <v>131</v>
      </c>
      <c r="J116" s="32" t="inlineStr">
        <is>
          <t>B0B8JLLT45 (39%), B0B8JK78HR (6%), B0CS36MKM9 (5%), B0BRWD6PRK (4%), B0B9T44SJV (4%)</t>
        </is>
      </c>
      <c r="K116" s="86" t="n">
        <v>55</v>
      </c>
      <c r="L116" s="86" t="n"/>
      <c r="M116" s="87">
        <f>IF(AND(ISNUMBER(L116),ISNUMBER(K116),N(K116)&gt;0),L116/K116-1,"")</f>
        <v/>
      </c>
      <c r="N116" s="88">
        <f>IF(M116="","No List Price",IF(M116&lt;=0,"At/below price",IF(M116&lt;=0.12,"&lt;=12% STR zone",IF(M116&lt;=0.25,"12-25%","&gt;25% over"))))</f>
        <v/>
      </c>
      <c r="O116" s="86" t="n">
        <v>37.95</v>
      </c>
      <c r="P116" s="89">
        <f>IF(AND(ISNUMBER(K116),ISNUMBER(O116),N(O116)&gt;0),K116/O116-1,"")</f>
        <v/>
      </c>
      <c r="Q116" s="32" t="inlineStr">
        <is>
          <t>Size not stated - vs our Queen. Ours live: Helium 10 Xray, 2026-10-13; 13 children</t>
        </is>
      </c>
      <c r="R116" s="85" t="n">
        <v>4051</v>
      </c>
      <c r="S116" s="85" t="n">
        <v>35</v>
      </c>
      <c r="T116" s="90">
        <f>IF(AND(ISNUMBER(K116),ISNUMBER(S116)),K116*S116*52/12,"")</f>
        <v/>
      </c>
      <c r="U116" s="91" t="n">
        <v>4.4</v>
      </c>
      <c r="V116" s="85" t="n">
        <v>1909</v>
      </c>
      <c r="W116" s="92" t="n">
        <v>46307</v>
      </c>
      <c r="X116" s="92" t="n"/>
      <c r="Y116" s="84" t="n"/>
      <c r="Z116" s="84" t="n"/>
      <c r="AA116" s="85" t="n">
        <v>171534</v>
      </c>
      <c r="AB116" s="85" t="n">
        <v>2682</v>
      </c>
      <c r="AC116" s="93" t="n">
        <v>0.5544749851341424</v>
      </c>
      <c r="AD116" s="93" t="n">
        <v>0.4455250335210511</v>
      </c>
      <c r="AE116" s="32" t="inlineStr">
        <is>
          <t>bamboo sheets</t>
        </is>
      </c>
      <c r="AF116" s="93" t="n">
        <v>0.8981426422750008</v>
      </c>
      <c r="AG116" s="93" t="n">
        <v>0.06748516329124256</v>
      </c>
      <c r="AH116" s="93" t="n">
        <v>0.2462310678932456</v>
      </c>
      <c r="AI116" s="93" t="n">
        <v>0.0526193057936036</v>
      </c>
      <c r="AJ116" s="85" t="n">
        <v>349</v>
      </c>
      <c r="AK116" s="85" t="n">
        <v>28</v>
      </c>
      <c r="AL116" s="85" t="n">
        <v>300</v>
      </c>
      <c r="AM116" s="85" t="n">
        <v>2333</v>
      </c>
      <c r="AN116" s="85" t="n">
        <v>814</v>
      </c>
      <c r="AO116" s="85" t="n">
        <v>3</v>
      </c>
      <c r="AP116" s="94" t="n"/>
      <c r="AQ116" s="89" t="n"/>
      <c r="AR116" s="95" t="inlineStr">
        <is>
          <t>N</t>
        </is>
      </c>
      <c r="AS116" s="95" t="inlineStr">
        <is>
          <t>none</t>
        </is>
      </c>
      <c r="AT116" s="101" t="n"/>
      <c r="AU116" s="96" t="n">
        <v>55</v>
      </c>
      <c r="AV116" s="95" t="inlineStr">
        <is>
          <t>none</t>
        </is>
      </c>
      <c r="AW116" s="95" t="inlineStr">
        <is>
          <t>Y</t>
        </is>
      </c>
      <c r="AX116" s="95" t="inlineStr">
        <is>
          <t>2026-10-13 12:10:45</t>
        </is>
      </c>
      <c r="AY116" s="97" t="inlineStr">
        <is>
          <t>None</t>
        </is>
      </c>
      <c r="AZ116" s="102" t="n"/>
      <c r="BA116" s="98" t="n">
        <v>55</v>
      </c>
      <c r="BB116" s="98" t="n">
        <v>55</v>
      </c>
      <c r="BC116" s="87">
        <f>IF(AND(ISNUMBER(BA116),ISNUMBER(BB116),N(BA116)&gt;0),1-BB116/BA116,"")</f>
        <v/>
      </c>
      <c r="BD116" s="99" t="n">
        <v>3634538</v>
      </c>
      <c r="BE116" s="99" t="n">
        <v>3088925</v>
      </c>
      <c r="BF116" s="100">
        <f>IF(AND(ISNUMBER(BD116),ISNUMBER(BE116),N(BE116)&gt;0),BD116/BE116,"")</f>
        <v/>
      </c>
      <c r="BG116" s="97" t="inlineStr">
        <is>
          <t>N</t>
        </is>
      </c>
      <c r="BH116" s="97" t="inlineStr">
        <is>
          <t>List Price $55.00</t>
        </is>
      </c>
    </row>
    <row r="117" ht="62" customHeight="1">
      <c r="A117" s="10">
        <f>_xlfn.IMAGE("https://images-na.ssl-images-amazon.com/images/I/81EdgN1LRmL.jpg")</f>
        <v/>
      </c>
      <c r="B117" s="84" t="inlineStr">
        <is>
          <t>GOKOTTA</t>
        </is>
      </c>
      <c r="C117" s="32" t="inlineStr">
        <is>
          <t>GOKOTTA King Bamboo Rayon Sheets Set, Silky Soft Cooling Sheets Stay Put</t>
        </is>
      </c>
      <c r="D117" s="84" t="inlineStr">
        <is>
          <t>Beatable</t>
        </is>
      </c>
      <c r="E117" s="84" t="inlineStr">
        <is>
          <t>B09WV7RN1V</t>
        </is>
      </c>
      <c r="F117" s="84" t="inlineStr">
        <is>
          <t>B0BR53P7DY</t>
        </is>
      </c>
      <c r="G117" s="84" t="inlineStr">
        <is>
          <t>King</t>
        </is>
      </c>
      <c r="H117" s="84" t="n"/>
      <c r="I117" s="85" t="n">
        <v>99</v>
      </c>
      <c r="J117" s="32" t="inlineStr">
        <is>
          <t>B0B6VQC7LD (30%), B0BR53P7DY (17%), B07TYC979L (10%), B0BL77QB6N (9%), B0FW3T96RQ (7%)</t>
        </is>
      </c>
      <c r="K117" s="86" t="n">
        <v>109</v>
      </c>
      <c r="L117" s="86" t="n"/>
      <c r="M117" s="87">
        <f>IF(AND(ISNUMBER(L117),ISNUMBER(K117),N(K117)&gt;0),L117/K117-1,"")</f>
        <v/>
      </c>
      <c r="N117" s="88">
        <f>IF(M117="","No List Price",IF(M117&lt;=0,"At/below price",IF(M117&lt;=0.12,"&lt;=12% STR zone",IF(M117&lt;=0.25,"12-25%","&gt;25% over"))))</f>
        <v/>
      </c>
      <c r="O117" s="86" t="n">
        <v>39.95</v>
      </c>
      <c r="P117" s="89">
        <f>IF(AND(ISNUMBER(K117),ISNUMBER(O117),N(O117)&gt;0),K117/O117-1,"")</f>
        <v/>
      </c>
      <c r="Q117" s="32" t="inlineStr">
        <is>
          <t>Same size (King). Ours live: Helium 10 Xray, 2026-10-13; 13 children</t>
        </is>
      </c>
      <c r="R117" s="85" t="n">
        <v>16154</v>
      </c>
      <c r="S117" s="85" t="n">
        <v>35</v>
      </c>
      <c r="T117" s="90">
        <f>IF(AND(ISNUMBER(K117),ISNUMBER(S117)),K117*S117*52/12,"")</f>
        <v/>
      </c>
      <c r="U117" s="91" t="n">
        <v>4.4</v>
      </c>
      <c r="V117" s="85" t="n">
        <v>3371</v>
      </c>
      <c r="W117" s="92" t="n">
        <v>46307</v>
      </c>
      <c r="X117" s="92" t="n">
        <v>44922</v>
      </c>
      <c r="Y117" s="84" t="inlineStr">
        <is>
          <t>FBA</t>
        </is>
      </c>
      <c r="Z117" s="84" t="inlineStr">
        <is>
          <t>TH</t>
        </is>
      </c>
      <c r="AA117" s="85" t="n">
        <v>76017</v>
      </c>
      <c r="AB117" s="85" t="n">
        <v>1577</v>
      </c>
      <c r="AC117" s="93" t="n">
        <v>0.8206756843863878</v>
      </c>
      <c r="AD117" s="93" t="n">
        <v>0.1793245681886948</v>
      </c>
      <c r="AE117" s="32" t="inlineStr">
        <is>
          <t>bamboo sheets</t>
        </is>
      </c>
      <c r="AF117" s="93" t="n">
        <v>0.9048633858215925</v>
      </c>
      <c r="AG117" s="93" t="n">
        <v>0.08220529618374837</v>
      </c>
      <c r="AH117" s="93" t="n">
        <v>0.8497046713235198</v>
      </c>
      <c r="AI117" s="93" t="n">
        <v>0.03862293960561453</v>
      </c>
      <c r="AJ117" s="85" t="n">
        <v>309</v>
      </c>
      <c r="AK117" s="85" t="n">
        <v>96</v>
      </c>
      <c r="AL117" s="85" t="n">
        <v>173</v>
      </c>
      <c r="AM117" s="85" t="n">
        <v>1268</v>
      </c>
      <c r="AN117" s="85" t="n">
        <v>340</v>
      </c>
      <c r="AO117" s="85" t="n">
        <v>8</v>
      </c>
      <c r="AP117" s="94" t="n"/>
      <c r="AQ117" s="89" t="n"/>
      <c r="AR117" s="95" t="inlineStr">
        <is>
          <t>N</t>
        </is>
      </c>
      <c r="AS117" s="95" t="inlineStr">
        <is>
          <t>none</t>
        </is>
      </c>
      <c r="AT117" s="101" t="n"/>
      <c r="AU117" s="96" t="n">
        <v>109</v>
      </c>
      <c r="AV117" s="95" t="inlineStr">
        <is>
          <t>none</t>
        </is>
      </c>
      <c r="AW117" s="95" t="inlineStr">
        <is>
          <t>Y</t>
        </is>
      </c>
      <c r="AX117" s="95" t="inlineStr">
        <is>
          <t>2026-10-13 12:10:51</t>
        </is>
      </c>
      <c r="AY117" s="97" t="inlineStr">
        <is>
          <t>Price cut only</t>
        </is>
      </c>
      <c r="AZ117" s="97" t="inlineStr">
        <is>
          <t>11-20 to 12-01</t>
        </is>
      </c>
      <c r="BA117" s="98" t="n">
        <v>105</v>
      </c>
      <c r="BB117" s="98" t="n">
        <v>84</v>
      </c>
      <c r="BC117" s="87">
        <f>IF(AND(ISNUMBER(BA117),ISNUMBER(BB117),N(BA117)&gt;0),1-BB117/BA117,"")</f>
        <v/>
      </c>
      <c r="BD117" s="99" t="n">
        <v>20103</v>
      </c>
      <c r="BE117" s="99" t="n">
        <v>13630</v>
      </c>
      <c r="BF117" s="100">
        <f>IF(AND(ISNUMBER(BD117),ISNUMBER(BE117),N(BE117)&gt;0),BD117/BE117,"")</f>
        <v/>
      </c>
      <c r="BG117" s="97" t="inlineStr">
        <is>
          <t>N</t>
        </is>
      </c>
      <c r="BH117" s="97" t="inlineStr">
        <is>
          <t>Lightning Deal 11-09 to 11-09; Coupon 10.00 USD, 20.00 USD (11-02 to 11-18); List Price $105.00</t>
        </is>
      </c>
    </row>
    <row r="118" ht="62" customHeight="1">
      <c r="A118" s="39" t="inlineStr">
        <is>
          <t>IMAGE MISSING</t>
        </is>
      </c>
      <c r="B118" s="84" t="inlineStr">
        <is>
          <t>REST</t>
        </is>
      </c>
      <c r="C118" s="32" t="inlineStr">
        <is>
          <t>Cooling Sheets 4/6 Pcs</t>
        </is>
      </c>
      <c r="D118" s="84" t="inlineStr">
        <is>
          <t>Beatable</t>
        </is>
      </c>
      <c r="E118" s="84" t="inlineStr">
        <is>
          <t>B0C56VXVB3</t>
        </is>
      </c>
      <c r="F118" s="84" t="inlineStr">
        <is>
          <t>B0D25LDRPS</t>
        </is>
      </c>
      <c r="G118" s="84" t="n"/>
      <c r="H118" s="84" t="n"/>
      <c r="I118" s="85" t="n"/>
      <c r="J118" s="32" t="inlineStr"/>
      <c r="K118" s="86" t="n">
        <v>164.25</v>
      </c>
      <c r="L118" s="86" t="n">
        <v>219</v>
      </c>
      <c r="M118" s="87">
        <f>IF(AND(ISNUMBER(L118),ISNUMBER(K118),N(K118)&gt;0),L118/K118-1,"")</f>
        <v/>
      </c>
      <c r="N118" s="88">
        <f>IF(M118="","No List Price",IF(M118&lt;=0,"At/below price",IF(M118&lt;=0.12,"&lt;=12% STR zone",IF(M118&lt;=0.25,"12-25%","&gt;25% over"))))</f>
        <v/>
      </c>
      <c r="O118" s="86" t="n">
        <v>37.95</v>
      </c>
      <c r="P118" s="89">
        <f>IF(AND(ISNUMBER(K118),ISNUMBER(O118),N(O118)&gt;0),K118/O118-1,"")</f>
        <v/>
      </c>
      <c r="Q118" s="32" t="inlineStr">
        <is>
          <t>Size not stated - vs our Queen. Ours live: Helium 10 Xray, 2026-10-13; 13 children</t>
        </is>
      </c>
      <c r="R118" s="85" t="n">
        <v>5255</v>
      </c>
      <c r="S118" s="85" t="n">
        <v>35</v>
      </c>
      <c r="T118" s="90">
        <f>IF(AND(ISNUMBER(K118),ISNUMBER(S118)),K118*S118*52/12,"")</f>
        <v/>
      </c>
      <c r="U118" s="91" t="n">
        <v>4.3</v>
      </c>
      <c r="V118" s="85" t="n">
        <v>1149</v>
      </c>
      <c r="W118" s="92" t="n">
        <v>46307</v>
      </c>
      <c r="X118" s="92" t="n"/>
      <c r="Y118" s="84" t="n"/>
      <c r="Z118" s="84" t="n"/>
      <c r="AA118" s="85" t="n"/>
      <c r="AB118" s="85" t="n"/>
      <c r="AC118" s="93" t="n"/>
      <c r="AD118" s="93" t="n"/>
      <c r="AE118" s="32" t="n"/>
      <c r="AF118" s="93" t="n"/>
      <c r="AG118" s="93" t="n"/>
      <c r="AH118" s="93" t="n"/>
      <c r="AI118" s="93" t="n"/>
      <c r="AJ118" s="85" t="n"/>
      <c r="AK118" s="85" t="n"/>
      <c r="AL118" s="85" t="n"/>
      <c r="AM118" s="85" t="n"/>
      <c r="AN118" s="85" t="n"/>
      <c r="AO118" s="85" t="n"/>
      <c r="AP118" s="94" t="n"/>
      <c r="AQ118" s="89" t="n"/>
      <c r="AR118" s="95" t="inlineStr">
        <is>
          <t>Y</t>
        </is>
      </c>
      <c r="AS118" s="95" t="inlineStr">
        <is>
          <t>List Price</t>
        </is>
      </c>
      <c r="AT118" s="96" t="n">
        <v>219</v>
      </c>
      <c r="AU118" s="96" t="n">
        <v>164.25</v>
      </c>
      <c r="AV118" s="95" t="inlineStr">
        <is>
          <t>none</t>
        </is>
      </c>
      <c r="AW118" s="95" t="inlineStr">
        <is>
          <t>Y</t>
        </is>
      </c>
      <c r="AX118" s="95" t="inlineStr">
        <is>
          <t>2026-10-13 12:12:10</t>
        </is>
      </c>
      <c r="AY118" s="97" t="inlineStr">
        <is>
          <t>Price cut only</t>
        </is>
      </c>
      <c r="AZ118" s="97" t="inlineStr">
        <is>
          <t>11-20 to 12-01</t>
        </is>
      </c>
      <c r="BA118" s="98" t="n">
        <v>219</v>
      </c>
      <c r="BB118" s="98" t="n">
        <v>158.12</v>
      </c>
      <c r="BC118" s="87">
        <f>IF(AND(ISNUMBER(BA118),ISNUMBER(BB118),N(BA118)&gt;0),1-BB118/BA118,"")</f>
        <v/>
      </c>
      <c r="BD118" s="99" t="n">
        <v>30250</v>
      </c>
      <c r="BE118" s="99" t="n">
        <v>15708</v>
      </c>
      <c r="BF118" s="100">
        <f>IF(AND(ISNUMBER(BD118),ISNUMBER(BE118),N(BE118)&gt;0),BD118/BE118,"")</f>
        <v/>
      </c>
      <c r="BG118" s="97" t="inlineStr">
        <is>
          <t>N</t>
        </is>
      </c>
      <c r="BH118" s="97" t="inlineStr">
        <is>
          <t>Lightning Deal 11-14 to 11-14; List Price $219.00</t>
        </is>
      </c>
    </row>
    <row r="119" ht="62" customHeight="1">
      <c r="A119" s="10">
        <f>_xlfn.IMAGE("https://images-na.ssl-images-amazon.com/images/I/81fpVjndH2L.jpg")</f>
        <v/>
      </c>
      <c r="B119" s="84" t="inlineStr">
        <is>
          <t>Shilucheng</t>
        </is>
      </c>
      <c r="C119" s="32" t="inlineStr">
        <is>
          <t>Shilucheng 4 Piece King Sheet Sets, Cooling Sheets, Dark Grey</t>
        </is>
      </c>
      <c r="D119" s="84" t="inlineStr">
        <is>
          <t>Beatable</t>
        </is>
      </c>
      <c r="E119" s="84" t="inlineStr">
        <is>
          <t>B098JT1RF2</t>
        </is>
      </c>
      <c r="F119" s="84" t="inlineStr">
        <is>
          <t>B098JT1RF2</t>
        </is>
      </c>
      <c r="G119" s="84" t="inlineStr">
        <is>
          <t>King</t>
        </is>
      </c>
      <c r="H119" s="84" t="inlineStr">
        <is>
          <t>Grey</t>
        </is>
      </c>
      <c r="I119" s="85" t="n">
        <v>100</v>
      </c>
      <c r="J119" s="32" t="inlineStr">
        <is>
          <t>B0FWY1TGFK (65%), B098JT1RF2 (23%)</t>
        </is>
      </c>
      <c r="K119" s="86" t="n">
        <v>37.9</v>
      </c>
      <c r="L119" s="86" t="n"/>
      <c r="M119" s="87">
        <f>IF(AND(ISNUMBER(L119),ISNUMBER(K119),N(K119)&gt;0),L119/K119-1,"")</f>
        <v/>
      </c>
      <c r="N119" s="88">
        <f>IF(M119="","No List Price",IF(M119&lt;=0,"At/below price",IF(M119&lt;=0.12,"&lt;=12% STR zone",IF(M119&lt;=0.25,"12-25%","&gt;25% over"))))</f>
        <v/>
      </c>
      <c r="O119" s="86" t="n">
        <v>39.95</v>
      </c>
      <c r="P119" s="89">
        <f>IF(AND(ISNUMBER(K119),ISNUMBER(O119),N(O119)&gt;0),K119/O119-1,"")</f>
        <v/>
      </c>
      <c r="Q119" s="32" t="inlineStr">
        <is>
          <t>Same size (King). Ours live: Helium 10 Xray, 2026-10-13; 13 children</t>
        </is>
      </c>
      <c r="R119" s="85" t="n">
        <v>9187</v>
      </c>
      <c r="S119" s="85" t="n">
        <v>18</v>
      </c>
      <c r="T119" s="90">
        <f>IF(AND(ISNUMBER(K119),ISNUMBER(S119)),K119*S119*52/12,"")</f>
        <v/>
      </c>
      <c r="U119" s="91" t="n">
        <v>4.3</v>
      </c>
      <c r="V119" s="85" t="n">
        <v>24333</v>
      </c>
      <c r="W119" s="92" t="n">
        <v>46286</v>
      </c>
      <c r="X119" s="92" t="n">
        <v>44379</v>
      </c>
      <c r="Y119" s="84" t="inlineStr">
        <is>
          <t>FBA</t>
        </is>
      </c>
      <c r="Z119" s="84" t="inlineStr">
        <is>
          <t>CN</t>
        </is>
      </c>
      <c r="AA119" s="85" t="n">
        <v>23320</v>
      </c>
      <c r="AB119" s="85" t="n">
        <v>859</v>
      </c>
      <c r="AC119" s="93" t="n">
        <v>0.6141093996569467</v>
      </c>
      <c r="AD119" s="93" t="n">
        <v>0.3858907375643228</v>
      </c>
      <c r="AE119" s="32" t="inlineStr">
        <is>
          <t>bamboo sheets</t>
        </is>
      </c>
      <c r="AF119" s="93" t="n">
        <v>0.5330188679245284</v>
      </c>
      <c r="AG119" s="93" t="n"/>
      <c r="AH119" s="93" t="n"/>
      <c r="AI119" s="93" t="n">
        <v>0.006989708404802744</v>
      </c>
      <c r="AJ119" s="85" t="n">
        <v>251</v>
      </c>
      <c r="AK119" s="85" t="n">
        <v>62</v>
      </c>
      <c r="AL119" s="85" t="n">
        <v>180</v>
      </c>
      <c r="AM119" s="85" t="n">
        <v>608</v>
      </c>
      <c r="AN119" s="85" t="n">
        <v>227</v>
      </c>
      <c r="AO119" s="85" t="n">
        <v>2</v>
      </c>
      <c r="AP119" s="94" t="n"/>
      <c r="AQ119" s="89" t="n">
        <v>-0.9551569506726457</v>
      </c>
      <c r="AR119" s="95" t="inlineStr">
        <is>
          <t>N</t>
        </is>
      </c>
      <c r="AS119" s="95" t="inlineStr">
        <is>
          <t>none</t>
        </is>
      </c>
      <c r="AT119" s="101" t="n"/>
      <c r="AU119" s="96" t="n">
        <v>37.9</v>
      </c>
      <c r="AV119" s="95" t="inlineStr">
        <is>
          <t>coupon 15%</t>
        </is>
      </c>
      <c r="AW119" s="95" t="inlineStr">
        <is>
          <t>Y</t>
        </is>
      </c>
      <c r="AX119" s="95" t="inlineStr">
        <is>
          <t>2026-10-13 12:11:29</t>
        </is>
      </c>
      <c r="AY119" s="97" t="inlineStr">
        <is>
          <t>Coupon only</t>
        </is>
      </c>
      <c r="AZ119" s="97" t="inlineStr">
        <is>
          <t>11-05 to 12-05</t>
        </is>
      </c>
      <c r="BA119" s="98" t="n">
        <v>37.9</v>
      </c>
      <c r="BB119" s="98" t="n">
        <v>30.32</v>
      </c>
      <c r="BC119" s="87">
        <f>IF(AND(ISNUMBER(BA119),ISNUMBER(BB119),N(BA119)&gt;0),1-BB119/BA119,"")</f>
        <v/>
      </c>
      <c r="BD119" s="99" t="n">
        <v>4668</v>
      </c>
      <c r="BE119" s="99" t="n">
        <v>3277</v>
      </c>
      <c r="BF119" s="100">
        <f>IF(AND(ISNUMBER(BD119),ISNUMBER(BE119),N(BE119)&gt;0),BD119/BE119,"")</f>
        <v/>
      </c>
      <c r="BG119" s="97" t="inlineStr">
        <is>
          <t>N</t>
        </is>
      </c>
      <c r="BH119" s="97" t="inlineStr">
        <is>
          <t>Coupon 15%; List Price $37.90</t>
        </is>
      </c>
    </row>
    <row r="120" ht="62" customHeight="1">
      <c r="A120" s="10">
        <f>_xlfn.IMAGE("https://images-na.ssl-images-amazon.com/images/I/71NxE1i+4jL.jpg")</f>
        <v/>
      </c>
      <c r="B120" s="84" t="inlineStr">
        <is>
          <t>Shilucheng</t>
        </is>
      </c>
      <c r="C120" s="32" t="inlineStr">
        <is>
          <t>Shilucheng 100% Viscose Derived from Bamboo_Sheets, Extra Deep Pocket</t>
        </is>
      </c>
      <c r="D120" s="84" t="inlineStr">
        <is>
          <t>Beatable</t>
        </is>
      </c>
      <c r="E120" s="84" t="inlineStr">
        <is>
          <t>B0F2TDDFGJ</t>
        </is>
      </c>
      <c r="F120" s="84" t="inlineStr">
        <is>
          <t>B0F2TDDFGJ</t>
        </is>
      </c>
      <c r="G120" s="84" t="n"/>
      <c r="H120" s="84" t="n"/>
      <c r="I120" s="85" t="n">
        <v>32</v>
      </c>
      <c r="J120" s="32" t="inlineStr">
        <is>
          <t>B0F2TDDFGJ (64%), B0F2TBWTZR (25%)</t>
        </is>
      </c>
      <c r="K120" s="86" t="n">
        <v>59.99</v>
      </c>
      <c r="L120" s="86" t="n">
        <v>74.98999999999999</v>
      </c>
      <c r="M120" s="87">
        <f>IF(AND(ISNUMBER(L120),ISNUMBER(K120),N(K120)&gt;0),L120/K120-1,"")</f>
        <v/>
      </c>
      <c r="N120" s="88">
        <f>IF(M120="","No List Price",IF(M120&lt;=0,"At/below price",IF(M120&lt;=0.12,"&lt;=12% STR zone",IF(M120&lt;=0.25,"12-25%","&gt;25% over"))))</f>
        <v/>
      </c>
      <c r="O120" s="86" t="n">
        <v>37.95</v>
      </c>
      <c r="P120" s="89">
        <f>IF(AND(ISNUMBER(K120),ISNUMBER(O120),N(O120)&gt;0),K120/O120-1,"")</f>
        <v/>
      </c>
      <c r="Q120" s="32" t="inlineStr">
        <is>
          <t>Size not stated - vs our Queen. Ours live: Helium 10 Xray, 2026-10-13; 13 children</t>
        </is>
      </c>
      <c r="R120" s="85" t="n">
        <v>39191</v>
      </c>
      <c r="S120" s="85" t="n">
        <v>18</v>
      </c>
      <c r="T120" s="90">
        <f>IF(AND(ISNUMBER(K120),ISNUMBER(S120)),K120*S120*52/12,"")</f>
        <v/>
      </c>
      <c r="U120" s="91" t="n">
        <v>4.5</v>
      </c>
      <c r="V120" s="85" t="n">
        <v>1639</v>
      </c>
      <c r="W120" s="92" t="n">
        <v>46307</v>
      </c>
      <c r="X120" s="92" t="n">
        <v>45744</v>
      </c>
      <c r="Y120" s="84" t="inlineStr">
        <is>
          <t>FBA</t>
        </is>
      </c>
      <c r="Z120" s="84" t="inlineStr">
        <is>
          <t>CN</t>
        </is>
      </c>
      <c r="AA120" s="85" t="n">
        <v>41895</v>
      </c>
      <c r="AB120" s="85" t="n">
        <v>662</v>
      </c>
      <c r="AC120" s="93" t="n">
        <v>0.2973701849862752</v>
      </c>
      <c r="AD120" s="93" t="n">
        <v>0.7026304260651629</v>
      </c>
      <c r="AE120" s="32" t="inlineStr">
        <is>
          <t>queen sheet set</t>
        </is>
      </c>
      <c r="AF120" s="93" t="n">
        <v>0.8649719536937582</v>
      </c>
      <c r="AG120" s="93" t="n"/>
      <c r="AH120" s="93" t="n"/>
      <c r="AI120" s="93" t="n"/>
      <c r="AJ120" s="85" t="n">
        <v>222</v>
      </c>
      <c r="AK120" s="85" t="n">
        <v>68</v>
      </c>
      <c r="AL120" s="85" t="n">
        <v>138</v>
      </c>
      <c r="AM120" s="85" t="n">
        <v>440</v>
      </c>
      <c r="AN120" s="85" t="n">
        <v>321</v>
      </c>
      <c r="AO120" s="85" t="n">
        <v>6</v>
      </c>
      <c r="AP120" s="94" t="n"/>
      <c r="AQ120" s="89" t="n">
        <v>-0.9897959183673469</v>
      </c>
      <c r="AR120" s="95" t="inlineStr">
        <is>
          <t>Y</t>
        </is>
      </c>
      <c r="AS120" s="95" t="inlineStr">
        <is>
          <t>List Price</t>
        </is>
      </c>
      <c r="AT120" s="96" t="n">
        <v>74.98999999999999</v>
      </c>
      <c r="AU120" s="96" t="n">
        <v>59.99</v>
      </c>
      <c r="AV120" s="95" t="inlineStr">
        <is>
          <t>Limited time deal</t>
        </is>
      </c>
      <c r="AW120" s="95" t="inlineStr">
        <is>
          <t>Y</t>
        </is>
      </c>
      <c r="AX120" s="95" t="inlineStr">
        <is>
          <t>2026-10-13 12:12:17</t>
        </is>
      </c>
      <c r="AY120" s="97" t="inlineStr">
        <is>
          <t>Prime Exclusive Discount</t>
        </is>
      </c>
      <c r="AZ120" s="97" t="inlineStr">
        <is>
          <t>11-26 to 12-01</t>
        </is>
      </c>
      <c r="BA120" s="98" t="n">
        <v>74.98999999999999</v>
      </c>
      <c r="BB120" s="98" t="n">
        <v>56.99</v>
      </c>
      <c r="BC120" s="87">
        <f>IF(AND(ISNUMBER(BA120),ISNUMBER(BB120),N(BA120)&gt;0),1-BB120/BA120,"")</f>
        <v/>
      </c>
      <c r="BD120" s="99" t="n">
        <v>28107</v>
      </c>
      <c r="BE120" s="99" t="n">
        <v>38468</v>
      </c>
      <c r="BF120" s="100">
        <f>IF(AND(ISNUMBER(BD120),ISNUMBER(BE120),N(BE120)&gt;0),BD120/BE120,"")</f>
        <v/>
      </c>
      <c r="BG120" s="97" t="inlineStr">
        <is>
          <t>N</t>
        </is>
      </c>
      <c r="BH120" s="97" t="inlineStr">
        <is>
          <t>Coupon 18.00 USD, 20% (11-01 to 11-12); List Price $74.99</t>
        </is>
      </c>
    </row>
    <row r="121" ht="62" customHeight="1">
      <c r="A121" s="39" t="inlineStr">
        <is>
          <t>IMAGE MISSING</t>
        </is>
      </c>
      <c r="B121" s="84" t="inlineStr">
        <is>
          <t>BC BELLA COTERIE</t>
        </is>
      </c>
      <c r="C121" s="32" t="inlineStr">
        <is>
          <t>4 Piece Bamboo Sheet Set</t>
        </is>
      </c>
      <c r="D121" s="84" t="inlineStr">
        <is>
          <t>Beatable</t>
        </is>
      </c>
      <c r="E121" s="84" t="inlineStr">
        <is>
          <t>B0GKBNZ8TC</t>
        </is>
      </c>
      <c r="F121" s="84" t="inlineStr">
        <is>
          <t>B0G674ZDTV</t>
        </is>
      </c>
      <c r="G121" s="84" t="n"/>
      <c r="H121" s="84" t="n"/>
      <c r="I121" s="85" t="n"/>
      <c r="J121" s="32" t="inlineStr"/>
      <c r="K121" s="86" t="n">
        <v>129.99</v>
      </c>
      <c r="L121" s="86" t="n"/>
      <c r="M121" s="87">
        <f>IF(AND(ISNUMBER(L121),ISNUMBER(K121),N(K121)&gt;0),L121/K121-1,"")</f>
        <v/>
      </c>
      <c r="N121" s="88">
        <f>IF(M121="","No List Price",IF(M121&lt;=0,"At/below price",IF(M121&lt;=0.12,"&lt;=12% STR zone",IF(M121&lt;=0.25,"12-25%","&gt;25% over"))))</f>
        <v/>
      </c>
      <c r="O121" s="86" t="n">
        <v>37.95</v>
      </c>
      <c r="P121" s="89">
        <f>IF(AND(ISNUMBER(K121),ISNUMBER(O121),N(O121)&gt;0),K121/O121-1,"")</f>
        <v/>
      </c>
      <c r="Q121" s="32" t="inlineStr">
        <is>
          <t>Size not stated - vs our Queen. Ours live: Helium 10 Xray, 2026-10-13; 13 children</t>
        </is>
      </c>
      <c r="R121" s="85" t="n">
        <v>1577</v>
      </c>
      <c r="S121" s="85" t="n">
        <v>5</v>
      </c>
      <c r="T121" s="90">
        <f>IF(AND(ISNUMBER(K121),ISNUMBER(S121)),K121*S121*52/12,"")</f>
        <v/>
      </c>
      <c r="U121" s="91" t="n">
        <v>4.4</v>
      </c>
      <c r="V121" s="85" t="n">
        <v>5652</v>
      </c>
      <c r="W121" s="92" t="n">
        <v>46223</v>
      </c>
      <c r="X121" s="92" t="n"/>
      <c r="Y121" s="84" t="n"/>
      <c r="Z121" s="84" t="n"/>
      <c r="AA121" s="85" t="n"/>
      <c r="AB121" s="85" t="n"/>
      <c r="AC121" s="93" t="n"/>
      <c r="AD121" s="93" t="n"/>
      <c r="AE121" s="32" t="n"/>
      <c r="AF121" s="93" t="n"/>
      <c r="AG121" s="93" t="n"/>
      <c r="AH121" s="93" t="n"/>
      <c r="AI121" s="93" t="n"/>
      <c r="AJ121" s="85" t="n"/>
      <c r="AK121" s="85" t="n"/>
      <c r="AL121" s="85" t="n"/>
      <c r="AM121" s="85" t="n"/>
      <c r="AN121" s="85" t="n"/>
      <c r="AO121" s="85" t="n"/>
      <c r="AP121" s="94" t="n"/>
      <c r="AQ121" s="89" t="n"/>
      <c r="AR121" s="95" t="inlineStr">
        <is>
          <t>N</t>
        </is>
      </c>
      <c r="AS121" s="95" t="inlineStr">
        <is>
          <t>none</t>
        </is>
      </c>
      <c r="AT121" s="101" t="n"/>
      <c r="AU121" s="96" t="n">
        <v>159.99</v>
      </c>
      <c r="AV121" s="95" t="inlineStr">
        <is>
          <t>none</t>
        </is>
      </c>
      <c r="AW121" s="95" t="inlineStr">
        <is>
          <t>Y</t>
        </is>
      </c>
      <c r="AX121" s="95" t="inlineStr">
        <is>
          <t>2026-10-13 12:10:21</t>
        </is>
      </c>
      <c r="AY121" s="97" t="inlineStr">
        <is>
          <t>Not live in 2025</t>
        </is>
      </c>
      <c r="AZ121" s="102" t="n"/>
      <c r="BA121" s="101" t="n"/>
      <c r="BB121" s="101" t="n"/>
      <c r="BC121" s="87">
        <f>IF(AND(ISNUMBER(BA121),ISNUMBER(BB121),N(BA121)&gt;0),1-BB121/BA121,"")</f>
        <v/>
      </c>
      <c r="BD121" s="103" t="n"/>
      <c r="BE121" s="103" t="n"/>
      <c r="BF121" s="100">
        <f>IF(AND(ISNUMBER(BD121),ISNUMBER(BE121),N(BE121)&gt;0),BD121/BE121,"")</f>
        <v/>
      </c>
      <c r="BG121" s="102" t="n"/>
      <c r="BH121" s="102" t="n"/>
    </row>
    <row r="122" ht="62" customHeight="1">
      <c r="A122" s="39" t="inlineStr">
        <is>
          <t>IMAGE MISSING</t>
        </is>
      </c>
      <c r="B122" s="84" t="inlineStr">
        <is>
          <t>Bedsure</t>
        </is>
      </c>
      <c r="C122" s="32" t="inlineStr">
        <is>
          <t>Cooling Sheets</t>
        </is>
      </c>
      <c r="D122" s="84" t="inlineStr">
        <is>
          <t>Beatable</t>
        </is>
      </c>
      <c r="E122" s="84" t="inlineStr">
        <is>
          <t>B0CPDTJ5NN</t>
        </is>
      </c>
      <c r="F122" s="84" t="inlineStr">
        <is>
          <t>B0CPDR5DDM</t>
        </is>
      </c>
      <c r="G122" s="84" t="n"/>
      <c r="H122" s="84" t="n"/>
      <c r="I122" s="85" t="n">
        <v>1</v>
      </c>
      <c r="J122" s="32" t="inlineStr">
        <is>
          <t>B0DGWZTTRL (100%)</t>
        </is>
      </c>
      <c r="K122" s="86" t="n">
        <v>149.99</v>
      </c>
      <c r="L122" s="86" t="n"/>
      <c r="M122" s="87">
        <f>IF(AND(ISNUMBER(L122),ISNUMBER(K122),N(K122)&gt;0),L122/K122-1,"")</f>
        <v/>
      </c>
      <c r="N122" s="88">
        <f>IF(M122="","No List Price",IF(M122&lt;=0,"At/below price",IF(M122&lt;=0.12,"&lt;=12% STR zone",IF(M122&lt;=0.25,"12-25%","&gt;25% over"))))</f>
        <v/>
      </c>
      <c r="O122" s="86" t="n">
        <v>37.95</v>
      </c>
      <c r="P122" s="89">
        <f>IF(AND(ISNUMBER(K122),ISNUMBER(O122),N(O122)&gt;0),K122/O122-1,"")</f>
        <v/>
      </c>
      <c r="Q122" s="32" t="inlineStr">
        <is>
          <t>Size not stated - vs our Queen. Ours live: Helium 10 Xray, 2026-10-13; 13 children</t>
        </is>
      </c>
      <c r="R122" s="85" t="n">
        <v>463922</v>
      </c>
      <c r="S122" s="85" t="n">
        <v>5</v>
      </c>
      <c r="T122" s="90">
        <f>IF(AND(ISNUMBER(K122),ISNUMBER(S122)),K122*S122*52/12,"")</f>
        <v/>
      </c>
      <c r="U122" s="91" t="n">
        <v>4.2</v>
      </c>
      <c r="V122" s="85" t="n">
        <v>512</v>
      </c>
      <c r="W122" s="92" t="n">
        <v>46307</v>
      </c>
      <c r="X122" s="92" t="n"/>
      <c r="Y122" s="84" t="n"/>
      <c r="Z122" s="84" t="n"/>
      <c r="AA122" s="85" t="n">
        <v>170</v>
      </c>
      <c r="AB122" s="85" t="n">
        <v>22</v>
      </c>
      <c r="AC122" s="93" t="n">
        <v>1</v>
      </c>
      <c r="AD122" s="93" t="n">
        <v>0</v>
      </c>
      <c r="AE122" s="32" t="inlineStr">
        <is>
          <t>bedsure cooling sheets</t>
        </is>
      </c>
      <c r="AF122" s="93" t="n"/>
      <c r="AG122" s="93" t="n"/>
      <c r="AH122" s="93" t="n"/>
      <c r="AI122" s="93" t="n"/>
      <c r="AJ122" s="85" t="n">
        <v>15</v>
      </c>
      <c r="AK122" s="85" t="n">
        <v>12</v>
      </c>
      <c r="AL122" s="85" t="n">
        <v>1</v>
      </c>
      <c r="AM122" s="85" t="n">
        <v>7</v>
      </c>
      <c r="AN122" s="85" t="n">
        <v>0</v>
      </c>
      <c r="AO122" s="85" t="n">
        <v>0</v>
      </c>
      <c r="AP122" s="94" t="n"/>
      <c r="AQ122" s="89" t="n"/>
      <c r="AR122" s="95" t="inlineStr">
        <is>
          <t>N</t>
        </is>
      </c>
      <c r="AS122" s="95" t="inlineStr">
        <is>
          <t>none</t>
        </is>
      </c>
      <c r="AT122" s="101" t="n"/>
      <c r="AU122" s="101" t="n"/>
      <c r="AV122" s="95" t="inlineStr">
        <is>
          <t>none</t>
        </is>
      </c>
      <c r="AW122" s="95" t="inlineStr">
        <is>
          <t>N</t>
        </is>
      </c>
      <c r="AX122" s="95" t="inlineStr">
        <is>
          <t>2026-10-13 12:11:48</t>
        </is>
      </c>
      <c r="AY122" s="102" t="n"/>
      <c r="AZ122" s="102" t="n"/>
      <c r="BA122" s="101" t="n"/>
      <c r="BB122" s="101" t="n"/>
      <c r="BC122" s="87">
        <f>IF(AND(ISNUMBER(BA122),ISNUMBER(BB122),N(BA122)&gt;0),1-BB122/BA122,"")</f>
        <v/>
      </c>
      <c r="BD122" s="103" t="n"/>
      <c r="BE122" s="103" t="n"/>
      <c r="BF122" s="100">
        <f>IF(AND(ISNUMBER(BD122),ISNUMBER(BE122),N(BE122)&gt;0),BD122/BE122,"")</f>
        <v/>
      </c>
      <c r="BG122" s="97" t="inlineStr">
        <is>
          <t>Y</t>
        </is>
      </c>
      <c r="BH122" s="97" t="inlineStr">
        <is>
          <t>No Buy Box history in Keepa for BFCM 2025; List Price $82.99</t>
        </is>
      </c>
    </row>
    <row r="123" ht="62" customHeight="1">
      <c r="A123" s="39" t="inlineStr">
        <is>
          <t>IMAGE MISSING</t>
        </is>
      </c>
      <c r="B123" s="84" t="inlineStr">
        <is>
          <t>DOWNCOOL</t>
        </is>
      </c>
      <c r="C123" s="32" t="inlineStr">
        <is>
          <t>Cooling Sheets</t>
        </is>
      </c>
      <c r="D123" s="84" t="inlineStr">
        <is>
          <t>Beatable</t>
        </is>
      </c>
      <c r="E123" s="84" t="inlineStr">
        <is>
          <t>B0F93XRVSZ</t>
        </is>
      </c>
      <c r="F123" s="84" t="inlineStr">
        <is>
          <t>B0F93XRVSZ</t>
        </is>
      </c>
      <c r="G123" s="84" t="n"/>
      <c r="H123" s="84" t="n"/>
      <c r="I123" s="85" t="n"/>
      <c r="J123" s="32" t="inlineStr"/>
      <c r="K123" s="86" t="n">
        <v>139.99</v>
      </c>
      <c r="L123" s="86" t="n"/>
      <c r="M123" s="87">
        <f>IF(AND(ISNUMBER(L123),ISNUMBER(K123),N(K123)&gt;0),L123/K123-1,"")</f>
        <v/>
      </c>
      <c r="N123" s="88">
        <f>IF(M123="","No List Price",IF(M123&lt;=0,"At/below price",IF(M123&lt;=0.12,"&lt;=12% STR zone",IF(M123&lt;=0.25,"12-25%","&gt;25% over"))))</f>
        <v/>
      </c>
      <c r="O123" s="86" t="n">
        <v>37.95</v>
      </c>
      <c r="P123" s="89">
        <f>IF(AND(ISNUMBER(K123),ISNUMBER(O123),N(O123)&gt;0),K123/O123-1,"")</f>
        <v/>
      </c>
      <c r="Q123" s="32" t="inlineStr">
        <is>
          <t>Size not stated - vs our Queen. Ours live: Helium 10 Xray, 2026-10-13; 13 children</t>
        </is>
      </c>
      <c r="R123" s="85" t="n">
        <v>2798999</v>
      </c>
      <c r="S123" s="85" t="n">
        <v>5</v>
      </c>
      <c r="T123" s="90">
        <f>IF(AND(ISNUMBER(K123),ISNUMBER(S123)),K123*S123*52/12,"")</f>
        <v/>
      </c>
      <c r="U123" s="91" t="n">
        <v>4.2</v>
      </c>
      <c r="V123" s="85" t="n">
        <v>6</v>
      </c>
      <c r="W123" s="92" t="n">
        <v>46279</v>
      </c>
      <c r="X123" s="92" t="n"/>
      <c r="Y123" s="84" t="n"/>
      <c r="Z123" s="84" t="n"/>
      <c r="AA123" s="85" t="n"/>
      <c r="AB123" s="85" t="n"/>
      <c r="AC123" s="93" t="n"/>
      <c r="AD123" s="93" t="n"/>
      <c r="AE123" s="32" t="n"/>
      <c r="AF123" s="93" t="n"/>
      <c r="AG123" s="93" t="n"/>
      <c r="AH123" s="93" t="n"/>
      <c r="AI123" s="93" t="n"/>
      <c r="AJ123" s="85" t="n"/>
      <c r="AK123" s="85" t="n"/>
      <c r="AL123" s="85" t="n"/>
      <c r="AM123" s="85" t="n"/>
      <c r="AN123" s="85" t="n"/>
      <c r="AO123" s="85" t="n"/>
      <c r="AP123" s="94" t="n"/>
      <c r="AQ123" s="89" t="n"/>
      <c r="AR123" s="95" t="inlineStr">
        <is>
          <t>N</t>
        </is>
      </c>
      <c r="AS123" s="95" t="inlineStr">
        <is>
          <t>none</t>
        </is>
      </c>
      <c r="AT123" s="101" t="n"/>
      <c r="AU123" s="101" t="n"/>
      <c r="AV123" s="95" t="inlineStr">
        <is>
          <t>none</t>
        </is>
      </c>
      <c r="AW123" s="95" t="inlineStr">
        <is>
          <t>N</t>
        </is>
      </c>
      <c r="AX123" s="95" t="inlineStr">
        <is>
          <t>2026-10-13 12:11:54</t>
        </is>
      </c>
      <c r="AY123" s="97" t="inlineStr">
        <is>
          <t>Prime Exclusive Discount</t>
        </is>
      </c>
      <c r="AZ123" s="97" t="inlineStr">
        <is>
          <t>11-21 to 12-01</t>
        </is>
      </c>
      <c r="BA123" s="98" t="n">
        <v>35.99</v>
      </c>
      <c r="BB123" s="98" t="n">
        <v>29.99</v>
      </c>
      <c r="BC123" s="87">
        <f>IF(AND(ISNUMBER(BA123),ISNUMBER(BB123),N(BA123)&gt;0),1-BB123/BA123,"")</f>
        <v/>
      </c>
      <c r="BD123" s="99" t="n">
        <v>223574</v>
      </c>
      <c r="BE123" s="99" t="n">
        <v>226828</v>
      </c>
      <c r="BF123" s="100">
        <f>IF(AND(ISNUMBER(BD123),ISNUMBER(BE123),N(BE123)&gt;0),BD123/BE123,"")</f>
        <v/>
      </c>
      <c r="BG123" s="97" t="inlineStr">
        <is>
          <t>N</t>
        </is>
      </c>
      <c r="BH123" s="97" t="inlineStr">
        <is>
          <t>Buy Box RAISED in BFCM week (median $69.99 vs $35.99 before); List Price $69.99</t>
        </is>
      </c>
    </row>
    <row r="124" ht="62" customHeight="1">
      <c r="A124" s="39" t="inlineStr">
        <is>
          <t>IMAGE MISSING</t>
        </is>
      </c>
      <c r="B124" s="84" t="inlineStr">
        <is>
          <t>Elegear</t>
        </is>
      </c>
      <c r="C124" s="32" t="inlineStr">
        <is>
          <t>Elegear Silver Infused Cooling Bed Sheets Queen, Arc-Chill® 3.0 Cool Tech, Silve</t>
        </is>
      </c>
      <c r="D124" s="84" t="inlineStr">
        <is>
          <t>Beatable</t>
        </is>
      </c>
      <c r="E124" s="84" t="inlineStr">
        <is>
          <t>B0H7YWGBW3</t>
        </is>
      </c>
      <c r="F124" s="84" t="inlineStr">
        <is>
          <t>B0GCGXW1WT</t>
        </is>
      </c>
      <c r="G124" s="84" t="inlineStr">
        <is>
          <t>Queen</t>
        </is>
      </c>
      <c r="H124" s="84" t="inlineStr">
        <is>
          <t>Silver</t>
        </is>
      </c>
      <c r="I124" s="85" t="n">
        <v>8</v>
      </c>
      <c r="J124" s="32" t="inlineStr">
        <is>
          <t>B0GCHRGYZZ (25%), B0GCHG6VG6 (21%), B0GCH7FHV1 (18%), B0GCGXW1WT (11%), B0GCGXXC24 (10%)</t>
        </is>
      </c>
      <c r="K124" s="86" t="n">
        <v>67.98999999999999</v>
      </c>
      <c r="L124" s="86" t="n">
        <v>79.98999999999999</v>
      </c>
      <c r="M124" s="87">
        <f>IF(AND(ISNUMBER(L124),ISNUMBER(K124),N(K124)&gt;0),L124/K124-1,"")</f>
        <v/>
      </c>
      <c r="N124" s="88">
        <f>IF(M124="","No List Price",IF(M124&lt;=0,"At/below price",IF(M124&lt;=0.12,"&lt;=12% STR zone",IF(M124&lt;=0.25,"12-25%","&gt;25% over"))))</f>
        <v/>
      </c>
      <c r="O124" s="86" t="n">
        <v>37.95</v>
      </c>
      <c r="P124" s="89">
        <f>IF(AND(ISNUMBER(K124),ISNUMBER(O124),N(O124)&gt;0),K124/O124-1,"")</f>
        <v/>
      </c>
      <c r="Q124" s="32" t="inlineStr">
        <is>
          <t>Same size (Queen). Ours live: Helium 10 Xray, 2026-10-13; 13 children</t>
        </is>
      </c>
      <c r="R124" s="85" t="n">
        <v>159865</v>
      </c>
      <c r="S124" s="85" t="n">
        <v>5</v>
      </c>
      <c r="T124" s="90">
        <f>IF(AND(ISNUMBER(K124),ISNUMBER(S124)),K124*S124*52/12,"")</f>
        <v/>
      </c>
      <c r="U124" s="91" t="n">
        <v>4.4</v>
      </c>
      <c r="V124" s="85" t="n">
        <v>131</v>
      </c>
      <c r="W124" s="92" t="n">
        <v>46307</v>
      </c>
      <c r="X124" s="92" t="n"/>
      <c r="Y124" s="84" t="n"/>
      <c r="Z124" s="84" t="n"/>
      <c r="AA124" s="85" t="n">
        <v>15624</v>
      </c>
      <c r="AB124" s="85" t="n">
        <v>643</v>
      </c>
      <c r="AC124" s="93" t="n">
        <v>0.6086269521249359</v>
      </c>
      <c r="AD124" s="93" t="n">
        <v>0.3913732526881721</v>
      </c>
      <c r="AE124" s="32" t="inlineStr">
        <is>
          <t>miracle sheets</t>
        </is>
      </c>
      <c r="AF124" s="93" t="n">
        <v>0.5840373783922171</v>
      </c>
      <c r="AG124" s="93" t="n">
        <v>0.7140296979006656</v>
      </c>
      <c r="AH124" s="93" t="n"/>
      <c r="AI124" s="93" t="n"/>
      <c r="AJ124" s="85" t="n">
        <v>151</v>
      </c>
      <c r="AK124" s="85" t="n">
        <v>54</v>
      </c>
      <c r="AL124" s="85" t="n">
        <v>77</v>
      </c>
      <c r="AM124" s="85" t="n">
        <v>492</v>
      </c>
      <c r="AN124" s="85" t="n">
        <v>151</v>
      </c>
      <c r="AO124" s="85" t="n">
        <v>1</v>
      </c>
      <c r="AP124" s="94" t="n">
        <v>0.4848484848484848</v>
      </c>
      <c r="AQ124" s="89" t="n"/>
      <c r="AR124" s="95" t="inlineStr">
        <is>
          <t>Y</t>
        </is>
      </c>
      <c r="AS124" s="95" t="inlineStr">
        <is>
          <t>Typical price</t>
        </is>
      </c>
      <c r="AT124" s="96" t="n">
        <v>79.98999999999999</v>
      </c>
      <c r="AU124" s="96" t="n">
        <v>67.98999999999999</v>
      </c>
      <c r="AV124" s="95" t="inlineStr">
        <is>
          <t>Limited time deal</t>
        </is>
      </c>
      <c r="AW124" s="95" t="inlineStr">
        <is>
          <t>Y</t>
        </is>
      </c>
      <c r="AX124" s="95" t="inlineStr">
        <is>
          <t>2026-10-13 12:12:01</t>
        </is>
      </c>
      <c r="AY124" s="97" t="inlineStr">
        <is>
          <t>Not live in 2025</t>
        </is>
      </c>
      <c r="AZ124" s="102" t="n"/>
      <c r="BA124" s="101" t="n"/>
      <c r="BB124" s="101" t="n"/>
      <c r="BC124" s="87">
        <f>IF(AND(ISNUMBER(BA124),ISNUMBER(BB124),N(BA124)&gt;0),1-BB124/BA124,"")</f>
        <v/>
      </c>
      <c r="BD124" s="103" t="n"/>
      <c r="BE124" s="103" t="n"/>
      <c r="BF124" s="100">
        <f>IF(AND(ISNUMBER(BD124),ISNUMBER(BE124),N(BE124)&gt;0),BD124/BE124,"")</f>
        <v/>
      </c>
      <c r="BG124" s="102" t="n"/>
      <c r="BH124" s="102" t="n"/>
    </row>
    <row r="125" ht="62" customHeight="1">
      <c r="A125" s="39" t="inlineStr">
        <is>
          <t>IMAGE MISSING</t>
        </is>
      </c>
      <c r="B125" s="84" t="inlineStr">
        <is>
          <t>OMERAI</t>
        </is>
      </c>
      <c r="C125" s="32" t="inlineStr">
        <is>
          <t>Cooling Sheets</t>
        </is>
      </c>
      <c r="D125" s="84" t="inlineStr">
        <is>
          <t>Beatable</t>
        </is>
      </c>
      <c r="E125" s="84" t="inlineStr">
        <is>
          <t>B0HDC7BMTC</t>
        </is>
      </c>
      <c r="F125" s="84" t="inlineStr">
        <is>
          <t>B0FX8K1CG9</t>
        </is>
      </c>
      <c r="G125" s="84" t="n"/>
      <c r="H125" s="84" t="n"/>
      <c r="I125" s="85" t="n">
        <v>10</v>
      </c>
      <c r="J125" s="32" t="inlineStr">
        <is>
          <t>B0BM9K24ST (46%), B0BM9GLKYV (43%)</t>
        </is>
      </c>
      <c r="K125" s="86" t="n">
        <v>42.99</v>
      </c>
      <c r="L125" s="86" t="n">
        <v>59.99</v>
      </c>
      <c r="M125" s="87">
        <f>IF(AND(ISNUMBER(L125),ISNUMBER(K125),N(K125)&gt;0),L125/K125-1,"")</f>
        <v/>
      </c>
      <c r="N125" s="88">
        <f>IF(M125="","No List Price",IF(M125&lt;=0,"At/below price",IF(M125&lt;=0.12,"&lt;=12% STR zone",IF(M125&lt;=0.25,"12-25%","&gt;25% over"))))</f>
        <v/>
      </c>
      <c r="O125" s="86" t="n">
        <v>37.95</v>
      </c>
      <c r="P125" s="89">
        <f>IF(AND(ISNUMBER(K125),ISNUMBER(O125),N(O125)&gt;0),K125/O125-1,"")</f>
        <v/>
      </c>
      <c r="Q125" s="32" t="inlineStr">
        <is>
          <t>Size not stated - vs our Queen. Ours live: Helium 10 Xray, 2026-10-13; 13 children</t>
        </is>
      </c>
      <c r="R125" s="85" t="n">
        <v>115669</v>
      </c>
      <c r="S125" s="85" t="n">
        <v>5</v>
      </c>
      <c r="T125" s="90">
        <f>IF(AND(ISNUMBER(K125),ISNUMBER(S125)),K125*S125*52/12,"")</f>
        <v/>
      </c>
      <c r="U125" s="91" t="n">
        <v>4.7</v>
      </c>
      <c r="V125" s="85" t="n">
        <v>4</v>
      </c>
      <c r="W125" s="92" t="n">
        <v>46307</v>
      </c>
      <c r="X125" s="92" t="n"/>
      <c r="Y125" s="84" t="n"/>
      <c r="Z125" s="84" t="n"/>
      <c r="AA125" s="85" t="n">
        <v>13712</v>
      </c>
      <c r="AB125" s="85" t="n">
        <v>332</v>
      </c>
      <c r="AC125" s="93" t="n">
        <v>0.8852072199533255</v>
      </c>
      <c r="AD125" s="93" t="n">
        <v>0.1147927800466745</v>
      </c>
      <c r="AE125" s="32" t="inlineStr">
        <is>
          <t>cooling sheets queen</t>
        </is>
      </c>
      <c r="AF125" s="93" t="n">
        <v>0.8668319719953326</v>
      </c>
      <c r="AG125" s="93" t="n"/>
      <c r="AH125" s="93" t="n"/>
      <c r="AI125" s="93" t="n"/>
      <c r="AJ125" s="85" t="n">
        <v>138</v>
      </c>
      <c r="AK125" s="85" t="n">
        <v>46</v>
      </c>
      <c r="AL125" s="85" t="n">
        <v>80</v>
      </c>
      <c r="AM125" s="85" t="n">
        <v>194</v>
      </c>
      <c r="AN125" s="85" t="n">
        <v>53</v>
      </c>
      <c r="AO125" s="85" t="n">
        <v>3</v>
      </c>
      <c r="AP125" s="94" t="n"/>
      <c r="AQ125" s="89" t="n"/>
      <c r="AR125" s="95" t="inlineStr">
        <is>
          <t>Y</t>
        </is>
      </c>
      <c r="AS125" s="95" t="inlineStr">
        <is>
          <t>List Price</t>
        </is>
      </c>
      <c r="AT125" s="96" t="n">
        <v>59.99</v>
      </c>
      <c r="AU125" s="96" t="n">
        <v>42.99</v>
      </c>
      <c r="AV125" s="95" t="inlineStr">
        <is>
          <t>coupon 20%</t>
        </is>
      </c>
      <c r="AW125" s="95" t="inlineStr">
        <is>
          <t>Y</t>
        </is>
      </c>
      <c r="AX125" s="95" t="inlineStr">
        <is>
          <t>2026-10-13 12:12:04</t>
        </is>
      </c>
      <c r="AY125" s="97" t="inlineStr">
        <is>
          <t>Not live in 2025</t>
        </is>
      </c>
      <c r="AZ125" s="102" t="n"/>
      <c r="BA125" s="101" t="n"/>
      <c r="BB125" s="101" t="n"/>
      <c r="BC125" s="87">
        <f>IF(AND(ISNUMBER(BA125),ISNUMBER(BB125),N(BA125)&gt;0),1-BB125/BA125,"")</f>
        <v/>
      </c>
      <c r="BD125" s="103" t="n"/>
      <c r="BE125" s="103" t="n"/>
      <c r="BF125" s="100">
        <f>IF(AND(ISNUMBER(BD125),ISNUMBER(BE125),N(BE125)&gt;0),BD125/BE125,"")</f>
        <v/>
      </c>
      <c r="BG125" s="102" t="n"/>
      <c r="BH125" s="102" t="n"/>
    </row>
    <row r="126" ht="62" customHeight="1">
      <c r="A126" s="10">
        <f>_xlfn.IMAGE("https://images-na.ssl-images-amazon.com/images/I/71+O+E9PlaL.jpg")</f>
        <v/>
      </c>
      <c r="B126" s="84" t="inlineStr">
        <is>
          <t>Shilucheng</t>
        </is>
      </c>
      <c r="C126" s="32" t="inlineStr">
        <is>
          <t>Shilucheng 100% Viscose Derived from Bamboo_ Sheets King Size 4pcs</t>
        </is>
      </c>
      <c r="D126" s="84" t="inlineStr">
        <is>
          <t>Beatable</t>
        </is>
      </c>
      <c r="E126" s="84" t="inlineStr">
        <is>
          <t>B09PYQ2VQL</t>
        </is>
      </c>
      <c r="F126" s="84" t="inlineStr">
        <is>
          <t>B09PYQ2VQL</t>
        </is>
      </c>
      <c r="G126" s="84" t="inlineStr">
        <is>
          <t>King</t>
        </is>
      </c>
      <c r="H126" s="84" t="n"/>
      <c r="I126" s="85" t="n">
        <v>79</v>
      </c>
      <c r="J126" s="32" t="inlineStr">
        <is>
          <t>B09PYKYCCF (38%), B09PXYT59Y (29%), B0DFHF8KC3 (20%)</t>
        </is>
      </c>
      <c r="K126" s="86" t="n">
        <v>54.9</v>
      </c>
      <c r="L126" s="86" t="n">
        <v>64.90000000000001</v>
      </c>
      <c r="M126" s="87">
        <f>IF(AND(ISNUMBER(L126),ISNUMBER(K126),N(K126)&gt;0),L126/K126-1,"")</f>
        <v/>
      </c>
      <c r="N126" s="88">
        <f>IF(M126="","No List Price",IF(M126&lt;=0,"At/below price",IF(M126&lt;=0.12,"&lt;=12% STR zone",IF(M126&lt;=0.25,"12-25%","&gt;25% over"))))</f>
        <v/>
      </c>
      <c r="O126" s="86" t="n">
        <v>39.95</v>
      </c>
      <c r="P126" s="89">
        <f>IF(AND(ISNUMBER(K126),ISNUMBER(O126),N(O126)&gt;0),K126/O126-1,"")</f>
        <v/>
      </c>
      <c r="Q126" s="32" t="inlineStr">
        <is>
          <t>Same size (King). Ours live: Helium 10 Xray, 2026-10-13; 13 children</t>
        </is>
      </c>
      <c r="R126" s="85" t="n">
        <v>26044</v>
      </c>
      <c r="S126" s="85" t="n">
        <v>5</v>
      </c>
      <c r="T126" s="90">
        <f>IF(AND(ISNUMBER(K126),ISNUMBER(S126)),K126*S126*52/12,"")</f>
        <v/>
      </c>
      <c r="U126" s="91" t="n">
        <v>4.4</v>
      </c>
      <c r="V126" s="85" t="n">
        <v>6629</v>
      </c>
      <c r="W126" s="92" t="n">
        <v>46307</v>
      </c>
      <c r="X126" s="92" t="n">
        <v>44654</v>
      </c>
      <c r="Y126" s="84" t="inlineStr">
        <is>
          <t>FBA</t>
        </is>
      </c>
      <c r="Z126" s="84" t="inlineStr">
        <is>
          <t>CN</t>
        </is>
      </c>
      <c r="AA126" s="85" t="n">
        <v>55207</v>
      </c>
      <c r="AB126" s="85" t="n">
        <v>914</v>
      </c>
      <c r="AC126" s="93" t="n">
        <v>0.5098780408281561</v>
      </c>
      <c r="AD126" s="93" t="n">
        <v>0.4901219591718439</v>
      </c>
      <c r="AE126" s="32" t="inlineStr">
        <is>
          <t>bamboo sheets</t>
        </is>
      </c>
      <c r="AF126" s="93" t="n">
        <v>0.9176553697900629</v>
      </c>
      <c r="AG126" s="93" t="n"/>
      <c r="AH126" s="93" t="n"/>
      <c r="AI126" s="93" t="n"/>
      <c r="AJ126" s="85" t="n">
        <v>246</v>
      </c>
      <c r="AK126" s="85" t="n">
        <v>52</v>
      </c>
      <c r="AL126" s="85" t="n">
        <v>175</v>
      </c>
      <c r="AM126" s="85" t="n">
        <v>668</v>
      </c>
      <c r="AN126" s="85" t="n">
        <v>467</v>
      </c>
      <c r="AO126" s="85" t="n">
        <v>10</v>
      </c>
      <c r="AP126" s="94" t="n"/>
      <c r="AQ126" s="89" t="n"/>
      <c r="AR126" s="95" t="inlineStr">
        <is>
          <t>Y</t>
        </is>
      </c>
      <c r="AS126" s="95" t="inlineStr">
        <is>
          <t>List Price</t>
        </is>
      </c>
      <c r="AT126" s="96" t="n">
        <v>64.90000000000001</v>
      </c>
      <c r="AU126" s="96" t="n">
        <v>54.9</v>
      </c>
      <c r="AV126" s="95" t="inlineStr">
        <is>
          <t>Limited time deal</t>
        </is>
      </c>
      <c r="AW126" s="95" t="inlineStr">
        <is>
          <t>Y</t>
        </is>
      </c>
      <c r="AX126" s="95" t="inlineStr">
        <is>
          <t>2026-10-13 12:12:20</t>
        </is>
      </c>
      <c r="AY126" s="97" t="inlineStr">
        <is>
          <t>Prime Exclusive Discount</t>
        </is>
      </c>
      <c r="AZ126" s="97" t="inlineStr">
        <is>
          <t>11-24 to 12-01</t>
        </is>
      </c>
      <c r="BA126" s="98" t="n">
        <v>64.90000000000001</v>
      </c>
      <c r="BB126" s="98" t="n">
        <v>55.12</v>
      </c>
      <c r="BC126" s="87">
        <f>IF(AND(ISNUMBER(BA126),ISNUMBER(BB126),N(BA126)&gt;0),1-BB126/BA126,"")</f>
        <v/>
      </c>
      <c r="BD126" s="99" t="n">
        <v>15950</v>
      </c>
      <c r="BE126" s="99" t="n">
        <v>18592</v>
      </c>
      <c r="BF126" s="100">
        <f>IF(AND(ISNUMBER(BD126),ISNUMBER(BE126),N(BE126)&gt;0),BD126/BE126,"")</f>
        <v/>
      </c>
      <c r="BG126" s="97" t="inlineStr">
        <is>
          <t>N</t>
        </is>
      </c>
      <c r="BH126" s="97" t="inlineStr">
        <is>
          <t>Buy Box RAISED in BFCM week (median $68.90 vs $64.90 before); List Price $69.90</t>
        </is>
      </c>
    </row>
    <row r="127" ht="62" customHeight="1">
      <c r="A127" s="39" t="inlineStr">
        <is>
          <t>IMAGE MISSING</t>
        </is>
      </c>
      <c r="B127" s="84" t="inlineStr">
        <is>
          <t>David's Home</t>
        </is>
      </c>
      <c r="C127" s="32" t="inlineStr">
        <is>
          <t>Cooling Sheets</t>
        </is>
      </c>
      <c r="D127" s="84" t="inlineStr">
        <is>
          <t>Beatable</t>
        </is>
      </c>
      <c r="E127" s="84" t="inlineStr">
        <is>
          <t>B0D1SRR2H4</t>
        </is>
      </c>
      <c r="F127" s="84" t="inlineStr">
        <is>
          <t>B0D1RBXBNG</t>
        </is>
      </c>
      <c r="G127" s="84" t="n"/>
      <c r="H127" s="84" t="n"/>
      <c r="I127" s="85" t="n"/>
      <c r="J127" s="32" t="inlineStr"/>
      <c r="K127" s="86" t="n">
        <v>24.99</v>
      </c>
      <c r="L127" s="86" t="n"/>
      <c r="M127" s="87">
        <f>IF(AND(ISNUMBER(L127),ISNUMBER(K127),N(K127)&gt;0),L127/K127-1,"")</f>
        <v/>
      </c>
      <c r="N127" s="88">
        <f>IF(M127="","No List Price",IF(M127&lt;=0,"At/below price",IF(M127&lt;=0.12,"&lt;=12% STR zone",IF(M127&lt;=0.25,"12-25%","&gt;25% over"))))</f>
        <v/>
      </c>
      <c r="O127" s="86" t="n">
        <v>37.95</v>
      </c>
      <c r="P127" s="89">
        <f>IF(AND(ISNUMBER(K127),ISNUMBER(O127),N(O127)&gt;0),K127/O127-1,"")</f>
        <v/>
      </c>
      <c r="Q127" s="32" t="inlineStr">
        <is>
          <t>Size not stated - vs our Queen. Ours live: Helium 10 Xray, 2026-10-13; 13 children</t>
        </is>
      </c>
      <c r="R127" s="85" t="n">
        <v>758020</v>
      </c>
      <c r="S127" s="85" t="n"/>
      <c r="T127" s="90">
        <f>IF(AND(ISNUMBER(K127),ISNUMBER(S127)),K127*S127*52/12,"")</f>
        <v/>
      </c>
      <c r="U127" s="91" t="n">
        <v>4.3</v>
      </c>
      <c r="V127" s="85" t="n">
        <v>169</v>
      </c>
      <c r="W127" s="92" t="n">
        <v>46307</v>
      </c>
      <c r="X127" s="92" t="n"/>
      <c r="Y127" s="84" t="n"/>
      <c r="Z127" s="84" t="n"/>
      <c r="AA127" s="85" t="n"/>
      <c r="AB127" s="85" t="n"/>
      <c r="AC127" s="93" t="n"/>
      <c r="AD127" s="93" t="n"/>
      <c r="AE127" s="32" t="n"/>
      <c r="AF127" s="93" t="n"/>
      <c r="AG127" s="93" t="n"/>
      <c r="AH127" s="93" t="n"/>
      <c r="AI127" s="93" t="n"/>
      <c r="AJ127" s="85" t="n"/>
      <c r="AK127" s="85" t="n"/>
      <c r="AL127" s="85" t="n"/>
      <c r="AM127" s="85" t="n"/>
      <c r="AN127" s="85" t="n"/>
      <c r="AO127" s="85" t="n"/>
      <c r="AP127" s="94" t="n"/>
      <c r="AQ127" s="89" t="n"/>
      <c r="AR127" s="95" t="inlineStr">
        <is>
          <t>unknown</t>
        </is>
      </c>
      <c r="AS127" s="102" t="n"/>
      <c r="AT127" s="101" t="n"/>
      <c r="AU127" s="101" t="n"/>
      <c r="AV127" s="102" t="n"/>
      <c r="AW127" s="102" t="n"/>
      <c r="AX127" s="95" t="inlineStr">
        <is>
          <t>2026-10-13 12:11:57</t>
        </is>
      </c>
      <c r="AY127" s="97" t="inlineStr">
        <is>
          <t>Prime Exclusive Discount</t>
        </is>
      </c>
      <c r="AZ127" s="97" t="inlineStr">
        <is>
          <t>11-24 to 11-27</t>
        </is>
      </c>
      <c r="BA127" s="98" t="n">
        <v>39.99</v>
      </c>
      <c r="BB127" s="98" t="n">
        <v>10</v>
      </c>
      <c r="BC127" s="87">
        <f>IF(AND(ISNUMBER(BA127),ISNUMBER(BB127),N(BA127)&gt;0),1-BB127/BA127,"")</f>
        <v/>
      </c>
      <c r="BD127" s="99" t="n">
        <v>437868</v>
      </c>
      <c r="BE127" s="99" t="n">
        <v>446244</v>
      </c>
      <c r="BF127" s="100">
        <f>IF(AND(ISNUMBER(BD127),ISNUMBER(BE127),N(BE127)&gt;0),BD127/BE127,"")</f>
        <v/>
      </c>
      <c r="BG127" s="97" t="inlineStr">
        <is>
          <t>Y</t>
        </is>
      </c>
      <c r="BH127" s="97" t="inlineStr">
        <is>
          <t>Coupon 20%, 40% (11-01 to 11-20); List Price $67.99</t>
        </is>
      </c>
    </row>
    <row r="128" ht="62" customHeight="1">
      <c r="A128" s="10">
        <f>_xlfn.IMAGE("https://images-na.ssl-images-amazon.com/images/I/61mi8zwd8GL.jpg")</f>
        <v/>
      </c>
      <c r="B128" s="84" t="inlineStr">
        <is>
          <t>Pillcase</t>
        </is>
      </c>
      <c r="C128" s="32" t="inlineStr">
        <is>
          <t>Pillcase Luxury Organic Tencel &amp; Viscose from Bamboo Cooling Sheet Set,Silky Soft Lyocell Sheets with Deep Pocket, Hypoallergenic &amp; Breathable Bedding with Pillowcases (White, King)</t>
        </is>
      </c>
      <c r="D128" s="84" t="inlineStr">
        <is>
          <t>Poor</t>
        </is>
      </c>
      <c r="E128" s="84" t="inlineStr">
        <is>
          <t>B0FLDYD61P</t>
        </is>
      </c>
      <c r="F128" s="84" t="inlineStr">
        <is>
          <t>B0FLDYD61P</t>
        </is>
      </c>
      <c r="G128" s="84" t="inlineStr">
        <is>
          <t>King</t>
        </is>
      </c>
      <c r="H128" s="84" t="inlineStr">
        <is>
          <t>White</t>
        </is>
      </c>
      <c r="I128" s="85" t="n">
        <v>1</v>
      </c>
      <c r="J128" s="32" t="inlineStr"/>
      <c r="K128" s="86" t="n">
        <v>109.99</v>
      </c>
      <c r="L128" s="86" t="n"/>
      <c r="M128" s="87">
        <f>IF(AND(ISNUMBER(L128),ISNUMBER(K128),N(K128)&gt;0),L128/K128-1,"")</f>
        <v/>
      </c>
      <c r="N128" s="88">
        <f>IF(M128="","No List Price",IF(M128&lt;=0,"At/below price",IF(M128&lt;=0.12,"&lt;=12% STR zone",IF(M128&lt;=0.25,"12-25%","&gt;25% over"))))</f>
        <v/>
      </c>
      <c r="O128" s="86" t="n">
        <v>39.95</v>
      </c>
      <c r="P128" s="89">
        <f>IF(AND(ISNUMBER(K128),ISNUMBER(O128),N(O128)&gt;0),K128/O128-1,"")</f>
        <v/>
      </c>
      <c r="Q128" s="32" t="inlineStr">
        <is>
          <t>Same size (King). Ours live: Helium 10 Xray, 2026-10-13; 13 children</t>
        </is>
      </c>
      <c r="R128" s="85" t="n">
        <v>1401806</v>
      </c>
      <c r="S128" s="85" t="n">
        <v>5</v>
      </c>
      <c r="T128" s="90">
        <f>IF(AND(ISNUMBER(K128),ISNUMBER(S128)),K128*S128*52/12,"")</f>
        <v/>
      </c>
      <c r="U128" s="91" t="n">
        <v>4.5</v>
      </c>
      <c r="V128" s="85" t="n">
        <v>35</v>
      </c>
      <c r="W128" s="92" t="n">
        <v>46307</v>
      </c>
      <c r="X128" s="92" t="n">
        <v>45875</v>
      </c>
      <c r="Y128" s="84" t="inlineStr">
        <is>
          <t>FBM</t>
        </is>
      </c>
      <c r="Z128" s="84" t="inlineStr">
        <is>
          <t>N/A</t>
        </is>
      </c>
      <c r="AA128" s="85" t="n"/>
      <c r="AB128" s="85" t="n"/>
      <c r="AC128" s="93" t="n"/>
      <c r="AD128" s="93" t="n"/>
      <c r="AE128" s="32" t="n"/>
      <c r="AF128" s="93" t="n"/>
      <c r="AG128" s="93" t="n"/>
      <c r="AH128" s="93" t="n"/>
      <c r="AI128" s="93" t="n"/>
      <c r="AJ128" s="85" t="n"/>
      <c r="AK128" s="85" t="n"/>
      <c r="AL128" s="85" t="n"/>
      <c r="AM128" s="85" t="n"/>
      <c r="AN128" s="85" t="n"/>
      <c r="AO128" s="85" t="n"/>
      <c r="AP128" s="94" t="n"/>
      <c r="AQ128" s="89" t="n"/>
      <c r="AR128" s="95" t="inlineStr">
        <is>
          <t>N</t>
        </is>
      </c>
      <c r="AS128" s="95" t="inlineStr">
        <is>
          <t>none</t>
        </is>
      </c>
      <c r="AT128" s="101" t="n"/>
      <c r="AU128" s="101" t="n"/>
      <c r="AV128" s="95" t="inlineStr">
        <is>
          <t>none</t>
        </is>
      </c>
      <c r="AW128" s="95" t="inlineStr">
        <is>
          <t>N</t>
        </is>
      </c>
      <c r="AX128" s="95" t="inlineStr">
        <is>
          <t>2026-10-13 23:38:58</t>
        </is>
      </c>
      <c r="AY128" s="102" t="n"/>
      <c r="AZ128" s="102" t="n"/>
      <c r="BA128" s="101" t="n"/>
      <c r="BB128" s="101" t="n"/>
      <c r="BC128" s="87">
        <f>IF(AND(ISNUMBER(BA128),ISNUMBER(BB128),N(BA128)&gt;0),1-BB128/BA128,"")</f>
        <v/>
      </c>
      <c r="BD128" s="103" t="n"/>
      <c r="BE128" s="103" t="n"/>
      <c r="BF128" s="100">
        <f>IF(AND(ISNUMBER(BD128),ISNUMBER(BE128),N(BE128)&gt;0),BD128/BE128,"")</f>
        <v/>
      </c>
      <c r="BG128" s="102" t="n"/>
      <c r="BH128" s="102" t="n"/>
    </row>
    <row r="129" ht="62" customHeight="1">
      <c r="A129" s="10">
        <f>_xlfn.IMAGE("https://images-na.ssl-images-amazon.com/images/I/71gw0WpuNuL.jpg")</f>
        <v/>
      </c>
      <c r="B129" s="84" t="inlineStr">
        <is>
          <t>TWK</t>
        </is>
      </c>
      <c r="C129" s="32" t="inlineStr">
        <is>
          <t>TWK Luxury Sheet Set, Genuine 100% Organic Viscose Derived from Bamboo, Cooling &amp; Breathable, Silky Soft, Bedding Sheets &amp; Pillowcases (Mist Gray, King)</t>
        </is>
      </c>
      <c r="D129" s="84" t="inlineStr">
        <is>
          <t>Poor</t>
        </is>
      </c>
      <c r="E129" s="84" t="inlineStr">
        <is>
          <t>B0DYT2QWLC</t>
        </is>
      </c>
      <c r="F129" s="84" t="inlineStr">
        <is>
          <t>B0DYT2QWLC</t>
        </is>
      </c>
      <c r="G129" s="84" t="inlineStr">
        <is>
          <t>King</t>
        </is>
      </c>
      <c r="H129" s="84" t="inlineStr">
        <is>
          <t>Mist Gray</t>
        </is>
      </c>
      <c r="I129" s="85" t="n">
        <v>1</v>
      </c>
      <c r="J129" s="32" t="inlineStr"/>
      <c r="K129" s="86" t="n">
        <v>109.99</v>
      </c>
      <c r="L129" s="86" t="n"/>
      <c r="M129" s="87">
        <f>IF(AND(ISNUMBER(L129),ISNUMBER(K129),N(K129)&gt;0),L129/K129-1,"")</f>
        <v/>
      </c>
      <c r="N129" s="88">
        <f>IF(M129="","No List Price",IF(M129&lt;=0,"At/below price",IF(M129&lt;=0.12,"&lt;=12% STR zone",IF(M129&lt;=0.25,"12-25%","&gt;25% over"))))</f>
        <v/>
      </c>
      <c r="O129" s="86" t="n">
        <v>39.95</v>
      </c>
      <c r="P129" s="89">
        <f>IF(AND(ISNUMBER(K129),ISNUMBER(O129),N(O129)&gt;0),K129/O129-1,"")</f>
        <v/>
      </c>
      <c r="Q129" s="32" t="inlineStr">
        <is>
          <t>Same size (King). Ours live: Helium 10 Xray, 2026-10-13; 13 children</t>
        </is>
      </c>
      <c r="R129" s="85" t="n">
        <v>1506045</v>
      </c>
      <c r="S129" s="85" t="n">
        <v>5</v>
      </c>
      <c r="T129" s="90">
        <f>IF(AND(ISNUMBER(K129),ISNUMBER(S129)),K129*S129*52/12,"")</f>
        <v/>
      </c>
      <c r="U129" s="91" t="n">
        <v>4.5</v>
      </c>
      <c r="V129" s="85" t="n">
        <v>39</v>
      </c>
      <c r="W129" s="92" t="n">
        <v>46307</v>
      </c>
      <c r="X129" s="92" t="n">
        <v>45716</v>
      </c>
      <c r="Y129" s="84" t="inlineStr">
        <is>
          <t>FBM</t>
        </is>
      </c>
      <c r="Z129" s="84" t="inlineStr">
        <is>
          <t>N/A</t>
        </is>
      </c>
      <c r="AA129" s="85" t="n"/>
      <c r="AB129" s="85" t="n"/>
      <c r="AC129" s="93" t="n"/>
      <c r="AD129" s="93" t="n"/>
      <c r="AE129" s="32" t="n"/>
      <c r="AF129" s="93" t="n"/>
      <c r="AG129" s="93" t="n"/>
      <c r="AH129" s="93" t="n"/>
      <c r="AI129" s="93" t="n"/>
      <c r="AJ129" s="85" t="n"/>
      <c r="AK129" s="85" t="n"/>
      <c r="AL129" s="85" t="n"/>
      <c r="AM129" s="85" t="n"/>
      <c r="AN129" s="85" t="n"/>
      <c r="AO129" s="85" t="n"/>
      <c r="AP129" s="94" t="n"/>
      <c r="AQ129" s="89" t="n"/>
      <c r="AR129" s="95" t="inlineStr">
        <is>
          <t>N</t>
        </is>
      </c>
      <c r="AS129" s="95" t="inlineStr">
        <is>
          <t>none</t>
        </is>
      </c>
      <c r="AT129" s="101" t="n"/>
      <c r="AU129" s="101" t="n"/>
      <c r="AV129" s="95" t="inlineStr">
        <is>
          <t>none</t>
        </is>
      </c>
      <c r="AW129" s="95" t="inlineStr">
        <is>
          <t>N</t>
        </is>
      </c>
      <c r="AX129" s="95" t="inlineStr">
        <is>
          <t>2026-10-13 23:37:00</t>
        </is>
      </c>
      <c r="AY129" s="97" t="inlineStr">
        <is>
          <t>Coupon only</t>
        </is>
      </c>
      <c r="AZ129" s="97" t="inlineStr">
        <is>
          <t>11-20 to 12-05</t>
        </is>
      </c>
      <c r="BA129" s="98" t="n">
        <v>69</v>
      </c>
      <c r="BB129" s="98" t="n">
        <v>74</v>
      </c>
      <c r="BC129" s="87">
        <f>IF(AND(ISNUMBER(BA129),ISNUMBER(BB129),N(BA129)&gt;0),1-BB129/BA129,"")</f>
        <v/>
      </c>
      <c r="BD129" s="99" t="n">
        <v>46533</v>
      </c>
      <c r="BE129" s="99" t="n">
        <v>67944</v>
      </c>
      <c r="BF129" s="100">
        <f>IF(AND(ISNUMBER(BD129),ISNUMBER(BE129),N(BE129)&gt;0),BD129/BE129,"")</f>
        <v/>
      </c>
      <c r="BG129" s="97" t="inlineStr">
        <is>
          <t>N</t>
        </is>
      </c>
      <c r="BH129" s="97" t="inlineStr">
        <is>
          <t>Coupon 30%; Buy Box RAISED in BFCM week (median $79.00 vs $69.00 before); List Price $69.00</t>
        </is>
      </c>
    </row>
    <row r="130" ht="62" customHeight="1">
      <c r="A130" s="10">
        <f>_xlfn.IMAGE("https://images-na.ssl-images-amazon.com/images/I/81L2xb5ly6L.jpg")</f>
        <v/>
      </c>
      <c r="B130" s="84" t="inlineStr">
        <is>
          <t>Bedsure</t>
        </is>
      </c>
      <c r="C130" s="32" t="inlineStr">
        <is>
          <t>Bedsure PureWoven 100% Rayon Derived from Bamboo, Queen Sheets, 4 Pieces</t>
        </is>
      </c>
      <c r="D130" s="84" t="inlineStr">
        <is>
          <t>Untiered</t>
        </is>
      </c>
      <c r="E130" s="84" t="inlineStr">
        <is>
          <t>B0BZ8T5BJ6</t>
        </is>
      </c>
      <c r="F130" s="84" t="inlineStr">
        <is>
          <t>B07YK8VTJV</t>
        </is>
      </c>
      <c r="G130" s="84" t="inlineStr">
        <is>
          <t>Queen</t>
        </is>
      </c>
      <c r="H130" s="84" t="n"/>
      <c r="I130" s="85" t="n">
        <v>131</v>
      </c>
      <c r="J130" s="32" t="inlineStr">
        <is>
          <t>B07YKCZHGK (29%), B07YK8VTJV (19%), B07YKCQBBL (14%), B07YKCB6GL (9%), B08CXWHQT2 (6%)</t>
        </is>
      </c>
      <c r="K130" s="86" t="n">
        <v>62.99</v>
      </c>
      <c r="L130" s="86" t="n">
        <v>69.98999999999999</v>
      </c>
      <c r="M130" s="87">
        <f>IF(AND(ISNUMBER(L130),ISNUMBER(K130),N(K130)&gt;0),L130/K130-1,"")</f>
        <v/>
      </c>
      <c r="N130" s="88">
        <f>IF(M130="","No List Price",IF(M130&lt;=0,"At/below price",IF(M130&lt;=0.12,"&lt;=12% STR zone",IF(M130&lt;=0.25,"12-25%","&gt;25% over"))))</f>
        <v/>
      </c>
      <c r="O130" s="86" t="n">
        <v>37.95</v>
      </c>
      <c r="P130" s="89">
        <f>IF(AND(ISNUMBER(K130),ISNUMBER(O130),N(O130)&gt;0),K130/O130-1,"")</f>
        <v/>
      </c>
      <c r="Q130" s="32" t="inlineStr">
        <is>
          <t>Same size (Queen). Ours live: Helium 10 Xray, 2026-10-13; 13 children</t>
        </is>
      </c>
      <c r="R130" s="85" t="n">
        <v>256</v>
      </c>
      <c r="S130" s="85" t="n">
        <v>809</v>
      </c>
      <c r="T130" s="90">
        <f>IF(AND(ISNUMBER(K130),ISNUMBER(S130)),K130*S130*52/12,"")</f>
        <v/>
      </c>
      <c r="U130" s="91" t="n">
        <v>4.4</v>
      </c>
      <c r="V130" s="85" t="n">
        <v>65061</v>
      </c>
      <c r="W130" s="92" t="n">
        <v>46307</v>
      </c>
      <c r="X130" s="92" t="n">
        <v>43348</v>
      </c>
      <c r="Y130" s="84" t="inlineStr">
        <is>
          <t>FBA</t>
        </is>
      </c>
      <c r="Z130" s="84" t="inlineStr">
        <is>
          <t>US</t>
        </is>
      </c>
      <c r="AA130" s="85" t="n">
        <v>2166046</v>
      </c>
      <c r="AB130" s="85" t="n">
        <v>6935</v>
      </c>
      <c r="AC130" s="93" t="n">
        <v>0.5902383405984899</v>
      </c>
      <c r="AD130" s="93" t="n">
        <v>0.4097618027040986</v>
      </c>
      <c r="AE130" s="32" t="inlineStr">
        <is>
          <t>bamboo sheets</t>
        </is>
      </c>
      <c r="AF130" s="93" t="n">
        <v>0.9388327856379781</v>
      </c>
      <c r="AG130" s="93" t="n">
        <v>0.9371818511702891</v>
      </c>
      <c r="AH130" s="93" t="n">
        <v>0.6488394059959945</v>
      </c>
      <c r="AI130" s="93" t="n">
        <v>0.3206907886536112</v>
      </c>
      <c r="AJ130" s="85" t="n">
        <v>380</v>
      </c>
      <c r="AK130" s="85" t="n">
        <v>10</v>
      </c>
      <c r="AL130" s="85" t="n">
        <v>358</v>
      </c>
      <c r="AM130" s="85" t="n">
        <v>6555</v>
      </c>
      <c r="AN130" s="85" t="n">
        <v>3453</v>
      </c>
      <c r="AO130" s="85" t="n">
        <v>9</v>
      </c>
      <c r="AP130" s="94" t="n">
        <v>1.066623404715553</v>
      </c>
      <c r="AQ130" s="89" t="n">
        <v>-0.05727665706051865</v>
      </c>
      <c r="AR130" s="95" t="inlineStr">
        <is>
          <t>Y</t>
        </is>
      </c>
      <c r="AS130" s="95" t="inlineStr">
        <is>
          <t>List Price</t>
        </is>
      </c>
      <c r="AT130" s="96" t="n">
        <v>69.98999999999999</v>
      </c>
      <c r="AU130" s="96" t="n">
        <v>62.99</v>
      </c>
      <c r="AV130" s="95" t="inlineStr">
        <is>
          <t>none</t>
        </is>
      </c>
      <c r="AW130" s="95" t="inlineStr">
        <is>
          <t>Y</t>
        </is>
      </c>
      <c r="AX130" s="95" t="inlineStr">
        <is>
          <t>2026-10-13 12:10:35</t>
        </is>
      </c>
      <c r="AY130" s="97" t="inlineStr">
        <is>
          <t>Prime Exclusive Discount</t>
        </is>
      </c>
      <c r="AZ130" s="97" t="inlineStr">
        <is>
          <t>11-23 to 12-01</t>
        </is>
      </c>
      <c r="BA130" s="98" t="n">
        <v>66.48999999999999</v>
      </c>
      <c r="BB130" s="98" t="n">
        <v>55.99</v>
      </c>
      <c r="BC130" s="87">
        <f>IF(AND(ISNUMBER(BA130),ISNUMBER(BB130),N(BA130)&gt;0),1-BB130/BA130,"")</f>
        <v/>
      </c>
      <c r="BD130" s="99" t="n">
        <v>156</v>
      </c>
      <c r="BE130" s="99" t="n">
        <v>228</v>
      </c>
      <c r="BF130" s="100">
        <f>IF(AND(ISNUMBER(BD130),ISNUMBER(BE130),N(BE130)&gt;0),BD130/BE130,"")</f>
        <v/>
      </c>
      <c r="BG130" s="97" t="inlineStr">
        <is>
          <t>N</t>
        </is>
      </c>
      <c r="BH130" s="97" t="inlineStr">
        <is>
          <t>Buy Box RAISED in BFCM week (median $69.99 vs $66.49 before); List Price $78.99</t>
        </is>
      </c>
    </row>
    <row r="131" ht="62" customHeight="1">
      <c r="A131" s="10">
        <f>_xlfn.IMAGE("https://images-na.ssl-images-amazon.com/images/I/71rcYip7GcL.jpg")</f>
        <v/>
      </c>
      <c r="B131" s="84" t="inlineStr">
        <is>
          <t>KARISSA MAE</t>
        </is>
      </c>
      <c r="C131" s="32" t="inlineStr">
        <is>
          <t>Cooling Sheets</t>
        </is>
      </c>
      <c r="D131" s="84" t="inlineStr">
        <is>
          <t>Untiered</t>
        </is>
      </c>
      <c r="E131" s="84" t="inlineStr">
        <is>
          <t>B0GT172Y8L</t>
        </is>
      </c>
      <c r="F131" s="84" t="inlineStr">
        <is>
          <t>B0G1CSCQTB</t>
        </is>
      </c>
      <c r="G131" s="84" t="n"/>
      <c r="H131" s="84" t="n"/>
      <c r="I131" s="85" t="n">
        <v>138</v>
      </c>
      <c r="J131" s="32" t="inlineStr">
        <is>
          <t>B0F9X7MV5B (14%), B0G1CSCQTB (10%), B0F9X8BNQB (7%), B0F9X6KTQW (6%), B0GH24C6XY (6%)</t>
        </is>
      </c>
      <c r="K131" s="86" t="n">
        <v>119.99</v>
      </c>
      <c r="L131" s="86" t="n"/>
      <c r="M131" s="87">
        <f>IF(AND(ISNUMBER(L131),ISNUMBER(K131),N(K131)&gt;0),L131/K131-1,"")</f>
        <v/>
      </c>
      <c r="N131" s="88">
        <f>IF(M131="","No List Price",IF(M131&lt;=0,"At/below price",IF(M131&lt;=0.12,"&lt;=12% STR zone",IF(M131&lt;=0.25,"12-25%","&gt;25% over"))))</f>
        <v/>
      </c>
      <c r="O131" s="86" t="n">
        <v>37.95</v>
      </c>
      <c r="P131" s="89">
        <f>IF(AND(ISNUMBER(K131),ISNUMBER(O131),N(O131)&gt;0),K131/O131-1,"")</f>
        <v/>
      </c>
      <c r="Q131" s="32" t="inlineStr">
        <is>
          <t>Size not stated - vs our Queen. Ours live: Helium 10 Xray, 2026-10-13; 13 children</t>
        </is>
      </c>
      <c r="R131" s="85" t="n">
        <v>15914</v>
      </c>
      <c r="S131" s="85" t="n">
        <v>35</v>
      </c>
      <c r="T131" s="90">
        <f>IF(AND(ISNUMBER(K131),ISNUMBER(S131)),K131*S131*52/12,"")</f>
        <v/>
      </c>
      <c r="U131" s="91" t="n">
        <v>4.3</v>
      </c>
      <c r="V131" s="85" t="n">
        <v>474</v>
      </c>
      <c r="W131" s="92" t="n">
        <v>46307</v>
      </c>
      <c r="X131" s="92" t="n"/>
      <c r="Y131" s="84" t="n"/>
      <c r="Z131" s="84" t="n"/>
      <c r="AA131" s="85" t="n">
        <v>243610</v>
      </c>
      <c r="AB131" s="85" t="n">
        <v>3715</v>
      </c>
      <c r="AC131" s="93" t="n">
        <v>0.1385290000410493</v>
      </c>
      <c r="AD131" s="93" t="n">
        <v>0.8614710525019491</v>
      </c>
      <c r="AE131" s="32" t="inlineStr">
        <is>
          <t>bamboo sheets</t>
        </is>
      </c>
      <c r="AF131" s="93" t="n">
        <v>0.9938303025327367</v>
      </c>
      <c r="AG131" s="93" t="n">
        <v>0.0306883953860679</v>
      </c>
      <c r="AH131" s="93" t="n">
        <v>0.01590657197980378</v>
      </c>
      <c r="AI131" s="93" t="n"/>
      <c r="AJ131" s="85" t="n">
        <v>360</v>
      </c>
      <c r="AK131" s="85" t="n">
        <v>92</v>
      </c>
      <c r="AL131" s="85" t="n">
        <v>223</v>
      </c>
      <c r="AM131" s="85" t="n">
        <v>3355</v>
      </c>
      <c r="AN131" s="85" t="n">
        <v>1750</v>
      </c>
      <c r="AO131" s="85" t="n">
        <v>12</v>
      </c>
      <c r="AP131" s="94" t="n">
        <v>2.102564102564103</v>
      </c>
      <c r="AQ131" s="89" t="n">
        <v>-0.8771186440677966</v>
      </c>
      <c r="AR131" s="95" t="inlineStr">
        <is>
          <t>N</t>
        </is>
      </c>
      <c r="AS131" s="95" t="inlineStr">
        <is>
          <t>none</t>
        </is>
      </c>
      <c r="AT131" s="101" t="n"/>
      <c r="AU131" s="96" t="n">
        <v>119.99</v>
      </c>
      <c r="AV131" s="95" t="inlineStr">
        <is>
          <t>none</t>
        </is>
      </c>
      <c r="AW131" s="95" t="inlineStr">
        <is>
          <t>Y</t>
        </is>
      </c>
      <c r="AX131" s="95" t="inlineStr">
        <is>
          <t>2026-10-13 12:10:57</t>
        </is>
      </c>
      <c r="AY131" s="102" t="n"/>
      <c r="AZ131" s="102" t="n"/>
      <c r="BA131" s="101" t="n"/>
      <c r="BB131" s="101" t="n"/>
      <c r="BC131" s="87">
        <f>IF(AND(ISNUMBER(BA131),ISNUMBER(BB131),N(BA131)&gt;0),1-BB131/BA131,"")</f>
        <v/>
      </c>
      <c r="BD131" s="103" t="n"/>
      <c r="BE131" s="103" t="n"/>
      <c r="BF131" s="100">
        <f>IF(AND(ISNUMBER(BD131),ISNUMBER(BE131),N(BE131)&gt;0),BD131/BE131,"")</f>
        <v/>
      </c>
      <c r="BG131" s="102" t="n"/>
      <c r="BH131" s="97" t="inlineStr">
        <is>
          <t>No Buy Box history in Keepa for BFCM 2025</t>
        </is>
      </c>
    </row>
    <row r="133" ht="20" customHeight="1">
      <c r="A133" s="54" t="inlineStr">
        <is>
          <t>5 · WHAT THIS MEANS FOR BFCM</t>
        </is>
      </c>
    </row>
    <row r="134" ht="30" customHeight="1">
      <c r="A134" s="104" t="inlineStr">
        <is>
          <t>•  Who sells most: Pure Bamboo ~809/wk at $109.99; Bedsure ~809/wk at $62.99 (List $69.99, +11%); Hotel Sheets Direct ~347/wk at $79.99; Bambaw ~104/wk at $89.99; Bedsure ~104/wk at $89.99 (List $119.99, +33%). Tracked rivals ~2,960 units/wk; we sell ~22/wk (0.7% of the tracked set).</t>
        </is>
      </c>
    </row>
    <row r="135" ht="18" customHeight="1">
      <c r="A135" s="104" t="inlineStr">
        <is>
          <t>•  Strikethrough: 10 of 28 rivals set a List Price above price; 1 within 12%: Bedsure +11%.</t>
        </is>
      </c>
    </row>
    <row r="136" ht="18" customHeight="1">
      <c r="A136" s="104" t="inlineStr">
        <is>
          <t>•  Price: 3 of 28 rivals sit below our price today (same size where the title states one). Cheapest strong rivals: Bedlifes $23.99, David's Home $24.99, Shilucheng $37.90.</t>
        </is>
      </c>
    </row>
    <row r="137" ht="30" customHeight="1">
      <c r="A137" s="104" t="inlineStr">
        <is>
          <t>•  Strikethrough on the page today (Oct 13 check): 10 of 27 checked rivals show one: BAMPURE List Price $99.99 vs $67.98 (+47%) with deal, Bedsure List Price $119.99 vs $89.99 (+33%), REST List Price $299.00 vs $224.25 (+33%), Breescape List Price $179.99 vs $149.99 (+20%), REST List Price $219.00 vs $164.25 (+33%), Shilucheng List Price $74.99 vs $59.99 (+25%) with deal.</t>
        </is>
      </c>
    </row>
    <row r="138" ht="30" customHeight="1">
      <c r="A138" s="104" t="inlineStr">
        <is>
          <t>•  Search: we lose most shared keywords to Pure Bamboo (we win 8, lose 359), Bedsure (we win 10, lose 358), Bedsure (we win 22, lose 314). Biggest ad gaps (they advertise where we don't or harder): Pure Bamboo 3,779 + 8 KWs, Bedsure 3,453 + 9 KWs, Bedsure 2,447 + 21 KWs.</t>
        </is>
      </c>
    </row>
    <row r="139" ht="30" customHeight="1">
      <c r="A139" s="104" t="inlineStr">
        <is>
          <t>•  Brand ads: Pure Bamboo (SB 82%, SBV 88%), Bedsure (SB 98%, SBV 53%), BC BELLA COTERIE (SB 57%, SBV 56%), REST (SB 86%, SBV 45%), Breescape (SB 64%, SBV 74%) hold Sponsored Brands / video on most of their traffic - the plan has our SB, SBV and display live by Nov 1.</t>
        </is>
      </c>
    </row>
    <row r="140" ht="18" customHeight="1">
      <c r="A140" s="104" t="inlineStr">
        <is>
          <t>•  Our BFCM 2025: 1.63x daily sales in BFCM week vs the 30 days before; TACoS 6.8% vs 5.1% before; December 1.81x.</t>
        </is>
      </c>
    </row>
    <row r="141" ht="30" customHeight="1">
      <c r="A141" s="104" t="inlineStr">
        <is>
          <t>•  BFCM 2025, 22 rivals with Keepa history: Prime Exclusive Discount 10, Price cut only 6, None 4, Coupon only 2. Median depth vs their Nov 1-19 price 19%; median BSR lift 1.15x. 5 raised their Buy Box in BFCM week, so their deal looked deeper than it was.</t>
        </is>
      </c>
    </row>
    <row r="142" ht="18" customHeight="1">
      <c r="A142" s="104" t="inlineStr">
        <is>
          <t>•  3 rivals not in the Keepa pulls yet (yellow BFCM 2025 columns) - remaining P2 batches, AGENT_PROMPTS Prompt 2.</t>
        </is>
      </c>
    </row>
  </sheetData>
  <autoFilter ref="B103:BH131"/>
  <mergeCells count="71">
    <mergeCell ref="A15:BH15"/>
    <mergeCell ref="L5:Q5"/>
    <mergeCell ref="A89:C89"/>
    <mergeCell ref="A98:BH98"/>
    <mergeCell ref="A138:BH138"/>
    <mergeCell ref="A142:BH142"/>
    <mergeCell ref="A1:BH1"/>
    <mergeCell ref="Q11:T11"/>
    <mergeCell ref="L8:Q8"/>
    <mergeCell ref="L4:Q4"/>
    <mergeCell ref="D7:I7"/>
    <mergeCell ref="A13:D13"/>
    <mergeCell ref="A86:C86"/>
    <mergeCell ref="I13:L13"/>
    <mergeCell ref="AA102:AQ102"/>
    <mergeCell ref="A16:BH16"/>
    <mergeCell ref="A137:BH137"/>
    <mergeCell ref="D4:I4"/>
    <mergeCell ref="L10:Q10"/>
    <mergeCell ref="E12:H12"/>
    <mergeCell ref="Q13:T13"/>
    <mergeCell ref="D9:I9"/>
    <mergeCell ref="A133:BH133"/>
    <mergeCell ref="U12:X12"/>
    <mergeCell ref="L9:Q9"/>
    <mergeCell ref="Q12:T12"/>
    <mergeCell ref="A91:C91"/>
    <mergeCell ref="A11:D11"/>
    <mergeCell ref="I11:L11"/>
    <mergeCell ref="A3:BH3"/>
    <mergeCell ref="L6:Q6"/>
    <mergeCell ref="D8:I8"/>
    <mergeCell ref="A4:B9"/>
    <mergeCell ref="A101:BH101"/>
    <mergeCell ref="T6:Y6"/>
    <mergeCell ref="A136:BH136"/>
    <mergeCell ref="A95:BH95"/>
    <mergeCell ref="AR102:AX102"/>
    <mergeCell ref="A139:BH139"/>
    <mergeCell ref="A93:C93"/>
    <mergeCell ref="D5:I5"/>
    <mergeCell ref="X102:Z102"/>
    <mergeCell ref="A85:BH85"/>
    <mergeCell ref="M11:P11"/>
    <mergeCell ref="A92:C92"/>
    <mergeCell ref="A141:BH141"/>
    <mergeCell ref="U11:X11"/>
    <mergeCell ref="A97:BH97"/>
    <mergeCell ref="A135:BH135"/>
    <mergeCell ref="A100:BH100"/>
    <mergeCell ref="A140:BH140"/>
    <mergeCell ref="E13:H13"/>
    <mergeCell ref="D10:I10"/>
    <mergeCell ref="L7:Q7"/>
    <mergeCell ref="T5:Y5"/>
    <mergeCell ref="A96:BH96"/>
    <mergeCell ref="A94:C94"/>
    <mergeCell ref="A134:BH134"/>
    <mergeCell ref="A12:D12"/>
    <mergeCell ref="M13:P13"/>
    <mergeCell ref="AY102:BH102"/>
    <mergeCell ref="I12:L12"/>
    <mergeCell ref="U13:X13"/>
    <mergeCell ref="A88:C88"/>
    <mergeCell ref="K102:W102"/>
    <mergeCell ref="M12:P12"/>
    <mergeCell ref="T4:Y4"/>
    <mergeCell ref="A102:H102"/>
    <mergeCell ref="D6:I6"/>
    <mergeCell ref="A87:C87"/>
    <mergeCell ref="E11:H11"/>
  </mergeCells>
  <conditionalFormatting sqref="N104:N131">
    <cfRule type="expression" priority="1" dxfId="1">
      <formula>N104="&lt;=12% STR zone"</formula>
    </cfRule>
  </conditionalFormatting>
  <conditionalFormatting sqref="W104:W131">
    <cfRule type="expression" priority="2" dxfId="0">
      <formula>AND(ISNUMBER(W104),W104&lt;DATE(2026,10,6))</formula>
    </cfRule>
  </conditionalFormatting>
  <conditionalFormatting sqref="Q104:Q131">
    <cfRule type="expression" priority="3" dxfId="0">
      <formula>ISNUMBER(SEARCH("STALE",Q104))</formula>
    </cfRule>
  </conditionalFormatting>
  <conditionalFormatting sqref="P104:P131">
    <cfRule type="expression" priority="4" dxfId="0">
      <formula>AND(ISNUMBER(P104),P104&lt;0)</formula>
    </cfRule>
  </conditionalFormatting>
  <dataValidations count="3">
    <dataValidation sqref="AR104:AR131 BG104:BG131" showDropDown="0" showInputMessage="0" showErrorMessage="0" allowBlank="1" type="list">
      <formula1>"Y,N"</formula1>
    </dataValidation>
    <dataValidation sqref="AS104:AS131" showDropDown="0" showInputMessage="0" showErrorMessage="0" allowBlank="1" type="list">
      <formula1>"List Price,Typical price,Was price,None"</formula1>
    </dataValidation>
    <dataValidation sqref="AY104:AY131"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6.xml><?xml version="1.0" encoding="utf-8"?>
<worksheet xmlns="http://schemas.openxmlformats.org/spreadsheetml/2006/main">
  <sheetPr>
    <outlinePr summaryBelow="1" summaryRight="1"/>
    <pageSetUpPr/>
  </sheetPr>
  <dimension ref="A1:BH14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4 Piece  ·  Amazon.com (US)  ·  Cooling  ·  BFCM role: Off-season (aged variations only)  ·  Scope: Core</t>
        </is>
      </c>
    </row>
    <row r="2">
      <c r="A2" s="53" t="inlineStr">
        <is>
          <t>← Dashboard</t>
        </is>
      </c>
    </row>
    <row r="3" ht="20" customHeight="1">
      <c r="A3" s="54" t="inlineStr">
        <is>
          <t>1 · OUR PRODUCT</t>
        </is>
      </c>
    </row>
    <row r="4" ht="34" customHeight="1">
      <c r="A4" s="10">
        <f>_xlfn.IMAGE("https://m.media-amazon.com/images/I/71IsX4lcKOL._AC_SL1500_.jpg")</f>
        <v/>
      </c>
      <c r="C4" s="11" t="inlineStr">
        <is>
          <t>Title</t>
        </is>
      </c>
      <c r="D4" s="12" t="inlineStr">
        <is>
          <t>SLEEPHORIA Cooling Sheets - BreezeWeave 4 PC King Size Cooling Bed Sheets for Hot Sleepers &amp; Deep, Cool Rest - Cloud Soft, Silky Smooth, 16 in Deep Pocket, Ultra Durable (Light Grey)</t>
        </is>
      </c>
      <c r="K4" s="11" t="inlineStr">
        <is>
          <t>Sizes</t>
        </is>
      </c>
      <c r="L4" s="55" t="inlineStr">
        <is>
          <t>Cal King, Full, King, Queen, Twin</t>
        </is>
      </c>
      <c r="S4" s="11" t="inlineStr">
        <is>
          <t>Break-even ACoS</t>
        </is>
      </c>
      <c r="T4" s="55" t="inlineStr">
        <is>
          <t>31%</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 Black</t>
        </is>
      </c>
      <c r="S5" s="11" t="inlineStr">
        <is>
          <t>Units last 28 days</t>
        </is>
      </c>
      <c r="T5" s="55" t="inlineStr">
        <is>
          <t>332</t>
        </is>
      </c>
    </row>
    <row r="6" ht="22" customHeight="1">
      <c r="C6" s="11" t="inlineStr">
        <is>
          <t>Marketplace</t>
        </is>
      </c>
      <c r="D6" s="55" t="inlineStr">
        <is>
          <t>Amazon.com (US)</t>
        </is>
      </c>
      <c r="K6" s="11" t="inlineStr">
        <is>
          <t>Price now, best child</t>
        </is>
      </c>
      <c r="L6" s="55" t="inlineStr">
        <is>
          <t>$84.99 (Helium 10 Xray, 2026-10-13)</t>
        </is>
      </c>
      <c r="S6" s="11" t="inlineStr">
        <is>
          <t>Command Center product ASIN</t>
        </is>
      </c>
      <c r="T6" s="55" t="inlineStr">
        <is>
          <t>B0F7LXFGLX (one of our child ASINs, not the Amazon parent)</t>
        </is>
      </c>
    </row>
    <row r="7" ht="22" customHeight="1">
      <c r="C7" s="11" t="inlineStr">
        <is>
          <t>Parent ASIN (Amazon)</t>
        </is>
      </c>
      <c r="D7" s="55" t="inlineStr">
        <is>
          <t>B0H8PNVWP1</t>
        </is>
      </c>
      <c r="K7" s="11" t="inlineStr">
        <is>
          <t>Rating / reviews now</t>
        </is>
      </c>
      <c r="L7" s="55" t="inlineStr">
        <is>
          <t>4.4 / 894 (Helium 10 Xray, 2026-10-13)</t>
        </is>
      </c>
    </row>
    <row r="8" ht="22" customHeight="1">
      <c r="C8" s="11" t="inlineStr">
        <is>
          <t>Best-selling child ASIN</t>
        </is>
      </c>
      <c r="D8" s="55" t="inlineStr">
        <is>
          <t>B0F7LZQNHM</t>
        </is>
      </c>
      <c r="K8" s="11" t="inlineStr">
        <is>
          <t>Live prices held</t>
        </is>
      </c>
      <c r="L8" s="55" t="inlineStr">
        <is>
          <t>57 of 61 variations</t>
        </is>
      </c>
    </row>
    <row r="9" ht="22" customHeight="1">
      <c r="C9" s="11" t="inlineStr">
        <is>
          <t>Stage</t>
        </is>
      </c>
      <c r="D9" s="55" t="inlineStr">
        <is>
          <t>Re-Launch</t>
        </is>
      </c>
      <c r="K9" s="11" t="inlineStr">
        <is>
          <t>Blended price (Command Center)</t>
        </is>
      </c>
      <c r="L9" s="55" t="inlineStr">
        <is>
          <t>$66.37 - fee feed as of 2026-03-30, STALE</t>
        </is>
      </c>
    </row>
    <row r="10">
      <c r="C10" s="11" t="inlineStr">
        <is>
          <t>Total variations (SKUs)</t>
        </is>
      </c>
      <c r="D10" s="55" t="n">
        <v>61</v>
      </c>
      <c r="K10" s="11" t="inlineStr">
        <is>
          <t>Contribution / unit</t>
        </is>
      </c>
      <c r="L10" s="55" t="inlineStr">
        <is>
          <t>$20.45</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1.16x</t>
        </is>
      </c>
      <c r="E12" s="57" t="inlineStr">
        <is>
          <t>1.6%</t>
        </is>
      </c>
      <c r="I12" s="57" t="inlineStr">
        <is>
          <t>0.76x</t>
        </is>
      </c>
      <c r="M12" s="57" t="inlineStr">
        <is>
          <t>36</t>
        </is>
      </c>
      <c r="Q12" s="57" t="inlineStr">
        <is>
          <t>18</t>
        </is>
      </c>
      <c r="U12" s="57" t="inlineStr">
        <is>
          <t>2</t>
        </is>
      </c>
    </row>
    <row r="13">
      <c r="A13" s="58" t="inlineStr">
        <is>
          <t>daily sales, BFCM wk vs 30 days before (SellerBoard actual)</t>
        </is>
      </c>
      <c r="E13" s="58" t="inlineStr">
        <is>
          <t>vs 4.4%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_xlfn.IMAGE("https://m.media-amazon.com/images/I/71l9fLZQ5oL.jpg")</f>
        <v/>
      </c>
      <c r="B18" s="32" t="inlineStr">
        <is>
          <t>B0F7M19VYV</t>
        </is>
      </c>
      <c r="C18" s="32" t="inlineStr">
        <is>
          <t>SL-COOLING-SHEET-KING-GRAPHITE</t>
        </is>
      </c>
      <c r="D18" s="32" t="inlineStr">
        <is>
          <t>SLEEPHORIA Cooling Sheets - BreezeWeave 4 PC King Size Cooling Bed Sheets for Hot Sleepers &amp; Deep, Cool Rest - Cloud Soft, Silky Smooth, 16 in Deep Pocket, Ultra Durable (Graphite)</t>
        </is>
      </c>
      <c r="E18" s="32" t="inlineStr">
        <is>
          <t>King</t>
        </is>
      </c>
      <c r="F18" s="32" t="inlineStr">
        <is>
          <t>Graphite</t>
        </is>
      </c>
      <c r="G18" s="60" t="n">
        <v>84.98999999999999</v>
      </c>
      <c r="H18" s="32" t="inlineStr">
        <is>
          <t>SellerBoard listing price, 2026-10-14</t>
        </is>
      </c>
      <c r="I18" s="61" t="n">
        <v>76.98999999999999</v>
      </c>
      <c r="J18" s="62" t="inlineStr">
        <is>
          <t>2026-03-30</t>
        </is>
      </c>
      <c r="K18" s="33" t="n">
        <v>26.61</v>
      </c>
      <c r="L18" s="63" t="n">
        <v>0.3456293025068191</v>
      </c>
      <c r="M18" s="64" t="n">
        <v>32</v>
      </c>
      <c r="N18" s="32" t="inlineStr">
        <is>
          <t>Active</t>
        </is>
      </c>
      <c r="O18" s="32" t="inlineStr">
        <is>
          <t>Yes (12%)</t>
        </is>
      </c>
      <c r="P18" s="65" t="n"/>
      <c r="Q18" s="64" t="n"/>
      <c r="R18" s="64" t="n"/>
      <c r="S18" s="64" t="n"/>
      <c r="T18" s="32" t="n"/>
    </row>
    <row r="19" ht="62" customHeight="1">
      <c r="A19" s="10">
        <f>_xlfn.IMAGE("https://m.media-amazon.com/images/I/71zzp2L9awL.jpg")</f>
        <v/>
      </c>
      <c r="B19" s="32" t="inlineStr">
        <is>
          <t>B0F7LY3K8C</t>
        </is>
      </c>
      <c r="C19" s="32" t="inlineStr">
        <is>
          <t>SL-COOLING-SHEET-QUEEN-GRAPHITE</t>
        </is>
      </c>
      <c r="D19" s="32" t="inlineStr">
        <is>
          <t>SLEEPHORIA Cooling Sheets - BreezeWeave 4 PC Queen Size Cooling Bed Sheets for Hot Sleepers &amp; Deep, Cool Rest - Cloud Soft, Silky Smooth, 16 in Deep Pocket, Ultra Durable (Graphite)</t>
        </is>
      </c>
      <c r="E19" s="32" t="inlineStr">
        <is>
          <t>Queen</t>
        </is>
      </c>
      <c r="F19" s="32" t="inlineStr">
        <is>
          <t>Graphite</t>
        </is>
      </c>
      <c r="G19" s="60" t="n">
        <v>79.98999999999999</v>
      </c>
      <c r="H19" s="32" t="inlineStr">
        <is>
          <t>Helium 10 Xray, 2026-10-13</t>
        </is>
      </c>
      <c r="I19" s="61" t="n">
        <v>64.98999999999999</v>
      </c>
      <c r="J19" s="62" t="inlineStr">
        <is>
          <t>2026-03-30</t>
        </is>
      </c>
      <c r="K19" s="33" t="n">
        <v>20.55</v>
      </c>
      <c r="L19" s="63" t="n">
        <v>0.3162024926911832</v>
      </c>
      <c r="M19" s="64" t="n">
        <v>22</v>
      </c>
      <c r="N19" s="32" t="inlineStr">
        <is>
          <t>Active</t>
        </is>
      </c>
      <c r="O19" s="32" t="inlineStr">
        <is>
          <t>Yes (60%)</t>
        </is>
      </c>
      <c r="P19" s="65" t="n">
        <v>4.4</v>
      </c>
      <c r="Q19" s="64" t="n">
        <v>894</v>
      </c>
      <c r="R19" s="64" t="n">
        <v>98965</v>
      </c>
      <c r="S19" s="64" t="n">
        <v>194</v>
      </c>
      <c r="T19" s="32" t="n"/>
    </row>
    <row r="20" ht="62" customHeight="1">
      <c r="A20" s="10">
        <f>_xlfn.IMAGE("https://m.media-amazon.com/images/I/71IsX4lcKOL.jpg")</f>
        <v/>
      </c>
      <c r="B20" s="32" t="inlineStr">
        <is>
          <t>B0F7LZQNHM</t>
        </is>
      </c>
      <c r="C20" s="32" t="inlineStr">
        <is>
          <t>SL-COOLING-SHEET-KING-LIGHT-GREY</t>
        </is>
      </c>
      <c r="D20" s="32" t="inlineStr">
        <is>
          <t>SLEEPHORIA Cooling Sheets - BreezeWeave 4 PC King Size Cooling Bed Sheets for Hot Sleepers &amp; Deep, Cool Rest - Cloud Soft, Silky Smooth, 16 in Deep Pocket, Ultra Durable (Light Grey)</t>
        </is>
      </c>
      <c r="E20" s="32" t="inlineStr">
        <is>
          <t>King</t>
        </is>
      </c>
      <c r="F20" s="32" t="inlineStr">
        <is>
          <t>Light Grey</t>
        </is>
      </c>
      <c r="G20" s="60" t="n">
        <v>84.98999999999999</v>
      </c>
      <c r="H20" s="32" t="inlineStr">
        <is>
          <t>Helium 10 Xray, 2026-10-13</t>
        </is>
      </c>
      <c r="I20" s="61" t="n">
        <v>69.98999999999999</v>
      </c>
      <c r="J20" s="62" t="inlineStr">
        <is>
          <t>2026-03-30</t>
        </is>
      </c>
      <c r="K20" s="33" t="n">
        <v>20.66</v>
      </c>
      <c r="L20" s="63" t="n">
        <v>0.2951850264323475</v>
      </c>
      <c r="M20" s="64" t="n">
        <v>19</v>
      </c>
      <c r="N20" s="32" t="inlineStr">
        <is>
          <t>Active</t>
        </is>
      </c>
      <c r="O20" s="32" t="n"/>
      <c r="P20" s="65" t="n">
        <v>4.4</v>
      </c>
      <c r="Q20" s="64" t="n">
        <v>894</v>
      </c>
      <c r="R20" s="64" t="n">
        <v>98970</v>
      </c>
      <c r="S20" s="64" t="n">
        <v>2</v>
      </c>
      <c r="T20" s="32" t="n"/>
    </row>
    <row r="21" ht="62" customHeight="1">
      <c r="A21" s="10">
        <f>_xlfn.IMAGE("https://m.media-amazon.com/images/I/71rPErVk7tL.jpg")</f>
        <v/>
      </c>
      <c r="B21" s="32" t="inlineStr">
        <is>
          <t>B0F7LYCX4N</t>
        </is>
      </c>
      <c r="C21" s="32" t="inlineStr">
        <is>
          <t>SL-COOLING-SHEET-KING-LIGHT-BLUE</t>
        </is>
      </c>
      <c r="D21" s="32" t="inlineStr">
        <is>
          <t>SLEEPHORIA Cooling Sheets - BreezeWeave 4 PC King Size Cooling Bed Sheets for Hot Sleepers &amp; Deep, Cool Rest - Cloud Soft, Silky Smooth, 16 in Deep Pocket, Ultra Durable (Light Blue)</t>
        </is>
      </c>
      <c r="E21" s="32" t="inlineStr">
        <is>
          <t>King</t>
        </is>
      </c>
      <c r="F21" s="32" t="inlineStr">
        <is>
          <t>Light Blue</t>
        </is>
      </c>
      <c r="G21" s="60" t="n">
        <v>84.98999999999999</v>
      </c>
      <c r="H21" s="32" t="inlineStr">
        <is>
          <t>Helium 10 Xray, 2026-10-13</t>
        </is>
      </c>
      <c r="I21" s="61" t="n">
        <v>69.98999999999999</v>
      </c>
      <c r="J21" s="62" t="inlineStr">
        <is>
          <t>2026-03-28</t>
        </is>
      </c>
      <c r="K21" s="33" t="n">
        <v>20.58</v>
      </c>
      <c r="L21" s="63" t="n">
        <v>0.2940420060008573</v>
      </c>
      <c r="M21" s="64" t="n">
        <v>18</v>
      </c>
      <c r="N21" s="32" t="inlineStr">
        <is>
          <t>Active</t>
        </is>
      </c>
      <c r="O21" s="32" t="n"/>
      <c r="P21" s="65" t="n">
        <v>4.4</v>
      </c>
      <c r="Q21" s="64" t="n">
        <v>894</v>
      </c>
      <c r="R21" s="64" t="n">
        <v>98970</v>
      </c>
      <c r="S21" s="64" t="n">
        <v>2</v>
      </c>
      <c r="T21" s="32" t="n"/>
    </row>
    <row r="22" ht="62" customHeight="1">
      <c r="A22" s="10">
        <f>_xlfn.IMAGE("https://m.media-amazon.com/images/I/71wucpiYBHL.jpg")</f>
        <v/>
      </c>
      <c r="B22" s="32" t="inlineStr">
        <is>
          <t>B0F7LXS4FK</t>
        </is>
      </c>
      <c r="C22" s="32" t="inlineStr">
        <is>
          <t>SL-COOLING-SHEET-KING-CREAM</t>
        </is>
      </c>
      <c r="D22" s="32" t="inlineStr">
        <is>
          <t>SLEEPHORIA Cooling Sheets - BreezeWeave 4 PC King Size Cooling Bed Sheets for Hot Sleepers &amp; Deep, Cool Rest - Cloud Soft, Silky Smooth, 16 in Deep Pocket, Ultra Durable (Cream)</t>
        </is>
      </c>
      <c r="E22" s="32" t="inlineStr">
        <is>
          <t>King</t>
        </is>
      </c>
      <c r="F22" s="32" t="inlineStr">
        <is>
          <t>Cream</t>
        </is>
      </c>
      <c r="G22" s="60" t="n">
        <v>84.98999999999999</v>
      </c>
      <c r="H22" s="32" t="inlineStr">
        <is>
          <t>Helium 10 Xray, 2026-10-13</t>
        </is>
      </c>
      <c r="I22" s="61" t="n">
        <v>76.98999999999999</v>
      </c>
      <c r="J22" s="62" t="inlineStr">
        <is>
          <t>2026-03-30</t>
        </is>
      </c>
      <c r="K22" s="33" t="n">
        <v>26.61</v>
      </c>
      <c r="L22" s="63" t="n">
        <v>0.3456293025068191</v>
      </c>
      <c r="M22" s="64" t="n">
        <v>16</v>
      </c>
      <c r="N22" s="32" t="inlineStr">
        <is>
          <t>Active</t>
        </is>
      </c>
      <c r="O22" s="32" t="n"/>
      <c r="P22" s="65" t="n">
        <v>4.4</v>
      </c>
      <c r="Q22" s="64" t="n">
        <v>894</v>
      </c>
      <c r="R22" s="64" t="n">
        <v>98970</v>
      </c>
      <c r="S22" s="64" t="n">
        <v>2</v>
      </c>
      <c r="T22" s="32" t="n"/>
    </row>
    <row r="23" ht="62" customHeight="1">
      <c r="A23" s="10">
        <f>_xlfn.IMAGE("https://m.media-amazon.com/images/I/71zzp2L9awL.jpg")</f>
        <v/>
      </c>
      <c r="B23" s="32" t="inlineStr">
        <is>
          <t>B0F7LY8QWF</t>
        </is>
      </c>
      <c r="C23" s="32" t="inlineStr">
        <is>
          <t>SL-COOLING-SHEET-CAL-KING-GRAPHITE</t>
        </is>
      </c>
      <c r="D23" s="32" t="inlineStr">
        <is>
          <t>SLEEPHORIA Cooling Sheets - BreezeWeave 4 PC California King Size Cooling Bed Sheets for Hot Sleepers &amp; Deep, Cool Rest - Cloud Soft, Silky Smooth, 16 in Deep Pocket, Ultra Durable (Graphite)</t>
        </is>
      </c>
      <c r="E23" s="32" t="inlineStr">
        <is>
          <t>Cal King</t>
        </is>
      </c>
      <c r="F23" s="32" t="inlineStr">
        <is>
          <t>Graphite</t>
        </is>
      </c>
      <c r="G23" s="60" t="n">
        <v>84.98999999999999</v>
      </c>
      <c r="H23" s="32" t="inlineStr">
        <is>
          <t>Helium 10 Xray, 2026-10-13</t>
        </is>
      </c>
      <c r="I23" s="61" t="n">
        <v>69.98999999999999</v>
      </c>
      <c r="J23" s="62" t="inlineStr">
        <is>
          <t>2026-03-30</t>
        </is>
      </c>
      <c r="K23" s="33" t="n">
        <v>19.49999999999999</v>
      </c>
      <c r="L23" s="63" t="n">
        <v>0.2786112301757393</v>
      </c>
      <c r="M23" s="64" t="n">
        <v>15</v>
      </c>
      <c r="N23" s="32" t="inlineStr">
        <is>
          <t>Active</t>
        </is>
      </c>
      <c r="O23" s="32" t="n"/>
      <c r="P23" s="65" t="n">
        <v>4.4</v>
      </c>
      <c r="Q23" s="64" t="n">
        <v>894</v>
      </c>
      <c r="R23" s="64" t="n">
        <v>98965</v>
      </c>
      <c r="S23" s="64" t="n">
        <v>2</v>
      </c>
      <c r="T23" s="32" t="n"/>
    </row>
    <row r="24" ht="62" customHeight="1">
      <c r="A24" s="10">
        <f>_xlfn.IMAGE("https://m.media-amazon.com/images/I/710gZCg6zoL.jpg")</f>
        <v/>
      </c>
      <c r="B24" s="32" t="inlineStr">
        <is>
          <t>B0F7LX5ZQN</t>
        </is>
      </c>
      <c r="C24" s="32" t="inlineStr">
        <is>
          <t>SL-COOLING-SHEET-KING-WHITE</t>
        </is>
      </c>
      <c r="D24" s="32" t="inlineStr">
        <is>
          <t>SLEEPHORIA Cooling Sheets - BreezeWeave 4 PC King Size Cooling Bed Sheets for Hot Sleepers &amp; Deep, Cool Rest - Cloud Soft, Silky Smooth, 16 in Deep Pocket, Ultra Durable (White)</t>
        </is>
      </c>
      <c r="E24" s="32" t="inlineStr">
        <is>
          <t>King</t>
        </is>
      </c>
      <c r="F24" s="32" t="inlineStr">
        <is>
          <t>White</t>
        </is>
      </c>
      <c r="G24" s="60" t="n">
        <v>84.98999999999999</v>
      </c>
      <c r="H24" s="32" t="inlineStr">
        <is>
          <t>Helium 10 Xray, 2026-10-13</t>
        </is>
      </c>
      <c r="I24" s="61" t="n">
        <v>76.98999999999999</v>
      </c>
      <c r="J24" s="62" t="inlineStr">
        <is>
          <t>2026-03-30</t>
        </is>
      </c>
      <c r="K24" s="33" t="n">
        <v>26.53</v>
      </c>
      <c r="L24" s="63" t="n">
        <v>0.3445902065203273</v>
      </c>
      <c r="M24" s="64" t="n">
        <v>15</v>
      </c>
      <c r="N24" s="32" t="inlineStr">
        <is>
          <t>Active</t>
        </is>
      </c>
      <c r="O24" s="32" t="n"/>
      <c r="P24" s="65" t="n">
        <v>4.4</v>
      </c>
      <c r="Q24" s="64" t="n">
        <v>894</v>
      </c>
      <c r="R24" s="64" t="n">
        <v>98970</v>
      </c>
      <c r="S24" s="64" t="n">
        <v>2</v>
      </c>
      <c r="T24" s="32" t="n"/>
    </row>
    <row r="25" ht="62" customHeight="1">
      <c r="A25" s="10">
        <f>_xlfn.IMAGE("https://m.media-amazon.com/images/I/71Yi7AA7VHL.jpg")</f>
        <v/>
      </c>
      <c r="B25" s="32" t="inlineStr">
        <is>
          <t>B0F7LY14LM</t>
        </is>
      </c>
      <c r="C25" s="32" t="inlineStr">
        <is>
          <t>SL-COOLING-SHEET-QUEEN-MIDNIGHT-BLACK</t>
        </is>
      </c>
      <c r="D25" s="32" t="inlineStr">
        <is>
          <t>SLEEPHORIA Cooling Sheets - BreezeWeave 4 PC Queen Size Cooling Bed Sheets for Hot Sleepers &amp; Deep, Cool Rest - Cloud Soft, Silky Smooth, 16 in Deep Pocket, Ultra Durable (Midnight Black)</t>
        </is>
      </c>
      <c r="E25" s="32" t="inlineStr">
        <is>
          <t>Queen</t>
        </is>
      </c>
      <c r="F25" s="32" t="inlineStr">
        <is>
          <t>Midnight Black</t>
        </is>
      </c>
      <c r="G25" s="60" t="n">
        <v>79.98999999999999</v>
      </c>
      <c r="H25" s="32" t="inlineStr">
        <is>
          <t>Helium 10 Xray, 2026-10-13</t>
        </is>
      </c>
      <c r="I25" s="61" t="n">
        <v>64.98999999999999</v>
      </c>
      <c r="J25" s="62" t="inlineStr">
        <is>
          <t>2026-03-30</t>
        </is>
      </c>
      <c r="K25" s="33" t="n">
        <v>20.55</v>
      </c>
      <c r="L25" s="63" t="n">
        <v>0.3162024926911832</v>
      </c>
      <c r="M25" s="64" t="n">
        <v>14</v>
      </c>
      <c r="N25" s="32" t="inlineStr">
        <is>
          <t>Active</t>
        </is>
      </c>
      <c r="O25" s="32" t="n"/>
      <c r="P25" s="65" t="n">
        <v>4.4</v>
      </c>
      <c r="Q25" s="64" t="n">
        <v>894</v>
      </c>
      <c r="R25" s="64" t="n">
        <v>98965</v>
      </c>
      <c r="S25" s="64" t="n">
        <v>4</v>
      </c>
      <c r="T25" s="32" t="n"/>
    </row>
    <row r="26" ht="62" customHeight="1">
      <c r="A26" s="10">
        <f>_xlfn.IMAGE("https://m.media-amazon.com/images/I/71WtuLuQ2wL.jpg")</f>
        <v/>
      </c>
      <c r="B26" s="32" t="inlineStr">
        <is>
          <t>B0F7LY4DSG</t>
        </is>
      </c>
      <c r="C26" s="32" t="inlineStr">
        <is>
          <t>SL-COOLING-SHEET-QUEEN-REGAL-PURPLE</t>
        </is>
      </c>
      <c r="D26" s="32" t="inlineStr">
        <is>
          <t>SLEEPHORIA Cooling Sheets - BreezeWeave 4 PC Queen Size Cooling Bed Sheets for Hot Sleepers &amp; Deep, Cool Rest - Cloud Soft, Silky Smooth, 16 in Deep Pocket, Ultra Durable (Regal Purple)</t>
        </is>
      </c>
      <c r="E26" s="32" t="inlineStr">
        <is>
          <t>Queen</t>
        </is>
      </c>
      <c r="F26" s="32" t="inlineStr">
        <is>
          <t>Regal Purple</t>
        </is>
      </c>
      <c r="G26" s="60" t="n">
        <v>79.98999999999999</v>
      </c>
      <c r="H26" s="32" t="inlineStr">
        <is>
          <t>Helium 10 Xray, 2026-10-13</t>
        </is>
      </c>
      <c r="I26" s="61" t="n">
        <v>64.98999999999999</v>
      </c>
      <c r="J26" s="62" t="inlineStr">
        <is>
          <t>2026-03-30</t>
        </is>
      </c>
      <c r="K26" s="33" t="n">
        <v>20.55</v>
      </c>
      <c r="L26" s="63" t="n">
        <v>0.3162024926911832</v>
      </c>
      <c r="M26" s="64" t="n">
        <v>13</v>
      </c>
      <c r="N26" s="32" t="inlineStr">
        <is>
          <t>Active</t>
        </is>
      </c>
      <c r="O26" s="32" t="inlineStr">
        <is>
          <t>Yes (4%)</t>
        </is>
      </c>
      <c r="P26" s="65" t="n">
        <v>4.4</v>
      </c>
      <c r="Q26" s="64" t="n">
        <v>894</v>
      </c>
      <c r="R26" s="64" t="n">
        <v>98970</v>
      </c>
      <c r="S26" s="64" t="n">
        <v>4</v>
      </c>
      <c r="T26" s="32" t="n"/>
    </row>
    <row r="27" ht="62" customHeight="1">
      <c r="A27" s="10">
        <f>_xlfn.IMAGE("https://m.media-amazon.com/images/I/71zC97UTBkL.jpg")</f>
        <v/>
      </c>
      <c r="B27" s="32" t="inlineStr">
        <is>
          <t>B0F7LZFZCH</t>
        </is>
      </c>
      <c r="C27" s="32" t="inlineStr">
        <is>
          <t>SL-COOLING-SHEET-QUEEN-SAGE-GREEN</t>
        </is>
      </c>
      <c r="D27" s="32" t="inlineStr">
        <is>
          <t>SLEEPHORIA Cooling Sheets - BreezeWeave 4 PC Queen Size Cooling Bed Sheets for Hot Sleepers &amp; Deep, Cool Rest - Cloud Soft, Silky Smooth, 16 in Deep Pocket, Ultra Durable (Sage Green)</t>
        </is>
      </c>
      <c r="E27" s="32" t="inlineStr">
        <is>
          <t>Queen</t>
        </is>
      </c>
      <c r="F27" s="32" t="inlineStr">
        <is>
          <t>Sage Green</t>
        </is>
      </c>
      <c r="G27" s="60" t="n">
        <v>86.39</v>
      </c>
      <c r="H27" s="32" t="inlineStr">
        <is>
          <t>Helium 10 Xray, 2026-10-13</t>
        </is>
      </c>
      <c r="I27" s="61" t="n">
        <v>64.98999999999999</v>
      </c>
      <c r="J27" s="62" t="inlineStr">
        <is>
          <t>2026-03-30</t>
        </is>
      </c>
      <c r="K27" s="33" t="n">
        <v>20.55</v>
      </c>
      <c r="L27" s="63" t="n">
        <v>0.3162024926911832</v>
      </c>
      <c r="M27" s="64" t="n">
        <v>13</v>
      </c>
      <c r="N27" s="32" t="inlineStr">
        <is>
          <t>Active</t>
        </is>
      </c>
      <c r="O27" s="32" t="n"/>
      <c r="P27" s="65" t="n">
        <v>4.4</v>
      </c>
      <c r="Q27" s="64" t="n">
        <v>894</v>
      </c>
      <c r="R27" s="64" t="n">
        <v>98970</v>
      </c>
      <c r="S27" s="64" t="n">
        <v>3</v>
      </c>
      <c r="T27" s="32" t="n"/>
    </row>
    <row r="28" ht="62" customHeight="1">
      <c r="A28" s="10">
        <f>_xlfn.IMAGE("https://m.media-amazon.com/images/I/71WtuLuQ2wL.jpg")</f>
        <v/>
      </c>
      <c r="B28" s="32" t="inlineStr">
        <is>
          <t>B0F7LX84MY</t>
        </is>
      </c>
      <c r="C28" s="32" t="inlineStr">
        <is>
          <t>SL-COOLING-SHEET-KING-REGAL-PURPLE</t>
        </is>
      </c>
      <c r="D28" s="32" t="inlineStr">
        <is>
          <t>SLEEPHORIA Cooling Sheets - BreezeWeave 4 PC King Size Cooling Bed Sheets for Hot Sleepers &amp; Deep, Cool Rest - Cloud Soft, Silky Smooth, 16 in Deep Pocket, Ultra Durable (Regal Purple)</t>
        </is>
      </c>
      <c r="E28" s="32" t="inlineStr">
        <is>
          <t>King</t>
        </is>
      </c>
      <c r="F28" s="32" t="inlineStr">
        <is>
          <t>Regal Purple</t>
        </is>
      </c>
      <c r="G28" s="60" t="n">
        <v>84.98999999999999</v>
      </c>
      <c r="H28" s="32" t="inlineStr">
        <is>
          <t>Helium 10 Xray, 2026-10-13</t>
        </is>
      </c>
      <c r="I28" s="61" t="n">
        <v>69.98999999999999</v>
      </c>
      <c r="J28" s="62" t="inlineStr">
        <is>
          <t>2026-03-30</t>
        </is>
      </c>
      <c r="K28" s="33" t="n">
        <v>20.58</v>
      </c>
      <c r="L28" s="63" t="n">
        <v>0.2940420060008573</v>
      </c>
      <c r="M28" s="64" t="n">
        <v>11</v>
      </c>
      <c r="N28" s="32" t="inlineStr">
        <is>
          <t>Active</t>
        </is>
      </c>
      <c r="O28" s="32" t="n"/>
      <c r="P28" s="65" t="n">
        <v>4.4</v>
      </c>
      <c r="Q28" s="64" t="n">
        <v>894</v>
      </c>
      <c r="R28" s="64" t="n">
        <v>98970</v>
      </c>
      <c r="S28" s="64" t="n">
        <v>2</v>
      </c>
      <c r="T28" s="32" t="n"/>
    </row>
    <row r="29" ht="62" customHeight="1">
      <c r="A29" s="10">
        <f>_xlfn.IMAGE("https://m.media-amazon.com/images/I/71IsX4lcKOL.jpg")</f>
        <v/>
      </c>
      <c r="B29" s="32" t="inlineStr">
        <is>
          <t>B0F7LYTDD7</t>
        </is>
      </c>
      <c r="C29" s="32" t="inlineStr">
        <is>
          <t>SL-COOLING-SHEET-QUEEN-LIGHT-GREY</t>
        </is>
      </c>
      <c r="D29" s="32" t="inlineStr">
        <is>
          <t>SLEEPHORIA Cooling Sheets - BreezeWeave 4 PC Queen Size Cooling Bed Sheets for Hot Sleepers &amp; Deep, Cool Rest - Cloud Soft, Silky Smooth, 16 in Deep Pocket, Ultra Durable (Light Grey)</t>
        </is>
      </c>
      <c r="E29" s="32" t="inlineStr">
        <is>
          <t>Queen</t>
        </is>
      </c>
      <c r="F29" s="32" t="inlineStr">
        <is>
          <t>Light Grey</t>
        </is>
      </c>
      <c r="G29" s="60" t="n">
        <v>79.98999999999999</v>
      </c>
      <c r="H29" s="32" t="inlineStr">
        <is>
          <t>Helium 10 Xray, 2026-10-13</t>
        </is>
      </c>
      <c r="I29" s="61" t="n">
        <v>64.98999999999999</v>
      </c>
      <c r="J29" s="62" t="inlineStr">
        <is>
          <t>2026-03-28</t>
        </is>
      </c>
      <c r="K29" s="33" t="n">
        <v>20.55</v>
      </c>
      <c r="L29" s="63" t="n">
        <v>0.3162024926911832</v>
      </c>
      <c r="M29" s="64" t="n">
        <v>10</v>
      </c>
      <c r="N29" s="32" t="inlineStr">
        <is>
          <t>Active</t>
        </is>
      </c>
      <c r="O29" s="32" t="n"/>
      <c r="P29" s="65" t="n">
        <v>4.4</v>
      </c>
      <c r="Q29" s="64" t="n">
        <v>894</v>
      </c>
      <c r="R29" s="64" t="n">
        <v>98970</v>
      </c>
      <c r="S29" s="64" t="n">
        <v>4</v>
      </c>
      <c r="T29" s="32" t="n"/>
    </row>
    <row r="30" ht="62" customHeight="1">
      <c r="A30" s="10">
        <f>_xlfn.IMAGE("https://m.media-amazon.com/images/I/71l9fLZQ5oL.jpg")</f>
        <v/>
      </c>
      <c r="B30" s="32" t="inlineStr">
        <is>
          <t>B0F7LZ27F2</t>
        </is>
      </c>
      <c r="C30" s="32" t="inlineStr">
        <is>
          <t>SL-COOLING-SHEET-TWIN-GRAPHITE</t>
        </is>
      </c>
      <c r="D30" s="32" t="inlineStr">
        <is>
          <t>SLEEPHORIA Cooling Sheets - BreezeWeave 3 PC Twin Size Cooling Bed Sheets for Hot Sleepers &amp; Deep, Cool Rest - Cloud Soft, Silky Smooth, 16 in Deep Pocket, Ultra Durable (Graphite)</t>
        </is>
      </c>
      <c r="E30" s="32" t="inlineStr">
        <is>
          <t>Twin</t>
        </is>
      </c>
      <c r="F30" s="32" t="inlineStr">
        <is>
          <t>Graphite</t>
        </is>
      </c>
      <c r="G30" s="60" t="n">
        <v>59.99</v>
      </c>
      <c r="H30" s="32" t="inlineStr">
        <is>
          <t>Helium 10 Xray, 2026-10-13</t>
        </is>
      </c>
      <c r="I30" s="61" t="n">
        <v>49.99</v>
      </c>
      <c r="J30" s="62" t="inlineStr">
        <is>
          <t>2026-03-30</t>
        </is>
      </c>
      <c r="K30" s="33" t="n">
        <v>13.45</v>
      </c>
      <c r="L30" s="63" t="n">
        <v>0.2690538107621524</v>
      </c>
      <c r="M30" s="64" t="n">
        <v>10</v>
      </c>
      <c r="N30" s="32" t="inlineStr">
        <is>
          <t>Active</t>
        </is>
      </c>
      <c r="O30" s="32" t="n"/>
      <c r="P30" s="65" t="n">
        <v>4.4</v>
      </c>
      <c r="Q30" s="64" t="n">
        <v>894</v>
      </c>
      <c r="R30" s="64" t="n">
        <v>98970</v>
      </c>
      <c r="S30" s="64" t="n">
        <v>9</v>
      </c>
      <c r="T30" s="32" t="n"/>
    </row>
    <row r="31" ht="62" customHeight="1">
      <c r="A31" s="10">
        <f>_xlfn.IMAGE("https://m.media-amazon.com/images/I/71rPErVk7tL.jpg")</f>
        <v/>
      </c>
      <c r="B31" s="32" t="inlineStr">
        <is>
          <t>B0F7LZR5DF</t>
        </is>
      </c>
      <c r="C31" s="32" t="inlineStr">
        <is>
          <t>SL-COOLING-SHEET-QUEEN-LIGHT-BLUE</t>
        </is>
      </c>
      <c r="D31" s="32" t="inlineStr">
        <is>
          <t>SLEEPHORIA Cooling Sheets - BreezeWeave 4 PC Queen Size Cooling Bed Sheets for Hot Sleepers &amp; Deep, Cool Rest - Cloud Soft, Silky Smooth, 16 in Deep Pocket, Ultra Durable (Light Blue)</t>
        </is>
      </c>
      <c r="E31" s="32" t="inlineStr">
        <is>
          <t>Queen</t>
        </is>
      </c>
      <c r="F31" s="32" t="inlineStr">
        <is>
          <t>Light Blue</t>
        </is>
      </c>
      <c r="G31" s="60" t="n">
        <v>79.98999999999999</v>
      </c>
      <c r="H31" s="32" t="inlineStr">
        <is>
          <t>Helium 10 Xray, 2026-10-13</t>
        </is>
      </c>
      <c r="I31" s="61" t="n">
        <v>64.98999999999999</v>
      </c>
      <c r="J31" s="62" t="inlineStr">
        <is>
          <t>2026-03-30</t>
        </is>
      </c>
      <c r="K31" s="33" t="n">
        <v>20.31999999999999</v>
      </c>
      <c r="L31" s="63" t="n">
        <v>0.31266348669026</v>
      </c>
      <c r="M31" s="64" t="n">
        <v>8</v>
      </c>
      <c r="N31" s="32" t="inlineStr">
        <is>
          <t>Active</t>
        </is>
      </c>
      <c r="O31" s="32" t="n"/>
      <c r="P31" s="65" t="n">
        <v>4.4</v>
      </c>
      <c r="Q31" s="64" t="n">
        <v>894</v>
      </c>
      <c r="R31" s="64" t="n">
        <v>98965</v>
      </c>
      <c r="S31" s="64" t="n">
        <v>3</v>
      </c>
      <c r="T31" s="32" t="n"/>
    </row>
    <row r="32" ht="62" customHeight="1">
      <c r="A32" s="10">
        <f>_xlfn.IMAGE("https://m.media-amazon.com/images/I/71oSNn2drKL.jpg")</f>
        <v/>
      </c>
      <c r="B32" s="32" t="inlineStr">
        <is>
          <t>B0F7LYNN5W</t>
        </is>
      </c>
      <c r="C32" s="32" t="inlineStr">
        <is>
          <t>SL-COOLING-SHEET-QUEEN-NAVY-BLUE</t>
        </is>
      </c>
      <c r="D32" s="32" t="inlineStr">
        <is>
          <t>SLEEPHORIA Cooling Sheets - BreezeWeave 4 PC Queen Size Cooling Bed Sheets for Hot Sleepers &amp; Deep, Cool Rest - Cloud Soft, Silky Smooth, 16 in Deep Pocket, Ultra Durable (Navy Blue)</t>
        </is>
      </c>
      <c r="E32" s="32" t="inlineStr">
        <is>
          <t>Queen</t>
        </is>
      </c>
      <c r="F32" s="32" t="inlineStr">
        <is>
          <t>Navy Blue</t>
        </is>
      </c>
      <c r="G32" s="60" t="n">
        <v>79.98999999999999</v>
      </c>
      <c r="H32" s="32" t="inlineStr">
        <is>
          <t>Helium 10 Xray, 2026-10-13</t>
        </is>
      </c>
      <c r="I32" s="61" t="n">
        <v>64.98999999999999</v>
      </c>
      <c r="J32" s="62" t="inlineStr">
        <is>
          <t>2026-03-30</t>
        </is>
      </c>
      <c r="K32" s="33" t="n">
        <v>20.46999999999999</v>
      </c>
      <c r="L32" s="63" t="n">
        <v>0.3149715340821664</v>
      </c>
      <c r="M32" s="64" t="n">
        <v>8</v>
      </c>
      <c r="N32" s="32" t="inlineStr">
        <is>
          <t>Active</t>
        </is>
      </c>
      <c r="O32" s="32" t="n"/>
      <c r="P32" s="65" t="n">
        <v>4.4</v>
      </c>
      <c r="Q32" s="64" t="n">
        <v>894</v>
      </c>
      <c r="R32" s="64" t="n">
        <v>98970</v>
      </c>
      <c r="S32" s="64" t="n">
        <v>4</v>
      </c>
      <c r="T32" s="32" t="n"/>
    </row>
    <row r="33" ht="62" customHeight="1">
      <c r="A33" s="10">
        <f>_xlfn.IMAGE("https://m.media-amazon.com/images/I/71BbWLCECZL.jpg")</f>
        <v/>
      </c>
      <c r="B33" s="32" t="inlineStr">
        <is>
          <t>B0F7LYVZMY</t>
        </is>
      </c>
      <c r="C33" s="32" t="inlineStr">
        <is>
          <t>SL-COOLING-SHEET-TWIN-NAVY-BLUE</t>
        </is>
      </c>
      <c r="D33" s="32" t="inlineStr">
        <is>
          <t>SLEEPHORIA Cooling Sheets - BreezeWeave 3 PC Twin Size Cooling Bed Sheets for Hot Sleepers &amp; Deep, Cool Rest - Cloud Soft, Silky Smooth, 16 in Deep Pocket, Ultra Durable (Navy Blue)</t>
        </is>
      </c>
      <c r="E33" s="32" t="inlineStr">
        <is>
          <t>Twin</t>
        </is>
      </c>
      <c r="F33" s="32" t="inlineStr">
        <is>
          <t>Navy Blue</t>
        </is>
      </c>
      <c r="G33" s="60" t="n">
        <v>59.99</v>
      </c>
      <c r="H33" s="32" t="inlineStr">
        <is>
          <t>Helium 10 Xray, 2026-10-13</t>
        </is>
      </c>
      <c r="I33" s="61" t="n">
        <v>49.99</v>
      </c>
      <c r="J33" s="62" t="inlineStr">
        <is>
          <t>2026-03-30</t>
        </is>
      </c>
      <c r="K33" s="33" t="n">
        <v>13.45</v>
      </c>
      <c r="L33" s="63" t="n">
        <v>0.2690538107621524</v>
      </c>
      <c r="M33" s="64" t="n">
        <v>8</v>
      </c>
      <c r="N33" s="32" t="inlineStr">
        <is>
          <t>Active</t>
        </is>
      </c>
      <c r="O33" s="32" t="n"/>
      <c r="P33" s="65" t="n">
        <v>4.4</v>
      </c>
      <c r="Q33" s="64" t="n">
        <v>894</v>
      </c>
      <c r="R33" s="64" t="n">
        <v>98970</v>
      </c>
      <c r="S33" s="64" t="n">
        <v>9</v>
      </c>
      <c r="T33" s="32" t="n"/>
    </row>
    <row r="34" ht="62" customHeight="1">
      <c r="A34" s="10">
        <f>_xlfn.IMAGE("https://m.media-amazon.com/images/I/713ouXr9eCL.jpg")</f>
        <v/>
      </c>
      <c r="B34" s="32" t="inlineStr">
        <is>
          <t>B0F7LX6W9T</t>
        </is>
      </c>
      <c r="C34" s="32" t="inlineStr">
        <is>
          <t>SL-COOLING-SHEET-QUEEN-BEIGE</t>
        </is>
      </c>
      <c r="D34" s="32" t="inlineStr">
        <is>
          <t>SLEEPHORIA Cooling Sheets - BreezeWeave 4 PC Queen Size Cooling Bed Sheets for Hot Sleepers &amp; Deep, Cool Rest - Cloud Soft, Silky Smooth, 16 in Deep Pocket, Ultra Durable (Beige)</t>
        </is>
      </c>
      <c r="E34" s="32" t="inlineStr">
        <is>
          <t>Queen</t>
        </is>
      </c>
      <c r="F34" s="32" t="inlineStr">
        <is>
          <t>Beige</t>
        </is>
      </c>
      <c r="G34" s="60" t="n">
        <v>79.98999999999999</v>
      </c>
      <c r="H34" s="32" t="inlineStr">
        <is>
          <t>Helium 10 Xray, 2026-10-13</t>
        </is>
      </c>
      <c r="I34" s="61" t="n">
        <v>64.98999999999999</v>
      </c>
      <c r="J34" s="62" t="inlineStr">
        <is>
          <t>2026-03-30</t>
        </is>
      </c>
      <c r="K34" s="33" t="n">
        <v>20.63</v>
      </c>
      <c r="L34" s="63" t="n">
        <v>0.3174334513002</v>
      </c>
      <c r="M34" s="64" t="n">
        <v>7</v>
      </c>
      <c r="N34" s="32" t="inlineStr">
        <is>
          <t>Active</t>
        </is>
      </c>
      <c r="O34" s="32" t="n"/>
      <c r="P34" s="65" t="n">
        <v>4.4</v>
      </c>
      <c r="Q34" s="64" t="n">
        <v>894</v>
      </c>
      <c r="R34" s="64" t="n">
        <v>98970</v>
      </c>
      <c r="S34" s="64" t="n">
        <v>3</v>
      </c>
      <c r="T34" s="32" t="n"/>
    </row>
    <row r="35" ht="62" customHeight="1">
      <c r="A35" s="10">
        <f>_xlfn.IMAGE("https://m.media-amazon.com/images/I/71wucpiYBHL.jpg")</f>
        <v/>
      </c>
      <c r="B35" s="32" t="inlineStr">
        <is>
          <t>B0F7LWK826</t>
        </is>
      </c>
      <c r="C35" s="32" t="inlineStr">
        <is>
          <t>SL-COOLING-SHEET-QUEEN-CREAM</t>
        </is>
      </c>
      <c r="D35" s="32" t="inlineStr">
        <is>
          <t>SLEEPHORIA Cooling Sheets - BreezeWeave 4 PC Queen Size Cooling Bed Sheets for Hot Sleepers &amp; Deep, Cool Rest - Cloud Soft, Silky Smooth, 16 in Deep Pocket, Ultra Durable (Cream)</t>
        </is>
      </c>
      <c r="E35" s="32" t="inlineStr">
        <is>
          <t>Queen</t>
        </is>
      </c>
      <c r="F35" s="32" t="inlineStr">
        <is>
          <t>Cream</t>
        </is>
      </c>
      <c r="G35" s="60" t="n">
        <v>79.98999999999999</v>
      </c>
      <c r="H35" s="32" t="inlineStr">
        <is>
          <t>Helium 10 Xray, 2026-10-13</t>
        </is>
      </c>
      <c r="I35" s="61" t="n">
        <v>64.98999999999999</v>
      </c>
      <c r="J35" s="62" t="inlineStr">
        <is>
          <t>2026-03-30</t>
        </is>
      </c>
      <c r="K35" s="33" t="n">
        <v>20.55</v>
      </c>
      <c r="L35" s="63" t="n">
        <v>0.3162024926911832</v>
      </c>
      <c r="M35" s="64" t="n">
        <v>7</v>
      </c>
      <c r="N35" s="32" t="inlineStr">
        <is>
          <t>Active</t>
        </is>
      </c>
      <c r="O35" s="32" t="n"/>
      <c r="P35" s="65" t="n">
        <v>4.4</v>
      </c>
      <c r="Q35" s="64" t="n">
        <v>894</v>
      </c>
      <c r="R35" s="64" t="n">
        <v>98965</v>
      </c>
      <c r="S35" s="64" t="n">
        <v>4</v>
      </c>
      <c r="T35" s="32" t="n"/>
    </row>
    <row r="36" ht="62" customHeight="1">
      <c r="A36" s="10">
        <f>_xlfn.IMAGE("https://m.media-amazon.com/images/I/71zzp2L9awL.jpg")</f>
        <v/>
      </c>
      <c r="B36" s="32" t="inlineStr">
        <is>
          <t>B0F7LY3ZWB</t>
        </is>
      </c>
      <c r="C36" s="32" t="inlineStr">
        <is>
          <t>SL-COOLING-SHEET-FULL-GRAPHITE</t>
        </is>
      </c>
      <c r="D36" s="32" t="inlineStr">
        <is>
          <t>SLEEPHORIA Cooling Sheets - BreezeWeave 4 PC Full Size Cooling Bed Sheets for Hot Sleepers &amp; Deep, Cool Rest - Cloud Soft, Silky Smooth, 16 in Deep Pocket, Ultra Durable (Graphite)</t>
        </is>
      </c>
      <c r="E36" s="32" t="inlineStr">
        <is>
          <t>Full</t>
        </is>
      </c>
      <c r="F36" s="32" t="inlineStr">
        <is>
          <t>Graphite</t>
        </is>
      </c>
      <c r="G36" s="60" t="n">
        <v>64.98999999999999</v>
      </c>
      <c r="H36" s="32" t="inlineStr">
        <is>
          <t>Helium 10 Xray, 2026-10-13</t>
        </is>
      </c>
      <c r="I36" s="61" t="n">
        <v>54.99</v>
      </c>
      <c r="J36" s="62" t="inlineStr">
        <is>
          <t>2026-03-30</t>
        </is>
      </c>
      <c r="K36" s="33" t="n">
        <v>13.3</v>
      </c>
      <c r="L36" s="63" t="n">
        <v>0.2418621567557738</v>
      </c>
      <c r="M36" s="64" t="n">
        <v>6</v>
      </c>
      <c r="N36" s="32" t="inlineStr">
        <is>
          <t>Active</t>
        </is>
      </c>
      <c r="O36" s="32" t="n"/>
      <c r="P36" s="65" t="n">
        <v>4.4</v>
      </c>
      <c r="Q36" s="64" t="n">
        <v>894</v>
      </c>
      <c r="R36" s="64" t="n">
        <v>98970</v>
      </c>
      <c r="S36" s="64" t="n">
        <v>7</v>
      </c>
      <c r="T36" s="32" t="n"/>
    </row>
    <row r="37" ht="62" customHeight="1">
      <c r="A37" s="10">
        <f>_xlfn.IMAGE("https://m.media-amazon.com/images/I/71rPErVk7tL.jpg")</f>
        <v/>
      </c>
      <c r="B37" s="32" t="inlineStr">
        <is>
          <t>B0F7LYF4RK</t>
        </is>
      </c>
      <c r="C37" s="32" t="inlineStr">
        <is>
          <t>SL-COOLING-SHEET-FULL-LIGHT-BLUE</t>
        </is>
      </c>
      <c r="D37" s="32" t="inlineStr">
        <is>
          <t>SLEEPHORIA Cooling Sheets - BreezeWeave 4 PC Full Size Cooling Bed Sheets for Hot Sleepers &amp; Deep, Cool Rest - Cloud Soft, Silky Smooth, 16 in Deep Pocket, Ultra Durable (Light Blue)</t>
        </is>
      </c>
      <c r="E37" s="32" t="inlineStr">
        <is>
          <t>Full</t>
        </is>
      </c>
      <c r="F37" s="32" t="inlineStr">
        <is>
          <t>Light Blue</t>
        </is>
      </c>
      <c r="G37" s="60" t="n">
        <v>64.98999999999999</v>
      </c>
      <c r="H37" s="32" t="inlineStr">
        <is>
          <t>Helium 10 Xray, 2026-10-13</t>
        </is>
      </c>
      <c r="I37" s="61" t="n">
        <v>59.99</v>
      </c>
      <c r="J37" s="62" t="inlineStr">
        <is>
          <t>2026-03-30</t>
        </is>
      </c>
      <c r="K37" s="33" t="n">
        <v>17.47</v>
      </c>
      <c r="L37" s="63" t="n">
        <v>0.2912152025337557</v>
      </c>
      <c r="M37" s="64" t="n">
        <v>6</v>
      </c>
      <c r="N37" s="32" t="inlineStr">
        <is>
          <t>Active</t>
        </is>
      </c>
      <c r="O37" s="32" t="n"/>
      <c r="P37" s="65" t="n">
        <v>4.4</v>
      </c>
      <c r="Q37" s="64" t="n">
        <v>894</v>
      </c>
      <c r="R37" s="64" t="n">
        <v>98970</v>
      </c>
      <c r="S37" s="64" t="n">
        <v>7</v>
      </c>
      <c r="T37" s="32" t="n"/>
    </row>
    <row r="38" ht="62" customHeight="1">
      <c r="A38" s="10">
        <f>_xlfn.IMAGE("https://m.media-amazon.com/images/I/71cZAUJYwDL.jpg")</f>
        <v/>
      </c>
      <c r="B38" s="32" t="inlineStr">
        <is>
          <t>B0F7LX64VV</t>
        </is>
      </c>
      <c r="C38" s="32" t="inlineStr">
        <is>
          <t>SL-COOLING-SHEET-QUEEN-LIGHT-PINK</t>
        </is>
      </c>
      <c r="D38" s="32" t="inlineStr">
        <is>
          <t>SLEEPHORIA Cooling Sheets - BreezeWeave 4 PC Queen Size Cooling Bed Sheets for Hot Sleepers &amp; Deep, Cool Rest - Cloud Soft, Silky Smooth, 16 in Deep Pocket, Ultra Durable (Light Pink)</t>
        </is>
      </c>
      <c r="E38" s="32" t="inlineStr">
        <is>
          <t>Queen</t>
        </is>
      </c>
      <c r="F38" s="32" t="inlineStr">
        <is>
          <t>Light Pink</t>
        </is>
      </c>
      <c r="G38" s="60" t="n">
        <v>79.98999999999999</v>
      </c>
      <c r="H38" s="32" t="inlineStr">
        <is>
          <t>Helium 10 Xray, 2026-10-13</t>
        </is>
      </c>
      <c r="I38" s="61" t="n">
        <v>64.98999999999999</v>
      </c>
      <c r="J38" s="62" t="inlineStr">
        <is>
          <t>2026-03-30</t>
        </is>
      </c>
      <c r="K38" s="33" t="n">
        <v>20.63</v>
      </c>
      <c r="L38" s="63" t="n">
        <v>0.3174334513002</v>
      </c>
      <c r="M38" s="64" t="n">
        <v>6</v>
      </c>
      <c r="N38" s="32" t="inlineStr">
        <is>
          <t>Active</t>
        </is>
      </c>
      <c r="O38" s="32" t="n"/>
      <c r="P38" s="65" t="n">
        <v>4.4</v>
      </c>
      <c r="Q38" s="64" t="n">
        <v>894</v>
      </c>
      <c r="R38" s="64" t="n">
        <v>98970</v>
      </c>
      <c r="S38" s="64" t="n">
        <v>4</v>
      </c>
      <c r="T38" s="32" t="n"/>
    </row>
    <row r="39" ht="62" customHeight="1">
      <c r="A39" s="10">
        <f>_xlfn.IMAGE("https://m.media-amazon.com/images/I/71E9a6e52xL.jpg")</f>
        <v/>
      </c>
      <c r="B39" s="32" t="inlineStr">
        <is>
          <t>B0F7LXWBL8</t>
        </is>
      </c>
      <c r="C39" s="32" t="inlineStr">
        <is>
          <t>SL-COOLING-SHEET-TWIN-COOL-GREY</t>
        </is>
      </c>
      <c r="D39" s="32" t="inlineStr">
        <is>
          <t>SLEEPHORIA Cooling Sheets - BreezeWeave 3 PC Twin Size Cooling Bed Sheets for Hot Sleepers &amp; Deep, Cool Rest - Cloud Soft, Silky Smooth, 16 in Deep Pocket, Ultra Durable (Cool Grey)</t>
        </is>
      </c>
      <c r="E39" s="32" t="inlineStr">
        <is>
          <t>Twin</t>
        </is>
      </c>
      <c r="F39" s="32" t="inlineStr">
        <is>
          <t>Cool Grey</t>
        </is>
      </c>
      <c r="G39" s="60" t="n">
        <v>59.99</v>
      </c>
      <c r="H39" s="32" t="inlineStr">
        <is>
          <t>Helium 10 Xray, 2026-10-13</t>
        </is>
      </c>
      <c r="I39" s="61" t="n">
        <v>49.99</v>
      </c>
      <c r="J39" s="62" t="inlineStr">
        <is>
          <t>2026-03-30</t>
        </is>
      </c>
      <c r="K39" s="33" t="n">
        <v>13.53</v>
      </c>
      <c r="L39" s="63" t="n">
        <v>0.2706541308261653</v>
      </c>
      <c r="M39" s="64" t="n">
        <v>6</v>
      </c>
      <c r="N39" s="32" t="inlineStr">
        <is>
          <t>Active</t>
        </is>
      </c>
      <c r="O39" s="32" t="n"/>
      <c r="P39" s="65" t="n">
        <v>4.4</v>
      </c>
      <c r="Q39" s="64" t="n">
        <v>894</v>
      </c>
      <c r="R39" s="64" t="n">
        <v>98970</v>
      </c>
      <c r="S39" s="64" t="n">
        <v>9</v>
      </c>
      <c r="T39" s="32" t="n"/>
    </row>
    <row r="40" ht="62" customHeight="1">
      <c r="A40" s="10">
        <f>_xlfn.IMAGE("https://m.media-amazon.com/images/I/71oSNn2drKL.jpg")</f>
        <v/>
      </c>
      <c r="B40" s="32" t="inlineStr">
        <is>
          <t>B0F7LXFBGG</t>
        </is>
      </c>
      <c r="C40" s="32" t="inlineStr">
        <is>
          <t>SL-COOLING-SHEET-CAL-KING-NAVY-BLUE</t>
        </is>
      </c>
      <c r="D40" s="32" t="inlineStr">
        <is>
          <t>SLEEPHORIA Cooling Sheets - BreezeWeave 4 PC California King Size Cooling Bed Sheets for Hot Sleepers &amp; Deep, Cool Rest - Cloud Soft, Silky Smooth, 16 in Deep Pocket, Ultra Durable (Navy Blue)</t>
        </is>
      </c>
      <c r="E40" s="32" t="inlineStr">
        <is>
          <t>Cal King</t>
        </is>
      </c>
      <c r="F40" s="32" t="inlineStr">
        <is>
          <t>Navy Blue</t>
        </is>
      </c>
      <c r="G40" s="60" t="n">
        <v>84.98999999999999</v>
      </c>
      <c r="H40" s="32" t="inlineStr">
        <is>
          <t>Helium 10 Xray, 2026-10-13</t>
        </is>
      </c>
      <c r="I40" s="61" t="n">
        <v>69.98999999999999</v>
      </c>
      <c r="J40" s="62" t="inlineStr">
        <is>
          <t>2026-03-30</t>
        </is>
      </c>
      <c r="K40" s="33" t="n">
        <v>19.73</v>
      </c>
      <c r="L40" s="63" t="n">
        <v>0.2818974139162737</v>
      </c>
      <c r="M40" s="64" t="n">
        <v>5</v>
      </c>
      <c r="N40" s="32" t="inlineStr">
        <is>
          <t>Active</t>
        </is>
      </c>
      <c r="O40" s="32" t="n"/>
      <c r="P40" s="65" t="n">
        <v>4.4</v>
      </c>
      <c r="Q40" s="64" t="n">
        <v>894</v>
      </c>
      <c r="R40" s="64" t="n">
        <v>98970</v>
      </c>
      <c r="S40" s="64" t="n">
        <v>2</v>
      </c>
      <c r="T40" s="32" t="n"/>
    </row>
    <row r="41" ht="62" customHeight="1">
      <c r="A41" s="10">
        <f>_xlfn.IMAGE("https://m.media-amazon.com/images/I/719OfuDoGSL.jpg")</f>
        <v/>
      </c>
      <c r="B41" s="32" t="inlineStr">
        <is>
          <t>B0F7LXB26C</t>
        </is>
      </c>
      <c r="C41" s="32" t="inlineStr">
        <is>
          <t>SL-COOLING-SHEET-FULL-COOL-GREY</t>
        </is>
      </c>
      <c r="D41" s="32" t="inlineStr">
        <is>
          <t>SLEEPHORIA Cooling Sheets - BreezeWeave 4 PC Full Size Cooling Bed Sheets for Hot Sleepers &amp; Deep, Cool Rest - Cloud Soft, Silky Smooth, 16 in Deep Pocket, Ultra Durable (Cool Grey)</t>
        </is>
      </c>
      <c r="E41" s="32" t="inlineStr">
        <is>
          <t>Full</t>
        </is>
      </c>
      <c r="F41" s="32" t="inlineStr">
        <is>
          <t>Cool Grey</t>
        </is>
      </c>
      <c r="G41" s="60" t="n">
        <v>64.98999999999999</v>
      </c>
      <c r="H41" s="32" t="inlineStr">
        <is>
          <t>Helium 10 Xray, 2026-10-13</t>
        </is>
      </c>
      <c r="I41" s="61" t="n">
        <v>54.99</v>
      </c>
      <c r="J41" s="62" t="inlineStr">
        <is>
          <t>2026-03-30</t>
        </is>
      </c>
      <c r="K41" s="33" t="n">
        <v>13.22</v>
      </c>
      <c r="L41" s="63" t="n">
        <v>0.2404073467903255</v>
      </c>
      <c r="M41" s="64" t="n">
        <v>5</v>
      </c>
      <c r="N41" s="32" t="inlineStr">
        <is>
          <t>Active</t>
        </is>
      </c>
      <c r="O41" s="32" t="n"/>
      <c r="P41" s="65" t="n">
        <v>4.4</v>
      </c>
      <c r="Q41" s="64" t="n">
        <v>894</v>
      </c>
      <c r="R41" s="64" t="n">
        <v>98970</v>
      </c>
      <c r="S41" s="64" t="n">
        <v>7</v>
      </c>
      <c r="T41" s="32" t="n"/>
    </row>
    <row r="42" ht="62" customHeight="1">
      <c r="A42" s="10">
        <f>_xlfn.IMAGE("https://m.media-amazon.com/images/I/71IsX4lcKOL.jpg")</f>
        <v/>
      </c>
      <c r="B42" s="32" t="inlineStr">
        <is>
          <t>B0F7LWYY19</t>
        </is>
      </c>
      <c r="C42" s="32" t="inlineStr">
        <is>
          <t>SL-COOLING-SHEET-FULL-LIGHT-GREY</t>
        </is>
      </c>
      <c r="D42" s="32" t="inlineStr">
        <is>
          <t>SLEEPHORIA Cooling Sheets - BreezeWeave 4 PC Full Size Cooling Bed Sheets for Hot Sleepers &amp; Deep, Cool Rest - Cloud Soft, Silky Smooth, 16 in Deep Pocket, Ultra Durable (Light Grey)</t>
        </is>
      </c>
      <c r="E42" s="32" t="inlineStr">
        <is>
          <t>Full</t>
        </is>
      </c>
      <c r="F42" s="32" t="inlineStr">
        <is>
          <t>Light Grey</t>
        </is>
      </c>
      <c r="G42" s="60" t="n">
        <v>64.98999999999999</v>
      </c>
      <c r="H42" s="32" t="inlineStr">
        <is>
          <t>SellerBoard listing price, 2026-10-14</t>
        </is>
      </c>
      <c r="I42" s="61" t="n">
        <v>59.99</v>
      </c>
      <c r="J42" s="62" t="inlineStr">
        <is>
          <t>2026-03-30</t>
        </is>
      </c>
      <c r="K42" s="33" t="n">
        <v>17.35</v>
      </c>
      <c r="L42" s="63" t="n">
        <v>0.2892148691448574</v>
      </c>
      <c r="M42" s="64" t="n">
        <v>5</v>
      </c>
      <c r="N42" s="32" t="inlineStr">
        <is>
          <t>Inactive</t>
        </is>
      </c>
      <c r="O42" s="32" t="n"/>
      <c r="P42" s="65" t="n"/>
      <c r="Q42" s="64" t="n"/>
      <c r="R42" s="64" t="n"/>
      <c r="S42" s="64" t="n"/>
      <c r="T42" s="32" t="n"/>
    </row>
    <row r="43" ht="62" customHeight="1">
      <c r="A43" s="10">
        <f>_xlfn.IMAGE("https://m.media-amazon.com/images/I/710gZCg6zoL.jpg")</f>
        <v/>
      </c>
      <c r="B43" s="32" t="inlineStr">
        <is>
          <t>B0F7LYFZ5Y</t>
        </is>
      </c>
      <c r="C43" s="32" t="inlineStr">
        <is>
          <t>SL-COOLING-SHEET-FULL-WHITE</t>
        </is>
      </c>
      <c r="D43" s="32" t="inlineStr">
        <is>
          <t>SLEEPHORIA Cooling Sheets - BreezeWeave 4 PC Full Size Cooling Bed Sheets for Hot Sleepers &amp; Deep, Cool Rest - Cloud Soft, Silky Smooth, 16 in Deep Pocket, Ultra Durable (White)</t>
        </is>
      </c>
      <c r="E43" s="32" t="inlineStr">
        <is>
          <t>Full</t>
        </is>
      </c>
      <c r="F43" s="32" t="inlineStr">
        <is>
          <t>White</t>
        </is>
      </c>
      <c r="G43" s="60" t="n">
        <v>64.98999999999999</v>
      </c>
      <c r="H43" s="32" t="inlineStr">
        <is>
          <t>Helium 10 Xray, 2026-10-13</t>
        </is>
      </c>
      <c r="I43" s="61" t="n">
        <v>59.99</v>
      </c>
      <c r="J43" s="62" t="inlineStr">
        <is>
          <t>2026-03-30</t>
        </is>
      </c>
      <c r="K43" s="33" t="n">
        <v>17.47</v>
      </c>
      <c r="L43" s="63" t="n">
        <v>0.2912152025337557</v>
      </c>
      <c r="M43" s="64" t="n">
        <v>5</v>
      </c>
      <c r="N43" s="32" t="inlineStr">
        <is>
          <t>Active</t>
        </is>
      </c>
      <c r="O43" s="32" t="n"/>
      <c r="P43" s="65" t="n">
        <v>4.4</v>
      </c>
      <c r="Q43" s="64" t="n">
        <v>894</v>
      </c>
      <c r="R43" s="64" t="n">
        <v>98970</v>
      </c>
      <c r="S43" s="64" t="n">
        <v>7</v>
      </c>
      <c r="T43" s="32" t="n"/>
    </row>
    <row r="44" ht="62" customHeight="1">
      <c r="A44" s="10">
        <f>_xlfn.IMAGE("https://m.media-amazon.com/images/I/710gZCg6zoL.jpg")</f>
        <v/>
      </c>
      <c r="B44" s="32" t="inlineStr">
        <is>
          <t>B0F7LW9GQN</t>
        </is>
      </c>
      <c r="C44" s="32" t="inlineStr">
        <is>
          <t>SL-COOLING-SHEET-QUEEN-WHITE</t>
        </is>
      </c>
      <c r="D44" s="32" t="inlineStr">
        <is>
          <t>SLEEPHORIA Cooling Sheets - BreezeWeave 4 PC Queen Size Cooling Bed Sheets for Hot Sleepers &amp; Deep, Cool Rest - Cloud Soft, Silky Smooth, 16 in Deep Pocket, Ultra Durable (White)</t>
        </is>
      </c>
      <c r="E44" s="32" t="inlineStr">
        <is>
          <t>Queen</t>
        </is>
      </c>
      <c r="F44" s="32" t="inlineStr">
        <is>
          <t>White</t>
        </is>
      </c>
      <c r="G44" s="60" t="n">
        <v>79.98999999999999</v>
      </c>
      <c r="H44" s="32" t="inlineStr">
        <is>
          <t>Helium 10 Xray, 2026-10-13</t>
        </is>
      </c>
      <c r="I44" s="61" t="n">
        <v>64.98999999999999</v>
      </c>
      <c r="J44" s="62" t="inlineStr">
        <is>
          <t>2026-03-30</t>
        </is>
      </c>
      <c r="K44" s="33" t="n">
        <v>20.55</v>
      </c>
      <c r="L44" s="63" t="n">
        <v>0.3162024926911832</v>
      </c>
      <c r="M44" s="64" t="n">
        <v>5</v>
      </c>
      <c r="N44" s="32" t="inlineStr">
        <is>
          <t>Active</t>
        </is>
      </c>
      <c r="O44" s="32" t="inlineStr">
        <is>
          <t>Yes (7%)</t>
        </is>
      </c>
      <c r="P44" s="65" t="n">
        <v>4.4</v>
      </c>
      <c r="Q44" s="64" t="n">
        <v>894</v>
      </c>
      <c r="R44" s="64" t="n">
        <v>98970</v>
      </c>
      <c r="S44" s="64" t="n">
        <v>4</v>
      </c>
      <c r="T44" s="32" t="n"/>
    </row>
    <row r="45" ht="62" customHeight="1">
      <c r="A45" s="10">
        <f>_xlfn.IMAGE("https://m.media-amazon.com/images/I/710gZCg6zoL.jpg")</f>
        <v/>
      </c>
      <c r="B45" s="32" t="inlineStr">
        <is>
          <t>B0F7LX6LFL</t>
        </is>
      </c>
      <c r="C45" s="32" t="inlineStr">
        <is>
          <t>SL-COOLING-SHEET-CAL-KING-WHITE</t>
        </is>
      </c>
      <c r="D45" s="32" t="inlineStr">
        <is>
          <t>SLEEPHORIA Cooling Sheets - BreezeWeave 4 PC California King Size Cooling Bed Sheets for Hot Sleepers &amp; Deep, Cool Rest - Cloud Soft, Silky Smooth, 16 in Deep Pocket, Ultra Durable (White)</t>
        </is>
      </c>
      <c r="E45" s="32" t="inlineStr">
        <is>
          <t>Cal King</t>
        </is>
      </c>
      <c r="F45" s="32" t="inlineStr">
        <is>
          <t>White</t>
        </is>
      </c>
      <c r="G45" s="60" t="n">
        <v>84.98999999999999</v>
      </c>
      <c r="H45" s="32" t="inlineStr">
        <is>
          <t>Helium 10 Xray, 2026-10-13</t>
        </is>
      </c>
      <c r="I45" s="61" t="n">
        <v>69.98999999999999</v>
      </c>
      <c r="J45" s="62" t="inlineStr">
        <is>
          <t>2026-03-30</t>
        </is>
      </c>
      <c r="K45" s="33" t="n">
        <v>19.65</v>
      </c>
      <c r="L45" s="63" t="n">
        <v>0.2807543934847835</v>
      </c>
      <c r="M45" s="64" t="n">
        <v>4</v>
      </c>
      <c r="N45" s="32" t="inlineStr">
        <is>
          <t>Active</t>
        </is>
      </c>
      <c r="O45" s="32" t="n"/>
      <c r="P45" s="65" t="n">
        <v>4.4</v>
      </c>
      <c r="Q45" s="64" t="n">
        <v>894</v>
      </c>
      <c r="R45" s="64" t="n">
        <v>98970</v>
      </c>
      <c r="S45" s="64" t="n">
        <v>2</v>
      </c>
      <c r="T45" s="32" t="n"/>
    </row>
    <row r="46" ht="62" customHeight="1">
      <c r="A46" s="10">
        <f>_xlfn.IMAGE("https://m.media-amazon.com/images/I/71WtuLuQ2wL.jpg")</f>
        <v/>
      </c>
      <c r="B46" s="32" t="inlineStr">
        <is>
          <t>B0F7LWG82H</t>
        </is>
      </c>
      <c r="C46" s="32" t="inlineStr">
        <is>
          <t>SL-COOLING-SHEET-FULL-REGAL-PURPLE</t>
        </is>
      </c>
      <c r="D46" s="32" t="inlineStr">
        <is>
          <t>SLEEPHORIA Cooling Sheets - BreezeWeave 4 PC Full Size Cooling Bed Sheets for Hot Sleepers &amp; Deep, Cool Rest - Cloud Soft, Silky Smooth, 16 in Deep Pocket, Ultra Durable (Regal Purple)</t>
        </is>
      </c>
      <c r="E46" s="32" t="inlineStr">
        <is>
          <t>Full</t>
        </is>
      </c>
      <c r="F46" s="32" t="inlineStr">
        <is>
          <t>Regal Purple</t>
        </is>
      </c>
      <c r="G46" s="60" t="n">
        <v>64.98999999999999</v>
      </c>
      <c r="H46" s="32" t="inlineStr">
        <is>
          <t>Helium 10 Xray, 2026-10-13</t>
        </is>
      </c>
      <c r="I46" s="61" t="n">
        <v>59.99</v>
      </c>
      <c r="J46" s="62" t="inlineStr">
        <is>
          <t>2026-03-30</t>
        </is>
      </c>
      <c r="K46" s="33" t="n">
        <v>17.47</v>
      </c>
      <c r="L46" s="63" t="n">
        <v>0.2912152025337557</v>
      </c>
      <c r="M46" s="64" t="n">
        <v>4</v>
      </c>
      <c r="N46" s="32" t="inlineStr">
        <is>
          <t>Active</t>
        </is>
      </c>
      <c r="O46" s="32" t="n"/>
      <c r="P46" s="65" t="n">
        <v>4.4</v>
      </c>
      <c r="Q46" s="64" t="n">
        <v>894</v>
      </c>
      <c r="R46" s="64" t="n">
        <v>98970</v>
      </c>
      <c r="S46" s="64" t="n">
        <v>6</v>
      </c>
      <c r="T46" s="32" t="n"/>
    </row>
    <row r="47" ht="62" customHeight="1">
      <c r="A47" s="10">
        <f>_xlfn.IMAGE("https://m.media-amazon.com/images/I/719OfuDoGSL.jpg")</f>
        <v/>
      </c>
      <c r="B47" s="32" t="inlineStr">
        <is>
          <t>B0F7LWK8S4</t>
        </is>
      </c>
      <c r="C47" s="32" t="inlineStr">
        <is>
          <t>SL-COOLING-SHEET-CAL-KING-COOL-GREY</t>
        </is>
      </c>
      <c r="D47" s="32" t="inlineStr">
        <is>
          <t>SLEEPHORIA Cooling Sheets - BreezeWeave 4 PC California King Size Cooling Bed Sheets for Hot Sleepers &amp; Deep, Cool Rest - Cloud Soft, Silky Smooth, 16 in Deep Pocket, Ultra Durable (Cool Grey)</t>
        </is>
      </c>
      <c r="E47" s="32" t="inlineStr">
        <is>
          <t>Cal King</t>
        </is>
      </c>
      <c r="F47" s="32" t="inlineStr">
        <is>
          <t>Cool Grey</t>
        </is>
      </c>
      <c r="G47" s="60" t="n">
        <v>84.98999999999999</v>
      </c>
      <c r="H47" s="32" t="inlineStr">
        <is>
          <t>Helium 10 Xray, 2026-10-13</t>
        </is>
      </c>
      <c r="I47" s="61" t="n">
        <v>76.98999999999999</v>
      </c>
      <c r="J47" s="62" t="inlineStr">
        <is>
          <t>2026-03-30</t>
        </is>
      </c>
      <c r="K47" s="33" t="n">
        <v>25.68</v>
      </c>
      <c r="L47" s="63" t="n">
        <v>0.3335498116638524</v>
      </c>
      <c r="M47" s="64" t="n">
        <v>3</v>
      </c>
      <c r="N47" s="32" t="inlineStr">
        <is>
          <t>Active</t>
        </is>
      </c>
      <c r="O47" s="32" t="n"/>
      <c r="P47" s="65" t="n">
        <v>4.4</v>
      </c>
      <c r="Q47" s="64" t="n">
        <v>894</v>
      </c>
      <c r="R47" s="64" t="n">
        <v>98970</v>
      </c>
      <c r="S47" s="64" t="n">
        <v>2</v>
      </c>
      <c r="T47" s="32" t="n"/>
    </row>
    <row r="48" ht="62" customHeight="1">
      <c r="A48" s="10">
        <f>_xlfn.IMAGE("https://m.media-amazon.com/images/I/71cZAUJYwDL.jpg")</f>
        <v/>
      </c>
      <c r="B48" s="32" t="inlineStr">
        <is>
          <t>B0F7LZNYY8</t>
        </is>
      </c>
      <c r="C48" s="32" t="inlineStr">
        <is>
          <t>SL-COOLING-SHEET-FULL-LIGHT-PINK</t>
        </is>
      </c>
      <c r="D48" s="32" t="inlineStr">
        <is>
          <t>SLEEPHORIA Cooling Sheets - BreezeWeave 4 PC Full Size Cooling Bed Sheets for Hot Sleepers &amp; Deep, Cool Rest - Cloud Soft, Silky Smooth, 16 in Deep Pocket, Ultra Durable (Light Pink)</t>
        </is>
      </c>
      <c r="E48" s="32" t="inlineStr">
        <is>
          <t>Full</t>
        </is>
      </c>
      <c r="F48" s="32" t="inlineStr">
        <is>
          <t>Light Pink</t>
        </is>
      </c>
      <c r="G48" s="60" t="n">
        <v>64.98999999999999</v>
      </c>
      <c r="H48" s="32" t="inlineStr">
        <is>
          <t>Helium 10 Xray, 2026-10-13</t>
        </is>
      </c>
      <c r="I48" s="61" t="n">
        <v>54.99</v>
      </c>
      <c r="J48" s="62" t="inlineStr">
        <is>
          <t>2026-03-30</t>
        </is>
      </c>
      <c r="K48" s="33" t="n">
        <v>13.38000000000001</v>
      </c>
      <c r="L48" s="63" t="n">
        <v>0.2433169667212221</v>
      </c>
      <c r="M48" s="64" t="n">
        <v>3</v>
      </c>
      <c r="N48" s="32" t="inlineStr">
        <is>
          <t>Active</t>
        </is>
      </c>
      <c r="O48" s="32" t="n"/>
      <c r="P48" s="65" t="n">
        <v>4.4</v>
      </c>
      <c r="Q48" s="64" t="n">
        <v>894</v>
      </c>
      <c r="R48" s="64" t="n">
        <v>98970</v>
      </c>
      <c r="S48" s="64" t="n">
        <v>7</v>
      </c>
      <c r="T48" s="32" t="n"/>
    </row>
    <row r="49" ht="62" customHeight="1">
      <c r="A49" s="10">
        <f>_xlfn.IMAGE("https://m.media-amazon.com/images/I/71oSNn2drKL.jpg")</f>
        <v/>
      </c>
      <c r="B49" s="32" t="inlineStr">
        <is>
          <t>B0F7LZFKS7</t>
        </is>
      </c>
      <c r="C49" s="32" t="inlineStr">
        <is>
          <t>SL-COOLING-SHEET-FULL-NAVY-BLUE</t>
        </is>
      </c>
      <c r="D49" s="32" t="inlineStr">
        <is>
          <t>SLEEPHORIA Cooling Sheets - BreezeWeave 4 PC Full Size Cooling Bed Sheets for Hot Sleepers &amp; Deep, Cool Rest - Cloud Soft, Silky Smooth, 16 in Deep Pocket, Ultra Durable (Navy Blue)</t>
        </is>
      </c>
      <c r="E49" s="32" t="inlineStr">
        <is>
          <t>Full</t>
        </is>
      </c>
      <c r="F49" s="32" t="inlineStr">
        <is>
          <t>Navy Blue</t>
        </is>
      </c>
      <c r="G49" s="60" t="n">
        <v>64.98999999999999</v>
      </c>
      <c r="H49" s="32" t="inlineStr">
        <is>
          <t>Helium 10 Xray, 2026-10-13</t>
        </is>
      </c>
      <c r="I49" s="61" t="n">
        <v>54.99</v>
      </c>
      <c r="J49" s="62" t="inlineStr">
        <is>
          <t>2026-03-30</t>
        </is>
      </c>
      <c r="K49" s="33" t="n">
        <v>13.3</v>
      </c>
      <c r="L49" s="63" t="n">
        <v>0.2418621567557738</v>
      </c>
      <c r="M49" s="64" t="n">
        <v>3</v>
      </c>
      <c r="N49" s="32" t="inlineStr">
        <is>
          <t>Active</t>
        </is>
      </c>
      <c r="O49" s="32" t="n"/>
      <c r="P49" s="65" t="n">
        <v>4.4</v>
      </c>
      <c r="Q49" s="64" t="n">
        <v>894</v>
      </c>
      <c r="R49" s="64" t="n">
        <v>98970</v>
      </c>
      <c r="S49" s="64" t="n">
        <v>7</v>
      </c>
      <c r="T49" s="32" t="n"/>
    </row>
    <row r="50" ht="62" customHeight="1">
      <c r="A50" s="10">
        <f>_xlfn.IMAGE("https://m.media-amazon.com/images/I/71zC97UTBkL.jpg")</f>
        <v/>
      </c>
      <c r="B50" s="32" t="inlineStr">
        <is>
          <t>B0F7LX9P4H</t>
        </is>
      </c>
      <c r="C50" s="32" t="inlineStr">
        <is>
          <t>SL-COOLING-SHEET-FULL-SAGE-GREEN</t>
        </is>
      </c>
      <c r="D50" s="32" t="inlineStr">
        <is>
          <t>SLEEPHORIA Cooling Sheets - BreezeWeave 4 PC Full Size Cooling Bed Sheets for Hot Sleepers &amp; Deep, Cool Rest - Cloud Soft, Silky Smooth, 16 in Deep Pocket, Ultra Durable (Sage Green)</t>
        </is>
      </c>
      <c r="E50" s="32" t="inlineStr">
        <is>
          <t>Full</t>
        </is>
      </c>
      <c r="F50" s="32" t="inlineStr">
        <is>
          <t>Sage Green</t>
        </is>
      </c>
      <c r="G50" s="60" t="n">
        <v>64.98999999999999</v>
      </c>
      <c r="H50" s="32" t="inlineStr">
        <is>
          <t>Helium 10 Xray, 2026-10-13</t>
        </is>
      </c>
      <c r="I50" s="61" t="n">
        <v>59.99</v>
      </c>
      <c r="J50" s="62" t="inlineStr">
        <is>
          <t>2026-03-30</t>
        </is>
      </c>
      <c r="K50" s="33" t="n">
        <v>17.55</v>
      </c>
      <c r="L50" s="63" t="n">
        <v>0.2925487581263544</v>
      </c>
      <c r="M50" s="64" t="n">
        <v>3</v>
      </c>
      <c r="N50" s="32" t="inlineStr">
        <is>
          <t>Active</t>
        </is>
      </c>
      <c r="O50" s="32" t="n"/>
      <c r="P50" s="65" t="n">
        <v>4.4</v>
      </c>
      <c r="Q50" s="64" t="n">
        <v>894</v>
      </c>
      <c r="R50" s="64" t="n">
        <v>98970</v>
      </c>
      <c r="S50" s="64" t="n">
        <v>6</v>
      </c>
      <c r="T50" s="32" t="n"/>
    </row>
    <row r="51" ht="62" customHeight="1">
      <c r="A51" s="10">
        <f>_xlfn.IMAGE("https://m.media-amazon.com/images/I/71Yi7AA7VHL.jpg")</f>
        <v/>
      </c>
      <c r="B51" s="32" t="inlineStr">
        <is>
          <t>B0F7LYR7L2</t>
        </is>
      </c>
      <c r="C51" s="32" t="inlineStr">
        <is>
          <t>SL-COOLING-SHEET-CAL-KING-MIDNIGHT-BLACK</t>
        </is>
      </c>
      <c r="D51" s="32" t="inlineStr">
        <is>
          <t>SLEEPHORIA Cooling Sheets - BreezeWeave 4 PC California King Size Cooling Bed Sheets for Hot Sleepers &amp; Deep, Cool Rest - Cloud Soft, Silky Smooth, 16 in Deep Pocket, Ultra Durable (Midnight Black)</t>
        </is>
      </c>
      <c r="E51" s="32" t="inlineStr">
        <is>
          <t>Cal King</t>
        </is>
      </c>
      <c r="F51" s="32" t="inlineStr">
        <is>
          <t>Midnight Black</t>
        </is>
      </c>
      <c r="G51" s="60" t="n">
        <v>84.98999999999999</v>
      </c>
      <c r="H51" s="32" t="inlineStr">
        <is>
          <t>Helium 10 Xray, 2026-10-13</t>
        </is>
      </c>
      <c r="I51" s="61" t="n">
        <v>69.98999999999999</v>
      </c>
      <c r="J51" s="62" t="inlineStr">
        <is>
          <t>2026-03-30</t>
        </is>
      </c>
      <c r="K51" s="33" t="n">
        <v>19.73</v>
      </c>
      <c r="L51" s="63" t="n">
        <v>0.2818974139162737</v>
      </c>
      <c r="M51" s="64" t="n">
        <v>2</v>
      </c>
      <c r="N51" s="32" t="inlineStr">
        <is>
          <t>Active</t>
        </is>
      </c>
      <c r="O51" s="32" t="n"/>
      <c r="P51" s="65" t="n">
        <v>4.4</v>
      </c>
      <c r="Q51" s="64" t="n">
        <v>894</v>
      </c>
      <c r="R51" s="64" t="n">
        <v>98970</v>
      </c>
      <c r="S51" s="64" t="n">
        <v>2</v>
      </c>
      <c r="T51" s="32" t="n"/>
    </row>
    <row r="52" ht="62" customHeight="1">
      <c r="A52" s="10">
        <f>_xlfn.IMAGE("https://m.media-amazon.com/images/I/71WtuLuQ2wL.jpg")</f>
        <v/>
      </c>
      <c r="B52" s="32" t="inlineStr">
        <is>
          <t>B0F7LXCSKW</t>
        </is>
      </c>
      <c r="C52" s="32" t="inlineStr">
        <is>
          <t>SL-COOLING-SHEET-CAL-KING-REGAL-PURPLE</t>
        </is>
      </c>
      <c r="D52" s="32" t="inlineStr">
        <is>
          <t>SLEEPHORIA Cooling Sheets - BreezeWeave 4 PC California King Size Cooling Bed Sheets for Hot Sleepers &amp; Deep, Cool Rest - Cloud Soft, Silky Smooth, 16 in Deep Pocket, Ultra Durable (Regal Purple)</t>
        </is>
      </c>
      <c r="E52" s="32" t="inlineStr">
        <is>
          <t>Cal King</t>
        </is>
      </c>
      <c r="F52" s="32" t="inlineStr">
        <is>
          <t>Regal Purple</t>
        </is>
      </c>
      <c r="G52" s="60" t="n">
        <v>84.98999999999999</v>
      </c>
      <c r="H52" s="32" t="inlineStr">
        <is>
          <t>Helium 10 Xray, 2026-10-13</t>
        </is>
      </c>
      <c r="I52" s="61" t="n">
        <v>69.98999999999999</v>
      </c>
      <c r="J52" s="62" t="inlineStr">
        <is>
          <t>2026-03-30</t>
        </is>
      </c>
      <c r="K52" s="33" t="n">
        <v>19.73</v>
      </c>
      <c r="L52" s="63" t="n">
        <v>0.2818974139162737</v>
      </c>
      <c r="M52" s="64" t="n">
        <v>2</v>
      </c>
      <c r="N52" s="32" t="inlineStr">
        <is>
          <t>Active</t>
        </is>
      </c>
      <c r="O52" s="32" t="n"/>
      <c r="P52" s="65" t="n">
        <v>4.4</v>
      </c>
      <c r="Q52" s="64" t="n">
        <v>894</v>
      </c>
      <c r="R52" s="64" t="n">
        <v>98970</v>
      </c>
      <c r="S52" s="64" t="n">
        <v>2</v>
      </c>
      <c r="T52" s="32" t="n"/>
    </row>
    <row r="53" ht="62" customHeight="1">
      <c r="A53" s="10">
        <f>_xlfn.IMAGE("https://m.media-amazon.com/images/I/71Yi7AA7VHL.jpg")</f>
        <v/>
      </c>
      <c r="B53" s="32" t="inlineStr">
        <is>
          <t>B0F7LXNSQK</t>
        </is>
      </c>
      <c r="C53" s="32" t="inlineStr">
        <is>
          <t>SL-COOLING-SHEET-FULL-MIDNIGHT-BLACK</t>
        </is>
      </c>
      <c r="D53" s="32" t="inlineStr">
        <is>
          <t>SLEEPHORIA Cooling Sheets - BreezeWeave 4 PC Full Size Cooling Bed Sheets for Hot Sleepers &amp; Deep, Cool Rest - Cloud Soft, Silky Smooth, 16 in Deep Pocket, Ultra Durable (Midnight Black)</t>
        </is>
      </c>
      <c r="E53" s="32" t="inlineStr">
        <is>
          <t>Full</t>
        </is>
      </c>
      <c r="F53" s="32" t="inlineStr">
        <is>
          <t>Midnight Black</t>
        </is>
      </c>
      <c r="G53" s="60" t="n">
        <v>64.98999999999999</v>
      </c>
      <c r="H53" s="32" t="inlineStr">
        <is>
          <t>SellerBoard listing price, 2026-10-14</t>
        </is>
      </c>
      <c r="I53" s="61" t="n">
        <v>59.99</v>
      </c>
      <c r="J53" s="62" t="inlineStr">
        <is>
          <t>2026-03-30</t>
        </is>
      </c>
      <c r="K53" s="33" t="n">
        <v>17.47</v>
      </c>
      <c r="L53" s="63" t="n">
        <v>0.2912152025337557</v>
      </c>
      <c r="M53" s="64" t="n">
        <v>2</v>
      </c>
      <c r="N53" s="32" t="inlineStr">
        <is>
          <t>Inactive</t>
        </is>
      </c>
      <c r="O53" s="32" t="n"/>
      <c r="P53" s="65" t="n"/>
      <c r="Q53" s="64" t="n"/>
      <c r="R53" s="64" t="n"/>
      <c r="S53" s="64" t="n"/>
      <c r="T53" s="32" t="n"/>
    </row>
    <row r="54" ht="62" customHeight="1">
      <c r="A54" s="10">
        <f>_xlfn.IMAGE("https://m.media-amazon.com/images/I/71cZAUJYwDL.jpg")</f>
        <v/>
      </c>
      <c r="B54" s="32" t="inlineStr">
        <is>
          <t>B0F7LTXSLG</t>
        </is>
      </c>
      <c r="C54" s="32" t="inlineStr">
        <is>
          <t>SL-COOLING-SHEET-KING-LIGHT-PINK</t>
        </is>
      </c>
      <c r="D54" s="32" t="inlineStr">
        <is>
          <t>SLEEPHORIA Cooling Sheets - BreezeWeave 4 PC King Size Cooling Bed Sheets for Hot Sleepers &amp; Deep, Cool Rest - Cloud Soft, Silky Smooth, 16 in Deep Pocket, Ultra Durable (Light Pink)</t>
        </is>
      </c>
      <c r="E54" s="32" t="inlineStr">
        <is>
          <t>King</t>
        </is>
      </c>
      <c r="F54" s="32" t="inlineStr">
        <is>
          <t>Light Pink</t>
        </is>
      </c>
      <c r="G54" s="60" t="n">
        <v>84.98999999999999</v>
      </c>
      <c r="H54" s="32" t="inlineStr">
        <is>
          <t>Helium 10 Xray, 2026-10-13</t>
        </is>
      </c>
      <c r="I54" s="61" t="n">
        <v>76.98999999999999</v>
      </c>
      <c r="J54" s="62" t="inlineStr">
        <is>
          <t>2026-03-30</t>
        </is>
      </c>
      <c r="K54" s="33" t="n">
        <v>26.69</v>
      </c>
      <c r="L54" s="63" t="n">
        <v>0.3466683984933108</v>
      </c>
      <c r="M54" s="64" t="n">
        <v>2</v>
      </c>
      <c r="N54" s="32" t="inlineStr">
        <is>
          <t>Active</t>
        </is>
      </c>
      <c r="O54" s="32" t="n"/>
      <c r="P54" s="65" t="n">
        <v>4.4</v>
      </c>
      <c r="Q54" s="64" t="n">
        <v>894</v>
      </c>
      <c r="R54" s="64" t="n">
        <v>98970</v>
      </c>
      <c r="S54" s="64" t="n">
        <v>2</v>
      </c>
      <c r="T54" s="32" t="n"/>
    </row>
    <row r="55" ht="62" customHeight="1">
      <c r="A55" s="10">
        <f>_xlfn.IMAGE("https://m.media-amazon.com/images/I/71SgOjvow-L.jpg")</f>
        <v/>
      </c>
      <c r="B55" s="32" t="inlineStr">
        <is>
          <t>B0F7LXS112</t>
        </is>
      </c>
      <c r="C55" s="32" t="inlineStr">
        <is>
          <t>SL-COOLING-SHEET-TWIN-LIGHT-BLUE</t>
        </is>
      </c>
      <c r="D55" s="32" t="inlineStr">
        <is>
          <t>SLEEPHORIA Cooling Sheets - BreezeWeave 3 PC Twin Size Cooling Bed Sheets for Hot Sleepers &amp; Deep, Cool Rest - Cloud Soft, Silky Smooth, 16 in Deep Pocket, Ultra Durable (Light Blue)</t>
        </is>
      </c>
      <c r="E55" s="32" t="inlineStr">
        <is>
          <t>Twin</t>
        </is>
      </c>
      <c r="F55" s="32" t="inlineStr">
        <is>
          <t>Light Blue</t>
        </is>
      </c>
      <c r="G55" s="60" t="n">
        <v>59.99</v>
      </c>
      <c r="H55" s="32" t="inlineStr">
        <is>
          <t>Helium 10 Xray, 2026-10-13</t>
        </is>
      </c>
      <c r="I55" s="61" t="n">
        <v>49.99</v>
      </c>
      <c r="J55" s="62" t="inlineStr">
        <is>
          <t>2026-03-30</t>
        </is>
      </c>
      <c r="K55" s="33" t="n">
        <v>13.53</v>
      </c>
      <c r="L55" s="63" t="n">
        <v>0.2706541308261653</v>
      </c>
      <c r="M55" s="64" t="n">
        <v>2</v>
      </c>
      <c r="N55" s="32" t="inlineStr">
        <is>
          <t>Active</t>
        </is>
      </c>
      <c r="O55" s="32" t="n"/>
      <c r="P55" s="65" t="n">
        <v>4.4</v>
      </c>
      <c r="Q55" s="64" t="n">
        <v>894</v>
      </c>
      <c r="R55" s="64" t="n">
        <v>98965</v>
      </c>
      <c r="S55" s="64" t="n">
        <v>8</v>
      </c>
      <c r="T55" s="32" t="n"/>
    </row>
    <row r="56" ht="62" customHeight="1">
      <c r="A56" s="10">
        <f>_xlfn.IMAGE("https://m.media-amazon.com/images/I/71p+26tBP8L.jpg")</f>
        <v/>
      </c>
      <c r="B56" s="32" t="inlineStr">
        <is>
          <t>B0F7LYFSJS</t>
        </is>
      </c>
      <c r="C56" s="32" t="inlineStr">
        <is>
          <t>SL-COOLING-SHEET-TWIN-WHITE</t>
        </is>
      </c>
      <c r="D56" s="32" t="inlineStr">
        <is>
          <t>SLEEPHORIA Cooling Sheets - BreezeWeave 3 PC Twin Size Cooling Bed Sheets for Hot Sleepers &amp; Deep, Cool Rest - Cloud Soft, Silky Smooth, 16 in Deep Pocket, Ultra Durable (White)</t>
        </is>
      </c>
      <c r="E56" s="32" t="inlineStr">
        <is>
          <t>Twin</t>
        </is>
      </c>
      <c r="F56" s="32" t="inlineStr">
        <is>
          <t>White</t>
        </is>
      </c>
      <c r="G56" s="60" t="n">
        <v>59.99</v>
      </c>
      <c r="H56" s="32" t="inlineStr">
        <is>
          <t>Helium 10 Xray, 2026-10-13</t>
        </is>
      </c>
      <c r="I56" s="61" t="n">
        <v>49.99</v>
      </c>
      <c r="J56" s="62" t="inlineStr">
        <is>
          <t>2026-03-30</t>
        </is>
      </c>
      <c r="K56" s="33" t="n">
        <v>13.37</v>
      </c>
      <c r="L56" s="63" t="n">
        <v>0.2674534906981397</v>
      </c>
      <c r="M56" s="64" t="n">
        <v>2</v>
      </c>
      <c r="N56" s="32" t="inlineStr">
        <is>
          <t>Active</t>
        </is>
      </c>
      <c r="O56" s="32" t="n"/>
      <c r="P56" s="65" t="n">
        <v>4.4</v>
      </c>
      <c r="Q56" s="64" t="n">
        <v>894</v>
      </c>
      <c r="R56" s="64" t="n">
        <v>98970</v>
      </c>
      <c r="S56" s="64" t="n">
        <v>9</v>
      </c>
      <c r="T56" s="32" t="n"/>
    </row>
    <row r="57" ht="62" customHeight="1">
      <c r="A57" s="10">
        <f>_xlfn.IMAGE("https://m.media-amazon.com/images/I/71f2mmi0EcL.jpg")</f>
        <v/>
      </c>
      <c r="B57" s="32" t="inlineStr">
        <is>
          <t>B0F7LXFGLX</t>
        </is>
      </c>
      <c r="C57" s="32" t="inlineStr">
        <is>
          <t>SL-COOLING-SHEET-CAL-KING-BEIGE</t>
        </is>
      </c>
      <c r="D57" s="32" t="inlineStr">
        <is>
          <t>SLEEPHORIA Cooling Sheets - BreezeWeave 4 PC California King Size Cooling Bed Sheets for Hot Sleepers &amp; Deep, Cool Rest - Cloud Soft, Silky Smooth, 16 in Deep Pocket, Ultra Durable (Beige)</t>
        </is>
      </c>
      <c r="E57" s="32" t="inlineStr">
        <is>
          <t>Cal King</t>
        </is>
      </c>
      <c r="F57" s="32" t="inlineStr">
        <is>
          <t>Beige</t>
        </is>
      </c>
      <c r="G57" s="60" t="n">
        <v>84.98999999999999</v>
      </c>
      <c r="H57" s="32" t="inlineStr">
        <is>
          <t>SellerBoard listing price, 2026-10-14</t>
        </is>
      </c>
      <c r="I57" s="61" t="n">
        <v>69.98999999999999</v>
      </c>
      <c r="J57" s="62" t="inlineStr">
        <is>
          <t>2026-03-30</t>
        </is>
      </c>
      <c r="K57" s="33" t="n">
        <v>19.73</v>
      </c>
      <c r="L57" s="63" t="n">
        <v>0.2818974139162737</v>
      </c>
      <c r="M57" s="64" t="n">
        <v>1</v>
      </c>
      <c r="N57" s="32" t="inlineStr">
        <is>
          <t>Inactive</t>
        </is>
      </c>
      <c r="O57" s="32" t="n"/>
      <c r="P57" s="65" t="n"/>
      <c r="Q57" s="64" t="n"/>
      <c r="R57" s="64" t="n"/>
      <c r="S57" s="64" t="n"/>
      <c r="T57" s="32" t="n"/>
    </row>
    <row r="58" ht="62" customHeight="1">
      <c r="A58" s="10">
        <f>_xlfn.IMAGE("https://m.media-amazon.com/images/I/713ouXr9eCL.jpg")</f>
        <v/>
      </c>
      <c r="B58" s="32" t="inlineStr">
        <is>
          <t>B0F7LYBQYF</t>
        </is>
      </c>
      <c r="C58" s="32" t="inlineStr">
        <is>
          <t>SL-COOLING-SHEET-FULL-BEIGE</t>
        </is>
      </c>
      <c r="D58" s="32" t="inlineStr">
        <is>
          <t>SLEEPHORIA Cooling Sheets - BreezeWeave 4 PC Full Size Cooling Bed Sheets for Hot Sleepers &amp; Deep, Cool Rest - Cloud Soft, Silky Smooth, 16 in Deep Pocket, Ultra Durable (Beige)</t>
        </is>
      </c>
      <c r="E58" s="32" t="inlineStr">
        <is>
          <t>Full</t>
        </is>
      </c>
      <c r="F58" s="32" t="inlineStr">
        <is>
          <t>Beige</t>
        </is>
      </c>
      <c r="G58" s="60" t="n">
        <v>64.98999999999999</v>
      </c>
      <c r="H58" s="32" t="inlineStr">
        <is>
          <t>Helium 10 Xray, 2026-10-13</t>
        </is>
      </c>
      <c r="I58" s="61" t="n">
        <v>54.99</v>
      </c>
      <c r="J58" s="62" t="inlineStr">
        <is>
          <t>2026-03-30</t>
        </is>
      </c>
      <c r="K58" s="33" t="n">
        <v>13.3</v>
      </c>
      <c r="L58" s="63" t="n">
        <v>0.2418621567557738</v>
      </c>
      <c r="M58" s="64" t="n">
        <v>1</v>
      </c>
      <c r="N58" s="32" t="inlineStr">
        <is>
          <t>Active</t>
        </is>
      </c>
      <c r="O58" s="32" t="n"/>
      <c r="P58" s="65" t="n">
        <v>4.4</v>
      </c>
      <c r="Q58" s="64" t="n">
        <v>894</v>
      </c>
      <c r="R58" s="64" t="n">
        <v>98970</v>
      </c>
      <c r="S58" s="64" t="n">
        <v>6</v>
      </c>
      <c r="T58" s="32" t="n"/>
    </row>
    <row r="59" ht="62" customHeight="1">
      <c r="A59" s="10">
        <f>_xlfn.IMAGE("https://m.media-amazon.com/images/I/71BbWLCECZL.jpg")</f>
        <v/>
      </c>
      <c r="B59" s="32" t="inlineStr">
        <is>
          <t>B0F7M13J7X</t>
        </is>
      </c>
      <c r="C59" s="32" t="inlineStr">
        <is>
          <t>SL-COOLING-SHEET-KING-NAVY-BLUE</t>
        </is>
      </c>
      <c r="D59" s="32" t="inlineStr">
        <is>
          <t>SLEEPHORIA Cooling Sheets - BreezeWeave 4 PC King Size Cooling Bed Sheets for Hot Sleepers &amp; Deep, Cool Rest - Cloud Soft, Silky Smooth, 16 in Deep Pocket, Ultra Durable (Navy Blue)</t>
        </is>
      </c>
      <c r="E59" s="32" t="inlineStr">
        <is>
          <t>King</t>
        </is>
      </c>
      <c r="F59" s="32" t="inlineStr">
        <is>
          <t>Navy Blue</t>
        </is>
      </c>
      <c r="G59" s="60" t="n">
        <v>84.98999999999999</v>
      </c>
      <c r="H59" s="32" t="inlineStr">
        <is>
          <t>SellerBoard listing price, 2026-10-14</t>
        </is>
      </c>
      <c r="I59" s="61" t="n">
        <v>76.98999999999999</v>
      </c>
      <c r="J59" s="62" t="inlineStr">
        <is>
          <t>2026-03-30</t>
        </is>
      </c>
      <c r="K59" s="33" t="n">
        <v>26.61</v>
      </c>
      <c r="L59" s="63" t="n">
        <v>0.3456293025068191</v>
      </c>
      <c r="M59" s="64" t="n">
        <v>1</v>
      </c>
      <c r="N59" s="32" t="inlineStr">
        <is>
          <t>Inactive</t>
        </is>
      </c>
      <c r="O59" s="32" t="n"/>
      <c r="P59" s="65" t="n"/>
      <c r="Q59" s="64" t="n"/>
      <c r="R59" s="64" t="n"/>
      <c r="S59" s="64" t="n"/>
      <c r="T59" s="32" t="n"/>
    </row>
    <row r="60" ht="62" customHeight="1">
      <c r="A60" s="10">
        <f>_xlfn.IMAGE("https://m.media-amazon.com/images/I/7126uGXcNGL.jpg")</f>
        <v/>
      </c>
      <c r="B60" s="32" t="inlineStr">
        <is>
          <t>B0F7M1ZY15</t>
        </is>
      </c>
      <c r="C60" s="32" t="inlineStr">
        <is>
          <t>SL-COOLING-SHEET-TWIN-CREAM</t>
        </is>
      </c>
      <c r="D60" s="32" t="inlineStr">
        <is>
          <t>SLEEPHORIA Cooling Sheets - BreezeWeave 3 PC Twin Size Cooling Bed Sheets for Hot Sleepers &amp; Deep, Cool Rest - Cloud Soft, Silky Smooth, 16 in Deep Pocket, Ultra Durable (Cream)</t>
        </is>
      </c>
      <c r="E60" s="32" t="inlineStr">
        <is>
          <t>Twin</t>
        </is>
      </c>
      <c r="F60" s="32" t="inlineStr">
        <is>
          <t>Cream</t>
        </is>
      </c>
      <c r="G60" s="60" t="n">
        <v>59.99</v>
      </c>
      <c r="H60" s="32" t="inlineStr">
        <is>
          <t>Helium 10 Xray, 2026-10-13</t>
        </is>
      </c>
      <c r="I60" s="61" t="n">
        <v>49.99</v>
      </c>
      <c r="J60" s="62" t="inlineStr">
        <is>
          <t>2026-03-30</t>
        </is>
      </c>
      <c r="K60" s="33" t="n">
        <v>13.37</v>
      </c>
      <c r="L60" s="63" t="n">
        <v>0.2674534906981397</v>
      </c>
      <c r="M60" s="64" t="n">
        <v>1</v>
      </c>
      <c r="N60" s="32" t="inlineStr">
        <is>
          <t>Active</t>
        </is>
      </c>
      <c r="O60" s="32" t="n"/>
      <c r="P60" s="65" t="n">
        <v>4.4</v>
      </c>
      <c r="Q60" s="64" t="n">
        <v>894</v>
      </c>
      <c r="R60" s="64" t="n">
        <v>98970</v>
      </c>
      <c r="S60" s="64" t="n">
        <v>9</v>
      </c>
      <c r="T60" s="32" t="n"/>
    </row>
    <row r="61" ht="62" customHeight="1">
      <c r="A61" s="10">
        <f>_xlfn.IMAGE("https://m.media-amazon.com/images/I/71cZAUJYwDL.jpg")</f>
        <v/>
      </c>
      <c r="B61" s="32" t="inlineStr">
        <is>
          <t>B0F7LZ3ZJQ</t>
        </is>
      </c>
      <c r="C61" s="32" t="inlineStr">
        <is>
          <t>SL-COOLING-SHEET-TWIN-LIGHT-PINK</t>
        </is>
      </c>
      <c r="D61" s="32" t="inlineStr">
        <is>
          <t>SLEEPHORIA Cooling Sheets - BreezeWeave 3 PC Twin Size Cooling Bed Sheets for Hot Sleepers &amp; Deep, Cool Rest - Cloud Soft, Silky Smooth, 16 in Deep Pocket, Ultra Durable (Light Pink)</t>
        </is>
      </c>
      <c r="E61" s="32" t="inlineStr">
        <is>
          <t>Twin</t>
        </is>
      </c>
      <c r="F61" s="32" t="inlineStr">
        <is>
          <t>Light Pink</t>
        </is>
      </c>
      <c r="G61" s="60" t="n">
        <v>59.99</v>
      </c>
      <c r="H61" s="32" t="inlineStr">
        <is>
          <t>SellerBoard listing price, 2026-10-14</t>
        </is>
      </c>
      <c r="I61" s="61" t="n">
        <v>49.99</v>
      </c>
      <c r="J61" s="62" t="inlineStr">
        <is>
          <t>2026-03-30</t>
        </is>
      </c>
      <c r="K61" s="33" t="n">
        <v>13.53</v>
      </c>
      <c r="L61" s="63" t="n">
        <v>0.2706541308261653</v>
      </c>
      <c r="M61" s="64" t="n">
        <v>1</v>
      </c>
      <c r="N61" s="32" t="inlineStr">
        <is>
          <t>Inactive</t>
        </is>
      </c>
      <c r="O61" s="32" t="n"/>
      <c r="P61" s="65" t="n"/>
      <c r="Q61" s="64" t="n"/>
      <c r="R61" s="64" t="n"/>
      <c r="S61" s="64" t="n"/>
      <c r="T61" s="32" t="n"/>
    </row>
    <row r="62" ht="62" customHeight="1">
      <c r="A62" s="10">
        <f>_xlfn.IMAGE("https://m.media-amazon.com/images/I/7126uGXcNGL.jpg")</f>
        <v/>
      </c>
      <c r="B62" s="32" t="inlineStr">
        <is>
          <t>B0F7LWTN5R</t>
        </is>
      </c>
      <c r="C62" s="32" t="inlineStr">
        <is>
          <t>SL-COOLING-SHEET-CAL-KING-CREAM</t>
        </is>
      </c>
      <c r="D62" s="32" t="inlineStr">
        <is>
          <t>SLEEPHORIA Cooling Sheets - BreezeWeave 4 PC California King Size Cooling Bed Sheets for Hot Sleepers &amp; Deep, Cool Rest - Cloud Soft, Silky Smooth, 16 in Deep Pocket, Ultra Durable (Cream)</t>
        </is>
      </c>
      <c r="E62" s="32" t="inlineStr">
        <is>
          <t>Cal King</t>
        </is>
      </c>
      <c r="F62" s="32" t="inlineStr">
        <is>
          <t>Cream</t>
        </is>
      </c>
      <c r="G62" s="60" t="n">
        <v>69.98999999999999</v>
      </c>
      <c r="H62" s="32" t="inlineStr">
        <is>
          <t>SellerBoard listing price, 2026-10-14</t>
        </is>
      </c>
      <c r="I62" s="61" t="n">
        <v>69.98999999999999</v>
      </c>
      <c r="J62" s="62" t="inlineStr">
        <is>
          <t>2026-03-30</t>
        </is>
      </c>
      <c r="K62" s="33" t="n">
        <v>19.73</v>
      </c>
      <c r="L62" s="63" t="n">
        <v>0.2818974139162737</v>
      </c>
      <c r="M62" s="64" t="n"/>
      <c r="N62" s="32" t="inlineStr">
        <is>
          <t>Inactive</t>
        </is>
      </c>
      <c r="O62" s="32" t="n"/>
      <c r="P62" s="65" t="n"/>
      <c r="Q62" s="64" t="n"/>
      <c r="R62" s="64" t="n"/>
      <c r="S62" s="64" t="n"/>
      <c r="T62" s="32" t="n"/>
    </row>
    <row r="63" ht="62" customHeight="1">
      <c r="A63" s="10">
        <f>_xlfn.IMAGE("https://m.media-amazon.com/images/I/71SgOjvow-L.jpg")</f>
        <v/>
      </c>
      <c r="B63" s="32" t="inlineStr">
        <is>
          <t>B0F7LX3RH5</t>
        </is>
      </c>
      <c r="C63" s="32" t="inlineStr">
        <is>
          <t>SL-COOLING-SHEET-CAL-KING-LIGHT-BLUE</t>
        </is>
      </c>
      <c r="D63" s="32" t="inlineStr">
        <is>
          <t>SLEEPHORIA Cooling Sheets - BreezeWeave 4 PC California King Size Cooling Bed Sheets for Hot Sleepers &amp; Deep, Cool Rest - Cloud Soft, Silky Smooth, 16 in Deep Pocket, Ultra Durable (Light Blue)</t>
        </is>
      </c>
      <c r="E63" s="32" t="inlineStr">
        <is>
          <t>Cal King</t>
        </is>
      </c>
      <c r="F63" s="32" t="inlineStr">
        <is>
          <t>Light Blue</t>
        </is>
      </c>
      <c r="G63" s="60" t="n">
        <v>84.98999999999999</v>
      </c>
      <c r="H63" s="32" t="inlineStr">
        <is>
          <t>SellerBoard listing price, 2026-10-14</t>
        </is>
      </c>
      <c r="I63" s="61" t="n">
        <v>69.98999999999999</v>
      </c>
      <c r="J63" s="62" t="inlineStr">
        <is>
          <t>2026-03-30</t>
        </is>
      </c>
      <c r="K63" s="33" t="n">
        <v>19.57999999999999</v>
      </c>
      <c r="L63" s="63" t="n">
        <v>0.2797542506072295</v>
      </c>
      <c r="M63" s="64" t="n"/>
      <c r="N63" s="32" t="inlineStr">
        <is>
          <t>Inactive</t>
        </is>
      </c>
      <c r="O63" s="32" t="n"/>
      <c r="P63" s="65" t="n"/>
      <c r="Q63" s="64" t="n"/>
      <c r="R63" s="64" t="n"/>
      <c r="S63" s="64" t="n"/>
      <c r="T63" s="32" t="n"/>
    </row>
    <row r="64" ht="62" customHeight="1">
      <c r="A64" s="10">
        <f>_xlfn.IMAGE("https://m.media-amazon.com/images/I/71IsX4lcKOL.jpg")</f>
        <v/>
      </c>
      <c r="B64" s="32" t="inlineStr">
        <is>
          <t>B0F7M1847R</t>
        </is>
      </c>
      <c r="C64" s="32" t="inlineStr">
        <is>
          <t>SL-COOLING-SHEET-CAL-KING-LIGHT-GREY</t>
        </is>
      </c>
      <c r="D64" s="32" t="inlineStr">
        <is>
          <t>SLEEPHORIA Cooling Sheets - BreezeWeave 4 PC California King Size Cooling Bed Sheets for Hot Sleepers &amp; Deep, Cool Rest - Cloud Soft, Silky Smooth, 16 in Deep Pocket, Ultra Durable (Light Grey)</t>
        </is>
      </c>
      <c r="E64" s="32" t="inlineStr">
        <is>
          <t>Cal King</t>
        </is>
      </c>
      <c r="F64" s="32" t="inlineStr">
        <is>
          <t>Light Grey</t>
        </is>
      </c>
      <c r="G64" s="60" t="n">
        <v>69.98999999999999</v>
      </c>
      <c r="H64" s="32" t="inlineStr">
        <is>
          <t>SellerBoard listing price, 2026-10-14</t>
        </is>
      </c>
      <c r="I64" s="61" t="n">
        <v>69.98999999999999</v>
      </c>
      <c r="J64" s="62" t="inlineStr">
        <is>
          <t>2026-03-04</t>
        </is>
      </c>
      <c r="K64" s="33" t="n">
        <v>19.73</v>
      </c>
      <c r="L64" s="63" t="n">
        <v>0.2818974139162737</v>
      </c>
      <c r="M64" s="64" t="n"/>
      <c r="N64" s="32" t="inlineStr">
        <is>
          <t>Inactive</t>
        </is>
      </c>
      <c r="O64" s="32" t="n"/>
      <c r="P64" s="65" t="n"/>
      <c r="Q64" s="64" t="n"/>
      <c r="R64" s="64" t="n"/>
      <c r="S64" s="64" t="n"/>
      <c r="T64" s="32" t="n"/>
    </row>
    <row r="65" ht="62" customHeight="1">
      <c r="A65" s="10">
        <f>_xlfn.IMAGE("https://m.media-amazon.com/images/I/71cZAUJYwDL.jpg")</f>
        <v/>
      </c>
      <c r="B65" s="32" t="inlineStr">
        <is>
          <t>B0F7LZLX1T</t>
        </is>
      </c>
      <c r="C65" s="32" t="inlineStr">
        <is>
          <t>SL-COOLING-SHEET-CAL-KING-LIGHT-PINK</t>
        </is>
      </c>
      <c r="D65" s="32" t="inlineStr">
        <is>
          <t>SLEEPHORIA Cooling Sheets - BreezeWeave 4 PC California King Size Cooling Bed Sheets for Hot Sleepers &amp; Deep, Cool Rest - Cloud Soft, Silky Smooth, 16 in Deep Pocket, Ultra Durable (Light Pink)</t>
        </is>
      </c>
      <c r="E65" s="32" t="inlineStr">
        <is>
          <t>Cal King</t>
        </is>
      </c>
      <c r="F65" s="32" t="inlineStr">
        <is>
          <t>Light Pink</t>
        </is>
      </c>
      <c r="G65" s="60" t="n">
        <v>79.98999999999999</v>
      </c>
      <c r="H65" s="32" t="inlineStr">
        <is>
          <t>SellerBoard listing price, 2026-10-14</t>
        </is>
      </c>
      <c r="I65" s="61" t="n">
        <v>69.98999999999999</v>
      </c>
      <c r="J65" s="62" t="inlineStr">
        <is>
          <t>2026-03-30</t>
        </is>
      </c>
      <c r="K65" s="33" t="n">
        <v>19.88999999999999</v>
      </c>
      <c r="L65" s="63" t="n">
        <v>0.2841834547792541</v>
      </c>
      <c r="M65" s="64" t="n"/>
      <c r="N65" s="32" t="inlineStr">
        <is>
          <t>Inactive</t>
        </is>
      </c>
      <c r="O65" s="32" t="n"/>
      <c r="P65" s="65" t="n"/>
      <c r="Q65" s="64" t="n"/>
      <c r="R65" s="64" t="n"/>
      <c r="S65" s="64" t="n"/>
      <c r="T65" s="32" t="n"/>
    </row>
    <row r="66" ht="62" customHeight="1">
      <c r="A66" s="10">
        <f>_xlfn.IMAGE("https://m.media-amazon.com/images/I/71zC97UTBkL.jpg")</f>
        <v/>
      </c>
      <c r="B66" s="32" t="inlineStr">
        <is>
          <t>B0F7LWSXSC</t>
        </is>
      </c>
      <c r="C66" s="32" t="inlineStr">
        <is>
          <t>SL-COOLING-SHEET-CAL-KING-SAGE-GREEN</t>
        </is>
      </c>
      <c r="D66" s="32" t="inlineStr">
        <is>
          <t>SLEEPHORIA Cooling Sheets - BreezeWeave 4 PC California King Size Cooling Bed Sheets for Hot Sleepers &amp; Deep, Cool Rest - Cloud Soft, Silky Smooth, 16 in Deep Pocket, Ultra Durable (Sage Green)</t>
        </is>
      </c>
      <c r="E66" s="32" t="inlineStr">
        <is>
          <t>Cal King</t>
        </is>
      </c>
      <c r="F66" s="32" t="inlineStr">
        <is>
          <t>Sage Green</t>
        </is>
      </c>
      <c r="G66" s="60" t="n">
        <v>84.98999999999999</v>
      </c>
      <c r="H66" s="32" t="inlineStr">
        <is>
          <t>SellerBoard listing price, 2026-10-14</t>
        </is>
      </c>
      <c r="I66" s="61" t="n">
        <v>69.98999999999999</v>
      </c>
      <c r="J66" s="62" t="inlineStr">
        <is>
          <t>2026-03-30</t>
        </is>
      </c>
      <c r="K66" s="33" t="n">
        <v>19.73</v>
      </c>
      <c r="L66" s="63" t="n">
        <v>0.2818974139162737</v>
      </c>
      <c r="M66" s="64" t="n"/>
      <c r="N66" s="32" t="inlineStr">
        <is>
          <t>Inactive</t>
        </is>
      </c>
      <c r="O66" s="32" t="n"/>
      <c r="P66" s="65" t="n"/>
      <c r="Q66" s="64" t="n"/>
      <c r="R66" s="64" t="n"/>
      <c r="S66" s="64" t="n"/>
      <c r="T66" s="32" t="n"/>
    </row>
    <row r="67" ht="62" customHeight="1">
      <c r="A67" s="10">
        <f>_xlfn.IMAGE("https://m.media-amazon.com/images/I/71wucpiYBHL.jpg")</f>
        <v/>
      </c>
      <c r="B67" s="32" t="inlineStr">
        <is>
          <t>B0F7LX3RH7</t>
        </is>
      </c>
      <c r="C67" s="32" t="inlineStr">
        <is>
          <t>SL-COOLING-SHEET-FULL-CREAM</t>
        </is>
      </c>
      <c r="D67" s="32" t="inlineStr">
        <is>
          <t>SLEEPHORIA Cooling Sheets - BreezeWeave 4 PC Full Size Cooling Bed Sheets for Hot Sleepers &amp; Deep, Cool Rest - Cloud Soft, Silky Smooth, 16 in Deep Pocket, Ultra Durable (Cream)</t>
        </is>
      </c>
      <c r="E67" s="32" t="inlineStr">
        <is>
          <t>Full</t>
        </is>
      </c>
      <c r="F67" s="32" t="inlineStr">
        <is>
          <t>Cream</t>
        </is>
      </c>
      <c r="G67" s="60" t="n">
        <v>64.98999999999999</v>
      </c>
      <c r="H67" s="32" t="inlineStr">
        <is>
          <t>Helium 10 Xray, 2026-10-13</t>
        </is>
      </c>
      <c r="I67" s="61" t="n">
        <v>59.99</v>
      </c>
      <c r="J67" s="62" t="inlineStr">
        <is>
          <t>2026-03-30</t>
        </is>
      </c>
      <c r="K67" s="33" t="n">
        <v>17.32</v>
      </c>
      <c r="L67" s="63" t="n">
        <v>0.288714785797633</v>
      </c>
      <c r="M67" s="64" t="n">
        <v>0</v>
      </c>
      <c r="N67" s="32" t="inlineStr">
        <is>
          <t>Active</t>
        </is>
      </c>
      <c r="O67" s="32" t="n"/>
      <c r="P67" s="65" t="n">
        <v>4.4</v>
      </c>
      <c r="Q67" s="64" t="n">
        <v>894</v>
      </c>
      <c r="R67" s="64" t="n">
        <v>98970</v>
      </c>
      <c r="S67" s="64" t="n">
        <v>7</v>
      </c>
      <c r="T67" s="32" t="n"/>
    </row>
    <row r="68" ht="62" customHeight="1">
      <c r="A68" s="10">
        <f>_xlfn.IMAGE("https://m.media-amazon.com/images/I/71f2mmi0EcL.jpg")</f>
        <v/>
      </c>
      <c r="B68" s="32" t="inlineStr">
        <is>
          <t>B0F7LZMK4N</t>
        </is>
      </c>
      <c r="C68" s="32" t="inlineStr">
        <is>
          <t>SL-COOLING-SHEET-KING-BEIGE</t>
        </is>
      </c>
      <c r="D68" s="32" t="inlineStr">
        <is>
          <t>SLEEPHORIA Cooling Sheets - BreezeWeave 4 PC King Size Cooling Bed Sheets for Hot Sleepers &amp; Deep, Cool Rest - Cloud Soft, Silky Smooth, 16 in Deep Pocket, Ultra Durable (Beige)</t>
        </is>
      </c>
      <c r="E68" s="32" t="inlineStr">
        <is>
          <t>King</t>
        </is>
      </c>
      <c r="F68" s="32" t="inlineStr">
        <is>
          <t>Beige</t>
        </is>
      </c>
      <c r="G68" s="60" t="n">
        <v>84.98999999999999</v>
      </c>
      <c r="H68" s="32" t="inlineStr">
        <is>
          <t>SellerBoard listing price, 2026-10-14</t>
        </is>
      </c>
      <c r="I68" s="61" t="n">
        <v>76.98999999999999</v>
      </c>
      <c r="J68" s="62" t="inlineStr">
        <is>
          <t>2026-03-24</t>
        </is>
      </c>
      <c r="K68" s="33" t="n">
        <v>26.61</v>
      </c>
      <c r="L68" s="63" t="n">
        <v>0.3456293025068191</v>
      </c>
      <c r="M68" s="64" t="n"/>
      <c r="N68" s="32" t="inlineStr">
        <is>
          <t>Inactive</t>
        </is>
      </c>
      <c r="O68" s="32" t="n"/>
      <c r="P68" s="65" t="n"/>
      <c r="Q68" s="64" t="n"/>
      <c r="R68" s="64" t="n"/>
      <c r="S68" s="64" t="n"/>
      <c r="T68" s="32" t="n"/>
    </row>
    <row r="69" ht="62" customHeight="1">
      <c r="A69" s="10">
        <f>_xlfn.IMAGE("https://m.media-amazon.com/images/I/71Yi7AA7VHL.jpg")</f>
        <v/>
      </c>
      <c r="B69" s="32" t="inlineStr">
        <is>
          <t>B0H9YXJS4Y</t>
        </is>
      </c>
      <c r="C69" s="32" t="inlineStr">
        <is>
          <t>SL-COOLING-SHEET-KING-MIDNIGHT-BLACK-4PC</t>
        </is>
      </c>
      <c r="D69" s="32" t="inlineStr">
        <is>
          <t>SLEEPHORIA Cooling Sheets - BreezeWeave 4 PC King Size Cooling Bed Sheets for Hot Sleepers &amp; Deep, Cool Rest - Cloud Soft, Silky Smooth, 16 in Deep Pocket, Ultra Durable (Black)</t>
        </is>
      </c>
      <c r="E69" s="32" t="inlineStr">
        <is>
          <t>King</t>
        </is>
      </c>
      <c r="F69" s="32" t="inlineStr">
        <is>
          <t>Black</t>
        </is>
      </c>
      <c r="G69" s="33" t="n"/>
      <c r="H69" s="32" t="n"/>
      <c r="I69" s="33" t="n"/>
      <c r="J69" s="32" t="n"/>
      <c r="K69" s="33" t="n"/>
      <c r="L69" s="63" t="n"/>
      <c r="M69" s="64" t="n"/>
      <c r="N69" s="32" t="inlineStr">
        <is>
          <t>Inactive</t>
        </is>
      </c>
      <c r="O69" s="32" t="n"/>
      <c r="P69" s="65" t="n"/>
      <c r="Q69" s="64" t="n"/>
      <c r="R69" s="64" t="n"/>
      <c r="S69" s="64" t="n"/>
      <c r="T69" s="32" t="n"/>
    </row>
    <row r="70" ht="62" customHeight="1">
      <c r="A70" s="10">
        <f>_xlfn.IMAGE("https://m.media-amazon.com/images/I/71E9a6e52xL.jpg")</f>
        <v/>
      </c>
      <c r="B70" s="32" t="inlineStr">
        <is>
          <t>B0HKNJ736G</t>
        </is>
      </c>
      <c r="C70" s="32" t="inlineStr">
        <is>
          <t>SL-COOLING-SHEET-4PCS-KING-COOL-GREY</t>
        </is>
      </c>
      <c r="D70" s="32" t="inlineStr">
        <is>
          <t>SLEEPHORIA Cooling Sheets - BreezeWeave 4 PC King Size Cooling Bed Sheets for Hot Sleepers &amp; Deep, Cool Rest - Cloud Soft, Silky Smooth, 16 in Deep Pocket, Ultra Durable (Cool Grey)</t>
        </is>
      </c>
      <c r="E70" s="32" t="inlineStr">
        <is>
          <t>King</t>
        </is>
      </c>
      <c r="F70" s="32" t="inlineStr">
        <is>
          <t>Cool Grey</t>
        </is>
      </c>
      <c r="G70" s="33" t="n"/>
      <c r="H70" s="32" t="n"/>
      <c r="I70" s="33" t="n"/>
      <c r="J70" s="32" t="n"/>
      <c r="K70" s="33" t="n"/>
      <c r="L70" s="63" t="n"/>
      <c r="M70" s="64" t="n"/>
      <c r="N70" s="32" t="inlineStr">
        <is>
          <t>Inactive</t>
        </is>
      </c>
      <c r="O70" s="32" t="n"/>
      <c r="P70" s="65" t="n"/>
      <c r="Q70" s="64" t="n"/>
      <c r="R70" s="64" t="n"/>
      <c r="S70" s="64" t="n"/>
      <c r="T70" s="32" t="n"/>
    </row>
    <row r="71" ht="62" customHeight="1">
      <c r="A71" s="10">
        <f>_xlfn.IMAGE("https://m.media-amazon.com/images/I/71zC97UTBkL.jpg")</f>
        <v/>
      </c>
      <c r="B71" s="32" t="inlineStr">
        <is>
          <t>B0F7LZCWQW</t>
        </is>
      </c>
      <c r="C71" s="32" t="inlineStr">
        <is>
          <t>SL-COOLING-SHEET-KING-SAGE-GREEN</t>
        </is>
      </c>
      <c r="D71" s="32" t="inlineStr">
        <is>
          <t>SLEEPHORIA Cooling Sheets - BreezeWeave 4 PC King Size Cooling Bed Sheets for Hot Sleepers &amp; Deep, Cool Rest - Cloud Soft, Silky Smooth, 16 in Deep Pocket, Ultra Durable (Sage Green)</t>
        </is>
      </c>
      <c r="E71" s="32" t="inlineStr">
        <is>
          <t>King</t>
        </is>
      </c>
      <c r="F71" s="32" t="inlineStr">
        <is>
          <t>Sage Green</t>
        </is>
      </c>
      <c r="G71" s="60" t="n">
        <v>64.98999999999999</v>
      </c>
      <c r="H71" s="32" t="inlineStr">
        <is>
          <t>SellerBoard listing price, 2026-10-14</t>
        </is>
      </c>
      <c r="I71" s="61" t="n">
        <v>76.98999999999999</v>
      </c>
      <c r="J71" s="62" t="inlineStr">
        <is>
          <t>2026-03-30</t>
        </is>
      </c>
      <c r="K71" s="33" t="n">
        <v>26.53</v>
      </c>
      <c r="L71" s="63" t="n">
        <v>0.3445902065203273</v>
      </c>
      <c r="M71" s="64" t="n">
        <v>0</v>
      </c>
      <c r="N71" s="32" t="inlineStr">
        <is>
          <t>Inactive</t>
        </is>
      </c>
      <c r="O71" s="32" t="n"/>
      <c r="P71" s="65" t="n"/>
      <c r="Q71" s="64" t="n"/>
      <c r="R71" s="64" t="n"/>
      <c r="S71" s="64" t="n"/>
      <c r="T71" s="32" t="n"/>
    </row>
    <row r="72" ht="62" customHeight="1">
      <c r="A72" s="10">
        <f>_xlfn.IMAGE("https://m.media-amazon.com/images/I/81JDVBgWOSL.jpg")</f>
        <v/>
      </c>
      <c r="B72" s="32" t="inlineStr">
        <is>
          <t>B0HK541FW9</t>
        </is>
      </c>
      <c r="C72" s="32" t="inlineStr">
        <is>
          <t>SATIN-WHITE-6PCS-KING</t>
        </is>
      </c>
      <c r="D72" s="32" t="inlineStr">
        <is>
          <t>DECOLURE Satin Sheets King Size | Softer Than Silk | Luxury 6 Pc Bed Set</t>
        </is>
      </c>
      <c r="E72" s="32" t="inlineStr">
        <is>
          <t>King</t>
        </is>
      </c>
      <c r="F72" s="32" t="inlineStr">
        <is>
          <t>White</t>
        </is>
      </c>
      <c r="G72" s="33" t="n"/>
      <c r="H72" s="32" t="n"/>
      <c r="I72" s="33" t="n"/>
      <c r="J72" s="32" t="n"/>
      <c r="K72" s="33" t="n"/>
      <c r="L72" s="63" t="n"/>
      <c r="M72" s="64" t="n"/>
      <c r="N72" s="32" t="inlineStr">
        <is>
          <t>Inactive</t>
        </is>
      </c>
      <c r="O72" s="32" t="n"/>
      <c r="P72" s="65" t="n"/>
      <c r="Q72" s="64" t="n"/>
      <c r="R72" s="64" t="n"/>
      <c r="S72" s="64" t="n"/>
      <c r="T72" s="32" t="n"/>
    </row>
    <row r="73" ht="62" customHeight="1">
      <c r="A73" s="10">
        <f>_xlfn.IMAGE("https://m.media-amazon.com/images/I/71E9a6e52xL.jpg")</f>
        <v/>
      </c>
      <c r="B73" s="32" t="inlineStr">
        <is>
          <t>B0HKN34G76</t>
        </is>
      </c>
      <c r="C73" s="32" t="inlineStr">
        <is>
          <t>SL-COOLING-SHEET-4PCS-QUEEN-COOL-GREY</t>
        </is>
      </c>
      <c r="D73" s="32" t="inlineStr">
        <is>
          <t>SLEEPHORIA Cooling Sheets - BreezeWeave 4 PC Queen Size Cooling Bed Sheets for Hot Sleepers &amp; Deep, Cool Rest - Cloud Soft, Silky Smooth, 16 in Deep Pocket, Ultra Durable (Cool Grey)</t>
        </is>
      </c>
      <c r="E73" s="32" t="inlineStr">
        <is>
          <t>Queen</t>
        </is>
      </c>
      <c r="F73" s="32" t="inlineStr">
        <is>
          <t>Cool Grey</t>
        </is>
      </c>
      <c r="G73" s="33" t="n"/>
      <c r="H73" s="32" t="n"/>
      <c r="I73" s="33" t="n"/>
      <c r="J73" s="32" t="n"/>
      <c r="K73" s="33" t="n"/>
      <c r="L73" s="63" t="n"/>
      <c r="M73" s="64" t="n"/>
      <c r="N73" s="32" t="inlineStr">
        <is>
          <t>Inactive</t>
        </is>
      </c>
      <c r="O73" s="32" t="n"/>
      <c r="P73" s="65" t="n"/>
      <c r="Q73" s="64" t="n"/>
      <c r="R73" s="64" t="n"/>
      <c r="S73" s="64" t="n"/>
      <c r="T73" s="32" t="n"/>
    </row>
    <row r="74" ht="62" customHeight="1">
      <c r="A74" s="10">
        <f>_xlfn.IMAGE("https://m.media-amazon.com/images/I/71f2mmi0EcL.jpg")</f>
        <v/>
      </c>
      <c r="B74" s="32" t="inlineStr">
        <is>
          <t>B0F7LX6353</t>
        </is>
      </c>
      <c r="C74" s="32" t="inlineStr">
        <is>
          <t>SL-COOLING-SHEET-TWIN-BEIGE</t>
        </is>
      </c>
      <c r="D74" s="32" t="inlineStr">
        <is>
          <t>SLEEPHORIA Cooling Sheets - BreezeWeave 3 PC Twin Size Cooling Bed Sheets for Hot Sleepers &amp; Deep, Cool Rest - Cloud Soft, Silky Smooth, 16 in Deep Pocket, Ultra Durable (Beige)</t>
        </is>
      </c>
      <c r="E74" s="32" t="inlineStr">
        <is>
          <t>Twin</t>
        </is>
      </c>
      <c r="F74" s="32" t="inlineStr">
        <is>
          <t>Beige</t>
        </is>
      </c>
      <c r="G74" s="60" t="n">
        <v>59.99</v>
      </c>
      <c r="H74" s="32" t="inlineStr">
        <is>
          <t>Helium 10 Xray, 2026-10-13</t>
        </is>
      </c>
      <c r="I74" s="61" t="n">
        <v>49.99</v>
      </c>
      <c r="J74" s="62" t="inlineStr">
        <is>
          <t>2026-03-30</t>
        </is>
      </c>
      <c r="K74" s="33" t="n">
        <v>14.07</v>
      </c>
      <c r="L74" s="63" t="n">
        <v>0.2814562912582517</v>
      </c>
      <c r="M74" s="64" t="n">
        <v>0</v>
      </c>
      <c r="N74" s="32" t="inlineStr">
        <is>
          <t>Active</t>
        </is>
      </c>
      <c r="O74" s="32" t="n"/>
      <c r="P74" s="65" t="n">
        <v>4.4</v>
      </c>
      <c r="Q74" s="64" t="n">
        <v>894</v>
      </c>
      <c r="R74" s="64" t="n">
        <v>98970</v>
      </c>
      <c r="S74" s="64" t="n">
        <v>9</v>
      </c>
      <c r="T74" s="32" t="n"/>
    </row>
    <row r="75" ht="62" customHeight="1">
      <c r="A75" s="10">
        <f>_xlfn.IMAGE("https://m.media-amazon.com/images/I/71IsX4lcKOL.jpg")</f>
        <v/>
      </c>
      <c r="B75" s="32" t="inlineStr">
        <is>
          <t>B0F7LZ3ZQJ</t>
        </is>
      </c>
      <c r="C75" s="32" t="inlineStr">
        <is>
          <t>SL-COOLING-SHEET-TWIN-LIGHT-GREY</t>
        </is>
      </c>
      <c r="D75" s="32" t="inlineStr">
        <is>
          <t>SLEEPHORIA Cooling Sheets - BreezeWeave 3 PC Twin Size Cooling Bed Sheets for Hot Sleepers &amp; Deep, Cool Rest - Cloud Soft, Silky Smooth, 16 in Deep Pocket, Ultra Durable (Light Grey)</t>
        </is>
      </c>
      <c r="E75" s="32" t="inlineStr">
        <is>
          <t>Twin</t>
        </is>
      </c>
      <c r="F75" s="32" t="inlineStr">
        <is>
          <t>Light Grey</t>
        </is>
      </c>
      <c r="G75" s="60" t="n">
        <v>59.99</v>
      </c>
      <c r="H75" s="32" t="inlineStr">
        <is>
          <t>SellerBoard listing price, 2026-10-14</t>
        </is>
      </c>
      <c r="I75" s="61" t="n">
        <v>56.99</v>
      </c>
      <c r="J75" s="62" t="inlineStr">
        <is>
          <t>2026-03-30</t>
        </is>
      </c>
      <c r="K75" s="33" t="n">
        <v>19.06</v>
      </c>
      <c r="L75" s="63" t="n">
        <v>0.3344446394104228</v>
      </c>
      <c r="M75" s="64" t="n">
        <v>0</v>
      </c>
      <c r="N75" s="32" t="inlineStr">
        <is>
          <t>Inactive</t>
        </is>
      </c>
      <c r="O75" s="32" t="n"/>
      <c r="P75" s="65" t="n"/>
      <c r="Q75" s="64" t="n"/>
      <c r="R75" s="64" t="n"/>
      <c r="S75" s="64" t="n"/>
      <c r="T75" s="32" t="n"/>
    </row>
    <row r="76" ht="62" customHeight="1">
      <c r="A76" s="10">
        <f>_xlfn.IMAGE("https://m.media-amazon.com/images/I/71Yi7AA7VHL.jpg")</f>
        <v/>
      </c>
      <c r="B76" s="32" t="inlineStr">
        <is>
          <t>B0F7LXP5ZF</t>
        </is>
      </c>
      <c r="C76" s="32" t="inlineStr">
        <is>
          <t>SL-COOLING-SHEET-TWIN-MIDNIGHT-BLACK</t>
        </is>
      </c>
      <c r="D76" s="32" t="inlineStr">
        <is>
          <t>SLEEPHORIA Cooling Sheets - BreezeWeave 3 PC Twin Size Cooling Bed Sheets for Hot Sleepers &amp; Deep, Cool Rest - Cloud Soft, Silky Smooth, 16 in Deep Pocket, Ultra Durable (Midnight Black)</t>
        </is>
      </c>
      <c r="E76" s="32" t="inlineStr">
        <is>
          <t>Twin</t>
        </is>
      </c>
      <c r="F76" s="32" t="inlineStr">
        <is>
          <t>Midnight Black</t>
        </is>
      </c>
      <c r="G76" s="60" t="n">
        <v>56.99</v>
      </c>
      <c r="H76" s="32" t="inlineStr">
        <is>
          <t>SellerBoard listing price, 2026-10-14</t>
        </is>
      </c>
      <c r="I76" s="61" t="n">
        <v>49.99</v>
      </c>
      <c r="J76" s="62" t="inlineStr">
        <is>
          <t>2026-03-30</t>
        </is>
      </c>
      <c r="K76" s="33" t="n">
        <v>13.53</v>
      </c>
      <c r="L76" s="63" t="n">
        <v>0.2706541308261653</v>
      </c>
      <c r="M76" s="64" t="n"/>
      <c r="N76" s="32" t="inlineStr">
        <is>
          <t>Inactive</t>
        </is>
      </c>
      <c r="O76" s="32" t="n"/>
      <c r="P76" s="65" t="n"/>
      <c r="Q76" s="64" t="n"/>
      <c r="R76" s="64" t="n"/>
      <c r="S76" s="64" t="n"/>
      <c r="T76" s="32" t="n"/>
    </row>
    <row r="77" ht="62" customHeight="1">
      <c r="A77" s="10">
        <f>_xlfn.IMAGE("https://m.media-amazon.com/images/I/71WtuLuQ2wL.jpg")</f>
        <v/>
      </c>
      <c r="B77" s="32" t="inlineStr">
        <is>
          <t>B0F7LXNNGZ</t>
        </is>
      </c>
      <c r="C77" s="32" t="inlineStr">
        <is>
          <t>SL-COOLING-SHEET-TWIN-REGAL-PURPLE</t>
        </is>
      </c>
      <c r="D77" s="32" t="inlineStr">
        <is>
          <t>SLEEPHORIA Cooling Sheets - BreezeWeave 3 PC Twin Size Cooling Bed Sheets for Hot Sleepers &amp; Deep, Cool Rest - Cloud Soft, Silky Smooth, 16 in Deep Pocket, Ultra Durable (Regal Purple)</t>
        </is>
      </c>
      <c r="E77" s="32" t="inlineStr">
        <is>
          <t>Twin</t>
        </is>
      </c>
      <c r="F77" s="32" t="inlineStr">
        <is>
          <t>Regal Purple</t>
        </is>
      </c>
      <c r="G77" s="60" t="n">
        <v>59.99</v>
      </c>
      <c r="H77" s="32" t="inlineStr">
        <is>
          <t>SellerBoard listing price, 2026-10-14</t>
        </is>
      </c>
      <c r="I77" s="61" t="n">
        <v>49.99</v>
      </c>
      <c r="J77" s="62" t="inlineStr">
        <is>
          <t>2026-03-30</t>
        </is>
      </c>
      <c r="K77" s="33" t="n">
        <v>13.53</v>
      </c>
      <c r="L77" s="63" t="n">
        <v>0.2706541308261653</v>
      </c>
      <c r="M77" s="64" t="n"/>
      <c r="N77" s="32" t="inlineStr">
        <is>
          <t>Inactive</t>
        </is>
      </c>
      <c r="O77" s="32" t="n"/>
      <c r="P77" s="65" t="n"/>
      <c r="Q77" s="64" t="n"/>
      <c r="R77" s="64" t="n"/>
      <c r="S77" s="64" t="n"/>
      <c r="T77" s="32" t="n"/>
    </row>
    <row r="78" ht="62" customHeight="1">
      <c r="A78" s="10">
        <f>_xlfn.IMAGE("https://m.media-amazon.com/images/I/71zC97UTBkL.jpg")</f>
        <v/>
      </c>
      <c r="B78" s="32" t="inlineStr">
        <is>
          <t>B0F7LWY93Q</t>
        </is>
      </c>
      <c r="C78" s="32" t="inlineStr">
        <is>
          <t>SL-COOLING-SHEET-TWIN-SAGE-GREEN</t>
        </is>
      </c>
      <c r="D78" s="32" t="inlineStr">
        <is>
          <t>SLEEPHORIA Cooling Sheets - BreezeWeave 3 PC Twin Size Cooling Bed Sheets for Hot Sleepers &amp; Deep, Cool Rest - Cloud Soft, Silky Smooth, 16 in Deep Pocket, Ultra Durable (Sage Green)</t>
        </is>
      </c>
      <c r="E78" s="32" t="inlineStr">
        <is>
          <t>Twin</t>
        </is>
      </c>
      <c r="F78" s="32" t="inlineStr">
        <is>
          <t>Sage Green</t>
        </is>
      </c>
      <c r="G78" s="60" t="n">
        <v>54.99</v>
      </c>
      <c r="H78" s="32" t="inlineStr">
        <is>
          <t>SellerBoard listing price, 2026-10-14</t>
        </is>
      </c>
      <c r="I78" s="61" t="n">
        <v>49.99</v>
      </c>
      <c r="J78" s="62" t="inlineStr">
        <is>
          <t>2026-03-30</t>
        </is>
      </c>
      <c r="K78" s="33" t="n">
        <v>13.53</v>
      </c>
      <c r="L78" s="63" t="n">
        <v>0.2706541308261653</v>
      </c>
      <c r="M78" s="64" t="n"/>
      <c r="N78" s="32" t="inlineStr">
        <is>
          <t>Inactive</t>
        </is>
      </c>
      <c r="O78" s="32" t="n"/>
      <c r="P78" s="65" t="n"/>
      <c r="Q78" s="64" t="n"/>
      <c r="R78" s="64" t="n"/>
      <c r="S78" s="64" t="n"/>
      <c r="T78" s="32" t="n"/>
    </row>
    <row r="80" ht="20" customHeight="1">
      <c r="A80" s="54" t="inlineStr">
        <is>
          <t>3 · OUR BFCM 2025 RESULT &amp; EVENT VISIBILITY</t>
        </is>
      </c>
    </row>
    <row r="81">
      <c r="A81" s="67" t="inlineStr">
        <is>
          <t>Window</t>
        </is>
      </c>
      <c r="B81" s="68" t="n"/>
      <c r="C81" s="69" t="n"/>
      <c r="D81" s="67" t="inlineStr">
        <is>
          <t>Ad spend</t>
        </is>
      </c>
      <c r="E81" s="67" t="inlineStr">
        <is>
          <t>Ad sales</t>
        </is>
      </c>
      <c r="F81" s="67" t="inlineStr">
        <is>
          <t>ACoS</t>
        </is>
      </c>
      <c r="G81" s="67" t="inlineStr">
        <is>
          <t>TACoS</t>
        </is>
      </c>
      <c r="H81" s="67" t="inlineStr">
        <is>
          <t>Total sales (derived)</t>
        </is>
      </c>
      <c r="J81" s="67" t="inlineStr">
        <is>
          <t>Ad orders</t>
        </is>
      </c>
      <c r="K81" s="67" t="inlineStr">
        <is>
          <t>CVR</t>
        </is>
      </c>
    </row>
    <row r="82">
      <c r="A82" s="70" t="inlineStr">
        <is>
          <t>Pre-event Oct 21 - Nov 19, 2025 (30d)</t>
        </is>
      </c>
      <c r="B82" s="68" t="n"/>
      <c r="C82" s="69" t="n"/>
      <c r="D82" s="71" t="n">
        <v>2846.91</v>
      </c>
      <c r="E82" s="71" t="n">
        <v>6611.829999999999</v>
      </c>
      <c r="F82" s="72" t="n">
        <v>43.1</v>
      </c>
      <c r="G82" s="72" t="n">
        <v>4.392370333421844</v>
      </c>
      <c r="H82" s="71" t="n">
        <v>64814.89</v>
      </c>
      <c r="J82" s="73" t="n">
        <v>112</v>
      </c>
      <c r="K82" s="74" t="n">
        <v>15.47</v>
      </c>
    </row>
    <row r="83">
      <c r="A83" s="70" t="inlineStr">
        <is>
          <t>BFCM week Nov 20 - Dec 1, 2025 (12d)</t>
        </is>
      </c>
      <c r="B83" s="68" t="n"/>
      <c r="C83" s="69" t="n"/>
      <c r="D83" s="71" t="n">
        <v>476.5599999999999</v>
      </c>
      <c r="E83" s="71" t="n">
        <v>2310.61</v>
      </c>
      <c r="F83" s="72" t="n">
        <v>20.6</v>
      </c>
      <c r="G83" s="72" t="n">
        <v>1.606180979144857</v>
      </c>
      <c r="H83" s="71" t="n">
        <v>29670.38</v>
      </c>
      <c r="J83" s="73" t="n">
        <v>39</v>
      </c>
      <c r="K83" s="74" t="n">
        <v>20</v>
      </c>
    </row>
    <row r="84">
      <c r="A84" s="70" t="inlineStr">
        <is>
          <t>December 2 - 31, 2025 (30d)</t>
        </is>
      </c>
      <c r="B84" s="68" t="n"/>
      <c r="C84" s="69" t="n"/>
      <c r="D84" s="71" t="n">
        <v>1429.12</v>
      </c>
      <c r="E84" s="71" t="n">
        <v>5645.759999999999</v>
      </c>
      <c r="F84" s="72" t="n">
        <v>25.3</v>
      </c>
      <c r="G84" s="72" t="n">
        <v>2.896073727967422</v>
      </c>
      <c r="H84" s="71" t="n">
        <v>49346.81</v>
      </c>
      <c r="J84" s="73" t="n">
        <v>102</v>
      </c>
      <c r="K84" s="74" t="n">
        <v>14.27</v>
      </c>
    </row>
    <row r="86">
      <c r="A86" s="67" t="inlineStr">
        <is>
          <t>Actual sales (SellerBoard)</t>
        </is>
      </c>
      <c r="B86" s="68" t="n"/>
      <c r="C86" s="69" t="n"/>
      <c r="D86" s="67" t="inlineStr">
        <is>
          <t>Sales</t>
        </is>
      </c>
      <c r="E86" s="67" t="inlineStr">
        <is>
          <t>Units</t>
        </is>
      </c>
      <c r="F86" s="67" t="inlineStr">
        <is>
          <t>Organic units</t>
        </is>
      </c>
      <c r="G86" s="67" t="inlineStr">
        <is>
          <t>Ad units</t>
        </is>
      </c>
      <c r="H86" s="67" t="inlineStr">
        <is>
          <t>Ad cost</t>
        </is>
      </c>
      <c r="J86" s="67" t="inlineStr">
        <is>
          <t>TACoS (actual)</t>
        </is>
      </c>
      <c r="K86" s="67" t="inlineStr">
        <is>
          <t>Sessions</t>
        </is>
      </c>
      <c r="L86" s="67" t="inlineStr">
        <is>
          <t>Unit session %</t>
        </is>
      </c>
      <c r="M86" s="67" t="inlineStr">
        <is>
          <t>Avg price</t>
        </is>
      </c>
      <c r="N86" s="67" t="inlineStr">
        <is>
          <t>Refunds</t>
        </is>
      </c>
    </row>
    <row r="87">
      <c r="A87" s="70" t="inlineStr">
        <is>
          <t>Pre-event Oct 21 - Nov 19, 2025 (30d)</t>
        </is>
      </c>
      <c r="B87" s="68" t="n"/>
      <c r="C87" s="69" t="n"/>
      <c r="D87" s="71" t="n">
        <v>76193.21000000001</v>
      </c>
      <c r="E87" s="73" t="n">
        <v>1179</v>
      </c>
      <c r="F87" s="73" t="n">
        <v>1101</v>
      </c>
      <c r="G87" s="73" t="n">
        <v>78</v>
      </c>
      <c r="H87" s="71" t="n">
        <v>13837.96</v>
      </c>
      <c r="J87" s="75" t="n">
        <v>0.1816167083654829</v>
      </c>
      <c r="K87" s="73" t="n">
        <v>20660</v>
      </c>
      <c r="L87" s="75" t="n">
        <v>0.05706679574056147</v>
      </c>
      <c r="M87" s="76" t="n">
        <v>64.62528413910094</v>
      </c>
      <c r="N87" s="73" t="n">
        <v>63</v>
      </c>
    </row>
    <row r="88">
      <c r="A88" s="70" t="inlineStr">
        <is>
          <t>BFCM week Nov 20 - Dec 1, 2025 (12d)</t>
        </is>
      </c>
      <c r="B88" s="68" t="n"/>
      <c r="C88" s="69" t="n"/>
      <c r="D88" s="71" t="n">
        <v>35309.54</v>
      </c>
      <c r="E88" s="73" t="n">
        <v>547</v>
      </c>
      <c r="F88" s="73" t="n">
        <v>529</v>
      </c>
      <c r="G88" s="73" t="n">
        <v>18</v>
      </c>
      <c r="H88" s="71" t="n">
        <v>2503.28</v>
      </c>
      <c r="J88" s="75" t="n">
        <v>0.07089528778907911</v>
      </c>
      <c r="K88" s="73" t="n">
        <v>7571</v>
      </c>
      <c r="L88" s="75" t="n">
        <v>0.07224937260599656</v>
      </c>
      <c r="M88" s="76" t="n">
        <v>64.55126142595978</v>
      </c>
      <c r="N88" s="73" t="n">
        <v>21</v>
      </c>
    </row>
    <row r="89">
      <c r="A89" s="70" t="inlineStr">
        <is>
          <t>December 2 - 31, 2025 (30d)</t>
        </is>
      </c>
      <c r="B89" s="68" t="n"/>
      <c r="C89" s="69" t="n"/>
      <c r="D89" s="71" t="n">
        <v>57985.49999999999</v>
      </c>
      <c r="E89" s="73" t="n">
        <v>912</v>
      </c>
      <c r="F89" s="73" t="n">
        <v>847</v>
      </c>
      <c r="G89" s="73" t="n">
        <v>65</v>
      </c>
      <c r="H89" s="71" t="n">
        <v>6154.26</v>
      </c>
      <c r="J89" s="75" t="n">
        <v>0.1061344646506454</v>
      </c>
      <c r="K89" s="73" t="n">
        <v>14467</v>
      </c>
      <c r="L89" s="75" t="n">
        <v>0.06304002211930601</v>
      </c>
      <c r="M89" s="76" t="n">
        <v>63.58059210526315</v>
      </c>
      <c r="N89" s="73" t="n">
        <v>47</v>
      </c>
    </row>
    <row r="90">
      <c r="A90" s="59" t="inlineStr">
        <is>
          <t>SellerBoard, Ecotero account, Amazon parent B0H8PNVWP1 plus any of this product's child ASINs SellerBoard lists on their own, UTC days. Lift above uses these actual sales (1.16x; the ad-spend estimate was 1.14x).</t>
        </is>
      </c>
    </row>
    <row r="91" ht="18" customHeight="1">
      <c r="A91" s="77" t="inlineStr">
        <is>
          <t>Deals Nov 1 - Dec 5, 2025: no record returned by the DataHub promotions feed. Unknown, not proof that no deal ran.</t>
        </is>
      </c>
    </row>
    <row r="92" ht="26" customHeight="1">
      <c r="A92" s="77" t="inlineStr">
        <is>
          <t>Stock in BFCM week 2025 (FBA inventory snapshots, child-ASIN level, revision 2): 10 of 54 variations hit zero FBA stock on at least one observed day; weighted by today's sales mix that is ~14.4% of variation-days lost. Most important: B0F7LZQNHM 4/9 days; B0F7LXS4FK 6/9 days; B0F7LX5ZQN 9/9 days; B0F7LZ27F2 3/5 days. Snapshots missing: US Nov 26-27 and Dec 1 (Cyber Monday); CA Nov 24, 29-30.</t>
        </is>
      </c>
    </row>
    <row r="93">
      <c r="A93" s="59" t="inlineStr">
        <is>
          <t>No Command Center visibility history for our best child ASIN.</t>
        </is>
      </c>
    </row>
    <row r="95" ht="20" customHeight="1">
      <c r="A95" s="54" t="inlineStr">
        <is>
          <t>4 · COMPETITOR LANDSCAPE (36 mapped)</t>
        </is>
      </c>
    </row>
    <row r="96">
      <c r="A96" s="59" t="inlineStr">
        <is>
          <t>Sorted by tier, then estimated weekly units. Green = Command Center price/sales; blue = Data Dive listing; purple = Command Center search strategy (ASINsight); yellow = fill from Keepa / page check.</t>
        </is>
      </c>
    </row>
    <row r="97">
      <c r="A97" s="78" t="inlineStr">
        <is>
          <t>COMPETITOR</t>
        </is>
      </c>
      <c r="I97" s="79" t="inlineStr">
        <is>
          <t>LISTING - Data Dive</t>
        </is>
      </c>
      <c r="J97" s="80" t="inlineStr">
        <is>
          <t>SEARCH STRATEGY - Command Center ASINsight</t>
        </is>
      </c>
      <c r="K97" s="81" t="inlineStr">
        <is>
          <t>PRICE &amp; SALES - Command Center snapshot (date per row)</t>
        </is>
      </c>
      <c r="X97" s="79" t="inlineStr">
        <is>
          <t>LISTING - Data Dive</t>
        </is>
      </c>
      <c r="AA97" s="80" t="inlineStr">
        <is>
          <t>SEARCH STRATEGY - Command Center ASINsight</t>
        </is>
      </c>
      <c r="AR97" s="82" t="inlineStr">
        <is>
          <t>STR NOW - Amazon page check (Oct 13, P1 + P2)</t>
        </is>
      </c>
      <c r="AY97" s="83" t="inlineStr">
        <is>
          <t>BFCM 2025 - Keepa (P1 filled; yellow = not pulled yet)</t>
        </is>
      </c>
    </row>
    <row r="98" ht="48" customHeight="1">
      <c r="A98" s="22" t="inlineStr">
        <is>
          <t>Image</t>
        </is>
      </c>
      <c r="B98" s="22" t="inlineStr">
        <is>
          <t>Brand</t>
        </is>
      </c>
      <c r="C98" s="22" t="inlineStr">
        <is>
          <t>Product title</t>
        </is>
      </c>
      <c r="D98" s="22" t="inlineStr">
        <is>
          <t>Tier</t>
        </is>
      </c>
      <c r="E98" s="22" t="inlineStr">
        <is>
          <t>Parent ASIN</t>
        </is>
      </c>
      <c r="F98" s="22" t="inlineStr">
        <is>
          <t>Tracked child ASIN</t>
        </is>
      </c>
      <c r="G98" s="22" t="inlineStr">
        <is>
          <t>Size (title)</t>
        </is>
      </c>
      <c r="H98" s="22" t="inlineStr">
        <is>
          <t>Colour (title)</t>
        </is>
      </c>
      <c r="I98" s="22" t="inlineStr">
        <is>
          <t>Variations</t>
        </is>
      </c>
      <c r="J98" s="22" t="inlineStr">
        <is>
          <t>Hero child ASINs (share of their visibility)</t>
        </is>
      </c>
      <c r="K98" s="22" t="inlineStr">
        <is>
          <t>Price ($)</t>
        </is>
      </c>
      <c r="L98" s="22" t="inlineStr">
        <is>
          <t>List Price ($)</t>
        </is>
      </c>
      <c r="M98" s="22" t="inlineStr">
        <is>
          <t>List Price % over</t>
        </is>
      </c>
      <c r="N98" s="22" t="inlineStr">
        <is>
          <t>STR band</t>
        </is>
      </c>
      <c r="O98" s="22" t="inlineStr">
        <is>
          <t>Our price, same size ($)</t>
        </is>
      </c>
      <c r="P98" s="22" t="inlineStr">
        <is>
          <t>Their price vs ours</t>
        </is>
      </c>
      <c r="Q98" s="22" t="inlineStr">
        <is>
          <t>Comparison basis</t>
        </is>
      </c>
      <c r="R98" s="22" t="inlineStr">
        <is>
          <t>BSR</t>
        </is>
      </c>
      <c r="S98" s="22" t="inlineStr">
        <is>
          <t>Est weekly units</t>
        </is>
      </c>
      <c r="T98" s="22" t="inlineStr">
        <is>
          <t>Est monthly revenue ($)</t>
        </is>
      </c>
      <c r="U98" s="22" t="inlineStr">
        <is>
          <t>Rating</t>
        </is>
      </c>
      <c r="V98" s="22" t="inlineStr">
        <is>
          <t>Reviews</t>
        </is>
      </c>
      <c r="W98" s="22" t="inlineStr">
        <is>
          <t>Snapshot date</t>
        </is>
      </c>
      <c r="X98" s="22" t="inlineStr">
        <is>
          <t>Listed</t>
        </is>
      </c>
      <c r="Y98" s="22" t="inlineStr">
        <is>
          <t>Fulfil.</t>
        </is>
      </c>
      <c r="Z98" s="22" t="inlineStr">
        <is>
          <t>Seller country</t>
        </is>
      </c>
      <c r="AA98" s="22" t="inlineStr">
        <is>
          <t>ASINsight 7d traffic</t>
        </is>
      </c>
      <c r="AB98" s="22" t="inlineStr">
        <is>
          <t>Keywords ranked</t>
        </is>
      </c>
      <c r="AC98" s="22" t="inlineStr">
        <is>
          <t>Organic share of traffic</t>
        </is>
      </c>
      <c r="AD98" s="22" t="inlineStr">
        <is>
          <t>Ad share of traffic</t>
        </is>
      </c>
      <c r="AE98" s="22" t="inlineStr">
        <is>
          <t>Top keyword</t>
        </is>
      </c>
      <c r="AF98" s="22" t="inlineStr">
        <is>
          <t>SP reach</t>
        </is>
      </c>
      <c r="AG98" s="22" t="inlineStr">
        <is>
          <t>SB reach</t>
        </is>
      </c>
      <c r="AH98" s="22" t="inlineStr">
        <is>
          <t>SB video reach</t>
        </is>
      </c>
      <c r="AI98" s="22" t="inlineStr">
        <is>
          <t>Amazon's Choice reach</t>
        </is>
      </c>
      <c r="AJ98" s="22" t="inlineStr">
        <is>
          <t>Shared keywords</t>
        </is>
      </c>
      <c r="AK98" s="22" t="inlineStr">
        <is>
          <t>We win</t>
        </is>
      </c>
      <c r="AL98" s="22" t="inlineStr">
        <is>
          <t>We lose</t>
        </is>
      </c>
      <c r="AM98" s="22" t="inlineStr">
        <is>
          <t>Their keywords we miss</t>
        </is>
      </c>
      <c r="AN98" s="22" t="inlineStr">
        <is>
          <t>KWs they advertise, we don't</t>
        </is>
      </c>
      <c r="AO98" s="22" t="inlineStr">
        <is>
          <t>KWs they out-advertise us</t>
        </is>
      </c>
      <c r="AP98" s="22" t="inlineStr">
        <is>
          <t>Prime Day 2026 organic vis lift</t>
        </is>
      </c>
      <c r="AQ98" s="22" t="inlineStr">
        <is>
          <t>Organic trend (Aug-Sep vs Q2)</t>
        </is>
      </c>
      <c r="AR98" s="22" t="inlineStr">
        <is>
          <t>STR showing now? (Y/N)</t>
        </is>
      </c>
      <c r="AS98" s="22" t="inlineStr">
        <is>
          <t>STR label</t>
        </is>
      </c>
      <c r="AT98" s="22" t="inlineStr">
        <is>
          <t>Strikethrough price ($)</t>
        </is>
      </c>
      <c r="AU98" s="22" t="inlineStr">
        <is>
          <t>Page price at check ($)</t>
        </is>
      </c>
      <c r="AV98" s="22" t="inlineStr">
        <is>
          <t>Deal / coupon now</t>
        </is>
      </c>
      <c r="AW98" s="22" t="inlineStr">
        <is>
          <t>Orderable now (Y/N)</t>
        </is>
      </c>
      <c r="AX98" s="22" t="inlineStr">
        <is>
          <t>Checked (ET)</t>
        </is>
      </c>
      <c r="AY98" s="22" t="inlineStr">
        <is>
          <t>BFCM 2025 deal type</t>
        </is>
      </c>
      <c r="AZ98" s="22" t="inlineStr">
        <is>
          <t>BFCM 2025 deal dates</t>
        </is>
      </c>
      <c r="BA98" s="22" t="inlineStr">
        <is>
          <t>Pre-event price ($)</t>
        </is>
      </c>
      <c r="BB98" s="22" t="inlineStr">
        <is>
          <t>BFCM 2025 low ($)</t>
        </is>
      </c>
      <c r="BC98" s="22" t="inlineStr">
        <is>
          <t>BFCM 2025 discount</t>
        </is>
      </c>
      <c r="BD98" s="22" t="inlineStr">
        <is>
          <t>BSR pre-event</t>
        </is>
      </c>
      <c r="BE98" s="22" t="inlineStr">
        <is>
          <t>BSR BFCM wk</t>
        </is>
      </c>
      <c r="BF98" s="22" t="inlineStr">
        <is>
          <t>BSR lift (x)</t>
        </is>
      </c>
      <c r="BG98" s="22" t="inlineStr">
        <is>
          <t>OOS in BFCM? (Y/N)</t>
        </is>
      </c>
      <c r="BH98" s="22" t="inlineStr">
        <is>
          <t>Notes</t>
        </is>
      </c>
    </row>
    <row r="99" ht="62" customHeight="1">
      <c r="A99" s="10">
        <f>_xlfn.IMAGE("https://images-na.ssl-images-amazon.com/images/I/91dfner9BkL.jpg")</f>
        <v/>
      </c>
      <c r="B99" s="84" t="inlineStr">
        <is>
          <t>Pure Bamboo</t>
        </is>
      </c>
      <c r="C99" s="32" t="inlineStr">
        <is>
          <t>Pure Bamboo King Sheets, Genuine 100% Organic Viscose Derived from Bamboo Bed Sheet Set, Luxuriously Soft &amp; Cooling, Double Stitching, 2 Year Quality Promise (King, Ivory)</t>
        </is>
      </c>
      <c r="D99" s="84" t="inlineStr">
        <is>
          <t>Aspirational</t>
        </is>
      </c>
      <c r="E99" s="84" t="inlineStr">
        <is>
          <t>B0CZQ52MTQ</t>
        </is>
      </c>
      <c r="F99" s="84" t="inlineStr">
        <is>
          <t>B07DZTQ4JC</t>
        </is>
      </c>
      <c r="G99" s="84" t="inlineStr">
        <is>
          <t>King</t>
        </is>
      </c>
      <c r="H99" s="84" t="inlineStr">
        <is>
          <t>Ivory</t>
        </is>
      </c>
      <c r="I99" s="85" t="n">
        <v>181</v>
      </c>
      <c r="J99" s="32" t="inlineStr">
        <is>
          <t>B07MZ4GKZH (30%), B079RXWGSD (12%), B07DZTQ4JC (11%), B074CHDX7V (10%), B07DZMB498 (5%)</t>
        </is>
      </c>
      <c r="K99" s="86" t="n">
        <v>109.99</v>
      </c>
      <c r="L99" s="86" t="n"/>
      <c r="M99" s="87">
        <f>IF(AND(ISNUMBER(L99),ISNUMBER(K99),N(K99)&gt;0),L99/K99-1,"")</f>
        <v/>
      </c>
      <c r="N99" s="88">
        <f>IF(M99="","No List Price",IF(M99&lt;=0,"At/below price",IF(M99&lt;=0.12,"&lt;=12% STR zone",IF(M99&lt;=0.25,"12-25%","&gt;25% over"))))</f>
        <v/>
      </c>
      <c r="O99" s="86" t="n">
        <v>84.98999999999999</v>
      </c>
      <c r="P99" s="89">
        <f>IF(AND(ISNUMBER(K99),ISNUMBER(O99),N(O99)&gt;0),K99/O99-1,"")</f>
        <v/>
      </c>
      <c r="Q99" s="32" t="inlineStr">
        <is>
          <t>Same size (King). Ours live: SellerBoard listing price, 2026-10-14; 10 children</t>
        </is>
      </c>
      <c r="R99" s="85" t="n">
        <v>304</v>
      </c>
      <c r="S99" s="85" t="n">
        <v>809</v>
      </c>
      <c r="T99" s="90">
        <f>IF(AND(ISNUMBER(K99),ISNUMBER(S99)),K99*S99*52/12,"")</f>
        <v/>
      </c>
      <c r="U99" s="91" t="n">
        <v>4.5</v>
      </c>
      <c r="V99" s="85" t="n">
        <v>21927</v>
      </c>
      <c r="W99" s="92" t="n">
        <v>46307</v>
      </c>
      <c r="X99" s="92" t="n">
        <v>43281</v>
      </c>
      <c r="Y99" s="84" t="inlineStr">
        <is>
          <t>FBA</t>
        </is>
      </c>
      <c r="Z99" s="84" t="inlineStr">
        <is>
          <t>US</t>
        </is>
      </c>
      <c r="AA99" s="85" t="n">
        <v>2565055</v>
      </c>
      <c r="AB99" s="85" t="n">
        <v>8283</v>
      </c>
      <c r="AC99" s="93" t="n">
        <v>0.4648594811807159</v>
      </c>
      <c r="AD99" s="93" t="n">
        <v>0.5351407059497737</v>
      </c>
      <c r="AE99" s="32" t="inlineStr">
        <is>
          <t>bamboo sheets</t>
        </is>
      </c>
      <c r="AF99" s="93" t="n">
        <v>0.8806310196077667</v>
      </c>
      <c r="AG99" s="93" t="n">
        <v>0.8210506207469236</v>
      </c>
      <c r="AH99" s="93" t="n">
        <v>0.8831019217911507</v>
      </c>
      <c r="AI99" s="93" t="n">
        <v>0.2663467255088098</v>
      </c>
      <c r="AJ99" s="85" t="n">
        <v>303</v>
      </c>
      <c r="AK99" s="85" t="n">
        <v>13</v>
      </c>
      <c r="AL99" s="85" t="n">
        <v>266</v>
      </c>
      <c r="AM99" s="85" t="n">
        <v>7980</v>
      </c>
      <c r="AN99" s="85" t="n">
        <v>3772</v>
      </c>
      <c r="AO99" s="85" t="n">
        <v>33</v>
      </c>
      <c r="AP99" s="94" t="n">
        <v>1.180104147961932</v>
      </c>
      <c r="AQ99" s="89" t="n">
        <v>1.570823710546574</v>
      </c>
      <c r="AR99" s="95" t="inlineStr">
        <is>
          <t>N</t>
        </is>
      </c>
      <c r="AS99" s="95" t="inlineStr">
        <is>
          <t>none</t>
        </is>
      </c>
      <c r="AT99" s="101" t="n"/>
      <c r="AU99" s="96" t="n">
        <v>109.99</v>
      </c>
      <c r="AV99" s="95" t="inlineStr">
        <is>
          <t>none</t>
        </is>
      </c>
      <c r="AW99" s="95" t="inlineStr">
        <is>
          <t>Y</t>
        </is>
      </c>
      <c r="AX99" s="95" t="inlineStr">
        <is>
          <t>2026-10-13 12:11:16</t>
        </is>
      </c>
      <c r="AY99" s="97" t="inlineStr">
        <is>
          <t>None</t>
        </is>
      </c>
      <c r="AZ99" s="102" t="n"/>
      <c r="BA99" s="98" t="n">
        <v>109.99</v>
      </c>
      <c r="BB99" s="98" t="n">
        <v>109.99</v>
      </c>
      <c r="BC99" s="87">
        <f>IF(AND(ISNUMBER(BA99),ISNUMBER(BB99),N(BA99)&gt;0),1-BB99/BA99,"")</f>
        <v/>
      </c>
      <c r="BD99" s="99" t="n">
        <v>287</v>
      </c>
      <c r="BE99" s="99" t="n">
        <v>598</v>
      </c>
      <c r="BF99" s="100">
        <f>IF(AND(ISNUMBER(BD99),ISNUMBER(BE99),N(BE99)&gt;0),BD99/BE99,"")</f>
        <v/>
      </c>
      <c r="BG99" s="97" t="inlineStr">
        <is>
          <t>N</t>
        </is>
      </c>
      <c r="BH99" s="97" t="inlineStr">
        <is>
          <t>List Price $139.99/$149.99</t>
        </is>
      </c>
    </row>
    <row r="100" ht="62" customHeight="1">
      <c r="A100" s="10">
        <f>_xlfn.IMAGE("https://images-na.ssl-images-amazon.com/images/I/71oEhkRYQ+L.jpg")</f>
        <v/>
      </c>
      <c r="B100" s="84" t="inlineStr">
        <is>
          <t>Hotel Sheets Direct</t>
        </is>
      </c>
      <c r="C100" s="32" t="inlineStr">
        <is>
          <t>Hotel Sheets Direct 4 Piece Bed Sheet Set Queen Size, 100% Viscose Derived from Bamboo Sheets Set with 2 Pillowcases, Cooling &amp; Breathable Luxury Bedding, Moisture-Wicking &amp; Silky Soft Texture, White</t>
        </is>
      </c>
      <c r="D100" s="84" t="inlineStr">
        <is>
          <t>Aspirational</t>
        </is>
      </c>
      <c r="E100" s="84" t="inlineStr">
        <is>
          <t>B0G5N99X9R</t>
        </is>
      </c>
      <c r="F100" s="84" t="inlineStr">
        <is>
          <t>B01N9L2O9P</t>
        </is>
      </c>
      <c r="G100" s="84" t="inlineStr">
        <is>
          <t>Queen</t>
        </is>
      </c>
      <c r="H100" s="84" t="inlineStr">
        <is>
          <t>White</t>
        </is>
      </c>
      <c r="I100" s="85" t="n">
        <v>61</v>
      </c>
      <c r="J100" s="32" t="inlineStr">
        <is>
          <t>B01N9L2O9P (30%), B01N0UB2GO (20%), B072WD91XH (10%), B072WV76WK (6%), B07RJBYJ9L (5%)</t>
        </is>
      </c>
      <c r="K100" s="86" t="n">
        <v>79.98999999999999</v>
      </c>
      <c r="L100" s="86" t="n"/>
      <c r="M100" s="87">
        <f>IF(AND(ISNUMBER(L100),ISNUMBER(K100),N(K100)&gt;0),L100/K100-1,"")</f>
        <v/>
      </c>
      <c r="N100" s="88">
        <f>IF(M100="","No List Price",IF(M100&lt;=0,"At/below price",IF(M100&lt;=0.12,"&lt;=12% STR zone",IF(M100&lt;=0.25,"12-25%","&gt;25% over"))))</f>
        <v/>
      </c>
      <c r="O100" s="86" t="n">
        <v>79.98999999999999</v>
      </c>
      <c r="P100" s="89">
        <f>IF(AND(ISNUMBER(K100),ISNUMBER(O100),N(O100)&gt;0),K100/O100-1,"")</f>
        <v/>
      </c>
      <c r="Q100" s="32" t="inlineStr">
        <is>
          <t>Same size (Queen). Ours live: Helium 10 Xray, 2026-10-13; 11 children</t>
        </is>
      </c>
      <c r="R100" s="85" t="n">
        <v>2984</v>
      </c>
      <c r="S100" s="85" t="n">
        <v>347</v>
      </c>
      <c r="T100" s="90">
        <f>IF(AND(ISNUMBER(K100),ISNUMBER(S100)),K100*S100*52/12,"")</f>
        <v/>
      </c>
      <c r="U100" s="91" t="n">
        <v>4.4</v>
      </c>
      <c r="V100" s="85" t="n">
        <v>37179</v>
      </c>
      <c r="W100" s="92" t="n">
        <v>46307</v>
      </c>
      <c r="X100" s="92" t="n">
        <v>42729</v>
      </c>
      <c r="Y100" s="84" t="inlineStr">
        <is>
          <t>FBA</t>
        </is>
      </c>
      <c r="Z100" s="84" t="inlineStr">
        <is>
          <t>US</t>
        </is>
      </c>
      <c r="AA100" s="85" t="n">
        <v>451969</v>
      </c>
      <c r="AB100" s="85" t="n">
        <v>4094</v>
      </c>
      <c r="AC100" s="93" t="n">
        <v>0.6071584272372669</v>
      </c>
      <c r="AD100" s="93" t="n">
        <v>0.3928415727627336</v>
      </c>
      <c r="AE100" s="32" t="inlineStr">
        <is>
          <t>hotel</t>
        </is>
      </c>
      <c r="AF100" s="93" t="n">
        <v>0.9036371963563873</v>
      </c>
      <c r="AG100" s="93" t="n">
        <v>0.4767871247806819</v>
      </c>
      <c r="AH100" s="93" t="n">
        <v>0.1264024745059949</v>
      </c>
      <c r="AI100" s="93" t="n">
        <v>0.3227168234989568</v>
      </c>
      <c r="AJ100" s="85" t="n">
        <v>276</v>
      </c>
      <c r="AK100" s="85" t="n">
        <v>84</v>
      </c>
      <c r="AL100" s="85" t="n">
        <v>157</v>
      </c>
      <c r="AM100" s="85" t="n">
        <v>3818</v>
      </c>
      <c r="AN100" s="85" t="n">
        <v>945</v>
      </c>
      <c r="AO100" s="85" t="n">
        <v>12</v>
      </c>
      <c r="AP100" s="94" t="n">
        <v>1.799620493358634</v>
      </c>
      <c r="AQ100" s="89" t="n">
        <v>0.004829621679635077</v>
      </c>
      <c r="AR100" s="95" t="inlineStr">
        <is>
          <t>N</t>
        </is>
      </c>
      <c r="AS100" s="95" t="inlineStr">
        <is>
          <t>none</t>
        </is>
      </c>
      <c r="AT100" s="101" t="n"/>
      <c r="AU100" s="96" t="n">
        <v>79.98999999999999</v>
      </c>
      <c r="AV100" s="95" t="inlineStr">
        <is>
          <t>none</t>
        </is>
      </c>
      <c r="AW100" s="95" t="inlineStr">
        <is>
          <t>Y</t>
        </is>
      </c>
      <c r="AX100" s="95" t="inlineStr">
        <is>
          <t>2026-10-13 12:10:54</t>
        </is>
      </c>
      <c r="AY100" s="97" t="inlineStr">
        <is>
          <t>Price cut only</t>
        </is>
      </c>
      <c r="AZ100" s="97" t="inlineStr">
        <is>
          <t>11-20 to 12-01</t>
        </is>
      </c>
      <c r="BA100" s="98" t="n">
        <v>72.98999999999999</v>
      </c>
      <c r="BB100" s="98" t="n">
        <v>57.99</v>
      </c>
      <c r="BC100" s="87">
        <f>IF(AND(ISNUMBER(BA100),ISNUMBER(BB100),N(BA100)&gt;0),1-BB100/BA100,"")</f>
        <v/>
      </c>
      <c r="BD100" s="99" t="n">
        <v>3871</v>
      </c>
      <c r="BE100" s="99" t="n">
        <v>1703</v>
      </c>
      <c r="BF100" s="100">
        <f>IF(AND(ISNUMBER(BD100),ISNUMBER(BE100),N(BE100)&gt;0),BD100/BE100,"")</f>
        <v/>
      </c>
      <c r="BG100" s="97" t="inlineStr">
        <is>
          <t>N</t>
        </is>
      </c>
      <c r="BH100" s="97" t="inlineStr">
        <is>
          <t>Lightning Deal 11-07 to 11-11; Coupon 20% (11-12 to 12-02); List Price $72.99</t>
        </is>
      </c>
    </row>
    <row r="101" ht="62" customHeight="1">
      <c r="A101" s="10">
        <f>_xlfn.IMAGE("https://images-na.ssl-images-amazon.com/images/I/81L2xb5ly6L.jpg")</f>
        <v/>
      </c>
      <c r="B101" s="84" t="inlineStr">
        <is>
          <t>Bedsure</t>
        </is>
      </c>
      <c r="C101" s="32" t="inlineStr">
        <is>
          <t>Bedsure PureWoven 100% Rayon Derived from Bamboo, Queen Sheets, 4 Pieces</t>
        </is>
      </c>
      <c r="D101" s="84" t="inlineStr">
        <is>
          <t>Beatable</t>
        </is>
      </c>
      <c r="E101" s="84" t="inlineStr">
        <is>
          <t>B0BZ8T5BJ6</t>
        </is>
      </c>
      <c r="F101" s="84" t="inlineStr">
        <is>
          <t>B07YK8VTJV</t>
        </is>
      </c>
      <c r="G101" s="84" t="inlineStr">
        <is>
          <t>Queen</t>
        </is>
      </c>
      <c r="H101" s="84" t="n"/>
      <c r="I101" s="85" t="n">
        <v>131</v>
      </c>
      <c r="J101" s="32" t="inlineStr">
        <is>
          <t>B07YKCZHGK (29%), B07YK8VTJV (19%), B07YKCQBBL (14%), B07YKCB6GL (9%), B08CXWHQT2 (6%)</t>
        </is>
      </c>
      <c r="K101" s="86" t="n">
        <v>62.99</v>
      </c>
      <c r="L101" s="86" t="n">
        <v>69.98999999999999</v>
      </c>
      <c r="M101" s="87">
        <f>IF(AND(ISNUMBER(L101),ISNUMBER(K101),N(K101)&gt;0),L101/K101-1,"")</f>
        <v/>
      </c>
      <c r="N101" s="88">
        <f>IF(M101="","No List Price",IF(M101&lt;=0,"At/below price",IF(M101&lt;=0.12,"&lt;=12% STR zone",IF(M101&lt;=0.25,"12-25%","&gt;25% over"))))</f>
        <v/>
      </c>
      <c r="O101" s="86" t="n">
        <v>79.98999999999999</v>
      </c>
      <c r="P101" s="89">
        <f>IF(AND(ISNUMBER(K101),ISNUMBER(O101),N(O101)&gt;0),K101/O101-1,"")</f>
        <v/>
      </c>
      <c r="Q101" s="32" t="inlineStr">
        <is>
          <t>Same size (Queen). Ours live: Helium 10 Xray, 2026-10-13; 11 children</t>
        </is>
      </c>
      <c r="R101" s="85" t="n">
        <v>256</v>
      </c>
      <c r="S101" s="85" t="n">
        <v>809</v>
      </c>
      <c r="T101" s="90">
        <f>IF(AND(ISNUMBER(K101),ISNUMBER(S101)),K101*S101*52/12,"")</f>
        <v/>
      </c>
      <c r="U101" s="91" t="n">
        <v>4.4</v>
      </c>
      <c r="V101" s="85" t="n">
        <v>65061</v>
      </c>
      <c r="W101" s="92" t="n">
        <v>46307</v>
      </c>
      <c r="X101" s="92" t="n">
        <v>43348</v>
      </c>
      <c r="Y101" s="84" t="inlineStr">
        <is>
          <t>FBA</t>
        </is>
      </c>
      <c r="Z101" s="84" t="inlineStr">
        <is>
          <t>US</t>
        </is>
      </c>
      <c r="AA101" s="85" t="n">
        <v>2166046</v>
      </c>
      <c r="AB101" s="85" t="n">
        <v>6935</v>
      </c>
      <c r="AC101" s="93" t="n">
        <v>0.5902383405984899</v>
      </c>
      <c r="AD101" s="93" t="n">
        <v>0.4097618027040986</v>
      </c>
      <c r="AE101" s="32" t="inlineStr">
        <is>
          <t>bamboo sheets</t>
        </is>
      </c>
      <c r="AF101" s="93" t="n">
        <v>0.9388327856379781</v>
      </c>
      <c r="AG101" s="93" t="n">
        <v>0.9371818511702891</v>
      </c>
      <c r="AH101" s="93" t="n">
        <v>0.6488394059959945</v>
      </c>
      <c r="AI101" s="93" t="n">
        <v>0.3206907886536112</v>
      </c>
      <c r="AJ101" s="85" t="n">
        <v>298</v>
      </c>
      <c r="AK101" s="85" t="n">
        <v>9</v>
      </c>
      <c r="AL101" s="85" t="n">
        <v>268</v>
      </c>
      <c r="AM101" s="85" t="n">
        <v>6637</v>
      </c>
      <c r="AN101" s="85" t="n">
        <v>3446</v>
      </c>
      <c r="AO101" s="85" t="n">
        <v>30</v>
      </c>
      <c r="AP101" s="94" t="n">
        <v>1.066623404715553</v>
      </c>
      <c r="AQ101" s="89" t="n">
        <v>-0.05727665706051865</v>
      </c>
      <c r="AR101" s="95" t="inlineStr">
        <is>
          <t>Y</t>
        </is>
      </c>
      <c r="AS101" s="95" t="inlineStr">
        <is>
          <t>List Price</t>
        </is>
      </c>
      <c r="AT101" s="96" t="n">
        <v>69.98999999999999</v>
      </c>
      <c r="AU101" s="96" t="n">
        <v>62.99</v>
      </c>
      <c r="AV101" s="95" t="inlineStr">
        <is>
          <t>none</t>
        </is>
      </c>
      <c r="AW101" s="95" t="inlineStr">
        <is>
          <t>Y</t>
        </is>
      </c>
      <c r="AX101" s="95" t="inlineStr">
        <is>
          <t>2026-10-13 12:10:35</t>
        </is>
      </c>
      <c r="AY101" s="97" t="inlineStr">
        <is>
          <t>Prime Exclusive Discount</t>
        </is>
      </c>
      <c r="AZ101" s="97" t="inlineStr">
        <is>
          <t>11-23 to 12-01</t>
        </is>
      </c>
      <c r="BA101" s="98" t="n">
        <v>66.48999999999999</v>
      </c>
      <c r="BB101" s="98" t="n">
        <v>55.99</v>
      </c>
      <c r="BC101" s="87">
        <f>IF(AND(ISNUMBER(BA101),ISNUMBER(BB101),N(BA101)&gt;0),1-BB101/BA101,"")</f>
        <v/>
      </c>
      <c r="BD101" s="99" t="n">
        <v>156</v>
      </c>
      <c r="BE101" s="99" t="n">
        <v>228</v>
      </c>
      <c r="BF101" s="100">
        <f>IF(AND(ISNUMBER(BD101),ISNUMBER(BE101),N(BE101)&gt;0),BD101/BE101,"")</f>
        <v/>
      </c>
      <c r="BG101" s="97" t="inlineStr">
        <is>
          <t>N</t>
        </is>
      </c>
      <c r="BH101" s="97" t="inlineStr">
        <is>
          <t>Buy Box RAISED in BFCM week (median $69.99 vs $66.49 before); List Price $78.99</t>
        </is>
      </c>
    </row>
    <row r="102" ht="62" customHeight="1">
      <c r="A102" s="10">
        <f>_xlfn.IMAGE("https://images-na.ssl-images-amazon.com/images/I/61-LBYlR5KL.jpg")</f>
        <v/>
      </c>
      <c r="B102" s="84" t="inlineStr">
        <is>
          <t>KRIMANO</t>
        </is>
      </c>
      <c r="C102" s="32" t="inlineStr">
        <is>
          <t>KRIMANO Bamboo Viscose Sheet Set King Size, Cooling Sheets Bed Set</t>
        </is>
      </c>
      <c r="D102" s="84" t="inlineStr">
        <is>
          <t>Beatable</t>
        </is>
      </c>
      <c r="E102" s="84" t="inlineStr">
        <is>
          <t>B0FT7L9RSX</t>
        </is>
      </c>
      <c r="F102" s="84" t="inlineStr">
        <is>
          <t>B0FT7LZ2CD</t>
        </is>
      </c>
      <c r="G102" s="84" t="inlineStr">
        <is>
          <t>King</t>
        </is>
      </c>
      <c r="H102" s="84" t="n"/>
      <c r="I102" s="85" t="n">
        <v>43</v>
      </c>
      <c r="J102" s="32" t="inlineStr">
        <is>
          <t>B0FT7LV7PP (47%), B0FT7LZ2CD (42%)</t>
        </is>
      </c>
      <c r="K102" s="86" t="n">
        <v>84.98999999999999</v>
      </c>
      <c r="L102" s="86" t="n"/>
      <c r="M102" s="87">
        <f>IF(AND(ISNUMBER(L102),ISNUMBER(K102),N(K102)&gt;0),L102/K102-1,"")</f>
        <v/>
      </c>
      <c r="N102" s="88">
        <f>IF(M102="","No List Price",IF(M102&lt;=0,"At/below price",IF(M102&lt;=0.12,"&lt;=12% STR zone",IF(M102&lt;=0.25,"12-25%","&gt;25% over"))))</f>
        <v/>
      </c>
      <c r="O102" s="86" t="n">
        <v>84.98999999999999</v>
      </c>
      <c r="P102" s="89">
        <f>IF(AND(ISNUMBER(K102),ISNUMBER(O102),N(O102)&gt;0),K102/O102-1,"")</f>
        <v/>
      </c>
      <c r="Q102" s="32" t="inlineStr">
        <is>
          <t>Same size (King). Ours live: SellerBoard listing price, 2026-10-14; 10 children</t>
        </is>
      </c>
      <c r="R102" s="85" t="n">
        <v>5664</v>
      </c>
      <c r="S102" s="85" t="n">
        <v>185</v>
      </c>
      <c r="T102" s="90">
        <f>IF(AND(ISNUMBER(K102),ISNUMBER(S102)),K102*S102*52/12,"")</f>
        <v/>
      </c>
      <c r="U102" s="91" t="n">
        <v>4.5</v>
      </c>
      <c r="V102" s="85" t="n">
        <v>263</v>
      </c>
      <c r="W102" s="92" t="n">
        <v>46307</v>
      </c>
      <c r="X102" s="92" t="n">
        <v>45944</v>
      </c>
      <c r="Y102" s="84" t="inlineStr">
        <is>
          <t>FBA</t>
        </is>
      </c>
      <c r="Z102" s="84" t="inlineStr">
        <is>
          <t>HK</t>
        </is>
      </c>
      <c r="AA102" s="85" t="n">
        <v>334819</v>
      </c>
      <c r="AB102" s="85" t="n">
        <v>2638</v>
      </c>
      <c r="AC102" s="93" t="n">
        <v>0.6137371774003271</v>
      </c>
      <c r="AD102" s="93" t="n">
        <v>0.3862628512718813</v>
      </c>
      <c r="AE102" s="32" t="inlineStr">
        <is>
          <t>bamboo sheets</t>
        </is>
      </c>
      <c r="AF102" s="93" t="n">
        <v>0.9348573408319122</v>
      </c>
      <c r="AG102" s="93" t="n">
        <v>0.3304382367786775</v>
      </c>
      <c r="AH102" s="93" t="n"/>
      <c r="AI102" s="93" t="n">
        <v>0.007908750698138397</v>
      </c>
      <c r="AJ102" s="85" t="n">
        <v>259</v>
      </c>
      <c r="AK102" s="85" t="n">
        <v>73</v>
      </c>
      <c r="AL102" s="85" t="n">
        <v>122</v>
      </c>
      <c r="AM102" s="85" t="n">
        <v>2379</v>
      </c>
      <c r="AN102" s="85" t="n">
        <v>502</v>
      </c>
      <c r="AO102" s="85" t="n">
        <v>5</v>
      </c>
      <c r="AP102" s="94" t="n">
        <v>1.312468450277638</v>
      </c>
      <c r="AQ102" s="89" t="n">
        <v>0.2565502183406114</v>
      </c>
      <c r="AR102" s="95" t="inlineStr">
        <is>
          <t>N</t>
        </is>
      </c>
      <c r="AS102" s="95" t="inlineStr">
        <is>
          <t>none</t>
        </is>
      </c>
      <c r="AT102" s="101" t="n"/>
      <c r="AU102" s="96" t="n">
        <v>84.98999999999999</v>
      </c>
      <c r="AV102" s="95" t="inlineStr">
        <is>
          <t>none</t>
        </is>
      </c>
      <c r="AW102" s="95" t="inlineStr">
        <is>
          <t>Y</t>
        </is>
      </c>
      <c r="AX102" s="95" t="inlineStr">
        <is>
          <t>2026-10-13 12:11:00</t>
        </is>
      </c>
      <c r="AY102" s="97" t="inlineStr">
        <is>
          <t>None</t>
        </is>
      </c>
      <c r="AZ102" s="102" t="n"/>
      <c r="BA102" s="98" t="n">
        <v>72.98999999999999</v>
      </c>
      <c r="BB102" s="98" t="n">
        <v>72.98999999999999</v>
      </c>
      <c r="BC102" s="87">
        <f>IF(AND(ISNUMBER(BA102),ISNUMBER(BB102),N(BA102)&gt;0),1-BB102/BA102,"")</f>
        <v/>
      </c>
      <c r="BD102" s="99" t="n">
        <v>1190634</v>
      </c>
      <c r="BE102" s="99" t="n">
        <v>628461</v>
      </c>
      <c r="BF102" s="100">
        <f>IF(AND(ISNUMBER(BD102),ISNUMBER(BE102),N(BE102)&gt;0),BD102/BE102,"")</f>
        <v/>
      </c>
      <c r="BG102" s="97" t="inlineStr">
        <is>
          <t>N</t>
        </is>
      </c>
      <c r="BH102" s="97" t="inlineStr">
        <is>
          <t>List Price $94.89</t>
        </is>
      </c>
    </row>
    <row r="103" ht="62" customHeight="1">
      <c r="A103" s="10">
        <f>_xlfn.IMAGE("https://images-na.ssl-images-amazon.com/images/I/81svKInu7aL.jpg")</f>
        <v/>
      </c>
      <c r="B103" s="84" t="inlineStr">
        <is>
          <t>Bambaw</t>
        </is>
      </c>
      <c r="C103" s="32" t="inlineStr">
        <is>
          <t>Bambaw 100% Viscose Derived from Bamboo Sheets Queen Size Set – 4pcs Cooling Sheet Set, Super Soft Sheets Queen Size, Luxury Bed Sheets, Deep Pocket Fits Up to 16'' Mattresses (Charcoal)</t>
        </is>
      </c>
      <c r="D103" s="84" t="inlineStr">
        <is>
          <t>Beatable</t>
        </is>
      </c>
      <c r="E103" s="84" t="inlineStr">
        <is>
          <t>B07K6SYX8L</t>
        </is>
      </c>
      <c r="F103" s="84" t="inlineStr">
        <is>
          <t>B0DR99Q37Y</t>
        </is>
      </c>
      <c r="G103" s="84" t="inlineStr">
        <is>
          <t>Queen</t>
        </is>
      </c>
      <c r="H103" s="84" t="inlineStr">
        <is>
          <t>Charcoal</t>
        </is>
      </c>
      <c r="I103" s="85" t="n">
        <v>104</v>
      </c>
      <c r="J103" s="32" t="inlineStr">
        <is>
          <t>B0DR99Q37Y (55%), B0DR98VW37 (10%), B0F2J1742T (7%), B0DR98HVG3 (5%), B0H3BQSQ1X (5%)</t>
        </is>
      </c>
      <c r="K103" s="86" t="n">
        <v>89.98999999999999</v>
      </c>
      <c r="L103" s="86" t="n"/>
      <c r="M103" s="87">
        <f>IF(AND(ISNUMBER(L103),ISNUMBER(K103),N(K103)&gt;0),L103/K103-1,"")</f>
        <v/>
      </c>
      <c r="N103" s="88">
        <f>IF(M103="","No List Price",IF(M103&lt;=0,"At/below price",IF(M103&lt;=0.12,"&lt;=12% STR zone",IF(M103&lt;=0.25,"12-25%","&gt;25% over"))))</f>
        <v/>
      </c>
      <c r="O103" s="86" t="n">
        <v>79.98999999999999</v>
      </c>
      <c r="P103" s="89">
        <f>IF(AND(ISNUMBER(K103),ISNUMBER(O103),N(O103)&gt;0),K103/O103-1,"")</f>
        <v/>
      </c>
      <c r="Q103" s="32" t="inlineStr">
        <is>
          <t>Same size (Queen). Ours live: Helium 10 Xray, 2026-10-13; 11 children</t>
        </is>
      </c>
      <c r="R103" s="85" t="n">
        <v>6971</v>
      </c>
      <c r="S103" s="85" t="n">
        <v>104</v>
      </c>
      <c r="T103" s="90">
        <f>IF(AND(ISNUMBER(K103),ISNUMBER(S103)),K103*S103*52/12,"")</f>
        <v/>
      </c>
      <c r="U103" s="91" t="n">
        <v>4.3</v>
      </c>
      <c r="V103" s="85" t="n">
        <v>2766</v>
      </c>
      <c r="W103" s="92" t="n">
        <v>46307</v>
      </c>
      <c r="X103" s="92" t="n">
        <v>45649</v>
      </c>
      <c r="Y103" s="84" t="inlineStr">
        <is>
          <t>FBA</t>
        </is>
      </c>
      <c r="Z103" s="84" t="inlineStr">
        <is>
          <t>BE</t>
        </is>
      </c>
      <c r="AA103" s="85" t="n">
        <v>407949</v>
      </c>
      <c r="AB103" s="85" t="n">
        <v>2137</v>
      </c>
      <c r="AC103" s="93" t="n">
        <v>0.5037485506766772</v>
      </c>
      <c r="AD103" s="93" t="n">
        <v>0.4962515277645003</v>
      </c>
      <c r="AE103" s="32" t="inlineStr">
        <is>
          <t>bamboo sheets</t>
        </is>
      </c>
      <c r="AF103" s="93" t="n">
        <v>0.8267479513370544</v>
      </c>
      <c r="AG103" s="93" t="n">
        <v>0.000431426477329274</v>
      </c>
      <c r="AH103" s="93" t="n">
        <v>0.3636508485129268</v>
      </c>
      <c r="AI103" s="93" t="n">
        <v>0.003414642516589083</v>
      </c>
      <c r="AJ103" s="85" t="n">
        <v>261</v>
      </c>
      <c r="AK103" s="85" t="n">
        <v>30</v>
      </c>
      <c r="AL103" s="85" t="n">
        <v>209</v>
      </c>
      <c r="AM103" s="85" t="n">
        <v>1876</v>
      </c>
      <c r="AN103" s="85" t="n">
        <v>578</v>
      </c>
      <c r="AO103" s="85" t="n">
        <v>29</v>
      </c>
      <c r="AP103" s="94" t="n">
        <v>1.374474053295933</v>
      </c>
      <c r="AQ103" s="89" t="n">
        <v>1.381825760733639</v>
      </c>
      <c r="AR103" s="95" t="inlineStr">
        <is>
          <t>N</t>
        </is>
      </c>
      <c r="AS103" s="95" t="inlineStr">
        <is>
          <t>none</t>
        </is>
      </c>
      <c r="AT103" s="101" t="n"/>
      <c r="AU103" s="96" t="n">
        <v>89.98999999999999</v>
      </c>
      <c r="AV103" s="95" t="inlineStr">
        <is>
          <t>none</t>
        </is>
      </c>
      <c r="AW103" s="95" t="inlineStr">
        <is>
          <t>Y</t>
        </is>
      </c>
      <c r="AX103" s="95" t="inlineStr">
        <is>
          <t>2026-10-13 12:10:28</t>
        </is>
      </c>
      <c r="AY103" s="97" t="inlineStr">
        <is>
          <t>None</t>
        </is>
      </c>
      <c r="AZ103" s="102" t="n"/>
      <c r="BA103" s="98" t="n">
        <v>89.98999999999999</v>
      </c>
      <c r="BB103" s="98" t="n">
        <v>89.98999999999999</v>
      </c>
      <c r="BC103" s="87">
        <f>IF(AND(ISNUMBER(BA103),ISNUMBER(BB103),N(BA103)&gt;0),1-BB103/BA103,"")</f>
        <v/>
      </c>
      <c r="BD103" s="99" t="n">
        <v>12712</v>
      </c>
      <c r="BE103" s="99" t="n">
        <v>10881</v>
      </c>
      <c r="BF103" s="100">
        <f>IF(AND(ISNUMBER(BD103),ISNUMBER(BE103),N(BE103)&gt;0),BD103/BE103,"")</f>
        <v/>
      </c>
      <c r="BG103" s="97" t="inlineStr">
        <is>
          <t>N</t>
        </is>
      </c>
      <c r="BH103" s="97" t="inlineStr">
        <is>
          <t>List Price $103.45</t>
        </is>
      </c>
    </row>
    <row r="104" ht="62" customHeight="1">
      <c r="A104" s="10">
        <f>_xlfn.IMAGE("https://images-na.ssl-images-amazon.com/images/I/71sqxa1EquL.jpg")</f>
        <v/>
      </c>
      <c r="B104" s="84" t="inlineStr">
        <is>
          <t>SONORO KATE</t>
        </is>
      </c>
      <c r="C104" s="32" t="inlineStr">
        <is>
          <t>Bamboo Sheets</t>
        </is>
      </c>
      <c r="D104" s="84" t="inlineStr">
        <is>
          <t>Beatable</t>
        </is>
      </c>
      <c r="E104" s="84" t="inlineStr">
        <is>
          <t>B0F4852T9V</t>
        </is>
      </c>
      <c r="F104" s="84" t="inlineStr">
        <is>
          <t>B0F4873G4H</t>
        </is>
      </c>
      <c r="G104" s="84" t="n"/>
      <c r="H104" s="84" t="n"/>
      <c r="I104" s="85" t="n">
        <v>33</v>
      </c>
      <c r="J104" s="32" t="inlineStr">
        <is>
          <t>B0F486MGJ1 (46%), B0F4873G4H (45%)</t>
        </is>
      </c>
      <c r="K104" s="86" t="n">
        <v>79.98999999999999</v>
      </c>
      <c r="L104" s="86" t="n"/>
      <c r="M104" s="87">
        <f>IF(AND(ISNUMBER(L104),ISNUMBER(K104),N(K104)&gt;0),L104/K104-1,"")</f>
        <v/>
      </c>
      <c r="N104" s="88">
        <f>IF(M104="","No List Price",IF(M104&lt;=0,"At/below price",IF(M104&lt;=0.12,"&lt;=12% STR zone",IF(M104&lt;=0.25,"12-25%","&gt;25% over"))))</f>
        <v/>
      </c>
      <c r="O104" s="86" t="n">
        <v>79.98999999999999</v>
      </c>
      <c r="P104" s="89">
        <f>IF(AND(ISNUMBER(K104),ISNUMBER(O104),N(O104)&gt;0),K104/O104-1,"")</f>
        <v/>
      </c>
      <c r="Q104" s="32" t="inlineStr">
        <is>
          <t>Size not stated - vs our Queen. Ours live: Helium 10 Xray, 2026-10-13; 11 children</t>
        </is>
      </c>
      <c r="R104" s="85" t="n">
        <v>7961</v>
      </c>
      <c r="S104" s="85" t="n">
        <v>104</v>
      </c>
      <c r="T104" s="90">
        <f>IF(AND(ISNUMBER(K104),ISNUMBER(S104)),K104*S104*52/12,"")</f>
        <v/>
      </c>
      <c r="U104" s="91" t="n">
        <v>4.5</v>
      </c>
      <c r="V104" s="85" t="n">
        <v>3776</v>
      </c>
      <c r="W104" s="92" t="n">
        <v>46307</v>
      </c>
      <c r="X104" s="92" t="n"/>
      <c r="Y104" s="84" t="n"/>
      <c r="Z104" s="84" t="n"/>
      <c r="AA104" s="85" t="n">
        <v>185157</v>
      </c>
      <c r="AB104" s="85" t="n">
        <v>1447</v>
      </c>
      <c r="AC104" s="93" t="n">
        <v>0.9776013545261586</v>
      </c>
      <c r="AD104" s="93" t="n">
        <v>0.02239928493116653</v>
      </c>
      <c r="AE104" s="32" t="inlineStr">
        <is>
          <t>bamboo sheets</t>
        </is>
      </c>
      <c r="AF104" s="93" t="n">
        <v>0.4342476924987983</v>
      </c>
      <c r="AG104" s="93" t="n"/>
      <c r="AH104" s="93" t="n"/>
      <c r="AI104" s="93" t="n">
        <v>0.1639959601851402</v>
      </c>
      <c r="AJ104" s="85" t="n">
        <v>200</v>
      </c>
      <c r="AK104" s="85" t="n">
        <v>47</v>
      </c>
      <c r="AL104" s="85" t="n">
        <v>135</v>
      </c>
      <c r="AM104" s="85" t="n">
        <v>1247</v>
      </c>
      <c r="AN104" s="85" t="n">
        <v>122</v>
      </c>
      <c r="AO104" s="85" t="n">
        <v>1</v>
      </c>
      <c r="AP104" s="94" t="n">
        <v>1.314808539478143</v>
      </c>
      <c r="AQ104" s="89" t="n">
        <v>0.6186540731995278</v>
      </c>
      <c r="AR104" s="95" t="inlineStr">
        <is>
          <t>N</t>
        </is>
      </c>
      <c r="AS104" s="95" t="inlineStr">
        <is>
          <t>none</t>
        </is>
      </c>
      <c r="AT104" s="101" t="n"/>
      <c r="AU104" s="96" t="n">
        <v>79.98999999999999</v>
      </c>
      <c r="AV104" s="95" t="inlineStr">
        <is>
          <t>coupon $5</t>
        </is>
      </c>
      <c r="AW104" s="95" t="inlineStr">
        <is>
          <t>Y</t>
        </is>
      </c>
      <c r="AX104" s="95" t="inlineStr">
        <is>
          <t>2026-10-13 12:11:19</t>
        </is>
      </c>
      <c r="AY104" s="97" t="inlineStr">
        <is>
          <t>Prime Exclusive Discount</t>
        </is>
      </c>
      <c r="AZ104" s="97" t="inlineStr">
        <is>
          <t>11-20 to 12-01</t>
        </is>
      </c>
      <c r="BA104" s="98" t="n">
        <v>79.98999999999999</v>
      </c>
      <c r="BB104" s="98" t="n">
        <v>63.99</v>
      </c>
      <c r="BC104" s="87">
        <f>IF(AND(ISNUMBER(BA104),ISNUMBER(BB104),N(BA104)&gt;0),1-BB104/BA104,"")</f>
        <v/>
      </c>
      <c r="BD104" s="99" t="n">
        <v>36662</v>
      </c>
      <c r="BE104" s="99" t="n">
        <v>23612</v>
      </c>
      <c r="BF104" s="100">
        <f>IF(AND(ISNUMBER(BD104),ISNUMBER(BE104),N(BE104)&gt;0),BD104/BE104,"")</f>
        <v/>
      </c>
      <c r="BG104" s="97" t="inlineStr">
        <is>
          <t>N</t>
        </is>
      </c>
      <c r="BH104" s="97" t="inlineStr">
        <is>
          <t>Coupon 15% (11-06 to 11-19); List Price $79.99</t>
        </is>
      </c>
    </row>
    <row r="105" ht="62" customHeight="1">
      <c r="A105" s="10">
        <f>_xlfn.IMAGE("https://images-na.ssl-images-amazon.com/images/I/71Pl57-j67L.jpg")</f>
        <v/>
      </c>
      <c r="B105" s="84" t="inlineStr">
        <is>
          <t>BC BELLA COTERIE</t>
        </is>
      </c>
      <c r="C105" s="32" t="inlineStr">
        <is>
          <t>Bella Coterie Luxury Bamboo Viscose King Size Sheet Set</t>
        </is>
      </c>
      <c r="D105" s="84" t="inlineStr">
        <is>
          <t>Beatable</t>
        </is>
      </c>
      <c r="E105" s="84" t="inlineStr">
        <is>
          <t>B0H29V113N</t>
        </is>
      </c>
      <c r="F105" s="84" t="inlineStr">
        <is>
          <t>B08L86VLZB</t>
        </is>
      </c>
      <c r="G105" s="84" t="inlineStr">
        <is>
          <t>King</t>
        </is>
      </c>
      <c r="H105" s="84" t="n"/>
      <c r="I105" s="85" t="n">
        <v>258</v>
      </c>
      <c r="J105" s="32" t="inlineStr">
        <is>
          <t>B0C979FD5Z (12%), B09JTQMF5C (11%), B08L86VLZB (6%), B08L85SV5Z (5%), B09JV1NG9R (4%)</t>
        </is>
      </c>
      <c r="K105" s="86" t="n">
        <v>134.99</v>
      </c>
      <c r="L105" s="86" t="n"/>
      <c r="M105" s="87">
        <f>IF(AND(ISNUMBER(L105),ISNUMBER(K105),N(K105)&gt;0),L105/K105-1,"")</f>
        <v/>
      </c>
      <c r="N105" s="88">
        <f>IF(M105="","No List Price",IF(M105&lt;=0,"At/below price",IF(M105&lt;=0.12,"&lt;=12% STR zone",IF(M105&lt;=0.25,"12-25%","&gt;25% over"))))</f>
        <v/>
      </c>
      <c r="O105" s="86" t="n">
        <v>84.98999999999999</v>
      </c>
      <c r="P105" s="89">
        <f>IF(AND(ISNUMBER(K105),ISNUMBER(O105),N(O105)&gt;0),K105/O105-1,"")</f>
        <v/>
      </c>
      <c r="Q105" s="32" t="inlineStr">
        <is>
          <t>Same size (King). Ours live: SellerBoard listing price, 2026-10-14; 10 children</t>
        </is>
      </c>
      <c r="R105" s="85" t="n">
        <v>1358</v>
      </c>
      <c r="S105" s="85" t="n">
        <v>92</v>
      </c>
      <c r="T105" s="90">
        <f>IF(AND(ISNUMBER(K105),ISNUMBER(S105)),K105*S105*52/12,"")</f>
        <v/>
      </c>
      <c r="U105" s="91" t="n">
        <v>4.4</v>
      </c>
      <c r="V105" s="85" t="n">
        <v>5871</v>
      </c>
      <c r="W105" s="92" t="n">
        <v>46307</v>
      </c>
      <c r="X105" s="92" t="n">
        <v>44154</v>
      </c>
      <c r="Y105" s="84" t="inlineStr">
        <is>
          <t>FBA</t>
        </is>
      </c>
      <c r="Z105" s="84" t="inlineStr">
        <is>
          <t>US</t>
        </is>
      </c>
      <c r="AA105" s="85" t="n">
        <v>591713</v>
      </c>
      <c r="AB105" s="85" t="n">
        <v>5504</v>
      </c>
      <c r="AC105" s="93" t="n">
        <v>0.3622702587234016</v>
      </c>
      <c r="AD105" s="93" t="n">
        <v>0.6377298332130611</v>
      </c>
      <c r="AE105" s="32" t="inlineStr">
        <is>
          <t>bamboo sheets</t>
        </is>
      </c>
      <c r="AF105" s="93" t="n">
        <v>0.9808184035165697</v>
      </c>
      <c r="AG105" s="93" t="n">
        <v>0.5730548424658576</v>
      </c>
      <c r="AH105" s="93" t="n">
        <v>0.5581810776508206</v>
      </c>
      <c r="AI105" s="93" t="n">
        <v>0.03836488297536136</v>
      </c>
      <c r="AJ105" s="85" t="n">
        <v>292</v>
      </c>
      <c r="AK105" s="85" t="n">
        <v>87</v>
      </c>
      <c r="AL105" s="85" t="n">
        <v>167</v>
      </c>
      <c r="AM105" s="85" t="n">
        <v>5212</v>
      </c>
      <c r="AN105" s="85" t="n">
        <v>2444</v>
      </c>
      <c r="AO105" s="85" t="n">
        <v>20</v>
      </c>
      <c r="AP105" s="94" t="n">
        <v>1.778087279480037</v>
      </c>
      <c r="AQ105" s="89" t="n">
        <v>0.3772549019607843</v>
      </c>
      <c r="AR105" s="95" t="inlineStr">
        <is>
          <t>N</t>
        </is>
      </c>
      <c r="AS105" s="95" t="inlineStr">
        <is>
          <t>none</t>
        </is>
      </c>
      <c r="AT105" s="101" t="n"/>
      <c r="AU105" s="96" t="n">
        <v>169.99</v>
      </c>
      <c r="AV105" s="95" t="inlineStr">
        <is>
          <t>none</t>
        </is>
      </c>
      <c r="AW105" s="95" t="inlineStr">
        <is>
          <t>Y</t>
        </is>
      </c>
      <c r="AX105" s="95" t="inlineStr">
        <is>
          <t>2026-10-13 12:14:18</t>
        </is>
      </c>
      <c r="AY105" s="97" t="inlineStr">
        <is>
          <t>Price cut only</t>
        </is>
      </c>
      <c r="AZ105" s="97" t="inlineStr">
        <is>
          <t>11-20 to 12-01</t>
        </is>
      </c>
      <c r="BA105" s="98" t="n">
        <v>134.99</v>
      </c>
      <c r="BB105" s="98" t="n">
        <v>110.5</v>
      </c>
      <c r="BC105" s="87">
        <f>IF(AND(ISNUMBER(BA105),ISNUMBER(BB105),N(BA105)&gt;0),1-BB105/BA105,"")</f>
        <v/>
      </c>
      <c r="BD105" s="99" t="n">
        <v>3072</v>
      </c>
      <c r="BE105" s="99" t="n">
        <v>1155</v>
      </c>
      <c r="BF105" s="100">
        <f>IF(AND(ISNUMBER(BD105),ISNUMBER(BE105),N(BE105)&gt;0),BD105/BE105,"")</f>
        <v/>
      </c>
      <c r="BG105" s="97" t="inlineStr">
        <is>
          <t>N</t>
        </is>
      </c>
      <c r="BH105" s="97" t="inlineStr">
        <is>
          <t>Coupon 20.00 USD (12-03 to 12-05); List Price $169.99</t>
        </is>
      </c>
    </row>
    <row r="106" ht="62" customHeight="1">
      <c r="A106" s="39" t="inlineStr">
        <is>
          <t>IMAGE MISSING</t>
        </is>
      </c>
      <c r="B106" s="84" t="inlineStr">
        <is>
          <t>REST</t>
        </is>
      </c>
      <c r="C106" s="32" t="inlineStr">
        <is>
          <t>Cooling Sheets</t>
        </is>
      </c>
      <c r="D106" s="84" t="inlineStr">
        <is>
          <t>Beatable</t>
        </is>
      </c>
      <c r="E106" s="84" t="inlineStr">
        <is>
          <t>B0HC6866B7</t>
        </is>
      </c>
      <c r="F106" s="84" t="inlineStr">
        <is>
          <t>B0D9JHBBCZ</t>
        </is>
      </c>
      <c r="G106" s="84" t="n"/>
      <c r="H106" s="84" t="n"/>
      <c r="I106" s="85" t="n">
        <v>69</v>
      </c>
      <c r="J106" s="32" t="inlineStr">
        <is>
          <t>B0C56ZNQVQ (16%), B0BLYSGFRW (15%), B0BLYVMGYB (7%), B0BLYW9CJZ (7%), B0C56YLKZW (7%)</t>
        </is>
      </c>
      <c r="K106" s="86" t="n">
        <v>224.25</v>
      </c>
      <c r="L106" s="86" t="n">
        <v>299</v>
      </c>
      <c r="M106" s="87">
        <f>IF(AND(ISNUMBER(L106),ISNUMBER(K106),N(K106)&gt;0),L106/K106-1,"")</f>
        <v/>
      </c>
      <c r="N106" s="88">
        <f>IF(M106="","No List Price",IF(M106&lt;=0,"At/below price",IF(M106&lt;=0.12,"&lt;=12% STR zone",IF(M106&lt;=0.25,"12-25%","&gt;25% over"))))</f>
        <v/>
      </c>
      <c r="O106" s="86" t="n">
        <v>79.98999999999999</v>
      </c>
      <c r="P106" s="89">
        <f>IF(AND(ISNUMBER(K106),ISNUMBER(O106),N(O106)&gt;0),K106/O106-1,"")</f>
        <v/>
      </c>
      <c r="Q106" s="32" t="inlineStr">
        <is>
          <t>Size not stated - vs our Queen. Ours live: Helium 10 Xray, 2026-10-13; 11 children</t>
        </is>
      </c>
      <c r="R106" s="85" t="n">
        <v>5255</v>
      </c>
      <c r="S106" s="85" t="n">
        <v>81</v>
      </c>
      <c r="T106" s="90">
        <f>IF(AND(ISNUMBER(K106),ISNUMBER(S106)),K106*S106*52/12,"")</f>
        <v/>
      </c>
      <c r="U106" s="91" t="n">
        <v>4.3</v>
      </c>
      <c r="V106" s="85" t="n">
        <v>1149</v>
      </c>
      <c r="W106" s="92" t="n">
        <v>46307</v>
      </c>
      <c r="X106" s="92" t="n"/>
      <c r="Y106" s="84" t="n"/>
      <c r="Z106" s="84" t="n"/>
      <c r="AA106" s="85" t="n">
        <v>522593</v>
      </c>
      <c r="AB106" s="85" t="n">
        <v>7281</v>
      </c>
      <c r="AC106" s="93" t="n">
        <v>0.2234137663535486</v>
      </c>
      <c r="AD106" s="93" t="n">
        <v>0.7765862336464519</v>
      </c>
      <c r="AE106" s="32" t="inlineStr">
        <is>
          <t>cooling sheets</t>
        </is>
      </c>
      <c r="AF106" s="93" t="n">
        <v>0.7800085343661319</v>
      </c>
      <c r="AG106" s="93" t="n">
        <v>0.8614600654811679</v>
      </c>
      <c r="AH106" s="93" t="n">
        <v>0.4534561312531932</v>
      </c>
      <c r="AI106" s="93" t="n">
        <v>0.1182067115326841</v>
      </c>
      <c r="AJ106" s="85" t="n">
        <v>285</v>
      </c>
      <c r="AK106" s="85" t="n">
        <v>31</v>
      </c>
      <c r="AL106" s="85" t="n">
        <v>217</v>
      </c>
      <c r="AM106" s="85" t="n">
        <v>6996</v>
      </c>
      <c r="AN106" s="85" t="n">
        <v>3266</v>
      </c>
      <c r="AO106" s="85" t="n">
        <v>28</v>
      </c>
      <c r="AP106" s="94" t="n"/>
      <c r="AQ106" s="89" t="n"/>
      <c r="AR106" s="95" t="inlineStr">
        <is>
          <t>Y</t>
        </is>
      </c>
      <c r="AS106" s="95" t="inlineStr">
        <is>
          <t>List Price</t>
        </is>
      </c>
      <c r="AT106" s="96" t="n">
        <v>299</v>
      </c>
      <c r="AU106" s="96" t="n">
        <v>224.25</v>
      </c>
      <c r="AV106" s="95" t="inlineStr">
        <is>
          <t>none</t>
        </is>
      </c>
      <c r="AW106" s="95" t="inlineStr">
        <is>
          <t>Y</t>
        </is>
      </c>
      <c r="AX106" s="95" t="inlineStr">
        <is>
          <t>2026-10-13 12:12:07</t>
        </is>
      </c>
      <c r="AY106" s="97" t="inlineStr">
        <is>
          <t>Price cut only</t>
        </is>
      </c>
      <c r="AZ106" s="97" t="inlineStr">
        <is>
          <t>11-20 to 12-01</t>
        </is>
      </c>
      <c r="BA106" s="98" t="n">
        <v>299</v>
      </c>
      <c r="BB106" s="98" t="n">
        <v>215.88</v>
      </c>
      <c r="BC106" s="87">
        <f>IF(AND(ISNUMBER(BA106),ISNUMBER(BB106),N(BA106)&gt;0),1-BB106/BA106,"")</f>
        <v/>
      </c>
      <c r="BD106" s="99" t="n">
        <v>30243</v>
      </c>
      <c r="BE106" s="99" t="n">
        <v>15706</v>
      </c>
      <c r="BF106" s="100">
        <f>IF(AND(ISNUMBER(BD106),ISNUMBER(BE106),N(BE106)&gt;0),BD106/BE106,"")</f>
        <v/>
      </c>
      <c r="BG106" s="97" t="inlineStr">
        <is>
          <t>N</t>
        </is>
      </c>
      <c r="BH106" s="97" t="inlineStr">
        <is>
          <t>Lightning Deal 11-14 to 11-14; List Price $299.00</t>
        </is>
      </c>
    </row>
    <row r="107" ht="62" customHeight="1">
      <c r="A107" s="10">
        <f>_xlfn.IMAGE("https://images-na.ssl-images-amazon.com/images/I/71HeTCWM4hL.jpg")</f>
        <v/>
      </c>
      <c r="B107" s="84" t="inlineStr">
        <is>
          <t>SONORO KATE</t>
        </is>
      </c>
      <c r="C107" s="32" t="inlineStr">
        <is>
          <t>SONORO KATE 100% Viscose Derived from Bamboo_Sheets Queen Size,4PC</t>
        </is>
      </c>
      <c r="D107" s="84" t="inlineStr">
        <is>
          <t>Beatable</t>
        </is>
      </c>
      <c r="E107" s="84" t="inlineStr">
        <is>
          <t>B0F29FQLFD</t>
        </is>
      </c>
      <c r="F107" s="84" t="inlineStr">
        <is>
          <t>B0F29F1JM5</t>
        </is>
      </c>
      <c r="G107" s="84" t="inlineStr">
        <is>
          <t>Queen</t>
        </is>
      </c>
      <c r="H107" s="84" t="n"/>
      <c r="I107" s="85" t="n">
        <v>42</v>
      </c>
      <c r="J107" s="32" t="inlineStr">
        <is>
          <t>B0F29F1JM5 (71%), B0F29HFNNS (19%)</t>
        </is>
      </c>
      <c r="K107" s="86" t="n">
        <v>59.99</v>
      </c>
      <c r="L107" s="86" t="n"/>
      <c r="M107" s="87">
        <f>IF(AND(ISNUMBER(L107),ISNUMBER(K107),N(K107)&gt;0),L107/K107-1,"")</f>
        <v/>
      </c>
      <c r="N107" s="88">
        <f>IF(M107="","No List Price",IF(M107&lt;=0,"At/below price",IF(M107&lt;=0.12,"&lt;=12% STR zone",IF(M107&lt;=0.25,"12-25%","&gt;25% over"))))</f>
        <v/>
      </c>
      <c r="O107" s="86" t="n">
        <v>79.98999999999999</v>
      </c>
      <c r="P107" s="89">
        <f>IF(AND(ISNUMBER(K107),ISNUMBER(O107),N(O107)&gt;0),K107/O107-1,"")</f>
        <v/>
      </c>
      <c r="Q107" s="32" t="inlineStr">
        <is>
          <t>Same size (Queen). Ours live: Helium 10 Xray, 2026-10-13; 11 children</t>
        </is>
      </c>
      <c r="R107" s="85" t="n">
        <v>23979</v>
      </c>
      <c r="S107" s="85" t="n">
        <v>81</v>
      </c>
      <c r="T107" s="90">
        <f>IF(AND(ISNUMBER(K107),ISNUMBER(S107)),K107*S107*52/12,"")</f>
        <v/>
      </c>
      <c r="U107" s="91" t="n">
        <v>4.5</v>
      </c>
      <c r="V107" s="85" t="n">
        <v>3911</v>
      </c>
      <c r="W107" s="92" t="n">
        <v>46307</v>
      </c>
      <c r="X107" s="92" t="n">
        <v>45740</v>
      </c>
      <c r="Y107" s="84" t="inlineStr">
        <is>
          <t>FBA</t>
        </is>
      </c>
      <c r="Z107" s="84" t="inlineStr">
        <is>
          <t>CN</t>
        </is>
      </c>
      <c r="AA107" s="85" t="n">
        <v>114504</v>
      </c>
      <c r="AB107" s="85" t="n">
        <v>947</v>
      </c>
      <c r="AC107" s="93" t="n">
        <v>0.8792897182631171</v>
      </c>
      <c r="AD107" s="93" t="n">
        <v>0.1207102817368825</v>
      </c>
      <c r="AE107" s="32" t="inlineStr">
        <is>
          <t>bamboo sheets</t>
        </is>
      </c>
      <c r="AF107" s="93" t="n">
        <v>0.3106878362327953</v>
      </c>
      <c r="AG107" s="93" t="n"/>
      <c r="AH107" s="93" t="n"/>
      <c r="AI107" s="93" t="n">
        <v>0.03587647593097185</v>
      </c>
      <c r="AJ107" s="85" t="n">
        <v>205</v>
      </c>
      <c r="AK107" s="85" t="n">
        <v>53</v>
      </c>
      <c r="AL107" s="85" t="n">
        <v>138</v>
      </c>
      <c r="AM107" s="85" t="n">
        <v>742</v>
      </c>
      <c r="AN107" s="85" t="n">
        <v>85</v>
      </c>
      <c r="AO107" s="85" t="n">
        <v>2</v>
      </c>
      <c r="AP107" s="94" t="n">
        <v>1.095271210013908</v>
      </c>
      <c r="AQ107" s="89" t="n">
        <v>-0.1040240897892143</v>
      </c>
      <c r="AR107" s="95" t="inlineStr">
        <is>
          <t>N</t>
        </is>
      </c>
      <c r="AS107" s="95" t="inlineStr">
        <is>
          <t>none</t>
        </is>
      </c>
      <c r="AT107" s="101" t="n"/>
      <c r="AU107" s="96" t="n">
        <v>59.99</v>
      </c>
      <c r="AV107" s="95" t="inlineStr">
        <is>
          <t>coupon 15%</t>
        </is>
      </c>
      <c r="AW107" s="95" t="inlineStr">
        <is>
          <t>Y</t>
        </is>
      </c>
      <c r="AX107" s="95" t="inlineStr">
        <is>
          <t>2026-10-13 12:11:22</t>
        </is>
      </c>
      <c r="AY107" s="97" t="inlineStr">
        <is>
          <t>Prime Exclusive Discount</t>
        </is>
      </c>
      <c r="AZ107" s="97" t="inlineStr">
        <is>
          <t>11-20 to 12-01</t>
        </is>
      </c>
      <c r="BA107" s="98" t="n">
        <v>59.99</v>
      </c>
      <c r="BB107" s="98" t="n">
        <v>47.99</v>
      </c>
      <c r="BC107" s="87">
        <f>IF(AND(ISNUMBER(BA107),ISNUMBER(BB107),N(BA107)&gt;0),1-BB107/BA107,"")</f>
        <v/>
      </c>
      <c r="BD107" s="99" t="n">
        <v>22774</v>
      </c>
      <c r="BE107" s="99" t="n">
        <v>19002</v>
      </c>
      <c r="BF107" s="100">
        <f>IF(AND(ISNUMBER(BD107),ISNUMBER(BE107),N(BE107)&gt;0),BD107/BE107,"")</f>
        <v/>
      </c>
      <c r="BG107" s="97" t="inlineStr">
        <is>
          <t>N</t>
        </is>
      </c>
      <c r="BH107" s="97" t="inlineStr">
        <is>
          <t>Coupon 10% (11-04 to 12-05); List Price $59.99</t>
        </is>
      </c>
    </row>
    <row r="108" ht="62" customHeight="1">
      <c r="A108" s="39" t="inlineStr">
        <is>
          <t>IMAGE MISSING</t>
        </is>
      </c>
      <c r="B108" s="84" t="inlineStr">
        <is>
          <t>Breescape</t>
        </is>
      </c>
      <c r="C108" s="32" t="inlineStr">
        <is>
          <t>Cooling Sheets</t>
        </is>
      </c>
      <c r="D108" s="84" t="inlineStr">
        <is>
          <t>Beatable</t>
        </is>
      </c>
      <c r="E108" s="84" t="inlineStr">
        <is>
          <t>B0H41M1N4B</t>
        </is>
      </c>
      <c r="F108" s="84" t="inlineStr">
        <is>
          <t>B0DSPZJKTB</t>
        </is>
      </c>
      <c r="G108" s="84" t="n"/>
      <c r="H108" s="84" t="n"/>
      <c r="I108" s="85" t="n">
        <v>26</v>
      </c>
      <c r="J108" s="32" t="inlineStr">
        <is>
          <t>B0DSPZJKTB (49%), B0DSPZSVFL (26%), B0DSPZKCCN (6%)</t>
        </is>
      </c>
      <c r="K108" s="86" t="n">
        <v>149.99</v>
      </c>
      <c r="L108" s="86" t="n">
        <v>179.99</v>
      </c>
      <c r="M108" s="87">
        <f>IF(AND(ISNUMBER(L108),ISNUMBER(K108),N(K108)&gt;0),L108/K108-1,"")</f>
        <v/>
      </c>
      <c r="N108" s="88">
        <f>IF(M108="","No List Price",IF(M108&lt;=0,"At/below price",IF(M108&lt;=0.12,"&lt;=12% STR zone",IF(M108&lt;=0.25,"12-25%","&gt;25% over"))))</f>
        <v/>
      </c>
      <c r="O108" s="86" t="n">
        <v>79.98999999999999</v>
      </c>
      <c r="P108" s="89">
        <f>IF(AND(ISNUMBER(K108),ISNUMBER(O108),N(O108)&gt;0),K108/O108-1,"")</f>
        <v/>
      </c>
      <c r="Q108" s="32" t="inlineStr">
        <is>
          <t>Size not stated - vs our Queen. Ours live: Helium 10 Xray, 2026-10-13; 11 children</t>
        </is>
      </c>
      <c r="R108" s="85" t="n">
        <v>49910</v>
      </c>
      <c r="S108" s="85" t="n">
        <v>35</v>
      </c>
      <c r="T108" s="90">
        <f>IF(AND(ISNUMBER(K108),ISNUMBER(S108)),K108*S108*52/12,"")</f>
        <v/>
      </c>
      <c r="U108" s="91" t="n">
        <v>4.2</v>
      </c>
      <c r="V108" s="85" t="n">
        <v>595</v>
      </c>
      <c r="W108" s="92" t="n">
        <v>46307</v>
      </c>
      <c r="X108" s="92" t="n"/>
      <c r="Y108" s="84" t="n"/>
      <c r="Z108" s="84" t="n"/>
      <c r="AA108" s="85" t="n">
        <v>107224</v>
      </c>
      <c r="AB108" s="85" t="n">
        <v>1884</v>
      </c>
      <c r="AC108" s="93" t="n">
        <v>0.5282540960978878</v>
      </c>
      <c r="AD108" s="93" t="n">
        <v>0.4717459934343065</v>
      </c>
      <c r="AE108" s="32" t="inlineStr">
        <is>
          <t>cooling sheets</t>
        </is>
      </c>
      <c r="AF108" s="93" t="n">
        <v>0.853279116615683</v>
      </c>
      <c r="AG108" s="93" t="n">
        <v>0.6382059986570171</v>
      </c>
      <c r="AH108" s="93" t="n">
        <v>0.7425203312691189</v>
      </c>
      <c r="AI108" s="93" t="n">
        <v>0.09657352831455644</v>
      </c>
      <c r="AJ108" s="85" t="n">
        <v>246</v>
      </c>
      <c r="AK108" s="85" t="n">
        <v>48</v>
      </c>
      <c r="AL108" s="85" t="n">
        <v>160</v>
      </c>
      <c r="AM108" s="85" t="n">
        <v>1638</v>
      </c>
      <c r="AN108" s="85" t="n">
        <v>500</v>
      </c>
      <c r="AO108" s="85" t="n">
        <v>23</v>
      </c>
      <c r="AP108" s="94" t="n">
        <v>1.443271767810026</v>
      </c>
      <c r="AQ108" s="89" t="n">
        <v>0.2381786339754817</v>
      </c>
      <c r="AR108" s="95" t="inlineStr">
        <is>
          <t>Y</t>
        </is>
      </c>
      <c r="AS108" s="95" t="inlineStr">
        <is>
          <t>List Price</t>
        </is>
      </c>
      <c r="AT108" s="96" t="n">
        <v>179.99</v>
      </c>
      <c r="AU108" s="96" t="n">
        <v>149.99</v>
      </c>
      <c r="AV108" s="95" t="inlineStr">
        <is>
          <t>none</t>
        </is>
      </c>
      <c r="AW108" s="95" t="inlineStr">
        <is>
          <t>Y</t>
        </is>
      </c>
      <c r="AX108" s="95" t="inlineStr">
        <is>
          <t>2026-10-13 12:11:52</t>
        </is>
      </c>
      <c r="AY108" s="97" t="inlineStr">
        <is>
          <t>Price cut only</t>
        </is>
      </c>
      <c r="AZ108" s="97" t="inlineStr">
        <is>
          <t>11-20 to 12-01</t>
        </is>
      </c>
      <c r="BA108" s="98" t="n">
        <v>125.99</v>
      </c>
      <c r="BB108" s="98" t="n">
        <v>119.69</v>
      </c>
      <c r="BC108" s="87">
        <f>IF(AND(ISNUMBER(BA108),ISNUMBER(BB108),N(BA108)&gt;0),1-BB108/BA108,"")</f>
        <v/>
      </c>
      <c r="BD108" s="99" t="n">
        <v>74970</v>
      </c>
      <c r="BE108" s="99" t="n">
        <v>53655</v>
      </c>
      <c r="BF108" s="100">
        <f>IF(AND(ISNUMBER(BD108),ISNUMBER(BE108),N(BE108)&gt;0),BD108/BE108,"")</f>
        <v/>
      </c>
      <c r="BG108" s="97" t="inlineStr">
        <is>
          <t>N</t>
        </is>
      </c>
      <c r="BH108" s="97" t="inlineStr">
        <is>
          <t>Coupon 30% (11-01 to 11-02); List Price $179.99</t>
        </is>
      </c>
    </row>
    <row r="109" ht="62" customHeight="1">
      <c r="A109" s="10">
        <f>_xlfn.IMAGE("https://images-na.ssl-images-amazon.com/images/I/710aWpCd4AL.jpg")</f>
        <v/>
      </c>
      <c r="B109" s="84" t="inlineStr">
        <is>
          <t>DOZ by SIJO</t>
        </is>
      </c>
      <c r="C109" s="32" t="inlineStr">
        <is>
          <t>Bamboo Sheets</t>
        </is>
      </c>
      <c r="D109" s="84" t="inlineStr">
        <is>
          <t>Beatable</t>
        </is>
      </c>
      <c r="E109" s="84" t="inlineStr">
        <is>
          <t>B0DCZGYVZ9</t>
        </is>
      </c>
      <c r="F109" s="84" t="inlineStr">
        <is>
          <t>B0F24TRXCZ</t>
        </is>
      </c>
      <c r="G109" s="84" t="n"/>
      <c r="H109" s="84" t="n"/>
      <c r="I109" s="85" t="n">
        <v>131</v>
      </c>
      <c r="J109" s="32" t="inlineStr">
        <is>
          <t>B0B8JLLT45 (39%), B0B8JK78HR (6%), B0CS36MKM9 (5%), B0BRWD6PRK (4%), B0B9T44SJV (4%)</t>
        </is>
      </c>
      <c r="K109" s="86" t="n">
        <v>55</v>
      </c>
      <c r="L109" s="86" t="n"/>
      <c r="M109" s="87">
        <f>IF(AND(ISNUMBER(L109),ISNUMBER(K109),N(K109)&gt;0),L109/K109-1,"")</f>
        <v/>
      </c>
      <c r="N109" s="88">
        <f>IF(M109="","No List Price",IF(M109&lt;=0,"At/below price",IF(M109&lt;=0.12,"&lt;=12% STR zone",IF(M109&lt;=0.25,"12-25%","&gt;25% over"))))</f>
        <v/>
      </c>
      <c r="O109" s="86" t="n">
        <v>79.98999999999999</v>
      </c>
      <c r="P109" s="89">
        <f>IF(AND(ISNUMBER(K109),ISNUMBER(O109),N(O109)&gt;0),K109/O109-1,"")</f>
        <v/>
      </c>
      <c r="Q109" s="32" t="inlineStr">
        <is>
          <t>Size not stated - vs our Queen. Ours live: Helium 10 Xray, 2026-10-13; 11 children</t>
        </is>
      </c>
      <c r="R109" s="85" t="n">
        <v>4051</v>
      </c>
      <c r="S109" s="85" t="n">
        <v>35</v>
      </c>
      <c r="T109" s="90">
        <f>IF(AND(ISNUMBER(K109),ISNUMBER(S109)),K109*S109*52/12,"")</f>
        <v/>
      </c>
      <c r="U109" s="91" t="n">
        <v>4.4</v>
      </c>
      <c r="V109" s="85" t="n">
        <v>1909</v>
      </c>
      <c r="W109" s="92" t="n">
        <v>46307</v>
      </c>
      <c r="X109" s="92" t="n"/>
      <c r="Y109" s="84" t="n"/>
      <c r="Z109" s="84" t="n"/>
      <c r="AA109" s="85" t="n">
        <v>171534</v>
      </c>
      <c r="AB109" s="85" t="n">
        <v>2682</v>
      </c>
      <c r="AC109" s="93" t="n">
        <v>0.5544749851341424</v>
      </c>
      <c r="AD109" s="93" t="n">
        <v>0.4455250335210511</v>
      </c>
      <c r="AE109" s="32" t="inlineStr">
        <is>
          <t>bamboo sheets</t>
        </is>
      </c>
      <c r="AF109" s="93" t="n">
        <v>0.8981426422750008</v>
      </c>
      <c r="AG109" s="93" t="n">
        <v>0.06748516329124256</v>
      </c>
      <c r="AH109" s="93" t="n">
        <v>0.2462310678932456</v>
      </c>
      <c r="AI109" s="93" t="n">
        <v>0.0526193057936036</v>
      </c>
      <c r="AJ109" s="85" t="n">
        <v>255</v>
      </c>
      <c r="AK109" s="85" t="n">
        <v>71</v>
      </c>
      <c r="AL109" s="85" t="n">
        <v>152</v>
      </c>
      <c r="AM109" s="85" t="n">
        <v>2427</v>
      </c>
      <c r="AN109" s="85" t="n">
        <v>812</v>
      </c>
      <c r="AO109" s="85" t="n">
        <v>14</v>
      </c>
      <c r="AP109" s="94" t="n"/>
      <c r="AQ109" s="89" t="n"/>
      <c r="AR109" s="95" t="inlineStr">
        <is>
          <t>N</t>
        </is>
      </c>
      <c r="AS109" s="95" t="inlineStr">
        <is>
          <t>none</t>
        </is>
      </c>
      <c r="AT109" s="101" t="n"/>
      <c r="AU109" s="96" t="n">
        <v>55</v>
      </c>
      <c r="AV109" s="95" t="inlineStr">
        <is>
          <t>none</t>
        </is>
      </c>
      <c r="AW109" s="95" t="inlineStr">
        <is>
          <t>Y</t>
        </is>
      </c>
      <c r="AX109" s="95" t="inlineStr">
        <is>
          <t>2026-10-13 12:10:45</t>
        </is>
      </c>
      <c r="AY109" s="97" t="inlineStr">
        <is>
          <t>None</t>
        </is>
      </c>
      <c r="AZ109" s="102" t="n"/>
      <c r="BA109" s="98" t="n">
        <v>55</v>
      </c>
      <c r="BB109" s="98" t="n">
        <v>55</v>
      </c>
      <c r="BC109" s="87">
        <f>IF(AND(ISNUMBER(BA109),ISNUMBER(BB109),N(BA109)&gt;0),1-BB109/BA109,"")</f>
        <v/>
      </c>
      <c r="BD109" s="99" t="n">
        <v>3634538</v>
      </c>
      <c r="BE109" s="99" t="n">
        <v>3088925</v>
      </c>
      <c r="BF109" s="100">
        <f>IF(AND(ISNUMBER(BD109),ISNUMBER(BE109),N(BE109)&gt;0),BD109/BE109,"")</f>
        <v/>
      </c>
      <c r="BG109" s="97" t="inlineStr">
        <is>
          <t>N</t>
        </is>
      </c>
      <c r="BH109" s="97" t="inlineStr">
        <is>
          <t>List Price $55.00</t>
        </is>
      </c>
    </row>
    <row r="110" ht="62" customHeight="1">
      <c r="A110" s="39" t="inlineStr">
        <is>
          <t>IMAGE MISSING</t>
        </is>
      </c>
      <c r="B110" s="84" t="inlineStr">
        <is>
          <t>REST</t>
        </is>
      </c>
      <c r="C110" s="32" t="inlineStr">
        <is>
          <t>Cooling Sheets 4/6 Pcs</t>
        </is>
      </c>
      <c r="D110" s="84" t="inlineStr">
        <is>
          <t>Beatable</t>
        </is>
      </c>
      <c r="E110" s="84" t="inlineStr">
        <is>
          <t>B0C56VXVB3</t>
        </is>
      </c>
      <c r="F110" s="84" t="inlineStr">
        <is>
          <t>B0D25LDRPS</t>
        </is>
      </c>
      <c r="G110" s="84" t="n"/>
      <c r="H110" s="84" t="n"/>
      <c r="I110" s="85" t="n"/>
      <c r="J110" s="32" t="inlineStr"/>
      <c r="K110" s="86" t="n">
        <v>164.25</v>
      </c>
      <c r="L110" s="86" t="n">
        <v>219</v>
      </c>
      <c r="M110" s="87">
        <f>IF(AND(ISNUMBER(L110),ISNUMBER(K110),N(K110)&gt;0),L110/K110-1,"")</f>
        <v/>
      </c>
      <c r="N110" s="88">
        <f>IF(M110="","No List Price",IF(M110&lt;=0,"At/below price",IF(M110&lt;=0.12,"&lt;=12% STR zone",IF(M110&lt;=0.25,"12-25%","&gt;25% over"))))</f>
        <v/>
      </c>
      <c r="O110" s="86" t="n">
        <v>79.98999999999999</v>
      </c>
      <c r="P110" s="89">
        <f>IF(AND(ISNUMBER(K110),ISNUMBER(O110),N(O110)&gt;0),K110/O110-1,"")</f>
        <v/>
      </c>
      <c r="Q110" s="32" t="inlineStr">
        <is>
          <t>Size not stated - vs our Queen. Ours live: Helium 10 Xray, 2026-10-13; 11 children</t>
        </is>
      </c>
      <c r="R110" s="85" t="n">
        <v>5255</v>
      </c>
      <c r="S110" s="85" t="n">
        <v>35</v>
      </c>
      <c r="T110" s="90">
        <f>IF(AND(ISNUMBER(K110),ISNUMBER(S110)),K110*S110*52/12,"")</f>
        <v/>
      </c>
      <c r="U110" s="91" t="n">
        <v>4.3</v>
      </c>
      <c r="V110" s="85" t="n">
        <v>1149</v>
      </c>
      <c r="W110" s="92" t="n">
        <v>46307</v>
      </c>
      <c r="X110" s="92" t="n"/>
      <c r="Y110" s="84" t="n"/>
      <c r="Z110" s="84" t="n"/>
      <c r="AA110" s="85" t="n"/>
      <c r="AB110" s="85" t="n"/>
      <c r="AC110" s="93" t="n"/>
      <c r="AD110" s="93" t="n"/>
      <c r="AE110" s="32" t="n"/>
      <c r="AF110" s="93" t="n"/>
      <c r="AG110" s="93" t="n"/>
      <c r="AH110" s="93" t="n"/>
      <c r="AI110" s="93" t="n"/>
      <c r="AJ110" s="85" t="n"/>
      <c r="AK110" s="85" t="n"/>
      <c r="AL110" s="85" t="n"/>
      <c r="AM110" s="85" t="n"/>
      <c r="AN110" s="85" t="n"/>
      <c r="AO110" s="85" t="n"/>
      <c r="AP110" s="94" t="n"/>
      <c r="AQ110" s="89" t="n"/>
      <c r="AR110" s="95" t="inlineStr">
        <is>
          <t>Y</t>
        </is>
      </c>
      <c r="AS110" s="95" t="inlineStr">
        <is>
          <t>List Price</t>
        </is>
      </c>
      <c r="AT110" s="96" t="n">
        <v>219</v>
      </c>
      <c r="AU110" s="96" t="n">
        <v>164.25</v>
      </c>
      <c r="AV110" s="95" t="inlineStr">
        <is>
          <t>none</t>
        </is>
      </c>
      <c r="AW110" s="95" t="inlineStr">
        <is>
          <t>Y</t>
        </is>
      </c>
      <c r="AX110" s="95" t="inlineStr">
        <is>
          <t>2026-10-13 12:12:10</t>
        </is>
      </c>
      <c r="AY110" s="97" t="inlineStr">
        <is>
          <t>Price cut only</t>
        </is>
      </c>
      <c r="AZ110" s="97" t="inlineStr">
        <is>
          <t>11-20 to 12-01</t>
        </is>
      </c>
      <c r="BA110" s="98" t="n">
        <v>219</v>
      </c>
      <c r="BB110" s="98" t="n">
        <v>158.12</v>
      </c>
      <c r="BC110" s="87">
        <f>IF(AND(ISNUMBER(BA110),ISNUMBER(BB110),N(BA110)&gt;0),1-BB110/BA110,"")</f>
        <v/>
      </c>
      <c r="BD110" s="99" t="n">
        <v>30250</v>
      </c>
      <c r="BE110" s="99" t="n">
        <v>15708</v>
      </c>
      <c r="BF110" s="100">
        <f>IF(AND(ISNUMBER(BD110),ISNUMBER(BE110),N(BE110)&gt;0),BD110/BE110,"")</f>
        <v/>
      </c>
      <c r="BG110" s="97" t="inlineStr">
        <is>
          <t>N</t>
        </is>
      </c>
      <c r="BH110" s="97" t="inlineStr">
        <is>
          <t>Lightning Deal 11-14 to 11-14; List Price $219.00</t>
        </is>
      </c>
    </row>
    <row r="111" ht="62" customHeight="1">
      <c r="A111" s="39" t="inlineStr">
        <is>
          <t>IMAGE MISSING</t>
        </is>
      </c>
      <c r="B111" s="84" t="inlineStr">
        <is>
          <t>SHEEX</t>
        </is>
      </c>
      <c r="C111" s="32" t="inlineStr">
        <is>
          <t>SHEEX - Original Performance Sheets Set (Queen) Graphite - Cooling Sheets - Mois</t>
        </is>
      </c>
      <c r="D111" s="84" t="inlineStr">
        <is>
          <t>Beatable</t>
        </is>
      </c>
      <c r="E111" s="84" t="inlineStr">
        <is>
          <t>B081KX96XD</t>
        </is>
      </c>
      <c r="F111" s="84" t="inlineStr">
        <is>
          <t>B00EWJHJU4</t>
        </is>
      </c>
      <c r="G111" s="84" t="inlineStr">
        <is>
          <t>Queen</t>
        </is>
      </c>
      <c r="H111" s="84" t="inlineStr">
        <is>
          <t>Graphite</t>
        </is>
      </c>
      <c r="I111" s="85" t="n"/>
      <c r="J111" s="32" t="inlineStr"/>
      <c r="K111" s="86" t="n">
        <v>209.3</v>
      </c>
      <c r="L111" s="86" t="n"/>
      <c r="M111" s="87">
        <f>IF(AND(ISNUMBER(L111),ISNUMBER(K111),N(K111)&gt;0),L111/K111-1,"")</f>
        <v/>
      </c>
      <c r="N111" s="88">
        <f>IF(M111="","No List Price",IF(M111&lt;=0,"At/below price",IF(M111&lt;=0.12,"&lt;=12% STR zone",IF(M111&lt;=0.25,"12-25%","&gt;25% over"))))</f>
        <v/>
      </c>
      <c r="O111" s="86" t="n">
        <v>79.98999999999999</v>
      </c>
      <c r="P111" s="89">
        <f>IF(AND(ISNUMBER(K111),ISNUMBER(O111),N(O111)&gt;0),K111/O111-1,"")</f>
        <v/>
      </c>
      <c r="Q111" s="32" t="inlineStr">
        <is>
          <t>Same size (Queen). Ours live: Helium 10 Xray, 2026-10-13; 11 children</t>
        </is>
      </c>
      <c r="R111" s="85" t="n">
        <v>74243</v>
      </c>
      <c r="S111" s="85" t="n">
        <v>5</v>
      </c>
      <c r="T111" s="90">
        <f>IF(AND(ISNUMBER(K111),ISNUMBER(S111)),K111*S111*52/12,"")</f>
        <v/>
      </c>
      <c r="U111" s="91" t="n">
        <v>4.4</v>
      </c>
      <c r="V111" s="85" t="n">
        <v>3256</v>
      </c>
      <c r="W111" s="92" t="n">
        <v>46307</v>
      </c>
      <c r="X111" s="92" t="n"/>
      <c r="Y111" s="84" t="n"/>
      <c r="Z111" s="84" t="n"/>
      <c r="AA111" s="85" t="n"/>
      <c r="AB111" s="85" t="n"/>
      <c r="AC111" s="93" t="n"/>
      <c r="AD111" s="93" t="n"/>
      <c r="AE111" s="32" t="n"/>
      <c r="AF111" s="93" t="n"/>
      <c r="AG111" s="93" t="n"/>
      <c r="AH111" s="93" t="n"/>
      <c r="AI111" s="93" t="n"/>
      <c r="AJ111" s="85" t="n"/>
      <c r="AK111" s="85" t="n"/>
      <c r="AL111" s="85" t="n"/>
      <c r="AM111" s="85" t="n"/>
      <c r="AN111" s="85" t="n"/>
      <c r="AO111" s="85" t="n"/>
      <c r="AP111" s="94" t="n"/>
      <c r="AQ111" s="89" t="n"/>
      <c r="AR111" s="95" t="inlineStr">
        <is>
          <t>N</t>
        </is>
      </c>
      <c r="AS111" s="95" t="inlineStr">
        <is>
          <t>none</t>
        </is>
      </c>
      <c r="AT111" s="101" t="n"/>
      <c r="AU111" s="96" t="n">
        <v>224.25</v>
      </c>
      <c r="AV111" s="95" t="inlineStr">
        <is>
          <t>none</t>
        </is>
      </c>
      <c r="AW111" s="95" t="inlineStr">
        <is>
          <t>Y</t>
        </is>
      </c>
      <c r="AX111" s="95" t="inlineStr">
        <is>
          <t>2026-10-13 12:12:14</t>
        </is>
      </c>
      <c r="AY111" s="97" t="inlineStr">
        <is>
          <t>None</t>
        </is>
      </c>
      <c r="AZ111" s="102" t="n"/>
      <c r="BA111" s="98" t="n">
        <v>299</v>
      </c>
      <c r="BB111" s="98" t="n">
        <v>299</v>
      </c>
      <c r="BC111" s="87">
        <f>IF(AND(ISNUMBER(BA111),ISNUMBER(BB111),N(BA111)&gt;0),1-BB111/BA111,"")</f>
        <v/>
      </c>
      <c r="BD111" s="99" t="n">
        <v>116210</v>
      </c>
      <c r="BE111" s="99" t="n">
        <v>48170</v>
      </c>
      <c r="BF111" s="100">
        <f>IF(AND(ISNUMBER(BD111),ISNUMBER(BE111),N(BE111)&gt;0),BD111/BE111,"")</f>
        <v/>
      </c>
      <c r="BG111" s="97" t="inlineStr">
        <is>
          <t>N</t>
        </is>
      </c>
      <c r="BH111" s="97" t="inlineStr">
        <is>
          <t>Coupon 25%, 30% (11-14 to 11-18); List Price $299.00</t>
        </is>
      </c>
    </row>
    <row r="112" ht="62" customHeight="1">
      <c r="A112" s="10">
        <f>_xlfn.IMAGE("https://images-na.ssl-images-amazon.com/images/I/71zrq2AtnUL.jpg")</f>
        <v/>
      </c>
      <c r="B112" s="84" t="inlineStr">
        <is>
          <t>Kickoff Home</t>
        </is>
      </c>
      <c r="C112" s="32" t="inlineStr">
        <is>
          <t>Bamboo Sheets</t>
        </is>
      </c>
      <c r="D112" s="84" t="inlineStr">
        <is>
          <t>Poor</t>
        </is>
      </c>
      <c r="E112" s="84" t="inlineStr">
        <is>
          <t>B0D4KS4MVX</t>
        </is>
      </c>
      <c r="F112" s="84" t="inlineStr">
        <is>
          <t>B0CHN5ZPFH</t>
        </is>
      </c>
      <c r="G112" s="84" t="n"/>
      <c r="H112" s="84" t="n"/>
      <c r="I112" s="85" t="n">
        <v>106</v>
      </c>
      <c r="J112" s="32" t="inlineStr">
        <is>
          <t>B0CHN5ZPFH (27%), B0CHN6N986 (11%), B0G84K7MZQ (9%), B0G84MQQX4 (8%), B0CHN4BSZP (5%)</t>
        </is>
      </c>
      <c r="K112" s="86" t="n">
        <v>76.98999999999999</v>
      </c>
      <c r="L112" s="86" t="n">
        <v>84.98999999999999</v>
      </c>
      <c r="M112" s="87">
        <f>IF(AND(ISNUMBER(L112),ISNUMBER(K112),N(K112)&gt;0),L112/K112-1,"")</f>
        <v/>
      </c>
      <c r="N112" s="88">
        <f>IF(M112="","No List Price",IF(M112&lt;=0,"At/below price",IF(M112&lt;=0.12,"&lt;=12% STR zone",IF(M112&lt;=0.25,"12-25%","&gt;25% over"))))</f>
        <v/>
      </c>
      <c r="O112" s="86" t="n">
        <v>79.98999999999999</v>
      </c>
      <c r="P112" s="89">
        <f>IF(AND(ISNUMBER(K112),ISNUMBER(O112),N(O112)&gt;0),K112/O112-1,"")</f>
        <v/>
      </c>
      <c r="Q112" s="32" t="inlineStr">
        <is>
          <t>Size not stated - vs our Queen. Ours live: Helium 10 Xray, 2026-10-13; 11 children</t>
        </is>
      </c>
      <c r="R112" s="85" t="n">
        <v>23579</v>
      </c>
      <c r="S112" s="85" t="n">
        <v>18</v>
      </c>
      <c r="T112" s="90">
        <f>IF(AND(ISNUMBER(K112),ISNUMBER(S112)),K112*S112*52/12,"")</f>
        <v/>
      </c>
      <c r="U112" s="91" t="n">
        <v>4.6</v>
      </c>
      <c r="V112" s="85" t="n">
        <v>688</v>
      </c>
      <c r="W112" s="92" t="n">
        <v>46307</v>
      </c>
      <c r="X112" s="92" t="n"/>
      <c r="Y112" s="84" t="n"/>
      <c r="Z112" s="84" t="n"/>
      <c r="AA112" s="85" t="n">
        <v>58169</v>
      </c>
      <c r="AB112" s="85" t="n">
        <v>1164</v>
      </c>
      <c r="AC112" s="93" t="n">
        <v>0.8765498702057799</v>
      </c>
      <c r="AD112" s="93" t="n">
        <v>0.12345023981846</v>
      </c>
      <c r="AE112" s="32" t="inlineStr">
        <is>
          <t>bamboo sheets</t>
        </is>
      </c>
      <c r="AF112" s="93" t="n">
        <v>0.6749987106534409</v>
      </c>
      <c r="AG112" s="93" t="n"/>
      <c r="AH112" s="93" t="n">
        <v>0.08715982739947395</v>
      </c>
      <c r="AI112" s="93" t="n">
        <v>0.0003782083240213859</v>
      </c>
      <c r="AJ112" s="85" t="n">
        <v>213</v>
      </c>
      <c r="AK112" s="85" t="n">
        <v>88</v>
      </c>
      <c r="AL112" s="85" t="n">
        <v>86</v>
      </c>
      <c r="AM112" s="85" t="n">
        <v>951</v>
      </c>
      <c r="AN112" s="85" t="n">
        <v>121</v>
      </c>
      <c r="AO112" s="85" t="n">
        <v>2</v>
      </c>
      <c r="AP112" s="94" t="n"/>
      <c r="AQ112" s="89" t="n"/>
      <c r="AR112" s="95" t="inlineStr">
        <is>
          <t>N</t>
        </is>
      </c>
      <c r="AS112" s="95" t="inlineStr">
        <is>
          <t>none</t>
        </is>
      </c>
      <c r="AT112" s="101" t="n"/>
      <c r="AU112" s="96" t="n">
        <v>86.98999999999999</v>
      </c>
      <c r="AV112" s="95" t="inlineStr">
        <is>
          <t>none</t>
        </is>
      </c>
      <c r="AW112" s="95" t="inlineStr">
        <is>
          <t>Y</t>
        </is>
      </c>
      <c r="AX112" s="95" t="inlineStr">
        <is>
          <t>2026-10-13 23:36:30</t>
        </is>
      </c>
      <c r="AY112" s="97" t="inlineStr">
        <is>
          <t>Price cut only</t>
        </is>
      </c>
      <c r="AZ112" s="97" t="inlineStr">
        <is>
          <t>11-21 to 12-01</t>
        </is>
      </c>
      <c r="BA112" s="98" t="n">
        <v>118.99</v>
      </c>
      <c r="BB112" s="98" t="n">
        <v>79.13</v>
      </c>
      <c r="BC112" s="87">
        <f>IF(AND(ISNUMBER(BA112),ISNUMBER(BB112),N(BA112)&gt;0),1-BB112/BA112,"")</f>
        <v/>
      </c>
      <c r="BD112" s="99" t="n">
        <v>70541</v>
      </c>
      <c r="BE112" s="99" t="n">
        <v>28546</v>
      </c>
      <c r="BF112" s="100">
        <f>IF(AND(ISNUMBER(BD112),ISNUMBER(BE112),N(BE112)&gt;0),BD112/BE112,"")</f>
        <v/>
      </c>
      <c r="BG112" s="97" t="inlineStr">
        <is>
          <t>N</t>
        </is>
      </c>
      <c r="BH112" s="97" t="inlineStr">
        <is>
          <t>Coupon 25% (11-01 to 11-05); List Price $124.99</t>
        </is>
      </c>
    </row>
    <row r="113" ht="62" customHeight="1">
      <c r="A113" s="39" t="inlineStr">
        <is>
          <t>IMAGE MISSING</t>
        </is>
      </c>
      <c r="B113" s="84" t="inlineStr">
        <is>
          <t>Bedsure</t>
        </is>
      </c>
      <c r="C113" s="32" t="inlineStr">
        <is>
          <t>Cooling Sheets</t>
        </is>
      </c>
      <c r="D113" s="84" t="inlineStr">
        <is>
          <t>Poor</t>
        </is>
      </c>
      <c r="E113" s="84" t="inlineStr">
        <is>
          <t>B0CPDTJ5NN</t>
        </is>
      </c>
      <c r="F113" s="84" t="inlineStr">
        <is>
          <t>B0CPDR5DDM</t>
        </is>
      </c>
      <c r="G113" s="84" t="n"/>
      <c r="H113" s="84" t="n"/>
      <c r="I113" s="85" t="n">
        <v>1</v>
      </c>
      <c r="J113" s="32" t="inlineStr">
        <is>
          <t>B0DGWZTTRL (100%)</t>
        </is>
      </c>
      <c r="K113" s="86" t="n">
        <v>149.99</v>
      </c>
      <c r="L113" s="86" t="n"/>
      <c r="M113" s="87">
        <f>IF(AND(ISNUMBER(L113),ISNUMBER(K113),N(K113)&gt;0),L113/K113-1,"")</f>
        <v/>
      </c>
      <c r="N113" s="88">
        <f>IF(M113="","No List Price",IF(M113&lt;=0,"At/below price",IF(M113&lt;=0.12,"&lt;=12% STR zone",IF(M113&lt;=0.25,"12-25%","&gt;25% over"))))</f>
        <v/>
      </c>
      <c r="O113" s="86" t="n">
        <v>79.98999999999999</v>
      </c>
      <c r="P113" s="89">
        <f>IF(AND(ISNUMBER(K113),ISNUMBER(O113),N(O113)&gt;0),K113/O113-1,"")</f>
        <v/>
      </c>
      <c r="Q113" s="32" t="inlineStr">
        <is>
          <t>Size not stated - vs our Queen. Ours live: Helium 10 Xray, 2026-10-13; 11 children</t>
        </is>
      </c>
      <c r="R113" s="85" t="n">
        <v>463922</v>
      </c>
      <c r="S113" s="85" t="n">
        <v>5</v>
      </c>
      <c r="T113" s="90">
        <f>IF(AND(ISNUMBER(K113),ISNUMBER(S113)),K113*S113*52/12,"")</f>
        <v/>
      </c>
      <c r="U113" s="91" t="n">
        <v>4.2</v>
      </c>
      <c r="V113" s="85" t="n">
        <v>512</v>
      </c>
      <c r="W113" s="92" t="n">
        <v>46307</v>
      </c>
      <c r="X113" s="92" t="n"/>
      <c r="Y113" s="84" t="n"/>
      <c r="Z113" s="84" t="n"/>
      <c r="AA113" s="85" t="n">
        <v>170</v>
      </c>
      <c r="AB113" s="85" t="n">
        <v>22</v>
      </c>
      <c r="AC113" s="93" t="n">
        <v>1</v>
      </c>
      <c r="AD113" s="93" t="n">
        <v>0</v>
      </c>
      <c r="AE113" s="32" t="inlineStr">
        <is>
          <t>bedsure cooling sheets</t>
        </is>
      </c>
      <c r="AF113" s="93" t="n"/>
      <c r="AG113" s="93" t="n"/>
      <c r="AH113" s="93" t="n"/>
      <c r="AI113" s="93" t="n"/>
      <c r="AJ113" s="85" t="n">
        <v>14</v>
      </c>
      <c r="AK113" s="85" t="n">
        <v>12</v>
      </c>
      <c r="AL113" s="85" t="n">
        <v>1</v>
      </c>
      <c r="AM113" s="85" t="n">
        <v>8</v>
      </c>
      <c r="AN113" s="85" t="n">
        <v>0</v>
      </c>
      <c r="AO113" s="85" t="n">
        <v>0</v>
      </c>
      <c r="AP113" s="94" t="n"/>
      <c r="AQ113" s="89" t="n"/>
      <c r="AR113" s="95" t="inlineStr">
        <is>
          <t>N</t>
        </is>
      </c>
      <c r="AS113" s="95" t="inlineStr">
        <is>
          <t>none</t>
        </is>
      </c>
      <c r="AT113" s="101" t="n"/>
      <c r="AU113" s="101" t="n"/>
      <c r="AV113" s="95" t="inlineStr">
        <is>
          <t>none</t>
        </is>
      </c>
      <c r="AW113" s="95" t="inlineStr">
        <is>
          <t>N</t>
        </is>
      </c>
      <c r="AX113" s="95" t="inlineStr">
        <is>
          <t>2026-10-13 12:11:48</t>
        </is>
      </c>
      <c r="AY113" s="102" t="n"/>
      <c r="AZ113" s="102" t="n"/>
      <c r="BA113" s="101" t="n"/>
      <c r="BB113" s="101" t="n"/>
      <c r="BC113" s="87">
        <f>IF(AND(ISNUMBER(BA113),ISNUMBER(BB113),N(BA113)&gt;0),1-BB113/BA113,"")</f>
        <v/>
      </c>
      <c r="BD113" s="103" t="n"/>
      <c r="BE113" s="103" t="n"/>
      <c r="BF113" s="100">
        <f>IF(AND(ISNUMBER(BD113),ISNUMBER(BE113),N(BE113)&gt;0),BD113/BE113,"")</f>
        <v/>
      </c>
      <c r="BG113" s="97" t="inlineStr">
        <is>
          <t>Y</t>
        </is>
      </c>
      <c r="BH113" s="97" t="inlineStr">
        <is>
          <t>No Buy Box history in Keepa for BFCM 2025; List Price $82.99</t>
        </is>
      </c>
    </row>
    <row r="114" ht="62" customHeight="1">
      <c r="A114" s="39" t="inlineStr">
        <is>
          <t>IMAGE MISSING</t>
        </is>
      </c>
      <c r="B114" s="84" t="inlineStr">
        <is>
          <t>Brookstone</t>
        </is>
      </c>
      <c r="C114" s="32" t="inlineStr">
        <is>
          <t>Cooling Fitted Sheet</t>
        </is>
      </c>
      <c r="D114" s="84" t="inlineStr">
        <is>
          <t>Poor</t>
        </is>
      </c>
      <c r="E114" s="84" t="inlineStr">
        <is>
          <t>B0CXB579TZ</t>
        </is>
      </c>
      <c r="F114" s="84" t="inlineStr">
        <is>
          <t>B0CTKM53QJ</t>
        </is>
      </c>
      <c r="G114" s="84" t="n"/>
      <c r="H114" s="84" t="n"/>
      <c r="I114" s="85" t="n"/>
      <c r="J114" s="32" t="inlineStr"/>
      <c r="K114" s="86" t="n">
        <v>49.99</v>
      </c>
      <c r="L114" s="86" t="n"/>
      <c r="M114" s="87">
        <f>IF(AND(ISNUMBER(L114),ISNUMBER(K114),N(K114)&gt;0),L114/K114-1,"")</f>
        <v/>
      </c>
      <c r="N114" s="88">
        <f>IF(M114="","No List Price",IF(M114&lt;=0,"At/below price",IF(M114&lt;=0.12,"&lt;=12% STR zone",IF(M114&lt;=0.25,"12-25%","&gt;25% over"))))</f>
        <v/>
      </c>
      <c r="O114" s="86" t="n">
        <v>79.98999999999999</v>
      </c>
      <c r="P114" s="89">
        <f>IF(AND(ISNUMBER(K114),ISNUMBER(O114),N(O114)&gt;0),K114/O114-1,"")</f>
        <v/>
      </c>
      <c r="Q114" s="32" t="inlineStr">
        <is>
          <t>Size not stated - vs our Queen. Ours live: Helium 10 Xray, 2026-10-13; 11 children</t>
        </is>
      </c>
      <c r="R114" s="85" t="n">
        <v>501090</v>
      </c>
      <c r="S114" s="85" t="n">
        <v>5</v>
      </c>
      <c r="T114" s="90">
        <f>IF(AND(ISNUMBER(K114),ISNUMBER(S114)),K114*S114*52/12,"")</f>
        <v/>
      </c>
      <c r="U114" s="91" t="n">
        <v>4.1</v>
      </c>
      <c r="V114" s="85" t="n">
        <v>184</v>
      </c>
      <c r="W114" s="92" t="n">
        <v>46307</v>
      </c>
      <c r="X114" s="92" t="n"/>
      <c r="Y114" s="84" t="n"/>
      <c r="Z114" s="84" t="n"/>
      <c r="AA114" s="85" t="n"/>
      <c r="AB114" s="85" t="n"/>
      <c r="AC114" s="93" t="n"/>
      <c r="AD114" s="93" t="n"/>
      <c r="AE114" s="32" t="n"/>
      <c r="AF114" s="93" t="n"/>
      <c r="AG114" s="93" t="n"/>
      <c r="AH114" s="93" t="n"/>
      <c r="AI114" s="93" t="n"/>
      <c r="AJ114" s="85" t="n"/>
      <c r="AK114" s="85" t="n"/>
      <c r="AL114" s="85" t="n"/>
      <c r="AM114" s="85" t="n"/>
      <c r="AN114" s="85" t="n"/>
      <c r="AO114" s="85" t="n"/>
      <c r="AP114" s="94" t="n"/>
      <c r="AQ114" s="89" t="n"/>
      <c r="AR114" s="95" t="inlineStr">
        <is>
          <t>N</t>
        </is>
      </c>
      <c r="AS114" s="95" t="inlineStr">
        <is>
          <t>none</t>
        </is>
      </c>
      <c r="AT114" s="101" t="n"/>
      <c r="AU114" s="96" t="n">
        <v>49.99</v>
      </c>
      <c r="AV114" s="95" t="inlineStr">
        <is>
          <t>none</t>
        </is>
      </c>
      <c r="AW114" s="95" t="inlineStr">
        <is>
          <t>Y</t>
        </is>
      </c>
      <c r="AX114" s="95" t="inlineStr">
        <is>
          <t>2026-10-13 23:37:50</t>
        </is>
      </c>
      <c r="AY114" s="97" t="inlineStr">
        <is>
          <t>Prime Exclusive Discount</t>
        </is>
      </c>
      <c r="AZ114" s="97" t="inlineStr">
        <is>
          <t>11-28 to 12-01</t>
        </is>
      </c>
      <c r="BA114" s="98" t="n">
        <v>49.99</v>
      </c>
      <c r="BB114" s="98" t="n">
        <v>39.99</v>
      </c>
      <c r="BC114" s="87">
        <f>IF(AND(ISNUMBER(BA114),ISNUMBER(BB114),N(BA114)&gt;0),1-BB114/BA114,"")</f>
        <v/>
      </c>
      <c r="BD114" s="99" t="n">
        <v>453218</v>
      </c>
      <c r="BE114" s="99" t="n">
        <v>431081</v>
      </c>
      <c r="BF114" s="100">
        <f>IF(AND(ISNUMBER(BD114),ISNUMBER(BE114),N(BE114)&gt;0),BD114/BE114,"")</f>
        <v/>
      </c>
      <c r="BG114" s="97" t="inlineStr">
        <is>
          <t>N</t>
        </is>
      </c>
      <c r="BH114" s="97" t="inlineStr">
        <is>
          <t>Coupon 10% (11-11 to 11-27); List Price $49.99</t>
        </is>
      </c>
    </row>
    <row r="115" ht="62" customHeight="1">
      <c r="A115" s="39" t="inlineStr">
        <is>
          <t>IMAGE MISSING</t>
        </is>
      </c>
      <c r="B115" s="84" t="inlineStr">
        <is>
          <t>CGK Unlimited</t>
        </is>
      </c>
      <c r="C115" s="32" t="inlineStr">
        <is>
          <t>Cooling Sheets Set Twin XL Size - 3 Piece Summer Bed Sheets for Hot Sleepers &amp; N</t>
        </is>
      </c>
      <c r="D115" s="84" t="inlineStr">
        <is>
          <t>Poor</t>
        </is>
      </c>
      <c r="E115" s="84" t="inlineStr">
        <is>
          <t>B0FT4VV426</t>
        </is>
      </c>
      <c r="F115" s="84" t="inlineStr">
        <is>
          <t>B0FT4TC7NV</t>
        </is>
      </c>
      <c r="G115" s="84" t="inlineStr">
        <is>
          <t>Twin XL</t>
        </is>
      </c>
      <c r="H115" s="84" t="n"/>
      <c r="I115" s="85" t="n"/>
      <c r="J115" s="32" t="inlineStr"/>
      <c r="K115" s="86" t="n">
        <v>57.99</v>
      </c>
      <c r="L115" s="86" t="n"/>
      <c r="M115" s="87">
        <f>IF(AND(ISNUMBER(L115),ISNUMBER(K115),N(K115)&gt;0),L115/K115-1,"")</f>
        <v/>
      </c>
      <c r="N115" s="88">
        <f>IF(M115="","No List Price",IF(M115&lt;=0,"At/below price",IF(M115&lt;=0.12,"&lt;=12% STR zone",IF(M115&lt;=0.25,"12-25%","&gt;25% over"))))</f>
        <v/>
      </c>
      <c r="O115" s="86" t="n">
        <v>66.36951807228915</v>
      </c>
      <c r="P115" s="89">
        <f>IF(AND(ISNUMBER(K115),ISNUMBER(O115),N(O115)&gt;0),K115/O115-1,"")</f>
        <v/>
      </c>
      <c r="Q115" s="32" t="inlineStr">
        <is>
          <t>vs our blended price (Command Center, Mar 2026 - STALE)</t>
        </is>
      </c>
      <c r="R115" s="85" t="n">
        <v>381427</v>
      </c>
      <c r="S115" s="85" t="n">
        <v>5</v>
      </c>
      <c r="T115" s="90">
        <f>IF(AND(ISNUMBER(K115),ISNUMBER(S115)),K115*S115*52/12,"")</f>
        <v/>
      </c>
      <c r="U115" s="91" t="n">
        <v>4.1</v>
      </c>
      <c r="V115" s="85" t="n">
        <v>118</v>
      </c>
      <c r="W115" s="92" t="n">
        <v>46307</v>
      </c>
      <c r="X115" s="92" t="n"/>
      <c r="Y115" s="84" t="n"/>
      <c r="Z115" s="84" t="n"/>
      <c r="AA115" s="85" t="n"/>
      <c r="AB115" s="85" t="n"/>
      <c r="AC115" s="93" t="n"/>
      <c r="AD115" s="93" t="n"/>
      <c r="AE115" s="32" t="n"/>
      <c r="AF115" s="93" t="n"/>
      <c r="AG115" s="93" t="n"/>
      <c r="AH115" s="93" t="n"/>
      <c r="AI115" s="93" t="n"/>
      <c r="AJ115" s="85" t="n"/>
      <c r="AK115" s="85" t="n"/>
      <c r="AL115" s="85" t="n"/>
      <c r="AM115" s="85" t="n"/>
      <c r="AN115" s="85" t="n"/>
      <c r="AO115" s="85" t="n"/>
      <c r="AP115" s="94" t="n"/>
      <c r="AQ115" s="89" t="n"/>
      <c r="AR115" s="95" t="inlineStr">
        <is>
          <t>N</t>
        </is>
      </c>
      <c r="AS115" s="95" t="inlineStr">
        <is>
          <t>none</t>
        </is>
      </c>
      <c r="AT115" s="101" t="n"/>
      <c r="AU115" s="96" t="n">
        <v>57.99</v>
      </c>
      <c r="AV115" s="95" t="inlineStr">
        <is>
          <t>none</t>
        </is>
      </c>
      <c r="AW115" s="95" t="inlineStr">
        <is>
          <t>Y</t>
        </is>
      </c>
      <c r="AX115" s="95" t="inlineStr">
        <is>
          <t>2026-10-13 23:37:53</t>
        </is>
      </c>
      <c r="AY115" s="97" t="inlineStr">
        <is>
          <t>Not live in 2025</t>
        </is>
      </c>
      <c r="AZ115" s="102" t="n"/>
      <c r="BA115" s="101" t="n"/>
      <c r="BB115" s="101" t="n"/>
      <c r="BC115" s="87">
        <f>IF(AND(ISNUMBER(BA115),ISNUMBER(BB115),N(BA115)&gt;0),1-BB115/BA115,"")</f>
        <v/>
      </c>
      <c r="BD115" s="103" t="n"/>
      <c r="BE115" s="103" t="n"/>
      <c r="BF115" s="100">
        <f>IF(AND(ISNUMBER(BD115),ISNUMBER(BE115),N(BE115)&gt;0),BD115/BE115,"")</f>
        <v/>
      </c>
      <c r="BG115" s="102" t="n"/>
      <c r="BH115" s="102" t="n"/>
    </row>
    <row r="116" ht="62" customHeight="1">
      <c r="A116" s="39" t="inlineStr">
        <is>
          <t>IMAGE MISSING</t>
        </is>
      </c>
      <c r="B116" s="84" t="inlineStr">
        <is>
          <t>DOWNCOOL</t>
        </is>
      </c>
      <c r="C116" s="32" t="inlineStr">
        <is>
          <t>Cooling Sheets</t>
        </is>
      </c>
      <c r="D116" s="84" t="inlineStr">
        <is>
          <t>Poor</t>
        </is>
      </c>
      <c r="E116" s="84" t="inlineStr">
        <is>
          <t>B0F93XRVSZ</t>
        </is>
      </c>
      <c r="F116" s="84" t="inlineStr">
        <is>
          <t>B0F93XRVSZ</t>
        </is>
      </c>
      <c r="G116" s="84" t="n"/>
      <c r="H116" s="84" t="n"/>
      <c r="I116" s="85" t="n"/>
      <c r="J116" s="32" t="inlineStr"/>
      <c r="K116" s="86" t="n">
        <v>139.99</v>
      </c>
      <c r="L116" s="86" t="n"/>
      <c r="M116" s="87">
        <f>IF(AND(ISNUMBER(L116),ISNUMBER(K116),N(K116)&gt;0),L116/K116-1,"")</f>
        <v/>
      </c>
      <c r="N116" s="88">
        <f>IF(M116="","No List Price",IF(M116&lt;=0,"At/below price",IF(M116&lt;=0.12,"&lt;=12% STR zone",IF(M116&lt;=0.25,"12-25%","&gt;25% over"))))</f>
        <v/>
      </c>
      <c r="O116" s="86" t="n">
        <v>79.98999999999999</v>
      </c>
      <c r="P116" s="89">
        <f>IF(AND(ISNUMBER(K116),ISNUMBER(O116),N(O116)&gt;0),K116/O116-1,"")</f>
        <v/>
      </c>
      <c r="Q116" s="32" t="inlineStr">
        <is>
          <t>Size not stated - vs our Queen. Ours live: Helium 10 Xray, 2026-10-13; 11 children</t>
        </is>
      </c>
      <c r="R116" s="85" t="n">
        <v>2798999</v>
      </c>
      <c r="S116" s="85" t="n">
        <v>5</v>
      </c>
      <c r="T116" s="90">
        <f>IF(AND(ISNUMBER(K116),ISNUMBER(S116)),K116*S116*52/12,"")</f>
        <v/>
      </c>
      <c r="U116" s="91" t="n">
        <v>4.2</v>
      </c>
      <c r="V116" s="85" t="n">
        <v>6</v>
      </c>
      <c r="W116" s="92" t="n">
        <v>46279</v>
      </c>
      <c r="X116" s="92" t="n"/>
      <c r="Y116" s="84" t="n"/>
      <c r="Z116" s="84" t="n"/>
      <c r="AA116" s="85" t="n"/>
      <c r="AB116" s="85" t="n"/>
      <c r="AC116" s="93" t="n"/>
      <c r="AD116" s="93" t="n"/>
      <c r="AE116" s="32" t="n"/>
      <c r="AF116" s="93" t="n"/>
      <c r="AG116" s="93" t="n"/>
      <c r="AH116" s="93" t="n"/>
      <c r="AI116" s="93" t="n"/>
      <c r="AJ116" s="85" t="n"/>
      <c r="AK116" s="85" t="n"/>
      <c r="AL116" s="85" t="n"/>
      <c r="AM116" s="85" t="n"/>
      <c r="AN116" s="85" t="n"/>
      <c r="AO116" s="85" t="n"/>
      <c r="AP116" s="94" t="n"/>
      <c r="AQ116" s="89" t="n"/>
      <c r="AR116" s="95" t="inlineStr">
        <is>
          <t>N</t>
        </is>
      </c>
      <c r="AS116" s="95" t="inlineStr">
        <is>
          <t>none</t>
        </is>
      </c>
      <c r="AT116" s="101" t="n"/>
      <c r="AU116" s="101" t="n"/>
      <c r="AV116" s="95" t="inlineStr">
        <is>
          <t>none</t>
        </is>
      </c>
      <c r="AW116" s="95" t="inlineStr">
        <is>
          <t>N</t>
        </is>
      </c>
      <c r="AX116" s="95" t="inlineStr">
        <is>
          <t>2026-10-13 12:11:54</t>
        </is>
      </c>
      <c r="AY116" s="97" t="inlineStr">
        <is>
          <t>Prime Exclusive Discount</t>
        </is>
      </c>
      <c r="AZ116" s="97" t="inlineStr">
        <is>
          <t>11-21 to 12-01</t>
        </is>
      </c>
      <c r="BA116" s="98" t="n">
        <v>35.99</v>
      </c>
      <c r="BB116" s="98" t="n">
        <v>29.99</v>
      </c>
      <c r="BC116" s="87">
        <f>IF(AND(ISNUMBER(BA116),ISNUMBER(BB116),N(BA116)&gt;0),1-BB116/BA116,"")</f>
        <v/>
      </c>
      <c r="BD116" s="99" t="n">
        <v>223574</v>
      </c>
      <c r="BE116" s="99" t="n">
        <v>226828</v>
      </c>
      <c r="BF116" s="100">
        <f>IF(AND(ISNUMBER(BD116),ISNUMBER(BE116),N(BE116)&gt;0),BD116/BE116,"")</f>
        <v/>
      </c>
      <c r="BG116" s="97" t="inlineStr">
        <is>
          <t>N</t>
        </is>
      </c>
      <c r="BH116" s="97" t="inlineStr">
        <is>
          <t>Buy Box RAISED in BFCM week (median $69.99 vs $35.99 before); List Price $69.99</t>
        </is>
      </c>
    </row>
    <row r="117" ht="62" customHeight="1">
      <c r="A117" s="39" t="inlineStr">
        <is>
          <t>IMAGE MISSING</t>
        </is>
      </c>
      <c r="B117" s="84" t="inlineStr">
        <is>
          <t>Elegear</t>
        </is>
      </c>
      <c r="C117" s="32" t="inlineStr">
        <is>
          <t>Elegear Silver Infused Cooling Bed Sheets Queen, Arc-Chill® 3.0 Cool Tech, Silve</t>
        </is>
      </c>
      <c r="D117" s="84" t="inlineStr">
        <is>
          <t>Poor</t>
        </is>
      </c>
      <c r="E117" s="84" t="inlineStr">
        <is>
          <t>B0H7YWGBW3</t>
        </is>
      </c>
      <c r="F117" s="84" t="inlineStr">
        <is>
          <t>B0GCGXW1WT</t>
        </is>
      </c>
      <c r="G117" s="84" t="inlineStr">
        <is>
          <t>Queen</t>
        </is>
      </c>
      <c r="H117" s="84" t="inlineStr">
        <is>
          <t>Silver</t>
        </is>
      </c>
      <c r="I117" s="85" t="n">
        <v>8</v>
      </c>
      <c r="J117" s="32" t="inlineStr">
        <is>
          <t>B0GCHRGYZZ (25%), B0GCHG6VG6 (21%), B0GCH7FHV1 (18%), B0GCGXW1WT (11%), B0GCGXXC24 (10%)</t>
        </is>
      </c>
      <c r="K117" s="86" t="n">
        <v>67.98999999999999</v>
      </c>
      <c r="L117" s="86" t="n">
        <v>79.98999999999999</v>
      </c>
      <c r="M117" s="87">
        <f>IF(AND(ISNUMBER(L117),ISNUMBER(K117),N(K117)&gt;0),L117/K117-1,"")</f>
        <v/>
      </c>
      <c r="N117" s="88">
        <f>IF(M117="","No List Price",IF(M117&lt;=0,"At/below price",IF(M117&lt;=0.12,"&lt;=12% STR zone",IF(M117&lt;=0.25,"12-25%","&gt;25% over"))))</f>
        <v/>
      </c>
      <c r="O117" s="86" t="n">
        <v>79.98999999999999</v>
      </c>
      <c r="P117" s="89">
        <f>IF(AND(ISNUMBER(K117),ISNUMBER(O117),N(O117)&gt;0),K117/O117-1,"")</f>
        <v/>
      </c>
      <c r="Q117" s="32" t="inlineStr">
        <is>
          <t>Same size (Queen). Ours live: Helium 10 Xray, 2026-10-13; 11 children</t>
        </is>
      </c>
      <c r="R117" s="85" t="n">
        <v>159865</v>
      </c>
      <c r="S117" s="85" t="n">
        <v>5</v>
      </c>
      <c r="T117" s="90">
        <f>IF(AND(ISNUMBER(K117),ISNUMBER(S117)),K117*S117*52/12,"")</f>
        <v/>
      </c>
      <c r="U117" s="91" t="n">
        <v>4.4</v>
      </c>
      <c r="V117" s="85" t="n">
        <v>131</v>
      </c>
      <c r="W117" s="92" t="n">
        <v>46307</v>
      </c>
      <c r="X117" s="92" t="n"/>
      <c r="Y117" s="84" t="n"/>
      <c r="Z117" s="84" t="n"/>
      <c r="AA117" s="85" t="n">
        <v>15624</v>
      </c>
      <c r="AB117" s="85" t="n">
        <v>643</v>
      </c>
      <c r="AC117" s="93" t="n">
        <v>0.6086269521249359</v>
      </c>
      <c r="AD117" s="93" t="n">
        <v>0.3913732526881721</v>
      </c>
      <c r="AE117" s="32" t="inlineStr">
        <is>
          <t>miracle sheets</t>
        </is>
      </c>
      <c r="AF117" s="93" t="n">
        <v>0.5840373783922171</v>
      </c>
      <c r="AG117" s="93" t="n">
        <v>0.7140296979006656</v>
      </c>
      <c r="AH117" s="93" t="n"/>
      <c r="AI117" s="93" t="n"/>
      <c r="AJ117" s="85" t="n">
        <v>187</v>
      </c>
      <c r="AK117" s="85" t="n">
        <v>98</v>
      </c>
      <c r="AL117" s="85" t="n">
        <v>58</v>
      </c>
      <c r="AM117" s="85" t="n">
        <v>456</v>
      </c>
      <c r="AN117" s="85" t="n">
        <v>146</v>
      </c>
      <c r="AO117" s="85" t="n">
        <v>12</v>
      </c>
      <c r="AP117" s="94" t="n">
        <v>0.4848484848484848</v>
      </c>
      <c r="AQ117" s="89" t="n"/>
      <c r="AR117" s="95" t="inlineStr">
        <is>
          <t>Y</t>
        </is>
      </c>
      <c r="AS117" s="95" t="inlineStr">
        <is>
          <t>Typical price</t>
        </is>
      </c>
      <c r="AT117" s="96" t="n">
        <v>79.98999999999999</v>
      </c>
      <c r="AU117" s="96" t="n">
        <v>67.98999999999999</v>
      </c>
      <c r="AV117" s="95" t="inlineStr">
        <is>
          <t>Limited time deal</t>
        </is>
      </c>
      <c r="AW117" s="95" t="inlineStr">
        <is>
          <t>Y</t>
        </is>
      </c>
      <c r="AX117" s="95" t="inlineStr">
        <is>
          <t>2026-10-13 12:12:01</t>
        </is>
      </c>
      <c r="AY117" s="97" t="inlineStr">
        <is>
          <t>Not live in 2025</t>
        </is>
      </c>
      <c r="AZ117" s="102" t="n"/>
      <c r="BA117" s="101" t="n"/>
      <c r="BB117" s="101" t="n"/>
      <c r="BC117" s="87">
        <f>IF(AND(ISNUMBER(BA117),ISNUMBER(BB117),N(BA117)&gt;0),1-BB117/BA117,"")</f>
        <v/>
      </c>
      <c r="BD117" s="103" t="n"/>
      <c r="BE117" s="103" t="n"/>
      <c r="BF117" s="100">
        <f>IF(AND(ISNUMBER(BD117),ISNUMBER(BE117),N(BE117)&gt;0),BD117/BE117,"")</f>
        <v/>
      </c>
      <c r="BG117" s="102" t="n"/>
      <c r="BH117" s="102" t="n"/>
    </row>
    <row r="118" ht="62" customHeight="1">
      <c r="A118" s="10">
        <f>_xlfn.IMAGE("https://images-na.ssl-images-amazon.com/images/I/71AudKmD2JL.jpg")</f>
        <v/>
      </c>
      <c r="B118" s="84" t="inlineStr">
        <is>
          <t>Love's cabin</t>
        </is>
      </c>
      <c r="C118" s="32" t="inlineStr">
        <is>
          <t>Love's cabin 4 Piece Queen Sheet Set, 100% Rayon Derived from Bamboo, Cooling &amp; Breathable, Soft Silky Deep Pocket up to 16", Hotel Luxury Bedding for Hot Sleepers, Beige</t>
        </is>
      </c>
      <c r="D118" s="84" t="inlineStr">
        <is>
          <t>Untiered</t>
        </is>
      </c>
      <c r="E118" s="84" t="inlineStr">
        <is>
          <t>B0DN1GGFL7</t>
        </is>
      </c>
      <c r="F118" s="84" t="inlineStr">
        <is>
          <t>B0DN1DVKH5</t>
        </is>
      </c>
      <c r="G118" s="84" t="inlineStr">
        <is>
          <t>Queen</t>
        </is>
      </c>
      <c r="H118" s="84" t="inlineStr">
        <is>
          <t>Beige</t>
        </is>
      </c>
      <c r="I118" s="85" t="n">
        <v>176</v>
      </c>
      <c r="J118" s="32" t="inlineStr">
        <is>
          <t>B0DN1DVKH5 (43%), B0DN1H6C88 (10%), B0DN1D4YKB (9%), B0DN1H5PQ6 (8%), B0DN1DRRDN (7%)</t>
        </is>
      </c>
      <c r="K118" s="86" t="n">
        <v>37.99</v>
      </c>
      <c r="L118" s="86" t="n">
        <v>44.99</v>
      </c>
      <c r="M118" s="87">
        <f>IF(AND(ISNUMBER(L118),ISNUMBER(K118),N(K118)&gt;0),L118/K118-1,"")</f>
        <v/>
      </c>
      <c r="N118" s="88">
        <f>IF(M118="","No List Price",IF(M118&lt;=0,"At/below price",IF(M118&lt;=0.12,"&lt;=12% STR zone",IF(M118&lt;=0.25,"12-25%","&gt;25% over"))))</f>
        <v/>
      </c>
      <c r="O118" s="86" t="n">
        <v>79.98999999999999</v>
      </c>
      <c r="P118" s="89">
        <f>IF(AND(ISNUMBER(K118),ISNUMBER(O118),N(O118)&gt;0),K118/O118-1,"")</f>
        <v/>
      </c>
      <c r="Q118" s="32" t="inlineStr">
        <is>
          <t>Same size (Queen). Ours live: Helium 10 Xray, 2026-10-13; 11 children</t>
        </is>
      </c>
      <c r="R118" s="85" t="n">
        <v>501</v>
      </c>
      <c r="S118" s="85" t="n">
        <v>924</v>
      </c>
      <c r="T118" s="90">
        <f>IF(AND(ISNUMBER(K118),ISNUMBER(S118)),K118*S118*52/12,"")</f>
        <v/>
      </c>
      <c r="U118" s="91" t="n">
        <v>4.4</v>
      </c>
      <c r="V118" s="85" t="n">
        <v>1900</v>
      </c>
      <c r="W118" s="92" t="n">
        <v>46307</v>
      </c>
      <c r="X118" s="92" t="n">
        <v>45694</v>
      </c>
      <c r="Y118" s="84" t="inlineStr">
        <is>
          <t>FBA</t>
        </is>
      </c>
      <c r="Z118" s="84" t="inlineStr">
        <is>
          <t>CN</t>
        </is>
      </c>
      <c r="AA118" s="85" t="n">
        <v>906346</v>
      </c>
      <c r="AB118" s="85" t="n">
        <v>4326</v>
      </c>
      <c r="AC118" s="93" t="n">
        <v>0.9184238707954808</v>
      </c>
      <c r="AD118" s="93" t="n">
        <v>0.08157613626584115</v>
      </c>
      <c r="AE118" s="32" t="inlineStr">
        <is>
          <t>bamboo sheets</t>
        </is>
      </c>
      <c r="AF118" s="93" t="n">
        <v>0.888575665364</v>
      </c>
      <c r="AG118" s="93" t="n">
        <v>0.05086247415446198</v>
      </c>
      <c r="AH118" s="93" t="n"/>
      <c r="AI118" s="93" t="n">
        <v>0.4089034430559632</v>
      </c>
      <c r="AJ118" s="85" t="n">
        <v>283</v>
      </c>
      <c r="AK118" s="85" t="n">
        <v>23</v>
      </c>
      <c r="AL118" s="85" t="n">
        <v>239</v>
      </c>
      <c r="AM118" s="85" t="n">
        <v>4043</v>
      </c>
      <c r="AN118" s="85" t="n">
        <v>1222</v>
      </c>
      <c r="AO118" s="85" t="n">
        <v>2</v>
      </c>
      <c r="AP118" s="94" t="n">
        <v>0.8953669259384511</v>
      </c>
      <c r="AQ118" s="89" t="n">
        <v>0.5388519228600428</v>
      </c>
      <c r="AR118" s="95" t="inlineStr">
        <is>
          <t>Y</t>
        </is>
      </c>
      <c r="AS118" s="95" t="inlineStr">
        <is>
          <t>List Price</t>
        </is>
      </c>
      <c r="AT118" s="96" t="n">
        <v>44.99</v>
      </c>
      <c r="AU118" s="96" t="n">
        <v>37.99</v>
      </c>
      <c r="AV118" s="95" t="inlineStr">
        <is>
          <t>none</t>
        </is>
      </c>
      <c r="AW118" s="95" t="inlineStr">
        <is>
          <t>Y</t>
        </is>
      </c>
      <c r="AX118" s="95" t="inlineStr">
        <is>
          <t>2026-10-13 12:11:04</t>
        </is>
      </c>
      <c r="AY118" s="97" t="inlineStr">
        <is>
          <t>Prime Exclusive Discount</t>
        </is>
      </c>
      <c r="AZ118" s="97" t="inlineStr">
        <is>
          <t>11-03 to 12-05</t>
        </is>
      </c>
      <c r="BA118" s="98" t="n">
        <v>36.99</v>
      </c>
      <c r="BB118" s="98" t="n">
        <v>29.99</v>
      </c>
      <c r="BC118" s="87">
        <f>IF(AND(ISNUMBER(BA118),ISNUMBER(BB118),N(BA118)&gt;0),1-BB118/BA118,"")</f>
        <v/>
      </c>
      <c r="BD118" s="99" t="n">
        <v>32899</v>
      </c>
      <c r="BE118" s="99" t="n">
        <v>33089</v>
      </c>
      <c r="BF118" s="100">
        <f>IF(AND(ISNUMBER(BD118),ISNUMBER(BE118),N(BE118)&gt;0),BD118/BE118,"")</f>
        <v/>
      </c>
      <c r="BG118" s="97" t="inlineStr">
        <is>
          <t>N</t>
        </is>
      </c>
      <c r="BH118" s="97" t="inlineStr">
        <is>
          <t>Prime Exclusive already running before BFCM week; List Price $49.99</t>
        </is>
      </c>
    </row>
    <row r="119" ht="62" customHeight="1">
      <c r="A119" s="39" t="inlineStr">
        <is>
          <t>IMAGE MISSING</t>
        </is>
      </c>
      <c r="B119" s="84" t="inlineStr">
        <is>
          <t>Comfort Spaces</t>
        </is>
      </c>
      <c r="C119" s="32" t="inlineStr">
        <is>
          <t>Comfort Spaces Coolmax Moisture Wicking Fitted Sheet ONLY Super Soft, Fade Resis</t>
        </is>
      </c>
      <c r="D119" s="84" t="inlineStr">
        <is>
          <t>Untiered</t>
        </is>
      </c>
      <c r="E119" s="84" t="inlineStr">
        <is>
          <t>B0DCGL5646</t>
        </is>
      </c>
      <c r="F119" s="84" t="inlineStr">
        <is>
          <t>B09GV8SK79</t>
        </is>
      </c>
      <c r="G119" s="84" t="n"/>
      <c r="H119" s="84" t="n"/>
      <c r="I119" s="85" t="n"/>
      <c r="J119" s="32" t="inlineStr"/>
      <c r="K119" s="86" t="n">
        <v>15.95</v>
      </c>
      <c r="L119" s="86" t="n"/>
      <c r="M119" s="87">
        <f>IF(AND(ISNUMBER(L119),ISNUMBER(K119),N(K119)&gt;0),L119/K119-1,"")</f>
        <v/>
      </c>
      <c r="N119" s="88">
        <f>IF(M119="","No List Price",IF(M119&lt;=0,"At/below price",IF(M119&lt;=0.12,"&lt;=12% STR zone",IF(M119&lt;=0.25,"12-25%","&gt;25% over"))))</f>
        <v/>
      </c>
      <c r="O119" s="86" t="n">
        <v>79.98999999999999</v>
      </c>
      <c r="P119" s="89">
        <f>IF(AND(ISNUMBER(K119),ISNUMBER(O119),N(O119)&gt;0),K119/O119-1,"")</f>
        <v/>
      </c>
      <c r="Q119" s="32" t="inlineStr">
        <is>
          <t>Size not stated - vs our Queen. Ours live: Helium 10 Xray, 2026-10-13; 11 children</t>
        </is>
      </c>
      <c r="R119" s="85" t="n">
        <v>6671</v>
      </c>
      <c r="S119" s="85" t="n">
        <v>185</v>
      </c>
      <c r="T119" s="90">
        <f>IF(AND(ISNUMBER(K119),ISNUMBER(S119)),K119*S119*52/12,"")</f>
        <v/>
      </c>
      <c r="U119" s="91" t="n">
        <v>4.2</v>
      </c>
      <c r="V119" s="85" t="n">
        <v>1336</v>
      </c>
      <c r="W119" s="92" t="n">
        <v>46307</v>
      </c>
      <c r="X119" s="92" t="n"/>
      <c r="Y119" s="84" t="n"/>
      <c r="Z119" s="84" t="n"/>
      <c r="AA119" s="85" t="n"/>
      <c r="AB119" s="85" t="n"/>
      <c r="AC119" s="93" t="n"/>
      <c r="AD119" s="93" t="n"/>
      <c r="AE119" s="32" t="n"/>
      <c r="AF119" s="93" t="n"/>
      <c r="AG119" s="93" t="n"/>
      <c r="AH119" s="93" t="n"/>
      <c r="AI119" s="93" t="n"/>
      <c r="AJ119" s="85" t="n"/>
      <c r="AK119" s="85" t="n"/>
      <c r="AL119" s="85" t="n"/>
      <c r="AM119" s="85" t="n"/>
      <c r="AN119" s="85" t="n"/>
      <c r="AO119" s="85" t="n"/>
      <c r="AP119" s="94" t="n"/>
      <c r="AQ119" s="89" t="n"/>
      <c r="AR119" s="95" t="inlineStr">
        <is>
          <t>N</t>
        </is>
      </c>
      <c r="AS119" s="95" t="inlineStr">
        <is>
          <t>none</t>
        </is>
      </c>
      <c r="AT119" s="101" t="n"/>
      <c r="AU119" s="96" t="n">
        <v>16.01</v>
      </c>
      <c r="AV119" s="95" t="inlineStr">
        <is>
          <t>none</t>
        </is>
      </c>
      <c r="AW119" s="95" t="inlineStr">
        <is>
          <t>Y</t>
        </is>
      </c>
      <c r="AX119" s="95" t="inlineStr">
        <is>
          <t>2026-10-13 23:37:59</t>
        </is>
      </c>
      <c r="AY119" s="97" t="inlineStr">
        <is>
          <t>Price cut only</t>
        </is>
      </c>
      <c r="AZ119" s="97" t="inlineStr">
        <is>
          <t>12-01 to 12-01</t>
        </is>
      </c>
      <c r="BA119" s="98" t="n">
        <v>19.57</v>
      </c>
      <c r="BB119" s="98" t="n">
        <v>17.6</v>
      </c>
      <c r="BC119" s="87">
        <f>IF(AND(ISNUMBER(BA119),ISNUMBER(BB119),N(BA119)&gt;0),1-BB119/BA119,"")</f>
        <v/>
      </c>
      <c r="BD119" s="99" t="n">
        <v>35490</v>
      </c>
      <c r="BE119" s="99" t="n">
        <v>50123</v>
      </c>
      <c r="BF119" s="100">
        <f>IF(AND(ISNUMBER(BD119),ISNUMBER(BE119),N(BE119)&gt;0),BD119/BE119,"")</f>
        <v/>
      </c>
      <c r="BG119" s="97" t="inlineStr">
        <is>
          <t>N</t>
        </is>
      </c>
      <c r="BH119" s="97" t="inlineStr">
        <is>
          <t>Buy Box RAISED in BFCM week (median $24.33 vs $19.57 before); List Price $16.99</t>
        </is>
      </c>
    </row>
    <row r="120" ht="62" customHeight="1">
      <c r="A120" s="39" t="inlineStr">
        <is>
          <t>IMAGE MISSING</t>
        </is>
      </c>
      <c r="B120" s="84" t="inlineStr">
        <is>
          <t>TRUE BAMBOO</t>
        </is>
      </c>
      <c r="C120" s="32" t="inlineStr">
        <is>
          <t>TRUE BAMBOO Sheets Set King Size - Silky Soft &amp; Cooling - Dark Gray</t>
        </is>
      </c>
      <c r="D120" s="84" t="inlineStr">
        <is>
          <t>Untiered</t>
        </is>
      </c>
      <c r="E120" s="84" t="inlineStr">
        <is>
          <t>B0HHQ97HBL</t>
        </is>
      </c>
      <c r="F120" s="84" t="inlineStr">
        <is>
          <t>B0HD7R5L1D</t>
        </is>
      </c>
      <c r="G120" s="84" t="inlineStr">
        <is>
          <t>King</t>
        </is>
      </c>
      <c r="H120" s="84" t="inlineStr">
        <is>
          <t>Gray</t>
        </is>
      </c>
      <c r="I120" s="85" t="n">
        <v>30</v>
      </c>
      <c r="J120" s="32" t="inlineStr">
        <is>
          <t>B0HD7R5L1D (45%), B0H5WYMXJK (28%), B0H7BYKYCD (9%)</t>
        </is>
      </c>
      <c r="K120" s="86" t="n">
        <v>114.99</v>
      </c>
      <c r="L120" s="86" t="n">
        <v>129.99</v>
      </c>
      <c r="M120" s="87">
        <f>IF(AND(ISNUMBER(L120),ISNUMBER(K120),N(K120)&gt;0),L120/K120-1,"")</f>
        <v/>
      </c>
      <c r="N120" s="88">
        <f>IF(M120="","No List Price",IF(M120&lt;=0,"At/below price",IF(M120&lt;=0.12,"&lt;=12% STR zone",IF(M120&lt;=0.25,"12-25%","&gt;25% over"))))</f>
        <v/>
      </c>
      <c r="O120" s="86" t="n">
        <v>84.98999999999999</v>
      </c>
      <c r="P120" s="89">
        <f>IF(AND(ISNUMBER(K120),ISNUMBER(O120),N(O120)&gt;0),K120/O120-1,"")</f>
        <v/>
      </c>
      <c r="Q120" s="32" t="inlineStr">
        <is>
          <t>Same size (King). Ours live: SellerBoard listing price, 2026-10-14; 10 children</t>
        </is>
      </c>
      <c r="R120" s="85" t="n">
        <v>5934</v>
      </c>
      <c r="S120" s="85" t="n">
        <v>185</v>
      </c>
      <c r="T120" s="90">
        <f>IF(AND(ISNUMBER(K120),ISNUMBER(S120)),K120*S120*52/12,"")</f>
        <v/>
      </c>
      <c r="U120" s="91" t="n">
        <v>4.6</v>
      </c>
      <c r="V120" s="85" t="n">
        <v>167</v>
      </c>
      <c r="W120" s="92" t="n">
        <v>46307</v>
      </c>
      <c r="X120" s="92" t="n"/>
      <c r="Y120" s="84" t="n"/>
      <c r="Z120" s="84" t="n"/>
      <c r="AA120" s="85" t="n">
        <v>557658</v>
      </c>
      <c r="AB120" s="85" t="n">
        <v>2189</v>
      </c>
      <c r="AC120" s="93" t="n">
        <v>0.518044597943542</v>
      </c>
      <c r="AD120" s="93" t="n">
        <v>0.4819554422244464</v>
      </c>
      <c r="AE120" s="32" t="inlineStr">
        <is>
          <t>king size sheets set</t>
        </is>
      </c>
      <c r="AF120" s="93" t="n">
        <v>0.9807695756180311</v>
      </c>
      <c r="AG120" s="93" t="n">
        <v>0.2157666526795993</v>
      </c>
      <c r="AH120" s="93" t="n"/>
      <c r="AI120" s="93" t="n"/>
      <c r="AJ120" s="85" t="n">
        <v>249</v>
      </c>
      <c r="AK120" s="85" t="n">
        <v>60</v>
      </c>
      <c r="AL120" s="85" t="n">
        <v>134</v>
      </c>
      <c r="AM120" s="85" t="n">
        <v>1940</v>
      </c>
      <c r="AN120" s="85" t="n">
        <v>974</v>
      </c>
      <c r="AO120" s="85" t="n">
        <v>17</v>
      </c>
      <c r="AP120" s="94" t="n"/>
      <c r="AQ120" s="89" t="n"/>
      <c r="AR120" s="95" t="inlineStr">
        <is>
          <t>Y</t>
        </is>
      </c>
      <c r="AS120" s="95" t="inlineStr">
        <is>
          <t>List Price</t>
        </is>
      </c>
      <c r="AT120" s="96" t="n">
        <v>129.99</v>
      </c>
      <c r="AU120" s="96" t="n">
        <v>79.98999999999999</v>
      </c>
      <c r="AV120" s="95" t="inlineStr">
        <is>
          <t>none</t>
        </is>
      </c>
      <c r="AW120" s="95" t="inlineStr">
        <is>
          <t>Y</t>
        </is>
      </c>
      <c r="AX120" s="95" t="inlineStr">
        <is>
          <t>2026-10-13 12:11:32</t>
        </is>
      </c>
      <c r="AY120" s="97" t="inlineStr">
        <is>
          <t>Not live in 2025</t>
        </is>
      </c>
      <c r="AZ120" s="102" t="n"/>
      <c r="BA120" s="101" t="n"/>
      <c r="BB120" s="101" t="n"/>
      <c r="BC120" s="87">
        <f>IF(AND(ISNUMBER(BA120),ISNUMBER(BB120),N(BA120)&gt;0),1-BB120/BA120,"")</f>
        <v/>
      </c>
      <c r="BD120" s="103" t="n"/>
      <c r="BE120" s="103" t="n"/>
      <c r="BF120" s="100">
        <f>IF(AND(ISNUMBER(BD120),ISNUMBER(BE120),N(BE120)&gt;0),BD120/BE120,"")</f>
        <v/>
      </c>
      <c r="BG120" s="102" t="n"/>
      <c r="BH120" s="102" t="n"/>
    </row>
    <row r="121" ht="62" customHeight="1">
      <c r="A121" s="10">
        <f>_xlfn.IMAGE("https://images-na.ssl-images-amazon.com/images/I/81fpVjndH2L.jpg")</f>
        <v/>
      </c>
      <c r="B121" s="84" t="inlineStr">
        <is>
          <t>Shilucheng</t>
        </is>
      </c>
      <c r="C121" s="32" t="inlineStr">
        <is>
          <t>Shilucheng 4 Piece Queen Sheet Sets, Cooling Sheets, Dark Grey</t>
        </is>
      </c>
      <c r="D121" s="84" t="inlineStr">
        <is>
          <t>Untiered</t>
        </is>
      </c>
      <c r="E121" s="84" t="inlineStr">
        <is>
          <t>B0HJSVWNRS</t>
        </is>
      </c>
      <c r="F121" s="84" t="inlineStr">
        <is>
          <t>B0FWY1TGFK</t>
        </is>
      </c>
      <c r="G121" s="84" t="inlineStr">
        <is>
          <t>Queen</t>
        </is>
      </c>
      <c r="H121" s="84" t="inlineStr">
        <is>
          <t>Grey</t>
        </is>
      </c>
      <c r="I121" s="85" t="n">
        <v>49</v>
      </c>
      <c r="J121" s="32" t="inlineStr">
        <is>
          <t>B0FWY1TGFK (67%), B098JT1RF2 (22%)</t>
        </is>
      </c>
      <c r="K121" s="86" t="n">
        <v>34.99</v>
      </c>
      <c r="L121" s="86" t="n"/>
      <c r="M121" s="87">
        <f>IF(AND(ISNUMBER(L121),ISNUMBER(K121),N(K121)&gt;0),L121/K121-1,"")</f>
        <v/>
      </c>
      <c r="N121" s="88">
        <f>IF(M121="","No List Price",IF(M121&lt;=0,"At/below price",IF(M121&lt;=0.12,"&lt;=12% STR zone",IF(M121&lt;=0.25,"12-25%","&gt;25% over"))))</f>
        <v/>
      </c>
      <c r="O121" s="86" t="n">
        <v>79.98999999999999</v>
      </c>
      <c r="P121" s="89">
        <f>IF(AND(ISNUMBER(K121),ISNUMBER(O121),N(O121)&gt;0),K121/O121-1,"")</f>
        <v/>
      </c>
      <c r="Q121" s="32" t="inlineStr">
        <is>
          <t>Same size (Queen). Ours live: Helium 10 Xray, 2026-10-13; 11 children</t>
        </is>
      </c>
      <c r="R121" s="85" t="n">
        <v>5396</v>
      </c>
      <c r="S121" s="85" t="n">
        <v>173</v>
      </c>
      <c r="T121" s="90">
        <f>IF(AND(ISNUMBER(K121),ISNUMBER(S121)),K121*S121*52/12,"")</f>
        <v/>
      </c>
      <c r="U121" s="91" t="n">
        <v>4.3</v>
      </c>
      <c r="V121" s="85" t="n">
        <v>24352</v>
      </c>
      <c r="W121" s="92" t="n">
        <v>46307</v>
      </c>
      <c r="X121" s="92" t="n"/>
      <c r="Y121" s="84" t="n"/>
      <c r="Z121" s="84" t="n"/>
      <c r="AA121" s="85" t="n">
        <v>135323</v>
      </c>
      <c r="AB121" s="85" t="n">
        <v>1187</v>
      </c>
      <c r="AC121" s="93" t="n">
        <v>0.7652350080917514</v>
      </c>
      <c r="AD121" s="93" t="n">
        <v>0.234765015555375</v>
      </c>
      <c r="AE121" s="32" t="inlineStr">
        <is>
          <t>bamboo sheets</t>
        </is>
      </c>
      <c r="AF121" s="93" t="n">
        <v>0.4715236877692632</v>
      </c>
      <c r="AG121" s="93" t="n"/>
      <c r="AH121" s="93" t="n"/>
      <c r="AI121" s="93" t="n">
        <v>0.03684517783377549</v>
      </c>
      <c r="AJ121" s="85" t="n">
        <v>190</v>
      </c>
      <c r="AK121" s="85" t="n">
        <v>48</v>
      </c>
      <c r="AL121" s="85" t="n">
        <v>134</v>
      </c>
      <c r="AM121" s="85" t="n">
        <v>997</v>
      </c>
      <c r="AN121" s="85" t="n">
        <v>445</v>
      </c>
      <c r="AO121" s="85" t="n">
        <v>5</v>
      </c>
      <c r="AP121" s="94" t="n"/>
      <c r="AQ121" s="89" t="n">
        <v>-0.9497907949790795</v>
      </c>
      <c r="AR121" s="95" t="inlineStr">
        <is>
          <t>N</t>
        </is>
      </c>
      <c r="AS121" s="95" t="inlineStr">
        <is>
          <t>none</t>
        </is>
      </c>
      <c r="AT121" s="101" t="n"/>
      <c r="AU121" s="96" t="n">
        <v>34.99</v>
      </c>
      <c r="AV121" s="95" t="inlineStr">
        <is>
          <t>coupon 15%</t>
        </is>
      </c>
      <c r="AW121" s="95" t="inlineStr">
        <is>
          <t>Y</t>
        </is>
      </c>
      <c r="AX121" s="95" t="inlineStr">
        <is>
          <t>2026-10-13 12:11:26</t>
        </is>
      </c>
      <c r="AY121" s="97" t="inlineStr">
        <is>
          <t>Coupon only</t>
        </is>
      </c>
      <c r="AZ121" s="97" t="inlineStr">
        <is>
          <t>11-09 to 11-21</t>
        </is>
      </c>
      <c r="BA121" s="98" t="n">
        <v>34.9</v>
      </c>
      <c r="BB121" s="98" t="n">
        <v>28.18</v>
      </c>
      <c r="BC121" s="87">
        <f>IF(AND(ISNUMBER(BA121),ISNUMBER(BB121),N(BA121)&gt;0),1-BB121/BA121,"")</f>
        <v/>
      </c>
      <c r="BD121" s="99" t="n">
        <v>4671</v>
      </c>
      <c r="BE121" s="99" t="n">
        <v>3278</v>
      </c>
      <c r="BF121" s="100">
        <f>IF(AND(ISNUMBER(BD121),ISNUMBER(BE121),N(BE121)&gt;0),BD121/BE121,"")</f>
        <v/>
      </c>
      <c r="BG121" s="97" t="inlineStr">
        <is>
          <t>N</t>
        </is>
      </c>
      <c r="BH121" s="97" t="inlineStr">
        <is>
          <t>Coupon 15%; List Price $34.90</t>
        </is>
      </c>
    </row>
    <row r="122" ht="62" customHeight="1">
      <c r="A122" s="39" t="inlineStr">
        <is>
          <t>IMAGE MISSING</t>
        </is>
      </c>
      <c r="B122" s="84" t="inlineStr">
        <is>
          <t>BEDELITE</t>
        </is>
      </c>
      <c r="C122" s="32" t="inlineStr">
        <is>
          <t>BEDELITE Bamboo Viscose Sheet Set, Queen Size, 4 Pieces, White</t>
        </is>
      </c>
      <c r="D122" s="84" t="inlineStr">
        <is>
          <t>Untiered</t>
        </is>
      </c>
      <c r="E122" s="84" t="inlineStr">
        <is>
          <t>B0GT98GVQN</t>
        </is>
      </c>
      <c r="F122" s="84" t="inlineStr">
        <is>
          <t>B0GT8Z4X5D</t>
        </is>
      </c>
      <c r="G122" s="84" t="inlineStr">
        <is>
          <t>Queen</t>
        </is>
      </c>
      <c r="H122" s="84" t="inlineStr">
        <is>
          <t>White</t>
        </is>
      </c>
      <c r="I122" s="85" t="n">
        <v>8</v>
      </c>
      <c r="J122" s="32" t="inlineStr">
        <is>
          <t>B0GT8Z4X5D (87%)</t>
        </is>
      </c>
      <c r="K122" s="86" t="n">
        <v>84.98</v>
      </c>
      <c r="L122" s="86" t="n">
        <v>99.89</v>
      </c>
      <c r="M122" s="87">
        <f>IF(AND(ISNUMBER(L122),ISNUMBER(K122),N(K122)&gt;0),L122/K122-1,"")</f>
        <v/>
      </c>
      <c r="N122" s="88">
        <f>IF(M122="","No List Price",IF(M122&lt;=0,"At/below price",IF(M122&lt;=0.12,"&lt;=12% STR zone",IF(M122&lt;=0.25,"12-25%","&gt;25% over"))))</f>
        <v/>
      </c>
      <c r="O122" s="86" t="n">
        <v>79.98999999999999</v>
      </c>
      <c r="P122" s="89">
        <f>IF(AND(ISNUMBER(K122),ISNUMBER(O122),N(O122)&gt;0),K122/O122-1,"")</f>
        <v/>
      </c>
      <c r="Q122" s="32" t="inlineStr">
        <is>
          <t>Same size (Queen). Ours live: Helium 10 Xray, 2026-10-13; 11 children</t>
        </is>
      </c>
      <c r="R122" s="85" t="n">
        <v>65907</v>
      </c>
      <c r="S122" s="85" t="n">
        <v>81</v>
      </c>
      <c r="T122" s="90">
        <f>IF(AND(ISNUMBER(K122),ISNUMBER(S122)),K122*S122*52/12,"")</f>
        <v/>
      </c>
      <c r="U122" s="91" t="n">
        <v>4.5</v>
      </c>
      <c r="V122" s="85" t="n">
        <v>113</v>
      </c>
      <c r="W122" s="92" t="n">
        <v>46307</v>
      </c>
      <c r="X122" s="92" t="n"/>
      <c r="Y122" s="84" t="n"/>
      <c r="Z122" s="84" t="n"/>
      <c r="AA122" s="85" t="n">
        <v>212120</v>
      </c>
      <c r="AB122" s="85" t="n">
        <v>1732</v>
      </c>
      <c r="AC122" s="93" t="n">
        <v>0.1115827267584386</v>
      </c>
      <c r="AD122" s="93" t="n">
        <v>0.8884172883273614</v>
      </c>
      <c r="AE122" s="32" t="inlineStr">
        <is>
          <t>queen sheets</t>
        </is>
      </c>
      <c r="AF122" s="93" t="n">
        <v>0.8331840467659816</v>
      </c>
      <c r="AG122" s="93" t="n">
        <v>0.2347161983782765</v>
      </c>
      <c r="AH122" s="93" t="n">
        <v>0.2670893833679049</v>
      </c>
      <c r="AI122" s="93" t="n"/>
      <c r="AJ122" s="85" t="n">
        <v>190</v>
      </c>
      <c r="AK122" s="85" t="n">
        <v>69</v>
      </c>
      <c r="AL122" s="85" t="n">
        <v>98</v>
      </c>
      <c r="AM122" s="85" t="n">
        <v>1542</v>
      </c>
      <c r="AN122" s="85" t="n">
        <v>1159</v>
      </c>
      <c r="AO122" s="85" t="n">
        <v>16</v>
      </c>
      <c r="AP122" s="94" t="n">
        <v>0.8073654390934845</v>
      </c>
      <c r="AQ122" s="89" t="n">
        <v>0.4972677595628416</v>
      </c>
      <c r="AR122" s="95" t="inlineStr">
        <is>
          <t>Y</t>
        </is>
      </c>
      <c r="AS122" s="95" t="inlineStr">
        <is>
          <t>List Price</t>
        </is>
      </c>
      <c r="AT122" s="96" t="n">
        <v>99.89</v>
      </c>
      <c r="AU122" s="96" t="n">
        <v>84.98</v>
      </c>
      <c r="AV122" s="95" t="inlineStr">
        <is>
          <t>Limited time deal</t>
        </is>
      </c>
      <c r="AW122" s="95" t="inlineStr">
        <is>
          <t>Y</t>
        </is>
      </c>
      <c r="AX122" s="95" t="inlineStr">
        <is>
          <t>2026-10-13 12:10:25</t>
        </is>
      </c>
      <c r="AY122" s="97" t="inlineStr">
        <is>
          <t>Not live in 2025</t>
        </is>
      </c>
      <c r="AZ122" s="102" t="n"/>
      <c r="BA122" s="101" t="n"/>
      <c r="BB122" s="101" t="n"/>
      <c r="BC122" s="87">
        <f>IF(AND(ISNUMBER(BA122),ISNUMBER(BB122),N(BA122)&gt;0),1-BB122/BA122,"")</f>
        <v/>
      </c>
      <c r="BD122" s="103" t="n"/>
      <c r="BE122" s="103" t="n"/>
      <c r="BF122" s="100">
        <f>IF(AND(ISNUMBER(BD122),ISNUMBER(BE122),N(BE122)&gt;0),BD122/BE122,"")</f>
        <v/>
      </c>
      <c r="BG122" s="102" t="n"/>
      <c r="BH122" s="102" t="n"/>
    </row>
    <row r="123" ht="62" customHeight="1">
      <c r="A123" s="39" t="inlineStr">
        <is>
          <t>IMAGE MISSING</t>
        </is>
      </c>
      <c r="B123" s="84" t="inlineStr">
        <is>
          <t>Davmabcjy</t>
        </is>
      </c>
      <c r="C123" s="32" t="inlineStr">
        <is>
          <t>100% Organically Grown Bamboo Viscose King Sheet Set with Pockets on Side</t>
        </is>
      </c>
      <c r="D123" s="84" t="inlineStr">
        <is>
          <t>Untiered</t>
        </is>
      </c>
      <c r="E123" s="84" t="inlineStr">
        <is>
          <t>B0HJZNMQ5G</t>
        </is>
      </c>
      <c r="F123" s="84" t="inlineStr">
        <is>
          <t>B0GXJYQR7H</t>
        </is>
      </c>
      <c r="G123" s="84" t="inlineStr">
        <is>
          <t>King</t>
        </is>
      </c>
      <c r="H123" s="84" t="n"/>
      <c r="I123" s="85" t="n">
        <v>7</v>
      </c>
      <c r="J123" s="32" t="inlineStr">
        <is>
          <t>B0GXJYQR7H (55%), B0GXJPP4YQ (31%)</t>
        </is>
      </c>
      <c r="K123" s="86" t="n">
        <v>59.99</v>
      </c>
      <c r="L123" s="86" t="n"/>
      <c r="M123" s="87">
        <f>IF(AND(ISNUMBER(L123),ISNUMBER(K123),N(K123)&gt;0),L123/K123-1,"")</f>
        <v/>
      </c>
      <c r="N123" s="88">
        <f>IF(M123="","No List Price",IF(M123&lt;=0,"At/below price",IF(M123&lt;=0.12,"&lt;=12% STR zone",IF(M123&lt;=0.25,"12-25%","&gt;25% over"))))</f>
        <v/>
      </c>
      <c r="O123" s="86" t="n">
        <v>84.98999999999999</v>
      </c>
      <c r="P123" s="89">
        <f>IF(AND(ISNUMBER(K123),ISNUMBER(O123),N(O123)&gt;0),K123/O123-1,"")</f>
        <v/>
      </c>
      <c r="Q123" s="32" t="inlineStr">
        <is>
          <t>Same size (King). Ours live: SellerBoard listing price, 2026-10-14; 10 children</t>
        </is>
      </c>
      <c r="R123" s="85" t="n">
        <v>205508</v>
      </c>
      <c r="S123" s="85" t="n">
        <v>35</v>
      </c>
      <c r="T123" s="90">
        <f>IF(AND(ISNUMBER(K123),ISNUMBER(S123)),K123*S123*52/12,"")</f>
        <v/>
      </c>
      <c r="U123" s="91" t="n">
        <v>4.2</v>
      </c>
      <c r="V123" s="85" t="n">
        <v>81</v>
      </c>
      <c r="W123" s="92" t="n">
        <v>46307</v>
      </c>
      <c r="X123" s="92" t="n"/>
      <c r="Y123" s="84" t="n"/>
      <c r="Z123" s="84" t="n"/>
      <c r="AA123" s="85" t="n">
        <v>75425</v>
      </c>
      <c r="AB123" s="85" t="n">
        <v>1329</v>
      </c>
      <c r="AC123" s="93" t="n">
        <v>0.8470417779250914</v>
      </c>
      <c r="AD123" s="93" t="n">
        <v>0.1529598766987073</v>
      </c>
      <c r="AE123" s="32" t="inlineStr">
        <is>
          <t>bamboo sheets</t>
        </is>
      </c>
      <c r="AF123" s="93" t="n">
        <v>0.4214782896917468</v>
      </c>
      <c r="AG123" s="93" t="n"/>
      <c r="AH123" s="93" t="n"/>
      <c r="AI123" s="93" t="n">
        <v>0.01059330460722572</v>
      </c>
      <c r="AJ123" s="85" t="n">
        <v>162</v>
      </c>
      <c r="AK123" s="85" t="n">
        <v>54</v>
      </c>
      <c r="AL123" s="85" t="n">
        <v>87</v>
      </c>
      <c r="AM123" s="85" t="n">
        <v>1167</v>
      </c>
      <c r="AN123" s="85" t="n">
        <v>370</v>
      </c>
      <c r="AO123" s="85" t="n">
        <v>0</v>
      </c>
      <c r="AP123" s="94" t="n"/>
      <c r="AQ123" s="89" t="n"/>
      <c r="AR123" s="95" t="inlineStr">
        <is>
          <t>N</t>
        </is>
      </c>
      <c r="AS123" s="95" t="inlineStr">
        <is>
          <t>none</t>
        </is>
      </c>
      <c r="AT123" s="101" t="n"/>
      <c r="AU123" s="96" t="n">
        <v>59.99</v>
      </c>
      <c r="AV123" s="95" t="inlineStr">
        <is>
          <t>none</t>
        </is>
      </c>
      <c r="AW123" s="95" t="inlineStr">
        <is>
          <t>Y</t>
        </is>
      </c>
      <c r="AX123" s="95" t="inlineStr">
        <is>
          <t>2026-10-13 12:10:48</t>
        </is>
      </c>
      <c r="AY123" s="97" t="inlineStr">
        <is>
          <t>Not live in 2025</t>
        </is>
      </c>
      <c r="AZ123" s="102" t="n"/>
      <c r="BA123" s="101" t="n"/>
      <c r="BB123" s="101" t="n"/>
      <c r="BC123" s="87">
        <f>IF(AND(ISNUMBER(BA123),ISNUMBER(BB123),N(BA123)&gt;0),1-BB123/BA123,"")</f>
        <v/>
      </c>
      <c r="BD123" s="103" t="n"/>
      <c r="BE123" s="103" t="n"/>
      <c r="BF123" s="100">
        <f>IF(AND(ISNUMBER(BD123),ISNUMBER(BE123),N(BE123)&gt;0),BD123/BE123,"")</f>
        <v/>
      </c>
      <c r="BG123" s="102" t="n"/>
      <c r="BH123" s="102" t="n"/>
    </row>
    <row r="124" ht="62" customHeight="1">
      <c r="A124" s="10">
        <f>_xlfn.IMAGE("https://images-na.ssl-images-amazon.com/images/I/716hu1FzoSL.jpg")</f>
        <v/>
      </c>
      <c r="B124" s="84" t="inlineStr">
        <is>
          <t>Degrees of Comfort</t>
        </is>
      </c>
      <c r="C124" s="32" t="inlineStr">
        <is>
          <t>Coolmax® Cooling Sheets for Hot Sleepers, Queen Size, Grey</t>
        </is>
      </c>
      <c r="D124" s="84" t="inlineStr">
        <is>
          <t>Untiered</t>
        </is>
      </c>
      <c r="E124" s="84" t="inlineStr">
        <is>
          <t>B0DXT68BBR</t>
        </is>
      </c>
      <c r="F124" s="84" t="inlineStr">
        <is>
          <t>B08YS6WZRR</t>
        </is>
      </c>
      <c r="G124" s="84" t="inlineStr">
        <is>
          <t>Queen</t>
        </is>
      </c>
      <c r="H124" s="84" t="inlineStr">
        <is>
          <t>Grey</t>
        </is>
      </c>
      <c r="I124" s="85" t="n">
        <v>31</v>
      </c>
      <c r="J124" s="32" t="inlineStr"/>
      <c r="K124" s="86" t="n">
        <v>24.99</v>
      </c>
      <c r="L124" s="86" t="n">
        <v>29.99</v>
      </c>
      <c r="M124" s="87">
        <f>IF(AND(ISNUMBER(L124),ISNUMBER(K124),N(K124)&gt;0),L124/K124-1,"")</f>
        <v/>
      </c>
      <c r="N124" s="88">
        <f>IF(M124="","No List Price",IF(M124&lt;=0,"At/below price",IF(M124&lt;=0.12,"&lt;=12% STR zone",IF(M124&lt;=0.25,"12-25%","&gt;25% over"))))</f>
        <v/>
      </c>
      <c r="O124" s="86" t="n">
        <v>79.98999999999999</v>
      </c>
      <c r="P124" s="89">
        <f>IF(AND(ISNUMBER(K124),ISNUMBER(O124),N(O124)&gt;0),K124/O124-1,"")</f>
        <v/>
      </c>
      <c r="Q124" s="32" t="inlineStr">
        <is>
          <t>Same size (Queen). Ours live: Helium 10 Xray, 2026-10-13; 11 children</t>
        </is>
      </c>
      <c r="R124" s="85" t="n">
        <v>39599</v>
      </c>
      <c r="S124" s="85" t="n">
        <v>35</v>
      </c>
      <c r="T124" s="90">
        <f>IF(AND(ISNUMBER(K124),ISNUMBER(S124)),K124*S124*52/12,"")</f>
        <v/>
      </c>
      <c r="U124" s="91" t="n">
        <v>4.1</v>
      </c>
      <c r="V124" s="85" t="n">
        <v>7328</v>
      </c>
      <c r="W124" s="92" t="n">
        <v>46307</v>
      </c>
      <c r="X124" s="92" t="n">
        <v>44267</v>
      </c>
      <c r="Y124" s="84" t="inlineStr">
        <is>
          <t>FBA</t>
        </is>
      </c>
      <c r="Z124" s="84" t="inlineStr">
        <is>
          <t>US</t>
        </is>
      </c>
      <c r="AA124" s="85" t="n"/>
      <c r="AB124" s="85" t="n"/>
      <c r="AC124" s="93" t="n"/>
      <c r="AD124" s="93" t="n"/>
      <c r="AE124" s="32" t="n"/>
      <c r="AF124" s="93" t="n"/>
      <c r="AG124" s="93" t="n"/>
      <c r="AH124" s="93" t="n"/>
      <c r="AI124" s="93" t="n"/>
      <c r="AJ124" s="85" t="n"/>
      <c r="AK124" s="85" t="n"/>
      <c r="AL124" s="85" t="n"/>
      <c r="AM124" s="85" t="n"/>
      <c r="AN124" s="85" t="n"/>
      <c r="AO124" s="85" t="n"/>
      <c r="AP124" s="94" t="n"/>
      <c r="AQ124" s="89" t="n"/>
      <c r="AR124" s="95" t="inlineStr">
        <is>
          <t>Y</t>
        </is>
      </c>
      <c r="AS124" s="95" t="inlineStr">
        <is>
          <t>Typical price</t>
        </is>
      </c>
      <c r="AT124" s="96" t="n">
        <v>29.99</v>
      </c>
      <c r="AU124" s="96" t="n">
        <v>24.99</v>
      </c>
      <c r="AV124" s="95" t="inlineStr">
        <is>
          <t>none</t>
        </is>
      </c>
      <c r="AW124" s="95" t="inlineStr">
        <is>
          <t>Y</t>
        </is>
      </c>
      <c r="AX124" s="95" t="inlineStr">
        <is>
          <t>2026-10-13 23:38:21</t>
        </is>
      </c>
      <c r="AY124" s="97" t="inlineStr">
        <is>
          <t>Prime Exclusive Discount</t>
        </is>
      </c>
      <c r="AZ124" s="97" t="inlineStr">
        <is>
          <t>11-01 to 12-01</t>
        </is>
      </c>
      <c r="BA124" s="98" t="n">
        <v>33.24</v>
      </c>
      <c r="BB124" s="98" t="n">
        <v>28.49</v>
      </c>
      <c r="BC124" s="87">
        <f>IF(AND(ISNUMBER(BA124),ISNUMBER(BB124),N(BA124)&gt;0),1-BB124/BA124,"")</f>
        <v/>
      </c>
      <c r="BD124" s="99" t="n">
        <v>47851</v>
      </c>
      <c r="BE124" s="99" t="n">
        <v>53371</v>
      </c>
      <c r="BF124" s="100">
        <f>IF(AND(ISNUMBER(BD124),ISNUMBER(BE124),N(BE124)&gt;0),BD124/BE124,"")</f>
        <v/>
      </c>
      <c r="BG124" s="97" t="inlineStr">
        <is>
          <t>N</t>
        </is>
      </c>
      <c r="BH124" s="97" t="inlineStr">
        <is>
          <t>Prime Exclusive already running before BFCM week; Buy Box RAISED in BFCM week (median $37.99 vs $34.99 before); List Price $39.99</t>
        </is>
      </c>
    </row>
    <row r="125" ht="62" customHeight="1">
      <c r="A125" s="10">
        <f>_xlfn.IMAGE("https://images-na.ssl-images-amazon.com/images/I/71rcYip7GcL.jpg")</f>
        <v/>
      </c>
      <c r="B125" s="84" t="inlineStr">
        <is>
          <t>KARISSA MAE</t>
        </is>
      </c>
      <c r="C125" s="32" t="inlineStr">
        <is>
          <t>Cooling Sheets</t>
        </is>
      </c>
      <c r="D125" s="84" t="inlineStr">
        <is>
          <t>Untiered</t>
        </is>
      </c>
      <c r="E125" s="84" t="inlineStr">
        <is>
          <t>B0GT172Y8L</t>
        </is>
      </c>
      <c r="F125" s="84" t="inlineStr">
        <is>
          <t>B0G1CSCQTB</t>
        </is>
      </c>
      <c r="G125" s="84" t="n"/>
      <c r="H125" s="84" t="n"/>
      <c r="I125" s="85" t="n">
        <v>138</v>
      </c>
      <c r="J125" s="32" t="inlineStr">
        <is>
          <t>B0F9X7MV5B (14%), B0G1CSCQTB (10%), B0F9X8BNQB (7%), B0F9X6KTQW (6%), B0GH24C6XY (6%)</t>
        </is>
      </c>
      <c r="K125" s="86" t="n">
        <v>119.99</v>
      </c>
      <c r="L125" s="86" t="n"/>
      <c r="M125" s="87">
        <f>IF(AND(ISNUMBER(L125),ISNUMBER(K125),N(K125)&gt;0),L125/K125-1,"")</f>
        <v/>
      </c>
      <c r="N125" s="88">
        <f>IF(M125="","No List Price",IF(M125&lt;=0,"At/below price",IF(M125&lt;=0.12,"&lt;=12% STR zone",IF(M125&lt;=0.25,"12-25%","&gt;25% over"))))</f>
        <v/>
      </c>
      <c r="O125" s="86" t="n">
        <v>79.98999999999999</v>
      </c>
      <c r="P125" s="89">
        <f>IF(AND(ISNUMBER(K125),ISNUMBER(O125),N(O125)&gt;0),K125/O125-1,"")</f>
        <v/>
      </c>
      <c r="Q125" s="32" t="inlineStr">
        <is>
          <t>Size not stated - vs our Queen. Ours live: Helium 10 Xray, 2026-10-13; 11 children</t>
        </is>
      </c>
      <c r="R125" s="85" t="n">
        <v>15914</v>
      </c>
      <c r="S125" s="85" t="n">
        <v>35</v>
      </c>
      <c r="T125" s="90">
        <f>IF(AND(ISNUMBER(K125),ISNUMBER(S125)),K125*S125*52/12,"")</f>
        <v/>
      </c>
      <c r="U125" s="91" t="n">
        <v>4.3</v>
      </c>
      <c r="V125" s="85" t="n">
        <v>474</v>
      </c>
      <c r="W125" s="92" t="n">
        <v>46307</v>
      </c>
      <c r="X125" s="92" t="n"/>
      <c r="Y125" s="84" t="n"/>
      <c r="Z125" s="84" t="n"/>
      <c r="AA125" s="85" t="n">
        <v>243610</v>
      </c>
      <c r="AB125" s="85" t="n">
        <v>3715</v>
      </c>
      <c r="AC125" s="93" t="n">
        <v>0.1385290000410493</v>
      </c>
      <c r="AD125" s="93" t="n">
        <v>0.8614710525019491</v>
      </c>
      <c r="AE125" s="32" t="inlineStr">
        <is>
          <t>bamboo sheets</t>
        </is>
      </c>
      <c r="AF125" s="93" t="n">
        <v>0.9938303025327367</v>
      </c>
      <c r="AG125" s="93" t="n">
        <v>0.0306883953860679</v>
      </c>
      <c r="AH125" s="93" t="n">
        <v>0.01590657197980378</v>
      </c>
      <c r="AI125" s="93" t="n"/>
      <c r="AJ125" s="85" t="n">
        <v>264</v>
      </c>
      <c r="AK125" s="85" t="n">
        <v>114</v>
      </c>
      <c r="AL125" s="85" t="n">
        <v>101</v>
      </c>
      <c r="AM125" s="85" t="n">
        <v>3451</v>
      </c>
      <c r="AN125" s="85" t="n">
        <v>1751</v>
      </c>
      <c r="AO125" s="85" t="n">
        <v>23</v>
      </c>
      <c r="AP125" s="94" t="n">
        <v>2.102564102564103</v>
      </c>
      <c r="AQ125" s="89" t="n">
        <v>-0.8771186440677966</v>
      </c>
      <c r="AR125" s="95" t="inlineStr">
        <is>
          <t>N</t>
        </is>
      </c>
      <c r="AS125" s="95" t="inlineStr">
        <is>
          <t>none</t>
        </is>
      </c>
      <c r="AT125" s="101" t="n"/>
      <c r="AU125" s="96" t="n">
        <v>119.99</v>
      </c>
      <c r="AV125" s="95" t="inlineStr">
        <is>
          <t>none</t>
        </is>
      </c>
      <c r="AW125" s="95" t="inlineStr">
        <is>
          <t>Y</t>
        </is>
      </c>
      <c r="AX125" s="95" t="inlineStr">
        <is>
          <t>2026-10-13 12:10:57</t>
        </is>
      </c>
      <c r="AY125" s="102" t="n"/>
      <c r="AZ125" s="102" t="n"/>
      <c r="BA125" s="101" t="n"/>
      <c r="BB125" s="101" t="n"/>
      <c r="BC125" s="87">
        <f>IF(AND(ISNUMBER(BA125),ISNUMBER(BB125),N(BA125)&gt;0),1-BB125/BA125,"")</f>
        <v/>
      </c>
      <c r="BD125" s="103" t="n"/>
      <c r="BE125" s="103" t="n"/>
      <c r="BF125" s="100">
        <f>IF(AND(ISNUMBER(BD125),ISNUMBER(BE125),N(BE125)&gt;0),BD125/BE125,"")</f>
        <v/>
      </c>
      <c r="BG125" s="102" t="n"/>
      <c r="BH125" s="97" t="inlineStr">
        <is>
          <t>No Buy Box history in Keepa for BFCM 2025</t>
        </is>
      </c>
    </row>
    <row r="126" ht="62" customHeight="1">
      <c r="A126" s="39" t="inlineStr">
        <is>
          <t>IMAGE MISSING</t>
        </is>
      </c>
      <c r="B126" s="84" t="inlineStr">
        <is>
          <t>Pillcase</t>
        </is>
      </c>
      <c r="C126" s="32" t="inlineStr">
        <is>
          <t>100% Real Bamboo Viscose &amp; Lyocell Tencel Sheets Set Queen Size | Breathable &amp; C</t>
        </is>
      </c>
      <c r="D126" s="84" t="inlineStr">
        <is>
          <t>Untiered</t>
        </is>
      </c>
      <c r="E126" s="84" t="inlineStr">
        <is>
          <t>B0H1GGHHVN</t>
        </is>
      </c>
      <c r="F126" s="84" t="inlineStr">
        <is>
          <t>B0HFZQRXXQ</t>
        </is>
      </c>
      <c r="G126" s="84" t="inlineStr">
        <is>
          <t>Queen</t>
        </is>
      </c>
      <c r="H126" s="84" t="n"/>
      <c r="I126" s="85" t="n">
        <v>20</v>
      </c>
      <c r="J126" s="32" t="inlineStr">
        <is>
          <t>B0H9K6WK34 (27%), B0H1GVML4Z (24%), B0HFXGSDF1 (22%), B0HBX793L8 (12%)</t>
        </is>
      </c>
      <c r="K126" s="86" t="n">
        <v>79</v>
      </c>
      <c r="L126" s="86" t="n">
        <v>109</v>
      </c>
      <c r="M126" s="87">
        <f>IF(AND(ISNUMBER(L126),ISNUMBER(K126),N(K126)&gt;0),L126/K126-1,"")</f>
        <v/>
      </c>
      <c r="N126" s="88">
        <f>IF(M126="","No List Price",IF(M126&lt;=0,"At/below price",IF(M126&lt;=0.12,"&lt;=12% STR zone",IF(M126&lt;=0.25,"12-25%","&gt;25% over"))))</f>
        <v/>
      </c>
      <c r="O126" s="86" t="n">
        <v>79.98999999999999</v>
      </c>
      <c r="P126" s="89">
        <f>IF(AND(ISNUMBER(K126),ISNUMBER(O126),N(O126)&gt;0),K126/O126-1,"")</f>
        <v/>
      </c>
      <c r="Q126" s="32" t="inlineStr">
        <is>
          <t>Same size (Queen). Ours live: Helium 10 Xray, 2026-10-13; 11 children</t>
        </is>
      </c>
      <c r="R126" s="85" t="n">
        <v>28003</v>
      </c>
      <c r="S126" s="85" t="n">
        <v>35</v>
      </c>
      <c r="T126" s="90">
        <f>IF(AND(ISNUMBER(K126),ISNUMBER(S126)),K126*S126*52/12,"")</f>
        <v/>
      </c>
      <c r="U126" s="91" t="n">
        <v>4.8</v>
      </c>
      <c r="V126" s="85" t="n">
        <v>279</v>
      </c>
      <c r="W126" s="92" t="n">
        <v>46307</v>
      </c>
      <c r="X126" s="92" t="n"/>
      <c r="Y126" s="84" t="n"/>
      <c r="Z126" s="84" t="n"/>
      <c r="AA126" s="85" t="n">
        <v>216953</v>
      </c>
      <c r="AB126" s="85" t="n">
        <v>1218</v>
      </c>
      <c r="AC126" s="93" t="n">
        <v>0.9703615419007803</v>
      </c>
      <c r="AD126" s="93" t="n">
        <v>0.02963845809921965</v>
      </c>
      <c r="AE126" s="32" t="inlineStr">
        <is>
          <t>king size sheets set</t>
        </is>
      </c>
      <c r="AF126" s="93" t="n">
        <v>0.1820394278945209</v>
      </c>
      <c r="AG126" s="93" t="n"/>
      <c r="AH126" s="93" t="n"/>
      <c r="AI126" s="93" t="n">
        <v>0.01302125345120833</v>
      </c>
      <c r="AJ126" s="85" t="n">
        <v>202</v>
      </c>
      <c r="AK126" s="85" t="n">
        <v>42</v>
      </c>
      <c r="AL126" s="85" t="n">
        <v>138</v>
      </c>
      <c r="AM126" s="85" t="n">
        <v>1016</v>
      </c>
      <c r="AN126" s="85" t="n">
        <v>23</v>
      </c>
      <c r="AO126" s="85" t="n">
        <v>0</v>
      </c>
      <c r="AP126" s="94" t="n"/>
      <c r="AQ126" s="89" t="n"/>
      <c r="AR126" s="95" t="inlineStr">
        <is>
          <t>Y</t>
        </is>
      </c>
      <c r="AS126" s="95" t="inlineStr">
        <is>
          <t>List Price</t>
        </is>
      </c>
      <c r="AT126" s="96" t="n">
        <v>109</v>
      </c>
      <c r="AU126" s="96" t="n">
        <v>79</v>
      </c>
      <c r="AV126" s="95" t="inlineStr">
        <is>
          <t>none</t>
        </is>
      </c>
      <c r="AW126" s="95" t="inlineStr">
        <is>
          <t>Y</t>
        </is>
      </c>
      <c r="AX126" s="95" t="inlineStr">
        <is>
          <t>2026-10-13 12:11:07</t>
        </is>
      </c>
      <c r="AY126" s="97" t="inlineStr">
        <is>
          <t>Not live in 2025</t>
        </is>
      </c>
      <c r="AZ126" s="102" t="n"/>
      <c r="BA126" s="101" t="n"/>
      <c r="BB126" s="101" t="n"/>
      <c r="BC126" s="87">
        <f>IF(AND(ISNUMBER(BA126),ISNUMBER(BB126),N(BA126)&gt;0),1-BB126/BA126,"")</f>
        <v/>
      </c>
      <c r="BD126" s="103" t="n"/>
      <c r="BE126" s="103" t="n"/>
      <c r="BF126" s="100">
        <f>IF(AND(ISNUMBER(BD126),ISNUMBER(BE126),N(BE126)&gt;0),BD126/BE126,"")</f>
        <v/>
      </c>
      <c r="BG126" s="102" t="n"/>
      <c r="BH126" s="102" t="n"/>
    </row>
    <row r="127" ht="62" customHeight="1">
      <c r="A127" s="39" t="inlineStr">
        <is>
          <t>IMAGE MISSING</t>
        </is>
      </c>
      <c r="B127" s="84" t="inlineStr">
        <is>
          <t>California Design Den</t>
        </is>
      </c>
      <c r="C127" s="32" t="inlineStr">
        <is>
          <t>California Design Den 100% Viscose from Bamboo Sheets Queen, Dark Olive</t>
        </is>
      </c>
      <c r="D127" s="84" t="inlineStr">
        <is>
          <t>Untiered</t>
        </is>
      </c>
      <c r="E127" s="84" t="inlineStr">
        <is>
          <t>B0HFBJPD56</t>
        </is>
      </c>
      <c r="F127" s="84" t="inlineStr">
        <is>
          <t>B0GWHPJ9SD</t>
        </is>
      </c>
      <c r="G127" s="84" t="inlineStr">
        <is>
          <t>Queen</t>
        </is>
      </c>
      <c r="H127" s="84" t="inlineStr">
        <is>
          <t>Olive</t>
        </is>
      </c>
      <c r="I127" s="85" t="n">
        <v>81</v>
      </c>
      <c r="J127" s="32" t="inlineStr">
        <is>
          <t>B0GWHFGLVL (32%), B0GWHPJ9SD (10%), B0GWHMSZYL (8%), B0GWHGS5BM (5%), B0GWHCHY3Q (5%)</t>
        </is>
      </c>
      <c r="K127" s="86" t="n">
        <v>89.98999999999999</v>
      </c>
      <c r="L127" s="86" t="n"/>
      <c r="M127" s="87">
        <f>IF(AND(ISNUMBER(L127),ISNUMBER(K127),N(K127)&gt;0),L127/K127-1,"")</f>
        <v/>
      </c>
      <c r="N127" s="88">
        <f>IF(M127="","No List Price",IF(M127&lt;=0,"At/below price",IF(M127&lt;=0.12,"&lt;=12% STR zone",IF(M127&lt;=0.25,"12-25%","&gt;25% over"))))</f>
        <v/>
      </c>
      <c r="O127" s="86" t="n">
        <v>79.98999999999999</v>
      </c>
      <c r="P127" s="89">
        <f>IF(AND(ISNUMBER(K127),ISNUMBER(O127),N(O127)&gt;0),K127/O127-1,"")</f>
        <v/>
      </c>
      <c r="Q127" s="32" t="inlineStr">
        <is>
          <t>Same size (Queen). Ours live: Helium 10 Xray, 2026-10-13; 11 children</t>
        </is>
      </c>
      <c r="R127" s="85" t="n">
        <v>21237</v>
      </c>
      <c r="S127" s="85" t="n">
        <v>18</v>
      </c>
      <c r="T127" s="90">
        <f>IF(AND(ISNUMBER(K127),ISNUMBER(S127)),K127*S127*52/12,"")</f>
        <v/>
      </c>
      <c r="U127" s="91" t="n">
        <v>4.6</v>
      </c>
      <c r="V127" s="85" t="n">
        <v>76</v>
      </c>
      <c r="W127" s="92" t="n">
        <v>46307</v>
      </c>
      <c r="X127" s="92" t="n"/>
      <c r="Y127" s="84" t="n"/>
      <c r="Z127" s="84" t="n"/>
      <c r="AA127" s="85" t="n">
        <v>103642</v>
      </c>
      <c r="AB127" s="85" t="n">
        <v>2019</v>
      </c>
      <c r="AC127" s="93" t="n">
        <v>0.8956907055054905</v>
      </c>
      <c r="AD127" s="93" t="n">
        <v>0.1043093871210513</v>
      </c>
      <c r="AE127" s="32" t="inlineStr">
        <is>
          <t>bamboo sheets</t>
        </is>
      </c>
      <c r="AF127" s="93" t="n">
        <v>0.6944674938731402</v>
      </c>
      <c r="AG127" s="93" t="n"/>
      <c r="AH127" s="93" t="n"/>
      <c r="AI127" s="93" t="n"/>
      <c r="AJ127" s="85" t="n">
        <v>208</v>
      </c>
      <c r="AK127" s="85" t="n">
        <v>70</v>
      </c>
      <c r="AL127" s="85" t="n">
        <v>112</v>
      </c>
      <c r="AM127" s="85" t="n">
        <v>1811</v>
      </c>
      <c r="AN127" s="85" t="n">
        <v>290</v>
      </c>
      <c r="AO127" s="85" t="n">
        <v>8</v>
      </c>
      <c r="AP127" s="94" t="n"/>
      <c r="AQ127" s="89" t="n"/>
      <c r="AR127" s="95" t="inlineStr">
        <is>
          <t>N</t>
        </is>
      </c>
      <c r="AS127" s="95" t="inlineStr">
        <is>
          <t>none</t>
        </is>
      </c>
      <c r="AT127" s="101" t="n"/>
      <c r="AU127" s="96" t="n">
        <v>89.98999999999999</v>
      </c>
      <c r="AV127" s="95" t="inlineStr">
        <is>
          <t>none</t>
        </is>
      </c>
      <c r="AW127" s="95" t="inlineStr">
        <is>
          <t>Y</t>
        </is>
      </c>
      <c r="AX127" s="95" t="inlineStr">
        <is>
          <t>2026-10-13 12:10:41</t>
        </is>
      </c>
      <c r="AY127" s="97" t="inlineStr">
        <is>
          <t>Not live in 2025</t>
        </is>
      </c>
      <c r="AZ127" s="102" t="n"/>
      <c r="BA127" s="101" t="n"/>
      <c r="BB127" s="101" t="n"/>
      <c r="BC127" s="87">
        <f>IF(AND(ISNUMBER(BA127),ISNUMBER(BB127),N(BA127)&gt;0),1-BB127/BA127,"")</f>
        <v/>
      </c>
      <c r="BD127" s="103" t="n"/>
      <c r="BE127" s="103" t="n"/>
      <c r="BF127" s="100">
        <f>IF(AND(ISNUMBER(BD127),ISNUMBER(BE127),N(BE127)&gt;0),BD127/BE127,"")</f>
        <v/>
      </c>
      <c r="BG127" s="102" t="n"/>
      <c r="BH127" s="102" t="n"/>
    </row>
    <row r="128" ht="62" customHeight="1">
      <c r="A128" s="39" t="inlineStr">
        <is>
          <t>IMAGE MISSING</t>
        </is>
      </c>
      <c r="B128" s="84" t="inlineStr">
        <is>
          <t>Pillcase</t>
        </is>
      </c>
      <c r="C128" s="32" t="inlineStr">
        <is>
          <t>100% Real Bamboo Viscose &amp; Lyocell Tencel Sheets Set Queen Size | Breathable &amp; C</t>
        </is>
      </c>
      <c r="D128" s="84" t="inlineStr">
        <is>
          <t>Untiered</t>
        </is>
      </c>
      <c r="E128" s="84" t="inlineStr">
        <is>
          <t>B0HK71WHZW</t>
        </is>
      </c>
      <c r="F128" s="84" t="inlineStr">
        <is>
          <t>B0H1BWY4MD</t>
        </is>
      </c>
      <c r="G128" s="84" t="inlineStr">
        <is>
          <t>Queen</t>
        </is>
      </c>
      <c r="H128" s="84" t="n"/>
      <c r="I128" s="85" t="n">
        <v>22</v>
      </c>
      <c r="J128" s="32" t="inlineStr">
        <is>
          <t>B0HBXCGQM1 (57%), B0HF8HHN46 (7%), B0HBXK2Y4B (5%), B0H1BWY4MD (5%), B0H28FT5DH (4%)</t>
        </is>
      </c>
      <c r="K128" s="86" t="n">
        <v>99</v>
      </c>
      <c r="L128" s="86" t="n"/>
      <c r="M128" s="87">
        <f>IF(AND(ISNUMBER(L128),ISNUMBER(K128),N(K128)&gt;0),L128/K128-1,"")</f>
        <v/>
      </c>
      <c r="N128" s="88">
        <f>IF(M128="","No List Price",IF(M128&lt;=0,"At/below price",IF(M128&lt;=0.12,"&lt;=12% STR zone",IF(M128&lt;=0.25,"12-25%","&gt;25% over"))))</f>
        <v/>
      </c>
      <c r="O128" s="86" t="n">
        <v>79.98999999999999</v>
      </c>
      <c r="P128" s="89">
        <f>IF(AND(ISNUMBER(K128),ISNUMBER(O128),N(O128)&gt;0),K128/O128-1,"")</f>
        <v/>
      </c>
      <c r="Q128" s="32" t="inlineStr">
        <is>
          <t>Same size (Queen). Ours live: Helium 10 Xray, 2026-10-13; 11 children</t>
        </is>
      </c>
      <c r="R128" s="85" t="n">
        <v>38116</v>
      </c>
      <c r="S128" s="85" t="n">
        <v>18</v>
      </c>
      <c r="T128" s="90">
        <f>IF(AND(ISNUMBER(K128),ISNUMBER(S128)),K128*S128*52/12,"")</f>
        <v/>
      </c>
      <c r="U128" s="91" t="n">
        <v>4.9</v>
      </c>
      <c r="V128" s="85" t="n">
        <v>201</v>
      </c>
      <c r="W128" s="92" t="n">
        <v>46307</v>
      </c>
      <c r="X128" s="92" t="n"/>
      <c r="Y128" s="84" t="n"/>
      <c r="Z128" s="84" t="n"/>
      <c r="AA128" s="85" t="n">
        <v>116001</v>
      </c>
      <c r="AB128" s="85" t="n">
        <v>1002</v>
      </c>
      <c r="AC128" s="93" t="n">
        <v>0.8987684407893036</v>
      </c>
      <c r="AD128" s="93" t="n">
        <v>0.1012329385091508</v>
      </c>
      <c r="AE128" s="32" t="inlineStr">
        <is>
          <t>bamboo sheets</t>
        </is>
      </c>
      <c r="AF128" s="93" t="n">
        <v>0.5789691468176998</v>
      </c>
      <c r="AG128" s="93" t="n"/>
      <c r="AH128" s="93" t="n"/>
      <c r="AI128" s="93" t="n">
        <v>0.01296540547064249</v>
      </c>
      <c r="AJ128" s="85" t="n">
        <v>197</v>
      </c>
      <c r="AK128" s="85" t="n">
        <v>70</v>
      </c>
      <c r="AL128" s="85" t="n">
        <v>112</v>
      </c>
      <c r="AM128" s="85" t="n">
        <v>805</v>
      </c>
      <c r="AN128" s="85" t="n">
        <v>90</v>
      </c>
      <c r="AO128" s="85" t="n">
        <v>6</v>
      </c>
      <c r="AP128" s="94" t="n"/>
      <c r="AQ128" s="89" t="n"/>
      <c r="AR128" s="95" t="inlineStr">
        <is>
          <t>Y</t>
        </is>
      </c>
      <c r="AS128" s="95" t="inlineStr">
        <is>
          <t>List Price</t>
        </is>
      </c>
      <c r="AT128" s="96" t="n">
        <v>99</v>
      </c>
      <c r="AU128" s="96" t="n">
        <v>79</v>
      </c>
      <c r="AV128" s="95" t="inlineStr">
        <is>
          <t>none</t>
        </is>
      </c>
      <c r="AW128" s="95" t="inlineStr">
        <is>
          <t>Y</t>
        </is>
      </c>
      <c r="AX128" s="95" t="inlineStr">
        <is>
          <t>2026-10-13 12:11:10</t>
        </is>
      </c>
      <c r="AY128" s="97" t="inlineStr">
        <is>
          <t>Not live in 2025</t>
        </is>
      </c>
      <c r="AZ128" s="102" t="n"/>
      <c r="BA128" s="101" t="n"/>
      <c r="BB128" s="101" t="n"/>
      <c r="BC128" s="87">
        <f>IF(AND(ISNUMBER(BA128),ISNUMBER(BB128),N(BA128)&gt;0),1-BB128/BA128,"")</f>
        <v/>
      </c>
      <c r="BD128" s="103" t="n"/>
      <c r="BE128" s="103" t="n"/>
      <c r="BF128" s="100">
        <f>IF(AND(ISNUMBER(BD128),ISNUMBER(BE128),N(BE128)&gt;0),BD128/BE128,"")</f>
        <v/>
      </c>
      <c r="BG128" s="102" t="n"/>
      <c r="BH128" s="102" t="n"/>
    </row>
    <row r="129" ht="62" customHeight="1">
      <c r="A129" s="10">
        <f>_xlfn.IMAGE("https://images-na.ssl-images-amazon.com/images/I/71NxE1i+4jL.jpg")</f>
        <v/>
      </c>
      <c r="B129" s="84" t="inlineStr">
        <is>
          <t>Shilucheng</t>
        </is>
      </c>
      <c r="C129" s="32" t="inlineStr">
        <is>
          <t>Shilucheng 100% Viscose Derived from Bamboo_Sheets, Extra Deep Pocket</t>
        </is>
      </c>
      <c r="D129" s="84" t="inlineStr">
        <is>
          <t>Untiered</t>
        </is>
      </c>
      <c r="E129" s="84" t="inlineStr">
        <is>
          <t>B0F2TDDFGJ</t>
        </is>
      </c>
      <c r="F129" s="84" t="inlineStr">
        <is>
          <t>B0F2TDDFGJ</t>
        </is>
      </c>
      <c r="G129" s="84" t="n"/>
      <c r="H129" s="84" t="n"/>
      <c r="I129" s="85" t="n">
        <v>32</v>
      </c>
      <c r="J129" s="32" t="inlineStr">
        <is>
          <t>B0F2TDDFGJ (64%), B0F2TBWTZR (25%)</t>
        </is>
      </c>
      <c r="K129" s="86" t="n">
        <v>59.99</v>
      </c>
      <c r="L129" s="86" t="n">
        <v>74.98999999999999</v>
      </c>
      <c r="M129" s="87">
        <f>IF(AND(ISNUMBER(L129),ISNUMBER(K129),N(K129)&gt;0),L129/K129-1,"")</f>
        <v/>
      </c>
      <c r="N129" s="88">
        <f>IF(M129="","No List Price",IF(M129&lt;=0,"At/below price",IF(M129&lt;=0.12,"&lt;=12% STR zone",IF(M129&lt;=0.25,"12-25%","&gt;25% over"))))</f>
        <v/>
      </c>
      <c r="O129" s="86" t="n">
        <v>79.98999999999999</v>
      </c>
      <c r="P129" s="89">
        <f>IF(AND(ISNUMBER(K129),ISNUMBER(O129),N(O129)&gt;0),K129/O129-1,"")</f>
        <v/>
      </c>
      <c r="Q129" s="32" t="inlineStr">
        <is>
          <t>Size not stated - vs our Queen. Ours live: Helium 10 Xray, 2026-10-13; 11 children</t>
        </is>
      </c>
      <c r="R129" s="85" t="n">
        <v>39191</v>
      </c>
      <c r="S129" s="85" t="n">
        <v>18</v>
      </c>
      <c r="T129" s="90">
        <f>IF(AND(ISNUMBER(K129),ISNUMBER(S129)),K129*S129*52/12,"")</f>
        <v/>
      </c>
      <c r="U129" s="91" t="n">
        <v>4.5</v>
      </c>
      <c r="V129" s="85" t="n">
        <v>1639</v>
      </c>
      <c r="W129" s="92" t="n">
        <v>46307</v>
      </c>
      <c r="X129" s="92" t="n">
        <v>45744</v>
      </c>
      <c r="Y129" s="84" t="inlineStr">
        <is>
          <t>FBA</t>
        </is>
      </c>
      <c r="Z129" s="84" t="inlineStr">
        <is>
          <t>CN</t>
        </is>
      </c>
      <c r="AA129" s="85" t="n">
        <v>41895</v>
      </c>
      <c r="AB129" s="85" t="n">
        <v>662</v>
      </c>
      <c r="AC129" s="93" t="n">
        <v>0.2973701849862752</v>
      </c>
      <c r="AD129" s="93" t="n">
        <v>0.7026304260651629</v>
      </c>
      <c r="AE129" s="32" t="inlineStr">
        <is>
          <t>queen sheet set</t>
        </is>
      </c>
      <c r="AF129" s="93" t="n">
        <v>0.8649719536937582</v>
      </c>
      <c r="AG129" s="93" t="n"/>
      <c r="AH129" s="93" t="n"/>
      <c r="AI129" s="93" t="n"/>
      <c r="AJ129" s="85" t="n">
        <v>132</v>
      </c>
      <c r="AK129" s="85" t="n">
        <v>54</v>
      </c>
      <c r="AL129" s="85" t="n">
        <v>67</v>
      </c>
      <c r="AM129" s="85" t="n">
        <v>530</v>
      </c>
      <c r="AN129" s="85" t="n">
        <v>321</v>
      </c>
      <c r="AO129" s="85" t="n">
        <v>10</v>
      </c>
      <c r="AP129" s="94" t="n"/>
      <c r="AQ129" s="89" t="n">
        <v>-0.9897959183673469</v>
      </c>
      <c r="AR129" s="95" t="inlineStr">
        <is>
          <t>Y</t>
        </is>
      </c>
      <c r="AS129" s="95" t="inlineStr">
        <is>
          <t>List Price</t>
        </is>
      </c>
      <c r="AT129" s="96" t="n">
        <v>74.98999999999999</v>
      </c>
      <c r="AU129" s="96" t="n">
        <v>59.99</v>
      </c>
      <c r="AV129" s="95" t="inlineStr">
        <is>
          <t>Limited time deal</t>
        </is>
      </c>
      <c r="AW129" s="95" t="inlineStr">
        <is>
          <t>Y</t>
        </is>
      </c>
      <c r="AX129" s="95" t="inlineStr">
        <is>
          <t>2026-10-13 12:12:17</t>
        </is>
      </c>
      <c r="AY129" s="97" t="inlineStr">
        <is>
          <t>Prime Exclusive Discount</t>
        </is>
      </c>
      <c r="AZ129" s="97" t="inlineStr">
        <is>
          <t>11-26 to 12-01</t>
        </is>
      </c>
      <c r="BA129" s="98" t="n">
        <v>74.98999999999999</v>
      </c>
      <c r="BB129" s="98" t="n">
        <v>56.99</v>
      </c>
      <c r="BC129" s="87">
        <f>IF(AND(ISNUMBER(BA129),ISNUMBER(BB129),N(BA129)&gt;0),1-BB129/BA129,"")</f>
        <v/>
      </c>
      <c r="BD129" s="99" t="n">
        <v>28107</v>
      </c>
      <c r="BE129" s="99" t="n">
        <v>38468</v>
      </c>
      <c r="BF129" s="100">
        <f>IF(AND(ISNUMBER(BD129),ISNUMBER(BE129),N(BE129)&gt;0),BD129/BE129,"")</f>
        <v/>
      </c>
      <c r="BG129" s="97" t="inlineStr">
        <is>
          <t>N</t>
        </is>
      </c>
      <c r="BH129" s="97" t="inlineStr">
        <is>
          <t>Coupon 18.00 USD, 20% (11-01 to 11-12); List Price $74.99</t>
        </is>
      </c>
    </row>
    <row r="130" ht="62" customHeight="1">
      <c r="A130" s="10">
        <f>_xlfn.IMAGE("https://images-na.ssl-images-amazon.com/images/I/71X+0TBtodL.jpg")</f>
        <v/>
      </c>
      <c r="B130" s="84" t="inlineStr">
        <is>
          <t>TWK</t>
        </is>
      </c>
      <c r="C130" s="32" t="inlineStr">
        <is>
          <t>TWK Real 100% Viscose Derived from Bamboo Sheets Set Queen Size, Cooling &amp; Silky</t>
        </is>
      </c>
      <c r="D130" s="84" t="inlineStr">
        <is>
          <t>Untiered</t>
        </is>
      </c>
      <c r="E130" s="84" t="inlineStr">
        <is>
          <t>B0HHQG3RSW</t>
        </is>
      </c>
      <c r="F130" s="84" t="inlineStr">
        <is>
          <t>B0G1N8QS55</t>
        </is>
      </c>
      <c r="G130" s="84" t="inlineStr">
        <is>
          <t>Queen</t>
        </is>
      </c>
      <c r="H130" s="84" t="n"/>
      <c r="I130" s="85" t="n">
        <v>13</v>
      </c>
      <c r="J130" s="32" t="inlineStr">
        <is>
          <t>B0G1N23HZ1 (41%), B0H35S6VLR (32%), B0G1N8QS55 (18%)</t>
        </is>
      </c>
      <c r="K130" s="86" t="n">
        <v>65</v>
      </c>
      <c r="L130" s="86" t="n">
        <v>79</v>
      </c>
      <c r="M130" s="87">
        <f>IF(AND(ISNUMBER(L130),ISNUMBER(K130),N(K130)&gt;0),L130/K130-1,"")</f>
        <v/>
      </c>
      <c r="N130" s="88">
        <f>IF(M130="","No List Price",IF(M130&lt;=0,"At/below price",IF(M130&lt;=0.12,"&lt;=12% STR zone",IF(M130&lt;=0.25,"12-25%","&gt;25% over"))))</f>
        <v/>
      </c>
      <c r="O130" s="86" t="n">
        <v>79.98999999999999</v>
      </c>
      <c r="P130" s="89">
        <f>IF(AND(ISNUMBER(K130),ISNUMBER(O130),N(O130)&gt;0),K130/O130-1,"")</f>
        <v/>
      </c>
      <c r="Q130" s="32" t="inlineStr">
        <is>
          <t>Same size (Queen). Ours live: Helium 10 Xray, 2026-10-13; 11 children</t>
        </is>
      </c>
      <c r="R130" s="85" t="n">
        <v>196488</v>
      </c>
      <c r="S130" s="85" t="n">
        <v>18</v>
      </c>
      <c r="T130" s="90">
        <f>IF(AND(ISNUMBER(K130),ISNUMBER(S130)),K130*S130*52/12,"")</f>
        <v/>
      </c>
      <c r="U130" s="91" t="n">
        <v>4.9</v>
      </c>
      <c r="V130" s="85" t="n">
        <v>121</v>
      </c>
      <c r="W130" s="92" t="n">
        <v>46307</v>
      </c>
      <c r="X130" s="92" t="n"/>
      <c r="Y130" s="84" t="n"/>
      <c r="Z130" s="84" t="n"/>
      <c r="AA130" s="85" t="n">
        <v>82471</v>
      </c>
      <c r="AB130" s="85" t="n">
        <v>905</v>
      </c>
      <c r="AC130" s="93" t="n">
        <v>0.8861114561482216</v>
      </c>
      <c r="AD130" s="93" t="n">
        <v>0.1138885438517783</v>
      </c>
      <c r="AE130" s="32" t="inlineStr">
        <is>
          <t>bamboo sheets</t>
        </is>
      </c>
      <c r="AF130" s="93" t="n">
        <v>0.5572868038462004</v>
      </c>
      <c r="AG130" s="93" t="n"/>
      <c r="AH130" s="93" t="n"/>
      <c r="AI130" s="93" t="n"/>
      <c r="AJ130" s="85" t="n">
        <v>208</v>
      </c>
      <c r="AK130" s="85" t="n">
        <v>58</v>
      </c>
      <c r="AL130" s="85" t="n">
        <v>132</v>
      </c>
      <c r="AM130" s="85" t="n">
        <v>697</v>
      </c>
      <c r="AN130" s="85" t="n">
        <v>85</v>
      </c>
      <c r="AO130" s="85" t="n">
        <v>3</v>
      </c>
      <c r="AP130" s="94" t="n"/>
      <c r="AQ130" s="89" t="n"/>
      <c r="AR130" s="95" t="inlineStr">
        <is>
          <t>Y</t>
        </is>
      </c>
      <c r="AS130" s="95" t="inlineStr">
        <is>
          <t>Typical price</t>
        </is>
      </c>
      <c r="AT130" s="96" t="n">
        <v>79</v>
      </c>
      <c r="AU130" s="96" t="n">
        <v>65</v>
      </c>
      <c r="AV130" s="95" t="inlineStr">
        <is>
          <t>none</t>
        </is>
      </c>
      <c r="AW130" s="95" t="inlineStr">
        <is>
          <t>Y</t>
        </is>
      </c>
      <c r="AX130" s="95" t="inlineStr">
        <is>
          <t>2026-10-13 12:11:35</t>
        </is>
      </c>
      <c r="AY130" s="97" t="inlineStr">
        <is>
          <t>Not live in 2025</t>
        </is>
      </c>
      <c r="AZ130" s="102" t="n"/>
      <c r="BA130" s="101" t="n"/>
      <c r="BB130" s="101" t="n"/>
      <c r="BC130" s="87">
        <f>IF(AND(ISNUMBER(BA130),ISNUMBER(BB130),N(BA130)&gt;0),1-BB130/BA130,"")</f>
        <v/>
      </c>
      <c r="BD130" s="103" t="n"/>
      <c r="BE130" s="103" t="n"/>
      <c r="BF130" s="100">
        <f>IF(AND(ISNUMBER(BD130),ISNUMBER(BE130),N(BE130)&gt;0),BD130/BE130,"")</f>
        <v/>
      </c>
      <c r="BG130" s="102" t="n"/>
      <c r="BH130" s="102" t="n"/>
    </row>
    <row r="131" ht="62" customHeight="1">
      <c r="A131" s="39" t="inlineStr">
        <is>
          <t>IMAGE MISSING</t>
        </is>
      </c>
      <c r="B131" s="84" t="inlineStr">
        <is>
          <t>OMERAI</t>
        </is>
      </c>
      <c r="C131" s="32" t="inlineStr">
        <is>
          <t>Cooling Sheets</t>
        </is>
      </c>
      <c r="D131" s="84" t="inlineStr">
        <is>
          <t>Untiered</t>
        </is>
      </c>
      <c r="E131" s="84" t="inlineStr">
        <is>
          <t>B0HDC7BMTC</t>
        </is>
      </c>
      <c r="F131" s="84" t="inlineStr">
        <is>
          <t>B0FX8K1CG9</t>
        </is>
      </c>
      <c r="G131" s="84" t="n"/>
      <c r="H131" s="84" t="n"/>
      <c r="I131" s="85" t="n">
        <v>10</v>
      </c>
      <c r="J131" s="32" t="inlineStr">
        <is>
          <t>B0BM9K24ST (46%), B0BM9GLKYV (43%)</t>
        </is>
      </c>
      <c r="K131" s="86" t="n">
        <v>42.99</v>
      </c>
      <c r="L131" s="86" t="n">
        <v>59.99</v>
      </c>
      <c r="M131" s="87">
        <f>IF(AND(ISNUMBER(L131),ISNUMBER(K131),N(K131)&gt;0),L131/K131-1,"")</f>
        <v/>
      </c>
      <c r="N131" s="88">
        <f>IF(M131="","No List Price",IF(M131&lt;=0,"At/below price",IF(M131&lt;=0.12,"&lt;=12% STR zone",IF(M131&lt;=0.25,"12-25%","&gt;25% over"))))</f>
        <v/>
      </c>
      <c r="O131" s="86" t="n">
        <v>79.98999999999999</v>
      </c>
      <c r="P131" s="89">
        <f>IF(AND(ISNUMBER(K131),ISNUMBER(O131),N(O131)&gt;0),K131/O131-1,"")</f>
        <v/>
      </c>
      <c r="Q131" s="32" t="inlineStr">
        <is>
          <t>Size not stated - vs our Queen. Ours live: Helium 10 Xray, 2026-10-13; 11 children</t>
        </is>
      </c>
      <c r="R131" s="85" t="n">
        <v>115669</v>
      </c>
      <c r="S131" s="85" t="n">
        <v>5</v>
      </c>
      <c r="T131" s="90">
        <f>IF(AND(ISNUMBER(K131),ISNUMBER(S131)),K131*S131*52/12,"")</f>
        <v/>
      </c>
      <c r="U131" s="91" t="n">
        <v>4.7</v>
      </c>
      <c r="V131" s="85" t="n">
        <v>4</v>
      </c>
      <c r="W131" s="92" t="n">
        <v>46307</v>
      </c>
      <c r="X131" s="92" t="n"/>
      <c r="Y131" s="84" t="n"/>
      <c r="Z131" s="84" t="n"/>
      <c r="AA131" s="85" t="n">
        <v>13712</v>
      </c>
      <c r="AB131" s="85" t="n">
        <v>332</v>
      </c>
      <c r="AC131" s="93" t="n">
        <v>0.8852072199533255</v>
      </c>
      <c r="AD131" s="93" t="n">
        <v>0.1147927800466745</v>
      </c>
      <c r="AE131" s="32" t="inlineStr">
        <is>
          <t>cooling sheets queen</t>
        </is>
      </c>
      <c r="AF131" s="93" t="n">
        <v>0.8668319719953326</v>
      </c>
      <c r="AG131" s="93" t="n"/>
      <c r="AH131" s="93" t="n"/>
      <c r="AI131" s="93" t="n"/>
      <c r="AJ131" s="85" t="n">
        <v>164</v>
      </c>
      <c r="AK131" s="85" t="n">
        <v>77</v>
      </c>
      <c r="AL131" s="85" t="n">
        <v>75</v>
      </c>
      <c r="AM131" s="85" t="n">
        <v>168</v>
      </c>
      <c r="AN131" s="85" t="n">
        <v>51</v>
      </c>
      <c r="AO131" s="85" t="n">
        <v>3</v>
      </c>
      <c r="AP131" s="94" t="n"/>
      <c r="AQ131" s="89" t="n"/>
      <c r="AR131" s="95" t="inlineStr">
        <is>
          <t>Y</t>
        </is>
      </c>
      <c r="AS131" s="95" t="inlineStr">
        <is>
          <t>List Price</t>
        </is>
      </c>
      <c r="AT131" s="96" t="n">
        <v>59.99</v>
      </c>
      <c r="AU131" s="96" t="n">
        <v>42.99</v>
      </c>
      <c r="AV131" s="95" t="inlineStr">
        <is>
          <t>coupon 20%</t>
        </is>
      </c>
      <c r="AW131" s="95" t="inlineStr">
        <is>
          <t>Y</t>
        </is>
      </c>
      <c r="AX131" s="95" t="inlineStr">
        <is>
          <t>2026-10-13 12:12:04</t>
        </is>
      </c>
      <c r="AY131" s="97" t="inlineStr">
        <is>
          <t>Not live in 2025</t>
        </is>
      </c>
      <c r="AZ131" s="102" t="n"/>
      <c r="BA131" s="101" t="n"/>
      <c r="BB131" s="101" t="n"/>
      <c r="BC131" s="87">
        <f>IF(AND(ISNUMBER(BA131),ISNUMBER(BB131),N(BA131)&gt;0),1-BB131/BA131,"")</f>
        <v/>
      </c>
      <c r="BD131" s="103" t="n"/>
      <c r="BE131" s="103" t="n"/>
      <c r="BF131" s="100">
        <f>IF(AND(ISNUMBER(BD131),ISNUMBER(BE131),N(BE131)&gt;0),BD131/BE131,"")</f>
        <v/>
      </c>
      <c r="BG131" s="102" t="n"/>
      <c r="BH131" s="102" t="n"/>
    </row>
    <row r="132" ht="62" customHeight="1">
      <c r="A132" s="39" t="inlineStr">
        <is>
          <t>IMAGE MISSING</t>
        </is>
      </c>
      <c r="B132" s="84" t="inlineStr">
        <is>
          <t>Pillcase</t>
        </is>
      </c>
      <c r="C132" s="32" t="inlineStr">
        <is>
          <t>Cooling Hotel Bedding Sheet Set - 4pcs Bamboo Viscose &amp; Tencel Blend, Moisture-W</t>
        </is>
      </c>
      <c r="D132" s="84" t="inlineStr">
        <is>
          <t>Untiered</t>
        </is>
      </c>
      <c r="E132" s="84" t="inlineStr">
        <is>
          <t>B0HJYG8V9Q</t>
        </is>
      </c>
      <c r="F132" s="84" t="inlineStr">
        <is>
          <t>B0HJYG8V9Q</t>
        </is>
      </c>
      <c r="G132" s="84" t="n"/>
      <c r="H132" s="84" t="n"/>
      <c r="I132" s="85" t="n">
        <v>1</v>
      </c>
      <c r="J132" s="32" t="inlineStr">
        <is>
          <t>B0HJYG8V9Q (100%)</t>
        </is>
      </c>
      <c r="K132" s="86" t="n">
        <v>79.98999999999999</v>
      </c>
      <c r="L132" s="86" t="n"/>
      <c r="M132" s="87">
        <f>IF(AND(ISNUMBER(L132),ISNUMBER(K132),N(K132)&gt;0),L132/K132-1,"")</f>
        <v/>
      </c>
      <c r="N132" s="88">
        <f>IF(M132="","No List Price",IF(M132&lt;=0,"At/below price",IF(M132&lt;=0.12,"&lt;=12% STR zone",IF(M132&lt;=0.25,"12-25%","&gt;25% over"))))</f>
        <v/>
      </c>
      <c r="O132" s="86" t="n">
        <v>79.98999999999999</v>
      </c>
      <c r="P132" s="89">
        <f>IF(AND(ISNUMBER(K132),ISNUMBER(O132),N(O132)&gt;0),K132/O132-1,"")</f>
        <v/>
      </c>
      <c r="Q132" s="32" t="inlineStr">
        <is>
          <t>Size not stated - vs our Queen. Ours live: Helium 10 Xray, 2026-10-13; 11 children</t>
        </is>
      </c>
      <c r="R132" s="85" t="n">
        <v>762451</v>
      </c>
      <c r="S132" s="85" t="n">
        <v>5</v>
      </c>
      <c r="T132" s="90">
        <f>IF(AND(ISNUMBER(K132),ISNUMBER(S132)),K132*S132*52/12,"")</f>
        <v/>
      </c>
      <c r="U132" s="91" t="n">
        <v>4</v>
      </c>
      <c r="V132" s="85" t="n"/>
      <c r="W132" s="92" t="n">
        <v>46307</v>
      </c>
      <c r="X132" s="92" t="n"/>
      <c r="Y132" s="84" t="n"/>
      <c r="Z132" s="84" t="n"/>
      <c r="AA132" s="85" t="n">
        <v>57075</v>
      </c>
      <c r="AB132" s="85" t="n">
        <v>90</v>
      </c>
      <c r="AC132" s="93" t="n">
        <v>0.9991762628120894</v>
      </c>
      <c r="AD132" s="93" t="n">
        <v>0.0008237371879106438</v>
      </c>
      <c r="AE132" s="32" t="inlineStr">
        <is>
          <t>king size sheets set</t>
        </is>
      </c>
      <c r="AF132" s="93" t="n">
        <v>0.1639071397284275</v>
      </c>
      <c r="AG132" s="93" t="n"/>
      <c r="AH132" s="93" t="n"/>
      <c r="AI132" s="93" t="n"/>
      <c r="AJ132" s="85" t="n">
        <v>22</v>
      </c>
      <c r="AK132" s="85" t="n">
        <v>10</v>
      </c>
      <c r="AL132" s="85" t="n">
        <v>11</v>
      </c>
      <c r="AM132" s="85" t="n">
        <v>68</v>
      </c>
      <c r="AN132" s="85" t="n">
        <v>0</v>
      </c>
      <c r="AO132" s="85" t="n">
        <v>0</v>
      </c>
      <c r="AP132" s="94" t="n"/>
      <c r="AQ132" s="89" t="n"/>
      <c r="AR132" s="95" t="inlineStr">
        <is>
          <t>N</t>
        </is>
      </c>
      <c r="AS132" s="95" t="inlineStr">
        <is>
          <t>none</t>
        </is>
      </c>
      <c r="AT132" s="101" t="n"/>
      <c r="AU132" s="101" t="n"/>
      <c r="AV132" s="95" t="inlineStr">
        <is>
          <t>none</t>
        </is>
      </c>
      <c r="AW132" s="95" t="inlineStr">
        <is>
          <t>N</t>
        </is>
      </c>
      <c r="AX132" s="95" t="inlineStr">
        <is>
          <t>2026-10-13 12:11:13</t>
        </is>
      </c>
      <c r="AY132" s="97" t="inlineStr">
        <is>
          <t>Not live in 2025</t>
        </is>
      </c>
      <c r="AZ132" s="102" t="n"/>
      <c r="BA132" s="101" t="n"/>
      <c r="BB132" s="101" t="n"/>
      <c r="BC132" s="87">
        <f>IF(AND(ISNUMBER(BA132),ISNUMBER(BB132),N(BA132)&gt;0),1-BB132/BA132,"")</f>
        <v/>
      </c>
      <c r="BD132" s="103" t="n"/>
      <c r="BE132" s="103" t="n"/>
      <c r="BF132" s="100">
        <f>IF(AND(ISNUMBER(BD132),ISNUMBER(BE132),N(BE132)&gt;0),BD132/BE132,"")</f>
        <v/>
      </c>
      <c r="BG132" s="102" t="n"/>
      <c r="BH132" s="102" t="n"/>
    </row>
    <row r="133" ht="62" customHeight="1">
      <c r="A133" s="10">
        <f>_xlfn.IMAGE("https://images-na.ssl-images-amazon.com/images/I/71+O+E9PlaL.jpg")</f>
        <v/>
      </c>
      <c r="B133" s="84" t="inlineStr">
        <is>
          <t>Shilucheng</t>
        </is>
      </c>
      <c r="C133" s="32" t="inlineStr">
        <is>
          <t>Shilucheng 100% Viscose Derived from Bamboo_ Sheets King Size 4pcs</t>
        </is>
      </c>
      <c r="D133" s="84" t="inlineStr">
        <is>
          <t>Untiered</t>
        </is>
      </c>
      <c r="E133" s="84" t="inlineStr">
        <is>
          <t>B09PYQ2VQL</t>
        </is>
      </c>
      <c r="F133" s="84" t="inlineStr">
        <is>
          <t>B09PYQ2VQL</t>
        </is>
      </c>
      <c r="G133" s="84" t="inlineStr">
        <is>
          <t>King</t>
        </is>
      </c>
      <c r="H133" s="84" t="n"/>
      <c r="I133" s="85" t="n">
        <v>79</v>
      </c>
      <c r="J133" s="32" t="inlineStr">
        <is>
          <t>B09PYKYCCF (38%), B09PXYT59Y (29%), B0DFHF8KC3 (20%)</t>
        </is>
      </c>
      <c r="K133" s="86" t="n">
        <v>54.9</v>
      </c>
      <c r="L133" s="86" t="n">
        <v>64.90000000000001</v>
      </c>
      <c r="M133" s="87">
        <f>IF(AND(ISNUMBER(L133),ISNUMBER(K133),N(K133)&gt;0),L133/K133-1,"")</f>
        <v/>
      </c>
      <c r="N133" s="88">
        <f>IF(M133="","No List Price",IF(M133&lt;=0,"At/below price",IF(M133&lt;=0.12,"&lt;=12% STR zone",IF(M133&lt;=0.25,"12-25%","&gt;25% over"))))</f>
        <v/>
      </c>
      <c r="O133" s="86" t="n">
        <v>84.98999999999999</v>
      </c>
      <c r="P133" s="89">
        <f>IF(AND(ISNUMBER(K133),ISNUMBER(O133),N(O133)&gt;0),K133/O133-1,"")</f>
        <v/>
      </c>
      <c r="Q133" s="32" t="inlineStr">
        <is>
          <t>Same size (King). Ours live: SellerBoard listing price, 2026-10-14; 10 children</t>
        </is>
      </c>
      <c r="R133" s="85" t="n">
        <v>26044</v>
      </c>
      <c r="S133" s="85" t="n">
        <v>5</v>
      </c>
      <c r="T133" s="90">
        <f>IF(AND(ISNUMBER(K133),ISNUMBER(S133)),K133*S133*52/12,"")</f>
        <v/>
      </c>
      <c r="U133" s="91" t="n">
        <v>4.4</v>
      </c>
      <c r="V133" s="85" t="n">
        <v>6629</v>
      </c>
      <c r="W133" s="92" t="n">
        <v>46307</v>
      </c>
      <c r="X133" s="92" t="n">
        <v>44654</v>
      </c>
      <c r="Y133" s="84" t="inlineStr">
        <is>
          <t>FBA</t>
        </is>
      </c>
      <c r="Z133" s="84" t="inlineStr">
        <is>
          <t>CN</t>
        </is>
      </c>
      <c r="AA133" s="85" t="n">
        <v>55207</v>
      </c>
      <c r="AB133" s="85" t="n">
        <v>914</v>
      </c>
      <c r="AC133" s="93" t="n">
        <v>0.5098780408281561</v>
      </c>
      <c r="AD133" s="93" t="n">
        <v>0.4901219591718439</v>
      </c>
      <c r="AE133" s="32" t="inlineStr">
        <is>
          <t>bamboo sheets</t>
        </is>
      </c>
      <c r="AF133" s="93" t="n">
        <v>0.9176553697900629</v>
      </c>
      <c r="AG133" s="93" t="n"/>
      <c r="AH133" s="93" t="n"/>
      <c r="AI133" s="93" t="n"/>
      <c r="AJ133" s="85" t="n">
        <v>154</v>
      </c>
      <c r="AK133" s="85" t="n">
        <v>68</v>
      </c>
      <c r="AL133" s="85" t="n">
        <v>72</v>
      </c>
      <c r="AM133" s="85" t="n">
        <v>760</v>
      </c>
      <c r="AN133" s="85" t="n">
        <v>470</v>
      </c>
      <c r="AO133" s="85" t="n">
        <v>18</v>
      </c>
      <c r="AP133" s="94" t="n"/>
      <c r="AQ133" s="89" t="n"/>
      <c r="AR133" s="95" t="inlineStr">
        <is>
          <t>Y</t>
        </is>
      </c>
      <c r="AS133" s="95" t="inlineStr">
        <is>
          <t>List Price</t>
        </is>
      </c>
      <c r="AT133" s="96" t="n">
        <v>64.90000000000001</v>
      </c>
      <c r="AU133" s="96" t="n">
        <v>54.9</v>
      </c>
      <c r="AV133" s="95" t="inlineStr">
        <is>
          <t>Limited time deal</t>
        </is>
      </c>
      <c r="AW133" s="95" t="inlineStr">
        <is>
          <t>Y</t>
        </is>
      </c>
      <c r="AX133" s="95" t="inlineStr">
        <is>
          <t>2026-10-13 12:12:20</t>
        </is>
      </c>
      <c r="AY133" s="97" t="inlineStr">
        <is>
          <t>Prime Exclusive Discount</t>
        </is>
      </c>
      <c r="AZ133" s="97" t="inlineStr">
        <is>
          <t>11-24 to 12-01</t>
        </is>
      </c>
      <c r="BA133" s="98" t="n">
        <v>64.90000000000001</v>
      </c>
      <c r="BB133" s="98" t="n">
        <v>55.12</v>
      </c>
      <c r="BC133" s="87">
        <f>IF(AND(ISNUMBER(BA133),ISNUMBER(BB133),N(BA133)&gt;0),1-BB133/BA133,"")</f>
        <v/>
      </c>
      <c r="BD133" s="99" t="n">
        <v>15950</v>
      </c>
      <c r="BE133" s="99" t="n">
        <v>18592</v>
      </c>
      <c r="BF133" s="100">
        <f>IF(AND(ISNUMBER(BD133),ISNUMBER(BE133),N(BE133)&gt;0),BD133/BE133,"")</f>
        <v/>
      </c>
      <c r="BG133" s="97" t="inlineStr">
        <is>
          <t>N</t>
        </is>
      </c>
      <c r="BH133" s="97" t="inlineStr">
        <is>
          <t>Buy Box RAISED in BFCM week (median $68.90 vs $64.90 before); List Price $69.90</t>
        </is>
      </c>
    </row>
    <row r="134" ht="62" customHeight="1">
      <c r="A134" s="39" t="inlineStr">
        <is>
          <t>IMAGE MISSING</t>
        </is>
      </c>
      <c r="B134" s="84" t="inlineStr">
        <is>
          <t>David's Home</t>
        </is>
      </c>
      <c r="C134" s="32" t="inlineStr">
        <is>
          <t>Cooling Sheets</t>
        </is>
      </c>
      <c r="D134" s="84" t="inlineStr">
        <is>
          <t>Untiered</t>
        </is>
      </c>
      <c r="E134" s="84" t="inlineStr">
        <is>
          <t>B0D1SRR2H4</t>
        </is>
      </c>
      <c r="F134" s="84" t="inlineStr">
        <is>
          <t>B0D1RBXBNG</t>
        </is>
      </c>
      <c r="G134" s="84" t="n"/>
      <c r="H134" s="84" t="n"/>
      <c r="I134" s="85" t="n"/>
      <c r="J134" s="32" t="inlineStr"/>
      <c r="K134" s="86" t="n">
        <v>24.99</v>
      </c>
      <c r="L134" s="86" t="n"/>
      <c r="M134" s="87">
        <f>IF(AND(ISNUMBER(L134),ISNUMBER(K134),N(K134)&gt;0),L134/K134-1,"")</f>
        <v/>
      </c>
      <c r="N134" s="88">
        <f>IF(M134="","No List Price",IF(M134&lt;=0,"At/below price",IF(M134&lt;=0.12,"&lt;=12% STR zone",IF(M134&lt;=0.25,"12-25%","&gt;25% over"))))</f>
        <v/>
      </c>
      <c r="O134" s="86" t="n">
        <v>79.98999999999999</v>
      </c>
      <c r="P134" s="89">
        <f>IF(AND(ISNUMBER(K134),ISNUMBER(O134),N(O134)&gt;0),K134/O134-1,"")</f>
        <v/>
      </c>
      <c r="Q134" s="32" t="inlineStr">
        <is>
          <t>Size not stated - vs our Queen. Ours live: Helium 10 Xray, 2026-10-13; 11 children</t>
        </is>
      </c>
      <c r="R134" s="85" t="n">
        <v>758020</v>
      </c>
      <c r="S134" s="85" t="n"/>
      <c r="T134" s="90">
        <f>IF(AND(ISNUMBER(K134),ISNUMBER(S134)),K134*S134*52/12,"")</f>
        <v/>
      </c>
      <c r="U134" s="91" t="n">
        <v>4.3</v>
      </c>
      <c r="V134" s="85" t="n">
        <v>169</v>
      </c>
      <c r="W134" s="92" t="n">
        <v>46307</v>
      </c>
      <c r="X134" s="92" t="n"/>
      <c r="Y134" s="84" t="n"/>
      <c r="Z134" s="84" t="n"/>
      <c r="AA134" s="85" t="n"/>
      <c r="AB134" s="85" t="n"/>
      <c r="AC134" s="93" t="n"/>
      <c r="AD134" s="93" t="n"/>
      <c r="AE134" s="32" t="n"/>
      <c r="AF134" s="93" t="n"/>
      <c r="AG134" s="93" t="n"/>
      <c r="AH134" s="93" t="n"/>
      <c r="AI134" s="93" t="n"/>
      <c r="AJ134" s="85" t="n"/>
      <c r="AK134" s="85" t="n"/>
      <c r="AL134" s="85" t="n"/>
      <c r="AM134" s="85" t="n"/>
      <c r="AN134" s="85" t="n"/>
      <c r="AO134" s="85" t="n"/>
      <c r="AP134" s="94" t="n"/>
      <c r="AQ134" s="89" t="n"/>
      <c r="AR134" s="95" t="inlineStr">
        <is>
          <t>unknown</t>
        </is>
      </c>
      <c r="AS134" s="102" t="n"/>
      <c r="AT134" s="101" t="n"/>
      <c r="AU134" s="101" t="n"/>
      <c r="AV134" s="102" t="n"/>
      <c r="AW134" s="102" t="n"/>
      <c r="AX134" s="95" t="inlineStr">
        <is>
          <t>2026-10-13 12:11:57</t>
        </is>
      </c>
      <c r="AY134" s="97" t="inlineStr">
        <is>
          <t>Prime Exclusive Discount</t>
        </is>
      </c>
      <c r="AZ134" s="97" t="inlineStr">
        <is>
          <t>11-24 to 11-27</t>
        </is>
      </c>
      <c r="BA134" s="98" t="n">
        <v>39.99</v>
      </c>
      <c r="BB134" s="98" t="n">
        <v>10</v>
      </c>
      <c r="BC134" s="87">
        <f>IF(AND(ISNUMBER(BA134),ISNUMBER(BB134),N(BA134)&gt;0),1-BB134/BA134,"")</f>
        <v/>
      </c>
      <c r="BD134" s="99" t="n">
        <v>437868</v>
      </c>
      <c r="BE134" s="99" t="n">
        <v>446244</v>
      </c>
      <c r="BF134" s="100">
        <f>IF(AND(ISNUMBER(BD134),ISNUMBER(BE134),N(BE134)&gt;0),BD134/BE134,"")</f>
        <v/>
      </c>
      <c r="BG134" s="97" t="inlineStr">
        <is>
          <t>Y</t>
        </is>
      </c>
      <c r="BH134" s="97" t="inlineStr">
        <is>
          <t>Coupon 20%, 40% (11-01 to 11-20); List Price $67.99</t>
        </is>
      </c>
    </row>
    <row r="136" ht="20" customHeight="1">
      <c r="A136" s="54" t="inlineStr">
        <is>
          <t>5 · WHAT THIS MEANS FOR BFCM</t>
        </is>
      </c>
    </row>
    <row r="137" ht="30" customHeight="1">
      <c r="A137" s="104" t="inlineStr">
        <is>
          <t>•  Who sells most: Love's cabin ~924/wk at $37.99 (List $44.99, +18%); Pure Bamboo ~809/wk at $109.99; Bedsure ~809/wk at $62.99 (List $69.99, +11%); Hotel Sheets Direct ~347/wk at $79.99; KRIMANO ~185/wk at $84.99. Tracked rivals ~4,540 units/wk; we sell ~83/wk (1.8% of the tracked set).</t>
        </is>
      </c>
    </row>
    <row r="138" ht="18" customHeight="1">
      <c r="A138" s="104" t="inlineStr">
        <is>
          <t>•  Strikethrough: 15 of 36 rivals set a List Price above price; 2 within 12%: Bedsure +11%, Kickoff Home +10%.</t>
        </is>
      </c>
    </row>
    <row r="139" ht="18" customHeight="1">
      <c r="A139" s="104" t="inlineStr">
        <is>
          <t>•  Price: 18 of 36 rivals sit below our price today (same size where the title states one). Cheapest strong rivals: DOZ by SIJO $55.00, SONORO KATE $59.99, Bedsure $62.99.</t>
        </is>
      </c>
    </row>
    <row r="140" ht="30" customHeight="1">
      <c r="A140" s="104" t="inlineStr">
        <is>
          <t>•  Strikethrough on the page today (Oct 13 check): 15 of 35 checked rivals show one: Bedsure List Price $69.99 vs $62.99 (+11%), REST List Price $299.00 vs $224.25 (+33%), Breescape List Price $179.99 vs $149.99 (+20%), REST List Price $219.00 vs $164.25 (+33%), Elegear Typical price $79.99 vs $67.99 (+18%) with deal, Love's cabin List Price $44.99 vs $37.99 (+18%).</t>
        </is>
      </c>
    </row>
    <row r="141" ht="30" customHeight="1">
      <c r="A141" s="104" t="inlineStr">
        <is>
          <t>•  Search: we lose most shared keywords to Bedsure (we win 9, lose 268), Pure Bamboo (we win 13, lose 266), Love's cabin (we win 23, lose 239). Biggest ad gaps (they advertise where we don't or harder): Pure Bamboo 3,772 + 33 KWs, Bedsure 3,446 + 30 KWs, REST 3,266 + 28 KWs.</t>
        </is>
      </c>
    </row>
    <row r="142" ht="30" customHeight="1">
      <c r="A142" s="104" t="inlineStr">
        <is>
          <t>•  Brand ads: Pure Bamboo (SB 82%, SBV 88%), Bedsure (SB 94%, SBV 65%), BC BELLA COTERIE (SB 57%, SBV 56%), REST (SB 86%, SBV 45%), Breescape (SB 64%, SBV 74%) hold Sponsored Brands / video on most of their traffic - the plan has our SB, SBV and display live by Nov 1.</t>
        </is>
      </c>
    </row>
    <row r="143" ht="18" customHeight="1">
      <c r="A143" s="104" t="inlineStr">
        <is>
          <t>•  Our BFCM 2025: 1.16x daily sales in BFCM week vs the 30 days before; TACoS 1.6% vs 4.4% before; December 0.76x.</t>
        </is>
      </c>
    </row>
    <row r="144" ht="30" customHeight="1">
      <c r="A144" s="104" t="inlineStr">
        <is>
          <t>•  BFCM 2025, 23 rivals with Keepa history: Prime Exclusive Discount 10, Price cut only 7, None 5, Coupon only 1. Median depth vs their Nov 1-19 price 18%; median BSR lift 1.18x. 5 raised their Buy Box in BFCM week, so their deal looked deeper than it was.</t>
        </is>
      </c>
    </row>
    <row r="145" ht="18" customHeight="1">
      <c r="A145" s="104" t="inlineStr">
        <is>
          <t>•  2 rivals not in the Keepa pulls yet (yellow BFCM 2025 columns) - remaining P2 batches, AGENT_PROMPTS Prompt 2.</t>
        </is>
      </c>
    </row>
  </sheetData>
  <autoFilter ref="B98:BH134"/>
  <mergeCells count="71">
    <mergeCell ref="A15:BH15"/>
    <mergeCell ref="A84:C84"/>
    <mergeCell ref="L5:Q5"/>
    <mergeCell ref="A89:C89"/>
    <mergeCell ref="AA97:AQ97"/>
    <mergeCell ref="A138:BH138"/>
    <mergeCell ref="A142:BH142"/>
    <mergeCell ref="A1:BH1"/>
    <mergeCell ref="K97:W97"/>
    <mergeCell ref="Q11:T11"/>
    <mergeCell ref="L8:Q8"/>
    <mergeCell ref="L4:Q4"/>
    <mergeCell ref="D7:I7"/>
    <mergeCell ref="A13:D13"/>
    <mergeCell ref="A86:C86"/>
    <mergeCell ref="I13:L13"/>
    <mergeCell ref="A16:BH16"/>
    <mergeCell ref="A137:BH137"/>
    <mergeCell ref="D4:I4"/>
    <mergeCell ref="L10:Q10"/>
    <mergeCell ref="E12:H12"/>
    <mergeCell ref="Q13:T13"/>
    <mergeCell ref="A90:BH90"/>
    <mergeCell ref="D9:I9"/>
    <mergeCell ref="A80:BH80"/>
    <mergeCell ref="U12:X12"/>
    <mergeCell ref="L9:Q9"/>
    <mergeCell ref="Q12:T12"/>
    <mergeCell ref="A11:D11"/>
    <mergeCell ref="A145:BH145"/>
    <mergeCell ref="I11:L11"/>
    <mergeCell ref="A81:C81"/>
    <mergeCell ref="A3:BH3"/>
    <mergeCell ref="L6:Q6"/>
    <mergeCell ref="D8:I8"/>
    <mergeCell ref="A4:B9"/>
    <mergeCell ref="A136:BH136"/>
    <mergeCell ref="T6:Y6"/>
    <mergeCell ref="A139:BH139"/>
    <mergeCell ref="A95:BH95"/>
    <mergeCell ref="D5:I5"/>
    <mergeCell ref="AY97:BH97"/>
    <mergeCell ref="M11:P11"/>
    <mergeCell ref="A141:BH141"/>
    <mergeCell ref="U11:X11"/>
    <mergeCell ref="A83:C83"/>
    <mergeCell ref="AR97:AX97"/>
    <mergeCell ref="A144:BH144"/>
    <mergeCell ref="A97:H97"/>
    <mergeCell ref="E13:H13"/>
    <mergeCell ref="A82:C82"/>
    <mergeCell ref="A91:BH91"/>
    <mergeCell ref="A140:BH140"/>
    <mergeCell ref="D10:I10"/>
    <mergeCell ref="L7:Q7"/>
    <mergeCell ref="T5:Y5"/>
    <mergeCell ref="A96:BH96"/>
    <mergeCell ref="A12:D12"/>
    <mergeCell ref="M13:P13"/>
    <mergeCell ref="I12:L12"/>
    <mergeCell ref="U13:X13"/>
    <mergeCell ref="A88:C88"/>
    <mergeCell ref="M12:P12"/>
    <mergeCell ref="A93:BH93"/>
    <mergeCell ref="T4:Y4"/>
    <mergeCell ref="X97:Z97"/>
    <mergeCell ref="D6:I6"/>
    <mergeCell ref="A87:C87"/>
    <mergeCell ref="E11:H11"/>
    <mergeCell ref="A143:BH143"/>
    <mergeCell ref="A92:BH92"/>
  </mergeCells>
  <conditionalFormatting sqref="N99:N134">
    <cfRule type="expression" priority="1" dxfId="1">
      <formula>N99="&lt;=12% STR zone"</formula>
    </cfRule>
  </conditionalFormatting>
  <conditionalFormatting sqref="W99:W134">
    <cfRule type="expression" priority="2" dxfId="0">
      <formula>AND(ISNUMBER(W99),W99&lt;DATE(2026,10,6))</formula>
    </cfRule>
  </conditionalFormatting>
  <conditionalFormatting sqref="Q99:Q134">
    <cfRule type="expression" priority="3" dxfId="0">
      <formula>ISNUMBER(SEARCH("STALE",Q99))</formula>
    </cfRule>
  </conditionalFormatting>
  <conditionalFormatting sqref="P99:P134">
    <cfRule type="expression" priority="4" dxfId="0">
      <formula>AND(ISNUMBER(P99),P99&lt;0)</formula>
    </cfRule>
  </conditionalFormatting>
  <dataValidations count="3">
    <dataValidation sqref="AR99:AR134 BG99:BG134" showDropDown="0" showInputMessage="0" showErrorMessage="0" allowBlank="1" type="list">
      <formula1>"Y,N"</formula1>
    </dataValidation>
    <dataValidation sqref="AS99:AS134" showDropDown="0" showInputMessage="0" showErrorMessage="0" allowBlank="1" type="list">
      <formula1>"List Price,Typical price,Was price,None"</formula1>
    </dataValidation>
    <dataValidation sqref="AY99:AY13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1" summaryRight="1"/>
    <pageSetUpPr/>
  </sheetPr>
  <dimension ref="A1:BH10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Sheets 6 Piece  ·  Amazon.com (US)  ·  Cooling  ·  BFCM role: Off-season (aged variations only)  ·  Scope: Not launched</t>
        </is>
      </c>
    </row>
    <row r="2">
      <c r="A2" s="53" t="inlineStr">
        <is>
          <t>← Dashboard</t>
        </is>
      </c>
      <c r="C2" s="106" t="inlineStr">
        <is>
          <t>NOT LAUNCHED YET (confirmed Oct 14, 2026): no live price, rating or sales expected; excluded from the gap counts on Data Check.</t>
        </is>
      </c>
    </row>
    <row r="3" ht="20" customHeight="1">
      <c r="A3" s="54" t="inlineStr">
        <is>
          <t>1 · OUR PRODUCT</t>
        </is>
      </c>
    </row>
    <row r="4" ht="34" customHeight="1">
      <c r="A4" s="39" t="inlineStr">
        <is>
          <t>IMAGE MISSING</t>
        </is>
      </c>
      <c r="C4" s="11" t="inlineStr">
        <is>
          <t>Title</t>
        </is>
      </c>
      <c r="D4" s="12" t="inlineStr">
        <is>
          <t>SLEEPHORIA Cooling Sheets - BreezeWeave 6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Sleephoria</t>
        </is>
      </c>
      <c r="K5" s="11" t="inlineStr">
        <is>
          <t>Colours</t>
        </is>
      </c>
      <c r="L5" s="55" t="inlineStr">
        <is>
          <t>Beige, Cool Grey, Cream, Graphite, Light Blue, Light Grey, Light Pink, Midnight Black, Navy Blue, Regal Purple, Sage Green, White</t>
        </is>
      </c>
      <c r="S5" s="11" t="inlineStr">
        <is>
          <t>Units last 28 days</t>
        </is>
      </c>
      <c r="T5" s="55" t="inlineStr">
        <is>
          <t>0</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B0H7JVGTZW (one of our child ASINs, not the Amazon parent)</t>
        </is>
      </c>
    </row>
    <row r="7" ht="22" customHeight="1">
      <c r="C7" s="11" t="inlineStr">
        <is>
          <t>Parent ASIN (Amazon)</t>
        </is>
      </c>
      <c r="D7" s="55" t="inlineStr">
        <is>
          <t>B0H7JVGTZW</t>
        </is>
      </c>
      <c r="K7" s="11" t="inlineStr">
        <is>
          <t>Rating / reviews now</t>
        </is>
      </c>
      <c r="L7" s="55" t="inlineStr">
        <is>
          <t>Not checked yet</t>
        </is>
      </c>
    </row>
    <row r="8" ht="22" customHeight="1">
      <c r="C8" s="11" t="inlineStr">
        <is>
          <t>Best-selling child ASIN</t>
        </is>
      </c>
      <c r="D8" s="55" t="n"/>
      <c r="K8" s="11" t="inlineStr">
        <is>
          <t>Live prices held</t>
        </is>
      </c>
      <c r="L8" s="55" t="inlineStr">
        <is>
          <t>0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7</t>
        </is>
      </c>
      <c r="Q12" s="57" t="inlineStr">
        <is>
          <t>0</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39" t="inlineStr">
        <is>
          <t>IMAGE MISSING</t>
        </is>
      </c>
      <c r="B18" s="32" t="inlineStr">
        <is>
          <t>B0H7JVGTZW</t>
        </is>
      </c>
      <c r="C18" s="32" t="inlineStr">
        <is>
          <t>SL-COOLING-SHEET-CAL-KING-BEIGE-6PC</t>
        </is>
      </c>
      <c r="D18" s="32" t="inlineStr">
        <is>
          <t>SLEEPHORIA Cooling Sheets - BreezeWeave 6 PC California King Size Cooling Bed Sheets for Hot Sleepers &amp; Deep, Cool Rest - Cloud Soft, Silky Smooth, 16 in Deep Pocket, Ultra Durable (Beige)</t>
        </is>
      </c>
      <c r="E18" s="32" t="inlineStr">
        <is>
          <t>California King</t>
        </is>
      </c>
      <c r="F18" s="32" t="inlineStr">
        <is>
          <t>Beige</t>
        </is>
      </c>
      <c r="G18" s="33" t="n"/>
      <c r="H18" s="32" t="n"/>
      <c r="I18" s="33" t="n"/>
      <c r="J18" s="32" t="n"/>
      <c r="K18" s="33" t="n"/>
      <c r="L18" s="63" t="n"/>
      <c r="M18" s="64" t="n"/>
      <c r="N18" s="32" t="inlineStr">
        <is>
          <t>Inactive</t>
        </is>
      </c>
      <c r="O18" s="32" t="n"/>
      <c r="P18" s="65" t="n"/>
      <c r="Q18" s="64" t="n"/>
      <c r="R18" s="64" t="n"/>
      <c r="S18" s="64" t="n"/>
      <c r="T18" s="32" t="n"/>
    </row>
    <row r="19" ht="62" customHeight="1">
      <c r="A19" s="39" t="inlineStr">
        <is>
          <t>IMAGE MISSING</t>
        </is>
      </c>
      <c r="B19" s="32" t="inlineStr">
        <is>
          <t>B0H7K68PP2</t>
        </is>
      </c>
      <c r="C19" s="32" t="inlineStr">
        <is>
          <t>SL-COOLING-SHEET-CAL-KING-COOL-GREY-6PC</t>
        </is>
      </c>
      <c r="D19" s="32" t="inlineStr">
        <is>
          <t>SLEEPHORIA Cooling Sheets - BreezeWeave 6 PC California King Size Cooling Bed Sheets for Hot Sleepers &amp; Deep, Cool Rest - Cloud Soft, Silky Smooth, 16 in Deep Pocket, Ultra Durable (Cool Grey)</t>
        </is>
      </c>
      <c r="E19" s="32" t="inlineStr">
        <is>
          <t>California King</t>
        </is>
      </c>
      <c r="F19" s="32" t="inlineStr">
        <is>
          <t>Cool Grey</t>
        </is>
      </c>
      <c r="G19" s="33" t="n"/>
      <c r="H19" s="32" t="n"/>
      <c r="I19" s="33" t="n"/>
      <c r="J19" s="32" t="n"/>
      <c r="K19" s="33" t="n"/>
      <c r="L19" s="63" t="n"/>
      <c r="M19" s="64" t="n"/>
      <c r="N19" s="32" t="inlineStr">
        <is>
          <t>Inactive</t>
        </is>
      </c>
      <c r="O19" s="32" t="n"/>
      <c r="P19" s="65" t="n"/>
      <c r="Q19" s="64" t="n"/>
      <c r="R19" s="64" t="n"/>
      <c r="S19" s="64" t="n"/>
      <c r="T19" s="32" t="n"/>
    </row>
    <row r="20" ht="62" customHeight="1">
      <c r="A20" s="39" t="inlineStr">
        <is>
          <t>IMAGE MISSING</t>
        </is>
      </c>
      <c r="B20" s="32" t="inlineStr">
        <is>
          <t>B0H7JYG3W9</t>
        </is>
      </c>
      <c r="C20" s="32" t="inlineStr">
        <is>
          <t>SL-COOLING-SHEET-CAL-KING-CREAM-6PC</t>
        </is>
      </c>
      <c r="D20" s="32" t="inlineStr">
        <is>
          <t>SLEEPHORIA Cooling Sheets - BreezeWeave 6 PC California King Size Cooling Bed Sheets for Hot Sleepers &amp; Deep, Cool Rest - Cloud Soft, Silky Smooth, 16 in Deep Pocket, Ultra Durable (Cream)</t>
        </is>
      </c>
      <c r="E20" s="32" t="inlineStr">
        <is>
          <t>California King</t>
        </is>
      </c>
      <c r="F20" s="32" t="inlineStr">
        <is>
          <t>Cream</t>
        </is>
      </c>
      <c r="G20" s="33" t="n"/>
      <c r="H20" s="32" t="n"/>
      <c r="I20" s="33" t="n"/>
      <c r="J20" s="32" t="n"/>
      <c r="K20" s="33" t="n"/>
      <c r="L20" s="63" t="n"/>
      <c r="M20" s="64" t="n"/>
      <c r="N20" s="32" t="inlineStr">
        <is>
          <t>Inactive</t>
        </is>
      </c>
      <c r="O20" s="32" t="n"/>
      <c r="P20" s="65" t="n"/>
      <c r="Q20" s="64" t="n"/>
      <c r="R20" s="64" t="n"/>
      <c r="S20" s="64" t="n"/>
      <c r="T20" s="32" t="n"/>
    </row>
    <row r="21" ht="62" customHeight="1">
      <c r="A21" s="39" t="inlineStr">
        <is>
          <t>IMAGE MISSING</t>
        </is>
      </c>
      <c r="B21" s="32" t="inlineStr">
        <is>
          <t>B0H7K1SFS3</t>
        </is>
      </c>
      <c r="C21" s="32" t="inlineStr">
        <is>
          <t>SL-COOLING-SHEET-CAL-KING-GRAPHITE-6PC</t>
        </is>
      </c>
      <c r="D21" s="32" t="inlineStr">
        <is>
          <t>SLEEPHORIA Cooling Sheets - BreezeWeave 6 PC California King Size Cooling Bed Sheets for Hot Sleepers &amp; Deep, Cool Rest - Cloud Soft, Silky Smooth, 16 in Deep Pocket, Ultra Durable (Graphite)</t>
        </is>
      </c>
      <c r="E21" s="32" t="inlineStr">
        <is>
          <t>California King</t>
        </is>
      </c>
      <c r="F21" s="32" t="inlineStr">
        <is>
          <t>Graphite</t>
        </is>
      </c>
      <c r="G21" s="33" t="n"/>
      <c r="H21" s="32" t="n"/>
      <c r="I21" s="33" t="n"/>
      <c r="J21" s="32" t="n"/>
      <c r="K21" s="33" t="n"/>
      <c r="L21" s="63" t="n"/>
      <c r="M21" s="64" t="n"/>
      <c r="N21" s="32" t="inlineStr">
        <is>
          <t>Inactive</t>
        </is>
      </c>
      <c r="O21" s="32" t="n"/>
      <c r="P21" s="65" t="n"/>
      <c r="Q21" s="64" t="n"/>
      <c r="R21" s="64" t="n"/>
      <c r="S21" s="64" t="n"/>
      <c r="T21" s="32" t="n"/>
    </row>
    <row r="22" ht="62" customHeight="1">
      <c r="A22" s="39" t="inlineStr">
        <is>
          <t>IMAGE MISSING</t>
        </is>
      </c>
      <c r="B22" s="32" t="inlineStr">
        <is>
          <t>B0H7K6W3KN</t>
        </is>
      </c>
      <c r="C22" s="32" t="inlineStr">
        <is>
          <t>SL-COOLING-SHEET-CAL-KING-LIGHT-BLUE-6PC</t>
        </is>
      </c>
      <c r="D22" s="32" t="inlineStr">
        <is>
          <t>SLEEPHORIA Cooling Sheets - BreezeWeave 6 PC California King Size Cooling Bed Sheets for Hot Sleepers &amp; Deep, Cool Rest - Cloud Soft, Silky Smooth, 16 in Deep Pocket, Ultra Durable (Light Blue)</t>
        </is>
      </c>
      <c r="E22" s="32" t="inlineStr">
        <is>
          <t>California King</t>
        </is>
      </c>
      <c r="F22" s="32" t="inlineStr">
        <is>
          <t>Light Blue</t>
        </is>
      </c>
      <c r="G22" s="33" t="n"/>
      <c r="H22" s="32" t="n"/>
      <c r="I22" s="33" t="n"/>
      <c r="J22" s="32" t="n"/>
      <c r="K22" s="33" t="n"/>
      <c r="L22" s="63" t="n"/>
      <c r="M22" s="64" t="n"/>
      <c r="N22" s="32" t="inlineStr">
        <is>
          <t>Inactive</t>
        </is>
      </c>
      <c r="O22" s="32" t="n"/>
      <c r="P22" s="65" t="n"/>
      <c r="Q22" s="64" t="n"/>
      <c r="R22" s="64" t="n"/>
      <c r="S22" s="64" t="n"/>
      <c r="T22" s="32" t="n"/>
    </row>
    <row r="23" ht="62" customHeight="1">
      <c r="A23" s="39" t="inlineStr">
        <is>
          <t>IMAGE MISSING</t>
        </is>
      </c>
      <c r="B23" s="32" t="inlineStr">
        <is>
          <t>B0H7JYXHV8</t>
        </is>
      </c>
      <c r="C23" s="32" t="inlineStr">
        <is>
          <t>SL-COOLING-SHEET-CAL-KING-LIGHT-GREY-6PC</t>
        </is>
      </c>
      <c r="D23" s="32" t="inlineStr">
        <is>
          <t>SLEEPHORIA Cooling Sheets - BreezeWeave 6 PC California King Size Cooling Bed Sheets for Hot Sleepers &amp; Deep, Cool Rest - Cloud Soft, Silky Smooth, 16 in Deep Pocket, Ultra Durable (Light Grey)</t>
        </is>
      </c>
      <c r="E23" s="32" t="inlineStr">
        <is>
          <t>California King</t>
        </is>
      </c>
      <c r="F23" s="32" t="inlineStr">
        <is>
          <t>Light Grey</t>
        </is>
      </c>
      <c r="G23" s="33" t="n"/>
      <c r="H23" s="32" t="n"/>
      <c r="I23" s="33" t="n"/>
      <c r="J23" s="32" t="n"/>
      <c r="K23" s="33" t="n"/>
      <c r="L23" s="63" t="n"/>
      <c r="M23" s="64" t="n"/>
      <c r="N23" s="32" t="inlineStr">
        <is>
          <t>Inactive</t>
        </is>
      </c>
      <c r="O23" s="32" t="n"/>
      <c r="P23" s="65" t="n"/>
      <c r="Q23" s="64" t="n"/>
      <c r="R23" s="64" t="n"/>
      <c r="S23" s="64" t="n"/>
      <c r="T23" s="32" t="n"/>
    </row>
    <row r="24" ht="62" customHeight="1">
      <c r="A24" s="39" t="inlineStr">
        <is>
          <t>IMAGE MISSING</t>
        </is>
      </c>
      <c r="B24" s="32" t="inlineStr">
        <is>
          <t>B0H7K5JVV1</t>
        </is>
      </c>
      <c r="C24" s="32" t="inlineStr">
        <is>
          <t>SL-COOLING-SHEET-CAL-KING-LIGHT-PINK-6PC</t>
        </is>
      </c>
      <c r="D24" s="32" t="inlineStr">
        <is>
          <t>SLEEPHORIA Cooling Sheets - BreezeWeave 6 PC California King Size Cooling Bed Sheets for Hot Sleepers &amp; Deep, Cool Rest - Cloud Soft, Silky Smooth, 16 in Deep Pocket, Ultra Durable (Light Pink)</t>
        </is>
      </c>
      <c r="E24" s="32" t="inlineStr">
        <is>
          <t>California King</t>
        </is>
      </c>
      <c r="F24" s="32" t="inlineStr">
        <is>
          <t>Light Pink</t>
        </is>
      </c>
      <c r="G24" s="33" t="n"/>
      <c r="H24" s="32" t="n"/>
      <c r="I24" s="33" t="n"/>
      <c r="J24" s="32" t="n"/>
      <c r="K24" s="33" t="n"/>
      <c r="L24" s="63" t="n"/>
      <c r="M24" s="64" t="n"/>
      <c r="N24" s="32" t="inlineStr">
        <is>
          <t>Inactive</t>
        </is>
      </c>
      <c r="O24" s="32" t="n"/>
      <c r="P24" s="65" t="n"/>
      <c r="Q24" s="64" t="n"/>
      <c r="R24" s="64" t="n"/>
      <c r="S24" s="64" t="n"/>
      <c r="T24" s="32" t="n"/>
    </row>
    <row r="25" ht="62" customHeight="1">
      <c r="A25" s="39" t="inlineStr">
        <is>
          <t>IMAGE MISSING</t>
        </is>
      </c>
      <c r="B25" s="32" t="inlineStr">
        <is>
          <t>B0H7JTY43D</t>
        </is>
      </c>
      <c r="C25" s="32" t="inlineStr">
        <is>
          <t>SL-COOLING-SHEET-CAL-KING-MIDBLK-6PC</t>
        </is>
      </c>
      <c r="D25" s="32" t="inlineStr">
        <is>
          <t>SLEEPHORIA Cooling Sheets - BreezeWeave 6 PC California King Size Cooling Bed Sheets for Hot Sleepers &amp; Deep, Cool Rest - Cloud Soft, Silky Smooth, 16 in Deep Pocket, Ultra Durable (Midnight Black)</t>
        </is>
      </c>
      <c r="E25" s="32" t="inlineStr">
        <is>
          <t>California King</t>
        </is>
      </c>
      <c r="F25" s="32" t="inlineStr">
        <is>
          <t>Midnight Black</t>
        </is>
      </c>
      <c r="G25" s="33" t="n"/>
      <c r="H25" s="32" t="n"/>
      <c r="I25" s="33" t="n"/>
      <c r="J25" s="32" t="n"/>
      <c r="K25" s="33" t="n"/>
      <c r="L25" s="63" t="n"/>
      <c r="M25" s="64" t="n"/>
      <c r="N25" s="32" t="inlineStr">
        <is>
          <t>Inactive</t>
        </is>
      </c>
      <c r="O25" s="32" t="n"/>
      <c r="P25" s="65" t="n"/>
      <c r="Q25" s="64" t="n"/>
      <c r="R25" s="64" t="n"/>
      <c r="S25" s="64" t="n"/>
      <c r="T25" s="32" t="n"/>
    </row>
    <row r="26" ht="62" customHeight="1">
      <c r="A26" s="39" t="inlineStr">
        <is>
          <t>IMAGE MISSING</t>
        </is>
      </c>
      <c r="B26" s="32" t="inlineStr">
        <is>
          <t>B0H7KB96YG</t>
        </is>
      </c>
      <c r="C26" s="32" t="inlineStr">
        <is>
          <t>SL-COOLING-SHEET-CAL-KING-NAVY-BLUE-6PC</t>
        </is>
      </c>
      <c r="D26" s="32" t="inlineStr">
        <is>
          <t>SLEEPHORIA Cooling Sheets - BreezeWeave 6 PC California King Size Cooling Bed Sheets for Hot Sleepers &amp; Deep, Cool Rest - Cloud Soft, Silky Smooth, 16 in Deep Pocket, Ultra Durable (Navy Blue)</t>
        </is>
      </c>
      <c r="E26" s="32" t="inlineStr">
        <is>
          <t>California King</t>
        </is>
      </c>
      <c r="F26" s="32" t="inlineStr">
        <is>
          <t>Navy Blue</t>
        </is>
      </c>
      <c r="G26" s="33" t="n"/>
      <c r="H26" s="32" t="n"/>
      <c r="I26" s="33" t="n"/>
      <c r="J26" s="32" t="n"/>
      <c r="K26" s="33" t="n"/>
      <c r="L26" s="63" t="n"/>
      <c r="M26" s="64" t="n"/>
      <c r="N26" s="32" t="inlineStr">
        <is>
          <t>Inactive</t>
        </is>
      </c>
      <c r="O26" s="32" t="n"/>
      <c r="P26" s="65" t="n"/>
      <c r="Q26" s="64" t="n"/>
      <c r="R26" s="64" t="n"/>
      <c r="S26" s="64" t="n"/>
      <c r="T26" s="32" t="n"/>
    </row>
    <row r="27" ht="62" customHeight="1">
      <c r="A27" s="39" t="inlineStr">
        <is>
          <t>IMAGE MISSING</t>
        </is>
      </c>
      <c r="B27" s="32" t="inlineStr">
        <is>
          <t>B0H7K289YR</t>
        </is>
      </c>
      <c r="C27" s="32" t="inlineStr">
        <is>
          <t>SL-COOLING-SHEET-CAL-KING-RGLPRP-6PC</t>
        </is>
      </c>
      <c r="D27" s="32" t="inlineStr">
        <is>
          <t>SLEEPHORIA Cooling Sheets - BreezeWeave 6 PC California King Size Cooling Bed Sheets for Hot Sleepers &amp; Deep, Cool Rest - Cloud Soft, Silky Smooth, 16 in Deep Pocket, Ultra Durable (Regal Purple)</t>
        </is>
      </c>
      <c r="E27" s="32" t="inlineStr">
        <is>
          <t>California King</t>
        </is>
      </c>
      <c r="F27" s="32" t="inlineStr">
        <is>
          <t>Regal Purple</t>
        </is>
      </c>
      <c r="G27" s="33" t="n"/>
      <c r="H27" s="32" t="n"/>
      <c r="I27" s="33" t="n"/>
      <c r="J27" s="32" t="n"/>
      <c r="K27" s="33" t="n"/>
      <c r="L27" s="63" t="n"/>
      <c r="M27" s="64" t="n"/>
      <c r="N27" s="32" t="inlineStr">
        <is>
          <t>Inactive</t>
        </is>
      </c>
      <c r="O27" s="32" t="n"/>
      <c r="P27" s="65" t="n"/>
      <c r="Q27" s="64" t="n"/>
      <c r="R27" s="64" t="n"/>
      <c r="S27" s="64" t="n"/>
      <c r="T27" s="32" t="n"/>
    </row>
    <row r="28" ht="62" customHeight="1">
      <c r="A28" s="39" t="inlineStr">
        <is>
          <t>IMAGE MISSING</t>
        </is>
      </c>
      <c r="B28" s="32" t="inlineStr">
        <is>
          <t>B0H7K7ZP27</t>
        </is>
      </c>
      <c r="C28" s="32" t="inlineStr">
        <is>
          <t>SL-COOLING-SHEET-CAL-KING-SAGE-GREEN-6PC</t>
        </is>
      </c>
      <c r="D28" s="32" t="inlineStr">
        <is>
          <t>SLEEPHORIA Cooling Sheets - BreezeWeave 6 PC California King Size Cooling Bed Sheets for Hot Sleepers &amp; Deep, Cool Rest - Cloud Soft, Silky Smooth, 16 in Deep Pocket, Ultra Durable (Sage Green)</t>
        </is>
      </c>
      <c r="E28" s="32" t="inlineStr">
        <is>
          <t>California King</t>
        </is>
      </c>
      <c r="F28" s="32" t="inlineStr">
        <is>
          <t>Sage Green</t>
        </is>
      </c>
      <c r="G28" s="33" t="n"/>
      <c r="H28" s="32" t="n"/>
      <c r="I28" s="33" t="n"/>
      <c r="J28" s="32" t="n"/>
      <c r="K28" s="33" t="n"/>
      <c r="L28" s="63" t="n"/>
      <c r="M28" s="64" t="n"/>
      <c r="N28" s="32" t="inlineStr">
        <is>
          <t>Inactive</t>
        </is>
      </c>
      <c r="O28" s="32" t="n"/>
      <c r="P28" s="65" t="n"/>
      <c r="Q28" s="64" t="n"/>
      <c r="R28" s="64" t="n"/>
      <c r="S28" s="64" t="n"/>
      <c r="T28" s="32" t="n"/>
    </row>
    <row r="29" ht="62" customHeight="1">
      <c r="A29" s="39" t="inlineStr">
        <is>
          <t>IMAGE MISSING</t>
        </is>
      </c>
      <c r="B29" s="32" t="inlineStr">
        <is>
          <t>B0H7KBP4JQ</t>
        </is>
      </c>
      <c r="C29" s="32" t="inlineStr">
        <is>
          <t>SL-COOLING-SHEET-CAL-KING-WHITE-6PC</t>
        </is>
      </c>
      <c r="D29" s="32" t="inlineStr">
        <is>
          <t>SLEEPHORIA Cooling Sheets - BreezeWeave 6 PC California King Size Cooling Bed Sheets for Hot Sleepers &amp; Deep, Cool Rest - Cloud Soft, Silky Smooth, 16 in Deep Pocket, Ultra Durable (White)</t>
        </is>
      </c>
      <c r="E29" s="32" t="inlineStr">
        <is>
          <t>California King</t>
        </is>
      </c>
      <c r="F29" s="32" t="inlineStr">
        <is>
          <t>White</t>
        </is>
      </c>
      <c r="G29" s="33" t="n"/>
      <c r="H29" s="32" t="n"/>
      <c r="I29" s="33" t="n"/>
      <c r="J29" s="32" t="n"/>
      <c r="K29" s="33" t="n"/>
      <c r="L29" s="63" t="n"/>
      <c r="M29" s="64" t="n"/>
      <c r="N29" s="32" t="inlineStr">
        <is>
          <t>Inactive</t>
        </is>
      </c>
      <c r="O29" s="32" t="n"/>
      <c r="P29" s="65" t="n"/>
      <c r="Q29" s="64" t="n"/>
      <c r="R29" s="64" t="n"/>
      <c r="S29" s="64" t="n"/>
      <c r="T29" s="32" t="n"/>
    </row>
    <row r="30" ht="62" customHeight="1">
      <c r="A30" s="39" t="inlineStr">
        <is>
          <t>IMAGE MISSING</t>
        </is>
      </c>
      <c r="B30" s="32" t="inlineStr">
        <is>
          <t>B0H7K47STJ</t>
        </is>
      </c>
      <c r="C30" s="32" t="inlineStr">
        <is>
          <t>SL-COOLING-SHEET-FULL-BEIGE-6PC</t>
        </is>
      </c>
      <c r="D30" s="32" t="inlineStr">
        <is>
          <t>SLEEPHORIA Cooling Sheets - BreezeWeave 6 PC Full Size Cooling Bed Sheets for Hot Sleepers &amp; Deep, Cool Rest - Cloud Soft, Silky Smooth, 16 in Deep Pocket, Ultra Durable (Beige)</t>
        </is>
      </c>
      <c r="E30" s="32" t="inlineStr">
        <is>
          <t>Full</t>
        </is>
      </c>
      <c r="F30" s="32" t="inlineStr">
        <is>
          <t>Beige</t>
        </is>
      </c>
      <c r="G30" s="33" t="n"/>
      <c r="H30" s="32" t="n"/>
      <c r="I30" s="33" t="n"/>
      <c r="J30" s="32" t="n"/>
      <c r="K30" s="33" t="n"/>
      <c r="L30" s="63" t="n"/>
      <c r="M30" s="64" t="n"/>
      <c r="N30" s="32" t="inlineStr">
        <is>
          <t>Inactive</t>
        </is>
      </c>
      <c r="O30" s="32" t="n"/>
      <c r="P30" s="65" t="n"/>
      <c r="Q30" s="64" t="n"/>
      <c r="R30" s="64" t="n"/>
      <c r="S30" s="64" t="n"/>
      <c r="T30" s="32" t="n"/>
    </row>
    <row r="31" ht="62" customHeight="1">
      <c r="A31" s="39" t="inlineStr">
        <is>
          <t>IMAGE MISSING</t>
        </is>
      </c>
      <c r="B31" s="32" t="inlineStr">
        <is>
          <t>B0H7K536XY</t>
        </is>
      </c>
      <c r="C31" s="32" t="inlineStr">
        <is>
          <t>SL-COOLING-SHEET-FULL-COOL-GREY-6PC</t>
        </is>
      </c>
      <c r="D31" s="32" t="inlineStr">
        <is>
          <t>SLEEPHORIA Cooling Sheets - BreezeWeave 6 PC Full Size Cooling Bed Sheets for Hot Sleepers &amp; Deep, Cool Rest - Cloud Soft, Silky Smooth, 16 in Deep Pocket, Ultra Durable (Cool Grey)</t>
        </is>
      </c>
      <c r="E31" s="32" t="inlineStr">
        <is>
          <t>Full</t>
        </is>
      </c>
      <c r="F31" s="32" t="inlineStr">
        <is>
          <t>Cool Grey</t>
        </is>
      </c>
      <c r="G31" s="33" t="n"/>
      <c r="H31" s="32" t="n"/>
      <c r="I31" s="33" t="n"/>
      <c r="J31" s="32" t="n"/>
      <c r="K31" s="33" t="n"/>
      <c r="L31" s="63" t="n"/>
      <c r="M31" s="64" t="n"/>
      <c r="N31" s="32" t="inlineStr">
        <is>
          <t>Inactive</t>
        </is>
      </c>
      <c r="O31" s="32" t="n"/>
      <c r="P31" s="65" t="n"/>
      <c r="Q31" s="64" t="n"/>
      <c r="R31" s="64" t="n"/>
      <c r="S31" s="64" t="n"/>
      <c r="T31" s="32" t="n"/>
    </row>
    <row r="32" ht="62" customHeight="1">
      <c r="A32" s="39" t="inlineStr">
        <is>
          <t>IMAGE MISSING</t>
        </is>
      </c>
      <c r="B32" s="32" t="inlineStr">
        <is>
          <t>B0H7K4RZMP</t>
        </is>
      </c>
      <c r="C32" s="32" t="inlineStr">
        <is>
          <t>SL-COOLING-SHEET-FULL-CREAM-6PC</t>
        </is>
      </c>
      <c r="D32" s="32" t="inlineStr">
        <is>
          <t>SLEEPHORIA Cooling Sheets - BreezeWeave 6 PC Full Size Cooling Bed Sheets for Hot Sleepers &amp; Deep, Cool Rest - Cloud Soft, Silky Smooth, 16 in Deep Pocket, Ultra Durable (Cream)</t>
        </is>
      </c>
      <c r="E32" s="32" t="inlineStr">
        <is>
          <t>Full</t>
        </is>
      </c>
      <c r="F32" s="32" t="inlineStr">
        <is>
          <t>Cream</t>
        </is>
      </c>
      <c r="G32" s="33" t="n"/>
      <c r="H32" s="32" t="n"/>
      <c r="I32" s="33" t="n"/>
      <c r="J32" s="32" t="n"/>
      <c r="K32" s="33" t="n"/>
      <c r="L32" s="63" t="n"/>
      <c r="M32" s="64" t="n"/>
      <c r="N32" s="32" t="inlineStr">
        <is>
          <t>Inactive</t>
        </is>
      </c>
      <c r="O32" s="32" t="n"/>
      <c r="P32" s="65" t="n"/>
      <c r="Q32" s="64" t="n"/>
      <c r="R32" s="64" t="n"/>
      <c r="S32" s="64" t="n"/>
      <c r="T32" s="32" t="n"/>
    </row>
    <row r="33" ht="62" customHeight="1">
      <c r="A33" s="39" t="inlineStr">
        <is>
          <t>IMAGE MISSING</t>
        </is>
      </c>
      <c r="B33" s="32" t="inlineStr">
        <is>
          <t>B0H7K6PFHL</t>
        </is>
      </c>
      <c r="C33" s="32" t="inlineStr">
        <is>
          <t>SL-COOLING-SHEET-FULL-GRAPHITE-6PC</t>
        </is>
      </c>
      <c r="D33" s="32" t="inlineStr">
        <is>
          <t>SLEEPHORIA Cooling Sheets - BreezeWeave 6 PC Full Size Cooling Bed Sheets for Hot Sleepers &amp; Deep, Cool Rest - Cloud Soft, Silky Smooth, 16 in Deep Pocket, Ultra Durable (Graphite)</t>
        </is>
      </c>
      <c r="E33" s="32" t="inlineStr">
        <is>
          <t>Full</t>
        </is>
      </c>
      <c r="F33" s="32" t="inlineStr">
        <is>
          <t>Graphite</t>
        </is>
      </c>
      <c r="G33" s="33" t="n"/>
      <c r="H33" s="32" t="n"/>
      <c r="I33" s="33" t="n"/>
      <c r="J33" s="32" t="n"/>
      <c r="K33" s="33" t="n"/>
      <c r="L33" s="63" t="n"/>
      <c r="M33" s="64" t="n"/>
      <c r="N33" s="32" t="inlineStr">
        <is>
          <t>Inactive</t>
        </is>
      </c>
      <c r="O33" s="32" t="n"/>
      <c r="P33" s="65" t="n"/>
      <c r="Q33" s="64" t="n"/>
      <c r="R33" s="64" t="n"/>
      <c r="S33" s="64" t="n"/>
      <c r="T33" s="32" t="n"/>
    </row>
    <row r="34" ht="62" customHeight="1">
      <c r="A34" s="39" t="inlineStr">
        <is>
          <t>IMAGE MISSING</t>
        </is>
      </c>
      <c r="B34" s="32" t="inlineStr">
        <is>
          <t>B0H7KFNB32</t>
        </is>
      </c>
      <c r="C34" s="32" t="inlineStr">
        <is>
          <t>SL-COOLING-SHEET-FULL-LIGHT-BLUE-6PC</t>
        </is>
      </c>
      <c r="D34" s="32" t="inlineStr">
        <is>
          <t>SLEEPHORIA Cooling Sheets - BreezeWeave 6 PC Full Size Cooling Bed Sheets for Hot Sleepers &amp; Deep, Cool Rest - Cloud Soft, Silky Smooth, 16 in Deep Pocket, Ultra Durable (Light Blue)</t>
        </is>
      </c>
      <c r="E34" s="32" t="inlineStr">
        <is>
          <t>Full</t>
        </is>
      </c>
      <c r="F34" s="32" t="inlineStr">
        <is>
          <t>Light Blue</t>
        </is>
      </c>
      <c r="G34" s="33" t="n"/>
      <c r="H34" s="32" t="n"/>
      <c r="I34" s="33" t="n"/>
      <c r="J34" s="32" t="n"/>
      <c r="K34" s="33" t="n"/>
      <c r="L34" s="63" t="n"/>
      <c r="M34" s="64" t="n"/>
      <c r="N34" s="32" t="inlineStr">
        <is>
          <t>Inactive</t>
        </is>
      </c>
      <c r="O34" s="32" t="n"/>
      <c r="P34" s="65" t="n"/>
      <c r="Q34" s="64" t="n"/>
      <c r="R34" s="64" t="n"/>
      <c r="S34" s="64" t="n"/>
      <c r="T34" s="32" t="n"/>
    </row>
    <row r="35" ht="62" customHeight="1">
      <c r="A35" s="39" t="inlineStr">
        <is>
          <t>IMAGE MISSING</t>
        </is>
      </c>
      <c r="B35" s="32" t="inlineStr">
        <is>
          <t>B0H7K7CTWY</t>
        </is>
      </c>
      <c r="C35" s="32" t="inlineStr">
        <is>
          <t>SL-COOLING-SHEET-FULL-LIGHT-GREY-6PC</t>
        </is>
      </c>
      <c r="D35" s="32" t="inlineStr">
        <is>
          <t>SLEEPHORIA Cooling Sheets - BreezeWeave 6 PC Full Size Cooling Bed Sheets for Hot Sleepers &amp; Deep, Cool Rest - Cloud Soft, Silky Smooth, 16 in Deep Pocket, Ultra Durable (Light Grey)</t>
        </is>
      </c>
      <c r="E35" s="32" t="inlineStr">
        <is>
          <t>Full</t>
        </is>
      </c>
      <c r="F35" s="32" t="inlineStr">
        <is>
          <t>Light Grey</t>
        </is>
      </c>
      <c r="G35" s="33" t="n"/>
      <c r="H35" s="32" t="n"/>
      <c r="I35" s="33" t="n"/>
      <c r="J35" s="32" t="n"/>
      <c r="K35" s="33" t="n"/>
      <c r="L35" s="63" t="n"/>
      <c r="M35" s="64" t="n"/>
      <c r="N35" s="32" t="inlineStr">
        <is>
          <t>Inactive</t>
        </is>
      </c>
      <c r="O35" s="32" t="n"/>
      <c r="P35" s="65" t="n"/>
      <c r="Q35" s="64" t="n"/>
      <c r="R35" s="64" t="n"/>
      <c r="S35" s="64" t="n"/>
      <c r="T35" s="32" t="n"/>
    </row>
    <row r="36" ht="62" customHeight="1">
      <c r="A36" s="39" t="inlineStr">
        <is>
          <t>IMAGE MISSING</t>
        </is>
      </c>
      <c r="B36" s="32" t="inlineStr">
        <is>
          <t>B0H7K25Y1F</t>
        </is>
      </c>
      <c r="C36" s="32" t="inlineStr">
        <is>
          <t>SL-COOLING-SHEET-FULL-LIGHT-PINK-6PC</t>
        </is>
      </c>
      <c r="D36" s="32" t="inlineStr">
        <is>
          <t>SLEEPHORIA Cooling Sheets - BreezeWeave 6 PC Full Size Cooling Bed Sheets for Hot Sleepers &amp; Deep, Cool Rest - Cloud Soft, Silky Smooth, 16 in Deep Pocket, Ultra Durable (Light Pink)</t>
        </is>
      </c>
      <c r="E36" s="32" t="inlineStr">
        <is>
          <t>Full</t>
        </is>
      </c>
      <c r="F36" s="32" t="inlineStr">
        <is>
          <t>Light Pink</t>
        </is>
      </c>
      <c r="G36" s="33" t="n"/>
      <c r="H36" s="32" t="n"/>
      <c r="I36" s="33" t="n"/>
      <c r="J36" s="32" t="n"/>
      <c r="K36" s="33" t="n"/>
      <c r="L36" s="63" t="n"/>
      <c r="M36" s="64" t="n"/>
      <c r="N36" s="32" t="inlineStr">
        <is>
          <t>Inactive</t>
        </is>
      </c>
      <c r="O36" s="32" t="n"/>
      <c r="P36" s="65" t="n"/>
      <c r="Q36" s="64" t="n"/>
      <c r="R36" s="64" t="n"/>
      <c r="S36" s="64" t="n"/>
      <c r="T36" s="32" t="n"/>
    </row>
    <row r="37" ht="62" customHeight="1">
      <c r="A37" s="39" t="inlineStr">
        <is>
          <t>IMAGE MISSING</t>
        </is>
      </c>
      <c r="B37" s="32" t="inlineStr">
        <is>
          <t>B0H7K68PP4</t>
        </is>
      </c>
      <c r="C37" s="32" t="inlineStr">
        <is>
          <t>SL-COOLING-SHEET-FULL-MIDBLK-6PC</t>
        </is>
      </c>
      <c r="D37" s="32" t="inlineStr">
        <is>
          <t>SLEEPHORIA Cooling Sheets - BreezeWeave 6 PC Full Size Cooling Bed Sheets for Hot Sleepers &amp; Deep, Cool Rest - Cloud Soft, Silky Smooth, 16 in Deep Pocket, Ultra Durable (Midnight Black)</t>
        </is>
      </c>
      <c r="E37" s="32" t="inlineStr">
        <is>
          <t>Full</t>
        </is>
      </c>
      <c r="F37" s="32" t="inlineStr">
        <is>
          <t>Midnight Black</t>
        </is>
      </c>
      <c r="G37" s="33" t="n"/>
      <c r="H37" s="32" t="n"/>
      <c r="I37" s="33" t="n"/>
      <c r="J37" s="32" t="n"/>
      <c r="K37" s="33" t="n"/>
      <c r="L37" s="63" t="n"/>
      <c r="M37" s="64" t="n"/>
      <c r="N37" s="32" t="inlineStr">
        <is>
          <t>Inactive</t>
        </is>
      </c>
      <c r="O37" s="32" t="n"/>
      <c r="P37" s="65" t="n"/>
      <c r="Q37" s="64" t="n"/>
      <c r="R37" s="64" t="n"/>
      <c r="S37" s="64" t="n"/>
      <c r="T37" s="32" t="n"/>
    </row>
    <row r="38" ht="62" customHeight="1">
      <c r="A38" s="39" t="inlineStr">
        <is>
          <t>IMAGE MISSING</t>
        </is>
      </c>
      <c r="B38" s="32" t="inlineStr">
        <is>
          <t>B0H7KFSDNM</t>
        </is>
      </c>
      <c r="C38" s="32" t="inlineStr">
        <is>
          <t>SL-COOLING-SHEET-FULL-NAVY-BLUE-6PC</t>
        </is>
      </c>
      <c r="D38" s="32" t="inlineStr">
        <is>
          <t>SLEEPHORIA Cooling Sheets - BreezeWeave 6 PC Full Size Cooling Bed Sheets for Hot Sleepers &amp; Deep, Cool Rest - Cloud Soft, Silky Smooth, 16 in Deep Pocket, Ultra Durable (Navy Blue)</t>
        </is>
      </c>
      <c r="E38" s="32" t="inlineStr">
        <is>
          <t>Full</t>
        </is>
      </c>
      <c r="F38" s="32" t="inlineStr">
        <is>
          <t>Navy Blue</t>
        </is>
      </c>
      <c r="G38" s="33" t="n"/>
      <c r="H38" s="32" t="n"/>
      <c r="I38" s="33" t="n"/>
      <c r="J38" s="32" t="n"/>
      <c r="K38" s="33" t="n"/>
      <c r="L38" s="63" t="n"/>
      <c r="M38" s="64" t="n"/>
      <c r="N38" s="32" t="inlineStr">
        <is>
          <t>Inactive</t>
        </is>
      </c>
      <c r="O38" s="32" t="n"/>
      <c r="P38" s="65" t="n"/>
      <c r="Q38" s="64" t="n"/>
      <c r="R38" s="64" t="n"/>
      <c r="S38" s="64" t="n"/>
      <c r="T38" s="32" t="n"/>
    </row>
    <row r="39" ht="62" customHeight="1">
      <c r="A39" s="39" t="inlineStr">
        <is>
          <t>IMAGE MISSING</t>
        </is>
      </c>
      <c r="B39" s="32" t="inlineStr">
        <is>
          <t>B0H7K5J8Y6</t>
        </is>
      </c>
      <c r="C39" s="32" t="inlineStr">
        <is>
          <t>SL-COOLING-SHEET-FULL-RGLPRP-6PC</t>
        </is>
      </c>
      <c r="D39" s="32" t="inlineStr">
        <is>
          <t>SLEEPHORIA Cooling Sheets - BreezeWeave 6 PC Full Size Cooling Bed Sheets for Hot Sleepers &amp; Deep, Cool Rest - Cloud Soft, Silky Smooth, 16 in Deep Pocket, Ultra Durable (Regal Purple)</t>
        </is>
      </c>
      <c r="E39" s="32" t="inlineStr">
        <is>
          <t>Full</t>
        </is>
      </c>
      <c r="F39" s="32" t="inlineStr">
        <is>
          <t>Regal Purple</t>
        </is>
      </c>
      <c r="G39" s="33" t="n"/>
      <c r="H39" s="32" t="n"/>
      <c r="I39" s="33" t="n"/>
      <c r="J39" s="32" t="n"/>
      <c r="K39" s="33" t="n"/>
      <c r="L39" s="63" t="n"/>
      <c r="M39" s="64" t="n"/>
      <c r="N39" s="32" t="inlineStr">
        <is>
          <t>Inactive</t>
        </is>
      </c>
      <c r="O39" s="32" t="n"/>
      <c r="P39" s="65" t="n"/>
      <c r="Q39" s="64" t="n"/>
      <c r="R39" s="64" t="n"/>
      <c r="S39" s="64" t="n"/>
      <c r="T39" s="32" t="n"/>
    </row>
    <row r="40" ht="62" customHeight="1">
      <c r="A40" s="39" t="inlineStr">
        <is>
          <t>IMAGE MISSING</t>
        </is>
      </c>
      <c r="B40" s="32" t="inlineStr">
        <is>
          <t>B0H7K1RXPG</t>
        </is>
      </c>
      <c r="C40" s="32" t="inlineStr">
        <is>
          <t>SL-COOLING-SHEET-FULL-SAGE-GREEN-6PC</t>
        </is>
      </c>
      <c r="D40" s="32" t="inlineStr">
        <is>
          <t>SLEEPHORIA Cooling Sheets - BreezeWeave 6 PC Full Size Cooling Bed Sheets for Hot Sleepers &amp; Deep, Cool Rest - Cloud Soft, Silky Smooth, 16 in Deep Pocket, Ultra Durable (Sage Green)</t>
        </is>
      </c>
      <c r="E40" s="32" t="inlineStr">
        <is>
          <t>Full</t>
        </is>
      </c>
      <c r="F40" s="32" t="inlineStr">
        <is>
          <t>Sage Green</t>
        </is>
      </c>
      <c r="G40" s="33" t="n"/>
      <c r="H40" s="32" t="n"/>
      <c r="I40" s="33" t="n"/>
      <c r="J40" s="32" t="n"/>
      <c r="K40" s="33" t="n"/>
      <c r="L40" s="63" t="n"/>
      <c r="M40" s="64" t="n"/>
      <c r="N40" s="32" t="inlineStr">
        <is>
          <t>Inactive</t>
        </is>
      </c>
      <c r="O40" s="32" t="n"/>
      <c r="P40" s="65" t="n"/>
      <c r="Q40" s="64" t="n"/>
      <c r="R40" s="64" t="n"/>
      <c r="S40" s="64" t="n"/>
      <c r="T40" s="32" t="n"/>
    </row>
    <row r="41" ht="62" customHeight="1">
      <c r="A41" s="39" t="inlineStr">
        <is>
          <t>IMAGE MISSING</t>
        </is>
      </c>
      <c r="B41" s="32" t="inlineStr">
        <is>
          <t>B0H7K8JV6Z</t>
        </is>
      </c>
      <c r="C41" s="32" t="inlineStr">
        <is>
          <t>SL-COOLING-SHEET-FULL-WHITE-6PC</t>
        </is>
      </c>
      <c r="D41" s="32" t="inlineStr">
        <is>
          <t>SLEEPHORIA Cooling Sheets - BreezeWeave 6 PC Full Size Cooling Bed Sheets for Hot Sleepers &amp; Deep, Cool Rest - Cloud Soft, Silky Smooth, 16 in Deep Pocket, Ultra Durable (White)</t>
        </is>
      </c>
      <c r="E41" s="32" t="inlineStr">
        <is>
          <t>Full</t>
        </is>
      </c>
      <c r="F41" s="32" t="inlineStr">
        <is>
          <t>White</t>
        </is>
      </c>
      <c r="G41" s="33" t="n"/>
      <c r="H41" s="32" t="n"/>
      <c r="I41" s="33" t="n"/>
      <c r="J41" s="32" t="n"/>
      <c r="K41" s="33" t="n"/>
      <c r="L41" s="63" t="n"/>
      <c r="M41" s="64" t="n"/>
      <c r="N41" s="32" t="inlineStr">
        <is>
          <t>Inactive</t>
        </is>
      </c>
      <c r="O41" s="32" t="n"/>
      <c r="P41" s="65" t="n"/>
      <c r="Q41" s="64" t="n"/>
      <c r="R41" s="64" t="n"/>
      <c r="S41" s="64" t="n"/>
      <c r="T41" s="32" t="n"/>
    </row>
    <row r="42" ht="62" customHeight="1">
      <c r="A42" s="39" t="inlineStr">
        <is>
          <t>IMAGE MISSING</t>
        </is>
      </c>
      <c r="B42" s="32" t="inlineStr">
        <is>
          <t>B0H7K6BRH8</t>
        </is>
      </c>
      <c r="C42" s="32" t="inlineStr">
        <is>
          <t>SL-COOLING-SHEET-KING-BEIGE-6PC</t>
        </is>
      </c>
      <c r="D42" s="32" t="inlineStr">
        <is>
          <t>SLEEPHORIA Cooling Sheets - BreezeWeave 6 PC King Size Cooling Bed Sheets for Hot Sleepers &amp; Deep, Cool Rest - Cloud Soft, Silky Smooth, 16 in Deep Pocket, Ultra Durable (Beige)</t>
        </is>
      </c>
      <c r="E42" s="32" t="inlineStr">
        <is>
          <t>King</t>
        </is>
      </c>
      <c r="F42" s="32" t="inlineStr">
        <is>
          <t>Beige</t>
        </is>
      </c>
      <c r="G42" s="33" t="n"/>
      <c r="H42" s="32" t="n"/>
      <c r="I42" s="33" t="n"/>
      <c r="J42" s="32" t="n"/>
      <c r="K42" s="33" t="n"/>
      <c r="L42" s="63" t="n"/>
      <c r="M42" s="64" t="n"/>
      <c r="N42" s="32" t="inlineStr">
        <is>
          <t>Inactive</t>
        </is>
      </c>
      <c r="O42" s="32" t="n"/>
      <c r="P42" s="65" t="n"/>
      <c r="Q42" s="64" t="n"/>
      <c r="R42" s="64" t="n"/>
      <c r="S42" s="64" t="n"/>
      <c r="T42" s="32" t="n"/>
    </row>
    <row r="43" ht="62" customHeight="1">
      <c r="A43" s="39" t="inlineStr">
        <is>
          <t>IMAGE MISSING</t>
        </is>
      </c>
      <c r="B43" s="32" t="inlineStr">
        <is>
          <t>B0H7K1PKQM</t>
        </is>
      </c>
      <c r="C43" s="32" t="inlineStr">
        <is>
          <t>SL-COOLING-SHEET-KING-COOL-GREY-6PC</t>
        </is>
      </c>
      <c r="D43" s="32" t="inlineStr">
        <is>
          <t>SLEEPHORIA Cooling Sheets - BreezeWeave 6 PC King Size Cooling Bed Sheets for Hot Sleepers &amp; Deep, Cool Rest - Cloud Soft, Silky Smooth, 16 in Deep Pocket, Ultra Durable (Cool Grey)</t>
        </is>
      </c>
      <c r="E43" s="32" t="inlineStr">
        <is>
          <t>King</t>
        </is>
      </c>
      <c r="F43" s="32" t="inlineStr">
        <is>
          <t>Cool Grey</t>
        </is>
      </c>
      <c r="G43" s="33" t="n"/>
      <c r="H43" s="32" t="n"/>
      <c r="I43" s="33" t="n"/>
      <c r="J43" s="32" t="n"/>
      <c r="K43" s="33" t="n"/>
      <c r="L43" s="63" t="n"/>
      <c r="M43" s="64" t="n"/>
      <c r="N43" s="32" t="inlineStr">
        <is>
          <t>Inactive</t>
        </is>
      </c>
      <c r="O43" s="32" t="n"/>
      <c r="P43" s="65" t="n"/>
      <c r="Q43" s="64" t="n"/>
      <c r="R43" s="64" t="n"/>
      <c r="S43" s="64" t="n"/>
      <c r="T43" s="32" t="n"/>
    </row>
    <row r="44" ht="62" customHeight="1">
      <c r="A44" s="39" t="inlineStr">
        <is>
          <t>IMAGE MISSING</t>
        </is>
      </c>
      <c r="B44" s="32" t="inlineStr">
        <is>
          <t>B0H7K644SS</t>
        </is>
      </c>
      <c r="C44" s="32" t="inlineStr">
        <is>
          <t>SL-COOLING-SHEET-KING-CREAM-6PC</t>
        </is>
      </c>
      <c r="D44" s="32" t="inlineStr">
        <is>
          <t>SLEEPHORIA Cooling Sheets - BreezeWeave 6 PC King Size Cooling Bed Sheets for Hot Sleepers &amp; Deep, Cool Rest - Cloud Soft, Silky Smooth, 16 in Deep Pocket, Ultra Durable (Cream)</t>
        </is>
      </c>
      <c r="E44" s="32" t="inlineStr">
        <is>
          <t>King</t>
        </is>
      </c>
      <c r="F44" s="32" t="inlineStr">
        <is>
          <t>Cream</t>
        </is>
      </c>
      <c r="G44" s="33" t="n"/>
      <c r="H44" s="32" t="n"/>
      <c r="I44" s="33" t="n"/>
      <c r="J44" s="32" t="n"/>
      <c r="K44" s="33" t="n"/>
      <c r="L44" s="63" t="n"/>
      <c r="M44" s="64" t="n"/>
      <c r="N44" s="32" t="inlineStr">
        <is>
          <t>Inactive</t>
        </is>
      </c>
      <c r="O44" s="32" t="n"/>
      <c r="P44" s="65" t="n"/>
      <c r="Q44" s="64" t="n"/>
      <c r="R44" s="64" t="n"/>
      <c r="S44" s="64" t="n"/>
      <c r="T44" s="32" t="n"/>
    </row>
    <row r="45" ht="62" customHeight="1">
      <c r="A45" s="39" t="inlineStr">
        <is>
          <t>IMAGE MISSING</t>
        </is>
      </c>
      <c r="B45" s="32" t="inlineStr">
        <is>
          <t>B0H7K1PWNY</t>
        </is>
      </c>
      <c r="C45" s="32" t="inlineStr">
        <is>
          <t>SL-COOLING-SHEET-KING-GRAPHITE-6PC</t>
        </is>
      </c>
      <c r="D45" s="32" t="inlineStr">
        <is>
          <t>SLEEPHORIA Cooling Sheets - BreezeWeave 6 PC King Size Cooling Bed Sheets for Hot Sleepers &amp; Deep, Cool Rest - Cloud Soft, Silky Smooth, 16 in Deep Pocket, Ultra Durable (Graphite)</t>
        </is>
      </c>
      <c r="E45" s="32" t="inlineStr">
        <is>
          <t>King</t>
        </is>
      </c>
      <c r="F45" s="32" t="inlineStr">
        <is>
          <t>Graphite</t>
        </is>
      </c>
      <c r="G45" s="33" t="n"/>
      <c r="H45" s="32" t="n"/>
      <c r="I45" s="33" t="n"/>
      <c r="J45" s="32" t="n"/>
      <c r="K45" s="33" t="n"/>
      <c r="L45" s="63" t="n"/>
      <c r="M45" s="64" t="n"/>
      <c r="N45" s="32" t="inlineStr">
        <is>
          <t>Inactive</t>
        </is>
      </c>
      <c r="O45" s="32" t="n"/>
      <c r="P45" s="65" t="n"/>
      <c r="Q45" s="64" t="n"/>
      <c r="R45" s="64" t="n"/>
      <c r="S45" s="64" t="n"/>
      <c r="T45" s="32" t="n"/>
    </row>
    <row r="46" ht="62" customHeight="1">
      <c r="A46" s="39" t="inlineStr">
        <is>
          <t>IMAGE MISSING</t>
        </is>
      </c>
      <c r="B46" s="32" t="inlineStr">
        <is>
          <t>B0H7K82H9V</t>
        </is>
      </c>
      <c r="C46" s="32" t="inlineStr">
        <is>
          <t>SL-COOLING-SHEET-KING-LIGHT-BLUE-6PC</t>
        </is>
      </c>
      <c r="D46" s="32" t="inlineStr">
        <is>
          <t>SLEEPHORIA Cooling Sheets - BreezeWeave 6 PC King Size Cooling Bed Sheets for Hot Sleepers &amp; Deep, Cool Rest - Cloud Soft, Silky Smooth, 16 in Deep Pocket, Ultra Durable (Light Blue)</t>
        </is>
      </c>
      <c r="E46" s="32" t="inlineStr">
        <is>
          <t>King</t>
        </is>
      </c>
      <c r="F46" s="32" t="inlineStr">
        <is>
          <t>Light Blue</t>
        </is>
      </c>
      <c r="G46" s="33" t="n"/>
      <c r="H46" s="32" t="n"/>
      <c r="I46" s="33" t="n"/>
      <c r="J46" s="32" t="n"/>
      <c r="K46" s="33" t="n"/>
      <c r="L46" s="63" t="n"/>
      <c r="M46" s="64" t="n"/>
      <c r="N46" s="32" t="inlineStr">
        <is>
          <t>Inactive</t>
        </is>
      </c>
      <c r="O46" s="32" t="n"/>
      <c r="P46" s="65" t="n"/>
      <c r="Q46" s="64" t="n"/>
      <c r="R46" s="64" t="n"/>
      <c r="S46" s="64" t="n"/>
      <c r="T46" s="32" t="n"/>
    </row>
    <row r="47" ht="62" customHeight="1">
      <c r="A47" s="39" t="inlineStr">
        <is>
          <t>IMAGE MISSING</t>
        </is>
      </c>
      <c r="B47" s="32" t="inlineStr">
        <is>
          <t>B0H7JXPV8F</t>
        </is>
      </c>
      <c r="C47" s="32" t="inlineStr">
        <is>
          <t>SL-COOLING-SHEET-KING-LIGHT-GREY-6PC</t>
        </is>
      </c>
      <c r="D47" s="32" t="inlineStr">
        <is>
          <t>SLEEPHORIA Cooling Sheets - BreezeWeave 6 PC King Size Cooling Bed Sheets for Hot Sleepers &amp; Deep, Cool Rest - Cloud Soft, Silky Smooth, 16 in Deep Pocket, Ultra Durable (Light Grey)</t>
        </is>
      </c>
      <c r="E47" s="32" t="inlineStr">
        <is>
          <t>King</t>
        </is>
      </c>
      <c r="F47" s="32" t="inlineStr">
        <is>
          <t>Light Grey</t>
        </is>
      </c>
      <c r="G47" s="33" t="n"/>
      <c r="H47" s="32" t="n"/>
      <c r="I47" s="33" t="n"/>
      <c r="J47" s="32" t="n"/>
      <c r="K47" s="33" t="n"/>
      <c r="L47" s="63" t="n"/>
      <c r="M47" s="64" t="n"/>
      <c r="N47" s="32" t="inlineStr">
        <is>
          <t>Inactive</t>
        </is>
      </c>
      <c r="O47" s="32" t="n"/>
      <c r="P47" s="65" t="n"/>
      <c r="Q47" s="64" t="n"/>
      <c r="R47" s="64" t="n"/>
      <c r="S47" s="64" t="n"/>
      <c r="T47" s="32" t="n"/>
    </row>
    <row r="48" ht="62" customHeight="1">
      <c r="A48" s="39" t="inlineStr">
        <is>
          <t>IMAGE MISSING</t>
        </is>
      </c>
      <c r="B48" s="32" t="inlineStr">
        <is>
          <t>B0H7KCWMWL</t>
        </is>
      </c>
      <c r="C48" s="32" t="inlineStr">
        <is>
          <t>SL-COOLING-SHEET-KING-LIGHT-PINK-6PC</t>
        </is>
      </c>
      <c r="D48" s="32" t="inlineStr">
        <is>
          <t>SLEEPHORIA Cooling Sheets - BreezeWeave 6 PC King Size Cooling Bed Sheets for Hot Sleepers &amp; Deep, Cool Rest - Cloud Soft, Silky Smooth, 16 in Deep Pocket, Ultra Durable (Light Pink)</t>
        </is>
      </c>
      <c r="E48" s="32" t="inlineStr">
        <is>
          <t>King</t>
        </is>
      </c>
      <c r="F48" s="32" t="inlineStr">
        <is>
          <t>Light Pink</t>
        </is>
      </c>
      <c r="G48" s="33" t="n"/>
      <c r="H48" s="32" t="n"/>
      <c r="I48" s="33" t="n"/>
      <c r="J48" s="32" t="n"/>
      <c r="K48" s="33" t="n"/>
      <c r="L48" s="63" t="n"/>
      <c r="M48" s="64" t="n"/>
      <c r="N48" s="32" t="inlineStr">
        <is>
          <t>Inactive</t>
        </is>
      </c>
      <c r="O48" s="32" t="n"/>
      <c r="P48" s="65" t="n"/>
      <c r="Q48" s="64" t="n"/>
      <c r="R48" s="64" t="n"/>
      <c r="S48" s="64" t="n"/>
      <c r="T48" s="32" t="n"/>
    </row>
    <row r="49" ht="62" customHeight="1">
      <c r="A49" s="39" t="inlineStr">
        <is>
          <t>IMAGE MISSING</t>
        </is>
      </c>
      <c r="B49" s="32" t="inlineStr">
        <is>
          <t>B0H7K47L8Q</t>
        </is>
      </c>
      <c r="C49" s="32" t="inlineStr">
        <is>
          <t>SL-COOLING-SHEET-KING-MIDBLK-6PC</t>
        </is>
      </c>
      <c r="D49" s="32" t="inlineStr">
        <is>
          <t>SLEEPHORIA Cooling Sheets - BreezeWeave 6 PC King Size Cooling Bed Sheets for Hot Sleepers &amp; Deep, Cool Rest - Cloud Soft, Silky Smooth, 16 in Deep Pocket, Ultra Durable (Midnight Black)</t>
        </is>
      </c>
      <c r="E49" s="32" t="inlineStr">
        <is>
          <t>King</t>
        </is>
      </c>
      <c r="F49" s="32" t="inlineStr">
        <is>
          <t>Midnight Black</t>
        </is>
      </c>
      <c r="G49" s="33" t="n"/>
      <c r="H49" s="32" t="n"/>
      <c r="I49" s="33" t="n"/>
      <c r="J49" s="32" t="n"/>
      <c r="K49" s="33" t="n"/>
      <c r="L49" s="63" t="n"/>
      <c r="M49" s="64" t="n"/>
      <c r="N49" s="32" t="inlineStr">
        <is>
          <t>Inactive</t>
        </is>
      </c>
      <c r="O49" s="32" t="n"/>
      <c r="P49" s="65" t="n"/>
      <c r="Q49" s="64" t="n"/>
      <c r="R49" s="64" t="n"/>
      <c r="S49" s="64" t="n"/>
      <c r="T49" s="32" t="n"/>
    </row>
    <row r="50" ht="62" customHeight="1">
      <c r="A50" s="39" t="inlineStr">
        <is>
          <t>IMAGE MISSING</t>
        </is>
      </c>
      <c r="B50" s="32" t="inlineStr">
        <is>
          <t>B0H7K67LGY</t>
        </is>
      </c>
      <c r="C50" s="32" t="inlineStr">
        <is>
          <t>SL-COOLING-SHEET-KING-NAVY-BLUE-6PC</t>
        </is>
      </c>
      <c r="D50" s="32" t="inlineStr">
        <is>
          <t>SLEEPHORIA Cooling Sheets - BreezeWeave 6 PC King Size Cooling Bed Sheets for Hot Sleepers &amp; Deep, Cool Rest - Cloud Soft, Silky Smooth, 16 in Deep Pocket, Ultra Durable (Navy Blue)</t>
        </is>
      </c>
      <c r="E50" s="32" t="inlineStr">
        <is>
          <t>King</t>
        </is>
      </c>
      <c r="F50" s="32" t="inlineStr">
        <is>
          <t>Navy Blue</t>
        </is>
      </c>
      <c r="G50" s="33" t="n"/>
      <c r="H50" s="32" t="n"/>
      <c r="I50" s="33" t="n"/>
      <c r="J50" s="32" t="n"/>
      <c r="K50" s="33" t="n"/>
      <c r="L50" s="63" t="n"/>
      <c r="M50" s="64" t="n"/>
      <c r="N50" s="32" t="inlineStr">
        <is>
          <t>Inactive</t>
        </is>
      </c>
      <c r="O50" s="32" t="n"/>
      <c r="P50" s="65" t="n"/>
      <c r="Q50" s="64" t="n"/>
      <c r="R50" s="64" t="n"/>
      <c r="S50" s="64" t="n"/>
      <c r="T50" s="32" t="n"/>
    </row>
    <row r="51" ht="62" customHeight="1">
      <c r="A51" s="39" t="inlineStr">
        <is>
          <t>IMAGE MISSING</t>
        </is>
      </c>
      <c r="B51" s="32" t="inlineStr">
        <is>
          <t>B0H7K5261S</t>
        </is>
      </c>
      <c r="C51" s="32" t="inlineStr">
        <is>
          <t>SL-COOLING-SHEET-KING-RGLPRP-6PC</t>
        </is>
      </c>
      <c r="D51" s="32" t="inlineStr">
        <is>
          <t>SLEEPHORIA Cooling Sheets - BreezeWeave 6 PC King Size Cooling Bed Sheets for Hot Sleepers &amp; Deep, Cool Rest - Cloud Soft, Silky Smooth, 16 in Deep Pocket, Ultra Durable (Regal Purple)</t>
        </is>
      </c>
      <c r="E51" s="32" t="inlineStr">
        <is>
          <t>King</t>
        </is>
      </c>
      <c r="F51" s="32" t="inlineStr">
        <is>
          <t>Regal Purple</t>
        </is>
      </c>
      <c r="G51" s="33" t="n"/>
      <c r="H51" s="32" t="n"/>
      <c r="I51" s="33" t="n"/>
      <c r="J51" s="32" t="n"/>
      <c r="K51" s="33" t="n"/>
      <c r="L51" s="63" t="n"/>
      <c r="M51" s="64" t="n"/>
      <c r="N51" s="32" t="inlineStr">
        <is>
          <t>Inactive</t>
        </is>
      </c>
      <c r="O51" s="32" t="n"/>
      <c r="P51" s="65" t="n"/>
      <c r="Q51" s="64" t="n"/>
      <c r="R51" s="64" t="n"/>
      <c r="S51" s="64" t="n"/>
      <c r="T51" s="32" t="n"/>
    </row>
    <row r="52" ht="62" customHeight="1">
      <c r="A52" s="39" t="inlineStr">
        <is>
          <t>IMAGE MISSING</t>
        </is>
      </c>
      <c r="B52" s="32" t="inlineStr">
        <is>
          <t>B0H7KBKJN6</t>
        </is>
      </c>
      <c r="C52" s="32" t="inlineStr">
        <is>
          <t>SL-COOLING-SHEET-KING-SAGE-GREEN-6PC</t>
        </is>
      </c>
      <c r="D52" s="32" t="inlineStr">
        <is>
          <t>SLEEPHORIA Cooling Sheets - BreezeWeave 6 PC King Size Cooling Bed Sheets for Hot Sleepers &amp; Deep, Cool Rest - Cloud Soft, Silky Smooth, 16 in Deep Pocket, Ultra Durable (Sage Green)</t>
        </is>
      </c>
      <c r="E52" s="32" t="inlineStr">
        <is>
          <t>King</t>
        </is>
      </c>
      <c r="F52" s="32" t="inlineStr">
        <is>
          <t>Sage Green</t>
        </is>
      </c>
      <c r="G52" s="33" t="n"/>
      <c r="H52" s="32" t="n"/>
      <c r="I52" s="33" t="n"/>
      <c r="J52" s="32" t="n"/>
      <c r="K52" s="33" t="n"/>
      <c r="L52" s="63" t="n"/>
      <c r="M52" s="64" t="n"/>
      <c r="N52" s="32" t="inlineStr">
        <is>
          <t>Inactive</t>
        </is>
      </c>
      <c r="O52" s="32" t="n"/>
      <c r="P52" s="65" t="n"/>
      <c r="Q52" s="64" t="n"/>
      <c r="R52" s="64" t="n"/>
      <c r="S52" s="64" t="n"/>
      <c r="T52" s="32" t="n"/>
    </row>
    <row r="53" ht="62" customHeight="1">
      <c r="A53" s="39" t="inlineStr">
        <is>
          <t>IMAGE MISSING</t>
        </is>
      </c>
      <c r="B53" s="32" t="inlineStr">
        <is>
          <t>B0H7K6W3KT</t>
        </is>
      </c>
      <c r="C53" s="32" t="inlineStr">
        <is>
          <t>SL-COOLING-SHEET-KING-WHITE-6PC</t>
        </is>
      </c>
      <c r="D53" s="32" t="inlineStr">
        <is>
          <t>SLEEPHORIA Cooling Sheets - BreezeWeave 6 PC King Size Cooling Bed Sheets for Hot Sleepers &amp; Deep, Cool Rest - Cloud Soft, Silky Smooth, 16 in Deep Pocket, Ultra Durable (White)</t>
        </is>
      </c>
      <c r="E53" s="32" t="inlineStr">
        <is>
          <t>King</t>
        </is>
      </c>
      <c r="F53" s="32" t="inlineStr">
        <is>
          <t>White</t>
        </is>
      </c>
      <c r="G53" s="33" t="n"/>
      <c r="H53" s="32" t="n"/>
      <c r="I53" s="33" t="n"/>
      <c r="J53" s="32" t="n"/>
      <c r="K53" s="33" t="n"/>
      <c r="L53" s="63" t="n"/>
      <c r="M53" s="64" t="n"/>
      <c r="N53" s="32" t="inlineStr">
        <is>
          <t>Inactive</t>
        </is>
      </c>
      <c r="O53" s="32" t="n"/>
      <c r="P53" s="65" t="n"/>
      <c r="Q53" s="64" t="n"/>
      <c r="R53" s="64" t="n"/>
      <c r="S53" s="64" t="n"/>
      <c r="T53" s="32" t="n"/>
    </row>
    <row r="54" ht="62" customHeight="1">
      <c r="A54" s="39" t="inlineStr">
        <is>
          <t>IMAGE MISSING</t>
        </is>
      </c>
      <c r="B54" s="32" t="inlineStr">
        <is>
          <t>B0H7K7N6Q7</t>
        </is>
      </c>
      <c r="C54" s="32" t="inlineStr">
        <is>
          <t>SL-COOLING-SHEET-QUEEN-BEIGE-6PC</t>
        </is>
      </c>
      <c r="D54" s="32" t="inlineStr">
        <is>
          <t>SLEEPHORIA Cooling Sheets - BreezeWeave 6 PC Queen Size Cooling Bed Sheets for Hot Sleepers &amp; Deep, Cool Rest - Cloud Soft, Silky Smooth, 16 in Deep Pocket, Ultra Durable (Beige)</t>
        </is>
      </c>
      <c r="E54" s="32" t="inlineStr">
        <is>
          <t>Queen</t>
        </is>
      </c>
      <c r="F54" s="32" t="inlineStr">
        <is>
          <t>Beige</t>
        </is>
      </c>
      <c r="G54" s="33" t="n"/>
      <c r="H54" s="32" t="n"/>
      <c r="I54" s="33" t="n"/>
      <c r="J54" s="32" t="n"/>
      <c r="K54" s="33" t="n"/>
      <c r="L54" s="63" t="n"/>
      <c r="M54" s="64" t="n"/>
      <c r="N54" s="32" t="inlineStr">
        <is>
          <t>Inactive</t>
        </is>
      </c>
      <c r="O54" s="32" t="n"/>
      <c r="P54" s="65" t="n"/>
      <c r="Q54" s="64" t="n"/>
      <c r="R54" s="64" t="n"/>
      <c r="S54" s="64" t="n"/>
      <c r="T54" s="32" t="n"/>
    </row>
    <row r="55" ht="62" customHeight="1">
      <c r="A55" s="39" t="inlineStr">
        <is>
          <t>IMAGE MISSING</t>
        </is>
      </c>
      <c r="B55" s="32" t="inlineStr">
        <is>
          <t>B0H7KJ97CC</t>
        </is>
      </c>
      <c r="C55" s="32" t="inlineStr">
        <is>
          <t>SL-COOLING-SHEET-QUEEN-COOL-GREY-6PC</t>
        </is>
      </c>
      <c r="D55" s="32" t="inlineStr">
        <is>
          <t>SLEEPHORIA Cooling Sheets - BreezeWeave 6 PC Queen Size Cooling Bed Sheets for Hot Sleepers &amp; Deep, Cool Rest - Cloud Soft, Silky Smooth, 16 in Deep Pocket, Ultra Durable (Cool Grey)</t>
        </is>
      </c>
      <c r="E55" s="32" t="inlineStr">
        <is>
          <t>Queen</t>
        </is>
      </c>
      <c r="F55" s="32" t="inlineStr">
        <is>
          <t>Cool Grey</t>
        </is>
      </c>
      <c r="G55" s="33" t="n"/>
      <c r="H55" s="32" t="n"/>
      <c r="I55" s="33" t="n"/>
      <c r="J55" s="32" t="n"/>
      <c r="K55" s="33" t="n"/>
      <c r="L55" s="63" t="n"/>
      <c r="M55" s="64" t="n"/>
      <c r="N55" s="32" t="inlineStr">
        <is>
          <t>Inactive</t>
        </is>
      </c>
      <c r="O55" s="32" t="n"/>
      <c r="P55" s="65" t="n"/>
      <c r="Q55" s="64" t="n"/>
      <c r="R55" s="64" t="n"/>
      <c r="S55" s="64" t="n"/>
      <c r="T55" s="32" t="n"/>
    </row>
    <row r="56" ht="62" customHeight="1">
      <c r="A56" s="39" t="inlineStr">
        <is>
          <t>IMAGE MISSING</t>
        </is>
      </c>
      <c r="B56" s="32" t="inlineStr">
        <is>
          <t>B0H7K6B25S</t>
        </is>
      </c>
      <c r="C56" s="32" t="inlineStr">
        <is>
          <t>SL-COOLING-SHEET-QUEEN-CREAM-6PC</t>
        </is>
      </c>
      <c r="D56" s="32" t="inlineStr">
        <is>
          <t>SLEEPHORIA Cooling Sheets - BreezeWeave 6 PC Queen Size Cooling Bed Sheets for Hot Sleepers &amp; Deep, Cool Rest - Cloud Soft, Silky Smooth, 16 in Deep Pocket, Ultra Durable (Cream)</t>
        </is>
      </c>
      <c r="E56" s="32" t="inlineStr">
        <is>
          <t>Queen</t>
        </is>
      </c>
      <c r="F56" s="32" t="inlineStr">
        <is>
          <t>Cream</t>
        </is>
      </c>
      <c r="G56" s="33" t="n"/>
      <c r="H56" s="32" t="n"/>
      <c r="I56" s="33" t="n"/>
      <c r="J56" s="32" t="n"/>
      <c r="K56" s="33" t="n"/>
      <c r="L56" s="63" t="n"/>
      <c r="M56" s="64" t="n"/>
      <c r="N56" s="32" t="inlineStr">
        <is>
          <t>Inactive</t>
        </is>
      </c>
      <c r="O56" s="32" t="n"/>
      <c r="P56" s="65" t="n"/>
      <c r="Q56" s="64" t="n"/>
      <c r="R56" s="64" t="n"/>
      <c r="S56" s="64" t="n"/>
      <c r="T56" s="32" t="n"/>
    </row>
    <row r="57" ht="62" customHeight="1">
      <c r="A57" s="39" t="inlineStr">
        <is>
          <t>IMAGE MISSING</t>
        </is>
      </c>
      <c r="B57" s="32" t="inlineStr">
        <is>
          <t>B0H7K6RQ5H</t>
        </is>
      </c>
      <c r="C57" s="32" t="inlineStr">
        <is>
          <t>SL-COOLING-SHEET-QUEEN-GRAPHITE-6PC</t>
        </is>
      </c>
      <c r="D57" s="32" t="inlineStr">
        <is>
          <t>SLEEPHORIA Cooling Sheets - BreezeWeave 6 PC Queen Size Cooling Bed Sheets for Hot Sleepers &amp; Deep, Cool Rest - Cloud Soft, Silky Smooth, 16 in Deep Pocket, Ultra Durable (Graphite)</t>
        </is>
      </c>
      <c r="E57" s="32" t="inlineStr">
        <is>
          <t>Queen</t>
        </is>
      </c>
      <c r="F57" s="32" t="inlineStr">
        <is>
          <t>Graphite</t>
        </is>
      </c>
      <c r="G57" s="33" t="n"/>
      <c r="H57" s="32" t="n"/>
      <c r="I57" s="33" t="n"/>
      <c r="J57" s="32" t="n"/>
      <c r="K57" s="33" t="n"/>
      <c r="L57" s="63" t="n"/>
      <c r="M57" s="64" t="n"/>
      <c r="N57" s="32" t="inlineStr">
        <is>
          <t>Inactive</t>
        </is>
      </c>
      <c r="O57" s="32" t="n"/>
      <c r="P57" s="65" t="n"/>
      <c r="Q57" s="64" t="n"/>
      <c r="R57" s="64" t="n"/>
      <c r="S57" s="64" t="n"/>
      <c r="T57" s="32" t="n"/>
    </row>
    <row r="58" ht="62" customHeight="1">
      <c r="A58" s="39" t="inlineStr">
        <is>
          <t>IMAGE MISSING</t>
        </is>
      </c>
      <c r="B58" s="32" t="inlineStr">
        <is>
          <t>B0H7KBJB2S</t>
        </is>
      </c>
      <c r="C58" s="32" t="inlineStr">
        <is>
          <t>SL-COOLING-SHEET-QUEEN-LIGHT-BLUE-6PC</t>
        </is>
      </c>
      <c r="D58" s="32" t="inlineStr">
        <is>
          <t>SLEEPHORIA Cooling Sheets - BreezeWeave 6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c r="N58" s="32" t="inlineStr">
        <is>
          <t>Inactive</t>
        </is>
      </c>
      <c r="O58" s="32" t="n"/>
      <c r="P58" s="65" t="n"/>
      <c r="Q58" s="64" t="n"/>
      <c r="R58" s="64" t="n"/>
      <c r="S58" s="64" t="n"/>
      <c r="T58" s="32" t="n"/>
    </row>
    <row r="59" ht="62" customHeight="1">
      <c r="A59" s="39" t="inlineStr">
        <is>
          <t>IMAGE MISSING</t>
        </is>
      </c>
      <c r="B59" s="32" t="inlineStr">
        <is>
          <t>B0H7KHZWNX</t>
        </is>
      </c>
      <c r="C59" s="32" t="inlineStr">
        <is>
          <t>SL-COOLING-SHEET-QUEEN-LIGHT-GREY-6PC</t>
        </is>
      </c>
      <c r="D59" s="32" t="inlineStr">
        <is>
          <t>SLEEPHORIA Cooling Sheets - BreezeWeave 6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c r="N59" s="32" t="inlineStr">
        <is>
          <t>Inactive</t>
        </is>
      </c>
      <c r="O59" s="32" t="n"/>
      <c r="P59" s="65" t="n"/>
      <c r="Q59" s="64" t="n"/>
      <c r="R59" s="64" t="n"/>
      <c r="S59" s="64" t="n"/>
      <c r="T59" s="32" t="n"/>
    </row>
    <row r="60" ht="62" customHeight="1">
      <c r="A60" s="39" t="inlineStr">
        <is>
          <t>IMAGE MISSING</t>
        </is>
      </c>
      <c r="B60" s="32" t="inlineStr">
        <is>
          <t>B0H7K78S7W</t>
        </is>
      </c>
      <c r="C60" s="32" t="inlineStr">
        <is>
          <t>SL-COOLING-SHEET-QUEEN-LIGHT-PINK-6PC</t>
        </is>
      </c>
      <c r="D60" s="32" t="inlineStr">
        <is>
          <t>SLEEPHORIA Cooling Sheets - BreezeWeave 6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Inactive</t>
        </is>
      </c>
      <c r="O60" s="32" t="n"/>
      <c r="P60" s="65" t="n"/>
      <c r="Q60" s="64" t="n"/>
      <c r="R60" s="64" t="n"/>
      <c r="S60" s="64" t="n"/>
      <c r="T60" s="32" t="n"/>
    </row>
    <row r="61" ht="62" customHeight="1">
      <c r="A61" s="39" t="inlineStr">
        <is>
          <t>IMAGE MISSING</t>
        </is>
      </c>
      <c r="B61" s="32" t="inlineStr">
        <is>
          <t>B0H7K4FPC9</t>
        </is>
      </c>
      <c r="C61" s="32" t="inlineStr">
        <is>
          <t>SL-COOLING-SHEET-QUEEN-MIDBLK-6PC</t>
        </is>
      </c>
      <c r="D61" s="32" t="inlineStr">
        <is>
          <t>SLEEPHORIA Cooling Sheets - BreezeWeave 6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c r="N61" s="32" t="inlineStr">
        <is>
          <t>Inactive</t>
        </is>
      </c>
      <c r="O61" s="32" t="n"/>
      <c r="P61" s="65" t="n"/>
      <c r="Q61" s="64" t="n"/>
      <c r="R61" s="64" t="n"/>
      <c r="S61" s="64" t="n"/>
      <c r="T61" s="32" t="n"/>
    </row>
    <row r="62" ht="62" customHeight="1">
      <c r="A62" s="39" t="inlineStr">
        <is>
          <t>IMAGE MISSING</t>
        </is>
      </c>
      <c r="B62" s="32" t="inlineStr">
        <is>
          <t>B0H7K8QW4Y</t>
        </is>
      </c>
      <c r="C62" s="32" t="inlineStr">
        <is>
          <t>SL-COOLING-SHEET-QUEEN-NAVY-BLUE-6PC</t>
        </is>
      </c>
      <c r="D62" s="32" t="inlineStr">
        <is>
          <t>SLEEPHORIA Cooling Sheets - BreezeWeave 6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Inactive</t>
        </is>
      </c>
      <c r="O62" s="32" t="n"/>
      <c r="P62" s="65" t="n"/>
      <c r="Q62" s="64" t="n"/>
      <c r="R62" s="64" t="n"/>
      <c r="S62" s="64" t="n"/>
      <c r="T62" s="32" t="n"/>
    </row>
    <row r="63" ht="62" customHeight="1">
      <c r="A63" s="39" t="inlineStr">
        <is>
          <t>IMAGE MISSING</t>
        </is>
      </c>
      <c r="B63" s="32" t="inlineStr">
        <is>
          <t>B0H7K3FTJM</t>
        </is>
      </c>
      <c r="C63" s="32" t="inlineStr">
        <is>
          <t>SL-COOLING-SHEET-QUEEN-RGLPRP-6PC</t>
        </is>
      </c>
      <c r="D63" s="32" t="inlineStr">
        <is>
          <t>SLEEPHORIA Cooling Sheets - BreezeWeave 6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c r="N63" s="32" t="inlineStr">
        <is>
          <t>Inactive</t>
        </is>
      </c>
      <c r="O63" s="32" t="n"/>
      <c r="P63" s="65" t="n"/>
      <c r="Q63" s="64" t="n"/>
      <c r="R63" s="64" t="n"/>
      <c r="S63" s="64" t="n"/>
      <c r="T63" s="32" t="n"/>
    </row>
    <row r="64" ht="62" customHeight="1">
      <c r="A64" s="39" t="inlineStr">
        <is>
          <t>IMAGE MISSING</t>
        </is>
      </c>
      <c r="B64" s="32" t="inlineStr">
        <is>
          <t>B0H7JYD928</t>
        </is>
      </c>
      <c r="C64" s="32" t="inlineStr">
        <is>
          <t>SL-COOLING-SHEET-QUEEN-SAGE-GREEN-6PC</t>
        </is>
      </c>
      <c r="D64" s="32" t="inlineStr">
        <is>
          <t>SLEEPHORIA Cooling Sheets - BreezeWeave 6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c r="N64" s="32" t="inlineStr">
        <is>
          <t>Inactive</t>
        </is>
      </c>
      <c r="O64" s="32" t="n"/>
      <c r="P64" s="65" t="n"/>
      <c r="Q64" s="64" t="n"/>
      <c r="R64" s="64" t="n"/>
      <c r="S64" s="64" t="n"/>
      <c r="T64" s="32" t="n"/>
    </row>
    <row r="65" ht="62" customHeight="1">
      <c r="A65" s="39" t="inlineStr">
        <is>
          <t>IMAGE MISSING</t>
        </is>
      </c>
      <c r="B65" s="32" t="inlineStr">
        <is>
          <t>B0H7KDR81N</t>
        </is>
      </c>
      <c r="C65" s="32" t="inlineStr">
        <is>
          <t>SL-COOLING-SHEET-QUEEN-WHITE-6PC</t>
        </is>
      </c>
      <c r="D65" s="32" t="inlineStr">
        <is>
          <t>SLEEPHORIA Cooling Sheets - BreezeWeave 6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c r="N65" s="32" t="inlineStr">
        <is>
          <t>Inactive</t>
        </is>
      </c>
      <c r="O65" s="32" t="n"/>
      <c r="P65" s="65" t="n"/>
      <c r="Q65" s="64" t="n"/>
      <c r="R65" s="64" t="n"/>
      <c r="S65" s="64" t="n"/>
      <c r="T65" s="32" t="n"/>
    </row>
    <row r="66" ht="62" customHeight="1">
      <c r="A66" s="39" t="inlineStr">
        <is>
          <t>IMAGE MISSING</t>
        </is>
      </c>
      <c r="B66" s="32" t="inlineStr">
        <is>
          <t>B0H7K3QL1J</t>
        </is>
      </c>
      <c r="C66" s="32" t="inlineStr">
        <is>
          <t>SL-COOLING-SHEET-TWIN-BEIGE-4PC</t>
        </is>
      </c>
      <c r="D66" s="32" t="inlineStr">
        <is>
          <t>SLEEPHORIA Cooling Sheets - BreezeWeave 4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c r="N66" s="32" t="inlineStr">
        <is>
          <t>Inactive</t>
        </is>
      </c>
      <c r="O66" s="32" t="n"/>
      <c r="P66" s="65" t="n"/>
      <c r="Q66" s="64" t="n"/>
      <c r="R66" s="64" t="n"/>
      <c r="S66" s="64" t="n"/>
      <c r="T66" s="32" t="n"/>
    </row>
    <row r="67" ht="62" customHeight="1">
      <c r="A67" s="39" t="inlineStr">
        <is>
          <t>IMAGE MISSING</t>
        </is>
      </c>
      <c r="B67" s="32" t="inlineStr">
        <is>
          <t>B0H7K5LMD2</t>
        </is>
      </c>
      <c r="C67" s="32" t="inlineStr">
        <is>
          <t>SL-COOLING-SHEET-TWIN-COOL-GREY-4PC</t>
        </is>
      </c>
      <c r="D67" s="32" t="inlineStr">
        <is>
          <t>SLEEPHORIA Cooling Sheets - BreezeWeave 4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Inactive</t>
        </is>
      </c>
      <c r="O67" s="32" t="n"/>
      <c r="P67" s="65" t="n"/>
      <c r="Q67" s="64" t="n"/>
      <c r="R67" s="64" t="n"/>
      <c r="S67" s="64" t="n"/>
      <c r="T67" s="32" t="n"/>
    </row>
    <row r="68" ht="62" customHeight="1">
      <c r="A68" s="39" t="inlineStr">
        <is>
          <t>IMAGE MISSING</t>
        </is>
      </c>
      <c r="B68" s="32" t="inlineStr">
        <is>
          <t>B0H7K2D1GZ</t>
        </is>
      </c>
      <c r="C68" s="32" t="inlineStr">
        <is>
          <t>SL-COOLING-SHEET-TWIN-CREAM-4PC</t>
        </is>
      </c>
      <c r="D68" s="32" t="inlineStr">
        <is>
          <t>SLEEPHORIA Cooling Sheets - BreezeWeave 4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Inactive</t>
        </is>
      </c>
      <c r="O68" s="32" t="n"/>
      <c r="P68" s="65" t="n"/>
      <c r="Q68" s="64" t="n"/>
      <c r="R68" s="64" t="n"/>
      <c r="S68" s="64" t="n"/>
      <c r="T68" s="32" t="n"/>
    </row>
    <row r="69" ht="62" customHeight="1">
      <c r="A69" s="39" t="inlineStr">
        <is>
          <t>IMAGE MISSING</t>
        </is>
      </c>
      <c r="B69" s="32" t="inlineStr">
        <is>
          <t>B0H7K11Y35</t>
        </is>
      </c>
      <c r="C69" s="32" t="inlineStr">
        <is>
          <t>SL-COOLING-SHEET-TWIN-GRAPHITE-4PC</t>
        </is>
      </c>
      <c r="D69" s="32" t="inlineStr">
        <is>
          <t>SLEEPHORIA Cooling Sheets - BreezeWeave 4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c r="N69" s="32" t="inlineStr">
        <is>
          <t>Inactive</t>
        </is>
      </c>
      <c r="O69" s="32" t="n"/>
      <c r="P69" s="65" t="n"/>
      <c r="Q69" s="64" t="n"/>
      <c r="R69" s="64" t="n"/>
      <c r="S69" s="64" t="n"/>
      <c r="T69" s="32" t="n"/>
    </row>
    <row r="70" ht="62" customHeight="1">
      <c r="A70" s="39" t="inlineStr">
        <is>
          <t>IMAGE MISSING</t>
        </is>
      </c>
      <c r="B70" s="32" t="inlineStr">
        <is>
          <t>B0H7KF6W72</t>
        </is>
      </c>
      <c r="C70" s="32" t="inlineStr">
        <is>
          <t>SL-COOLING-SHEET-TWIN-LIGHT-BLUE-4PC</t>
        </is>
      </c>
      <c r="D70" s="32" t="inlineStr">
        <is>
          <t>SLEEPHORIA Cooling Sheets - BreezeWeave 4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Inactive</t>
        </is>
      </c>
      <c r="O70" s="32" t="n"/>
      <c r="P70" s="65" t="n"/>
      <c r="Q70" s="64" t="n"/>
      <c r="R70" s="64" t="n"/>
      <c r="S70" s="64" t="n"/>
      <c r="T70" s="32" t="n"/>
    </row>
    <row r="71" ht="62" customHeight="1">
      <c r="A71" s="39" t="inlineStr">
        <is>
          <t>IMAGE MISSING</t>
        </is>
      </c>
      <c r="B71" s="32" t="inlineStr">
        <is>
          <t>B0H7KBK84M</t>
        </is>
      </c>
      <c r="C71" s="32" t="inlineStr">
        <is>
          <t>SL-COOLING-SHEET-TWIN-LIGHT-GREY-4PC</t>
        </is>
      </c>
      <c r="D71" s="32" t="inlineStr">
        <is>
          <t>SLEEPHORIA Cooling Sheets - BreezeWeave 4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Inactive</t>
        </is>
      </c>
      <c r="O71" s="32" t="n"/>
      <c r="P71" s="65" t="n"/>
      <c r="Q71" s="64" t="n"/>
      <c r="R71" s="64" t="n"/>
      <c r="S71" s="64" t="n"/>
      <c r="T71" s="32" t="n"/>
    </row>
    <row r="72" ht="62" customHeight="1">
      <c r="A72" s="39" t="inlineStr">
        <is>
          <t>IMAGE MISSING</t>
        </is>
      </c>
      <c r="B72" s="32" t="inlineStr">
        <is>
          <t>B0H7K4M6Y6</t>
        </is>
      </c>
      <c r="C72" s="32" t="inlineStr">
        <is>
          <t>SL-COOLING-SHEET-TWIN-LIGHT-PINK-4PC</t>
        </is>
      </c>
      <c r="D72" s="32" t="inlineStr">
        <is>
          <t>SLEEPHORIA Cooling Sheets - BreezeWeave 4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Inactive</t>
        </is>
      </c>
      <c r="O72" s="32" t="n"/>
      <c r="P72" s="65" t="n"/>
      <c r="Q72" s="64" t="n"/>
      <c r="R72" s="64" t="n"/>
      <c r="S72" s="64" t="n"/>
      <c r="T72" s="32" t="n"/>
    </row>
    <row r="73" ht="62" customHeight="1">
      <c r="A73" s="39" t="inlineStr">
        <is>
          <t>IMAGE MISSING</t>
        </is>
      </c>
      <c r="B73" s="32" t="inlineStr">
        <is>
          <t>B0H7KBG1ZZ</t>
        </is>
      </c>
      <c r="C73" s="32" t="inlineStr">
        <is>
          <t>SL-COOLING-SHEET-TWIN-MIDBLK-4PC</t>
        </is>
      </c>
      <c r="D73" s="32" t="inlineStr">
        <is>
          <t>SLEEPHORIA Cooling Sheets - BreezeWeave 4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Inactive</t>
        </is>
      </c>
      <c r="O73" s="32" t="n"/>
      <c r="P73" s="65" t="n"/>
      <c r="Q73" s="64" t="n"/>
      <c r="R73" s="64" t="n"/>
      <c r="S73" s="64" t="n"/>
      <c r="T73" s="32" t="n"/>
    </row>
    <row r="74" ht="62" customHeight="1">
      <c r="A74" s="39" t="inlineStr">
        <is>
          <t>IMAGE MISSING</t>
        </is>
      </c>
      <c r="B74" s="32" t="inlineStr">
        <is>
          <t>B0H7K572FP</t>
        </is>
      </c>
      <c r="C74" s="32" t="inlineStr">
        <is>
          <t>SL-COOLING-SHEET-TWIN-NAVY-BLUE-4PC</t>
        </is>
      </c>
      <c r="D74" s="32" t="inlineStr">
        <is>
          <t>SLEEPHORIA Cooling Sheets - BreezeWeave 4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c r="N74" s="32" t="inlineStr">
        <is>
          <t>Inactive</t>
        </is>
      </c>
      <c r="O74" s="32" t="n"/>
      <c r="P74" s="65" t="n"/>
      <c r="Q74" s="64" t="n"/>
      <c r="R74" s="64" t="n"/>
      <c r="S74" s="64" t="n"/>
      <c r="T74" s="32" t="n"/>
    </row>
    <row r="75" ht="62" customHeight="1">
      <c r="A75" s="39" t="inlineStr">
        <is>
          <t>IMAGE MISSING</t>
        </is>
      </c>
      <c r="B75" s="32" t="inlineStr">
        <is>
          <t>B0H7K69MS2</t>
        </is>
      </c>
      <c r="C75" s="32" t="inlineStr">
        <is>
          <t>SL-COOLING-SHEET-TWIN-RGLPRP-4PC</t>
        </is>
      </c>
      <c r="D75" s="32" t="inlineStr">
        <is>
          <t>SLEEPHORIA Cooling Sheets - BreezeWeave 4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Inactive</t>
        </is>
      </c>
      <c r="O75" s="32" t="n"/>
      <c r="P75" s="65" t="n"/>
      <c r="Q75" s="64" t="n"/>
      <c r="R75" s="64" t="n"/>
      <c r="S75" s="64" t="n"/>
      <c r="T75" s="32" t="n"/>
    </row>
    <row r="76" ht="62" customHeight="1">
      <c r="A76" s="39" t="inlineStr">
        <is>
          <t>IMAGE MISSING</t>
        </is>
      </c>
      <c r="B76" s="32" t="inlineStr">
        <is>
          <t>B0H7JPZNT3</t>
        </is>
      </c>
      <c r="C76" s="32" t="inlineStr">
        <is>
          <t>SL-COOLING-SHEET-TWIN-SAGE-GREEN-4PC</t>
        </is>
      </c>
      <c r="D76" s="32" t="inlineStr">
        <is>
          <t>SLEEPHORIA Cooling Sheets - BreezeWeave 4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Inactive</t>
        </is>
      </c>
      <c r="O76" s="32" t="n"/>
      <c r="P76" s="65" t="n"/>
      <c r="Q76" s="64" t="n"/>
      <c r="R76" s="64" t="n"/>
      <c r="S76" s="64" t="n"/>
      <c r="T76" s="32" t="n"/>
    </row>
    <row r="77" ht="62" customHeight="1">
      <c r="A77" s="39" t="inlineStr">
        <is>
          <t>IMAGE MISSING</t>
        </is>
      </c>
      <c r="B77" s="32" t="inlineStr">
        <is>
          <t>B0H7K8NK9T</t>
        </is>
      </c>
      <c r="C77" s="32" t="inlineStr">
        <is>
          <t>SL-COOLING-SHEET-TWIN-WHITE-4PC</t>
        </is>
      </c>
      <c r="D77" s="32" t="inlineStr">
        <is>
          <t>SLEEPHORIA Cooling Sheets - BreezeWeave 4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c r="N77" s="32" t="inlineStr">
        <is>
          <t>Inactive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7" t="inlineStr">
        <is>
          <t>No BFCM 2025 PPC data for this product (not advertised or launched after BFCM 2025).</t>
        </is>
      </c>
    </row>
    <row r="87" ht="20" customHeight="1">
      <c r="A87" s="54" t="inlineStr">
        <is>
          <t>4 · COMPETITOR LANDSCAPE (7 mapped)</t>
        </is>
      </c>
    </row>
    <row r="88">
      <c r="A88" s="59" t="inlineStr">
        <is>
          <t>Sorted by tier, then estimated weekly units. Green = Command Center price/sales; blue = Data Dive listing; purple = Command Center search strategy (ASINsight); yellow = fill from Keepa / page check.</t>
        </is>
      </c>
    </row>
    <row r="89">
      <c r="A89" s="78" t="inlineStr">
        <is>
          <t>COMPETITOR</t>
        </is>
      </c>
      <c r="I89" s="79" t="inlineStr">
        <is>
          <t>LISTING - Data Dive</t>
        </is>
      </c>
      <c r="J89" s="80" t="inlineStr">
        <is>
          <t>SEARCH STRATEGY - Command Center ASINsight</t>
        </is>
      </c>
      <c r="K89" s="81" t="inlineStr">
        <is>
          <t>PRICE &amp; SALES - Command Center snapshot (date per row)</t>
        </is>
      </c>
      <c r="X89" s="79" t="inlineStr">
        <is>
          <t>LISTING - Data Dive</t>
        </is>
      </c>
      <c r="AA89" s="80" t="inlineStr">
        <is>
          <t>SEARCH STRATEGY - Command Center ASINsight</t>
        </is>
      </c>
      <c r="AR89" s="82" t="inlineStr">
        <is>
          <t>STR NOW - Amazon page check (Oct 13, P1 + P2)</t>
        </is>
      </c>
      <c r="AY89" s="83"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10">
        <f>_xlfn.IMAGE("https://images-na.ssl-images-amazon.com/images/I/81L2xb5ly6L.jpg")</f>
        <v/>
      </c>
      <c r="B91" s="84" t="inlineStr">
        <is>
          <t>Bedsure</t>
        </is>
      </c>
      <c r="C91" s="32" t="inlineStr">
        <is>
          <t>Bedsure PureWoven 100% Rayon Derived from Bamboo, Queen Sheets, 4 Pieces</t>
        </is>
      </c>
      <c r="D91" s="84" t="inlineStr">
        <is>
          <t>Untiered</t>
        </is>
      </c>
      <c r="E91" s="84" t="inlineStr">
        <is>
          <t>B0BZ8T5BJ6</t>
        </is>
      </c>
      <c r="F91" s="84" t="inlineStr">
        <is>
          <t>B07YK8VTJV</t>
        </is>
      </c>
      <c r="G91" s="84" t="inlineStr">
        <is>
          <t>Queen</t>
        </is>
      </c>
      <c r="H91" s="84" t="n"/>
      <c r="I91" s="85" t="n">
        <v>131</v>
      </c>
      <c r="J91" s="32" t="inlineStr">
        <is>
          <t>B07YKCZHGK (29%), B07YK8VTJV (19%), B07YKCQBBL (14%), B07YKCB6GL (9%), B08CXWHQT2 (6%)</t>
        </is>
      </c>
      <c r="K91" s="86" t="n">
        <v>62.99</v>
      </c>
      <c r="L91" s="86" t="n">
        <v>69.98999999999999</v>
      </c>
      <c r="M91" s="87">
        <f>IF(AND(ISNUMBER(L91),ISNUMBER(K91),N(K91)&gt;0),L91/K91-1,"")</f>
        <v/>
      </c>
      <c r="N91" s="88">
        <f>IF(M91="","No List Price",IF(M91&lt;=0,"At/below price",IF(M91&lt;=0.12,"&lt;=12% STR zone",IF(M91&lt;=0.25,"12-25%","&gt;25% over"))))</f>
        <v/>
      </c>
      <c r="O91" s="86" t="n"/>
      <c r="P91" s="89">
        <f>IF(AND(ISNUMBER(K91),ISNUMBER(O91),N(O91)&gt;0),K91/O91-1,"")</f>
        <v/>
      </c>
      <c r="Q91" s="32" t="inlineStr">
        <is>
          <t>No price for us</t>
        </is>
      </c>
      <c r="R91" s="85" t="n">
        <v>256</v>
      </c>
      <c r="S91" s="85" t="n">
        <v>809</v>
      </c>
      <c r="T91" s="90">
        <f>IF(AND(ISNUMBER(K91),ISNUMBER(S91)),K91*S91*52/12,"")</f>
        <v/>
      </c>
      <c r="U91" s="91" t="n">
        <v>4.4</v>
      </c>
      <c r="V91" s="85" t="n">
        <v>65061</v>
      </c>
      <c r="W91" s="92" t="n">
        <v>46307</v>
      </c>
      <c r="X91" s="92" t="n">
        <v>43348</v>
      </c>
      <c r="Y91" s="84" t="inlineStr">
        <is>
          <t>FBA</t>
        </is>
      </c>
      <c r="Z91" s="84" t="inlineStr">
        <is>
          <t>US</t>
        </is>
      </c>
      <c r="AA91" s="85" t="n">
        <v>2166046</v>
      </c>
      <c r="AB91" s="85" t="n">
        <v>6935</v>
      </c>
      <c r="AC91" s="93" t="n">
        <v>0.5902383405984899</v>
      </c>
      <c r="AD91" s="93" t="n">
        <v>0.4097618027040986</v>
      </c>
      <c r="AE91" s="32" t="inlineStr">
        <is>
          <t>bamboo sheets</t>
        </is>
      </c>
      <c r="AF91" s="93" t="n">
        <v>0.9388327856379781</v>
      </c>
      <c r="AG91" s="93" t="n">
        <v>0.9371818511702891</v>
      </c>
      <c r="AH91" s="93" t="n">
        <v>0.6488394059959945</v>
      </c>
      <c r="AI91" s="93" t="n">
        <v>0.3206907886536112</v>
      </c>
      <c r="AJ91" s="85" t="n"/>
      <c r="AK91" s="85" t="n"/>
      <c r="AL91" s="85" t="n"/>
      <c r="AM91" s="85" t="n"/>
      <c r="AN91" s="85" t="n"/>
      <c r="AO91" s="85" t="n"/>
      <c r="AP91" s="94" t="n">
        <v>1.066623404715553</v>
      </c>
      <c r="AQ91" s="89" t="n">
        <v>-0.05727665706051865</v>
      </c>
      <c r="AR91" s="95" t="inlineStr">
        <is>
          <t>Y</t>
        </is>
      </c>
      <c r="AS91" s="95" t="inlineStr">
        <is>
          <t>List Price</t>
        </is>
      </c>
      <c r="AT91" s="96" t="n">
        <v>69.98999999999999</v>
      </c>
      <c r="AU91" s="96" t="n">
        <v>62.99</v>
      </c>
      <c r="AV91" s="95" t="inlineStr">
        <is>
          <t>none</t>
        </is>
      </c>
      <c r="AW91" s="95" t="inlineStr">
        <is>
          <t>Y</t>
        </is>
      </c>
      <c r="AX91" s="95" t="inlineStr">
        <is>
          <t>2026-10-13 12:10:35</t>
        </is>
      </c>
      <c r="AY91" s="97" t="inlineStr">
        <is>
          <t>Prime Exclusive Discount</t>
        </is>
      </c>
      <c r="AZ91" s="97" t="inlineStr">
        <is>
          <t>11-23 to 12-01</t>
        </is>
      </c>
      <c r="BA91" s="98" t="n">
        <v>66.48999999999999</v>
      </c>
      <c r="BB91" s="98" t="n">
        <v>55.99</v>
      </c>
      <c r="BC91" s="87">
        <f>IF(AND(ISNUMBER(BA91),ISNUMBER(BB91),N(BA91)&gt;0),1-BB91/BA91,"")</f>
        <v/>
      </c>
      <c r="BD91" s="99" t="n">
        <v>156</v>
      </c>
      <c r="BE91" s="99" t="n">
        <v>228</v>
      </c>
      <c r="BF91" s="100">
        <f>IF(AND(ISNUMBER(BD91),ISNUMBER(BE91),N(BE91)&gt;0),BD91/BE91,"")</f>
        <v/>
      </c>
      <c r="BG91" s="97" t="inlineStr">
        <is>
          <t>N</t>
        </is>
      </c>
      <c r="BH91" s="97" t="inlineStr">
        <is>
          <t>Buy Box RAISED in BFCM week (median $69.99 vs $66.49 before); List Price $78.99</t>
        </is>
      </c>
    </row>
    <row r="92" ht="62" customHeight="1">
      <c r="A92" s="39" t="inlineStr">
        <is>
          <t>IMAGE MISSING</t>
        </is>
      </c>
      <c r="B92" s="84" t="inlineStr">
        <is>
          <t>REST</t>
        </is>
      </c>
      <c r="C92" s="32" t="inlineStr">
        <is>
          <t>Cooling Sheets</t>
        </is>
      </c>
      <c r="D92" s="84" t="inlineStr">
        <is>
          <t>Untiered</t>
        </is>
      </c>
      <c r="E92" s="84" t="inlineStr">
        <is>
          <t>B0HC6866B7</t>
        </is>
      </c>
      <c r="F92" s="84" t="inlineStr">
        <is>
          <t>B0D9JHBBCZ</t>
        </is>
      </c>
      <c r="G92" s="84" t="n"/>
      <c r="H92" s="84" t="n"/>
      <c r="I92" s="85" t="n">
        <v>69</v>
      </c>
      <c r="J92" s="32" t="inlineStr">
        <is>
          <t>B0C56ZNQVQ (16%), B0BLYSGFRW (15%), B0BLYVMGYB (7%), B0BLYW9CJZ (7%), B0C56YLKZW (7%)</t>
        </is>
      </c>
      <c r="K92" s="86" t="n">
        <v>224.25</v>
      </c>
      <c r="L92" s="86" t="n">
        <v>299</v>
      </c>
      <c r="M92" s="87">
        <f>IF(AND(ISNUMBER(L92),ISNUMBER(K92),N(K92)&gt;0),L92/K92-1,"")</f>
        <v/>
      </c>
      <c r="N92" s="88">
        <f>IF(M92="","No List Price",IF(M92&lt;=0,"At/below price",IF(M92&lt;=0.12,"&lt;=12% STR zone",IF(M92&lt;=0.25,"12-25%","&gt;25% over"))))</f>
        <v/>
      </c>
      <c r="O92" s="86" t="n"/>
      <c r="P92" s="89">
        <f>IF(AND(ISNUMBER(K92),ISNUMBER(O92),N(O92)&gt;0),K92/O92-1,"")</f>
        <v/>
      </c>
      <c r="Q92" s="32" t="inlineStr">
        <is>
          <t>No price for us</t>
        </is>
      </c>
      <c r="R92" s="85" t="n">
        <v>5255</v>
      </c>
      <c r="S92" s="85" t="n">
        <v>81</v>
      </c>
      <c r="T92" s="90">
        <f>IF(AND(ISNUMBER(K92),ISNUMBER(S92)),K92*S92*52/12,"")</f>
        <v/>
      </c>
      <c r="U92" s="91" t="n">
        <v>4.3</v>
      </c>
      <c r="V92" s="85" t="n">
        <v>1149</v>
      </c>
      <c r="W92" s="92" t="n">
        <v>46307</v>
      </c>
      <c r="X92" s="92" t="n"/>
      <c r="Y92" s="84" t="n"/>
      <c r="Z92" s="84" t="n"/>
      <c r="AA92" s="85" t="n">
        <v>522593</v>
      </c>
      <c r="AB92" s="85" t="n">
        <v>7281</v>
      </c>
      <c r="AC92" s="93" t="n">
        <v>0.2234137663535486</v>
      </c>
      <c r="AD92" s="93" t="n">
        <v>0.7765862336464519</v>
      </c>
      <c r="AE92" s="32" t="inlineStr">
        <is>
          <t>cooling sheets</t>
        </is>
      </c>
      <c r="AF92" s="93" t="n">
        <v>0.7800085343661319</v>
      </c>
      <c r="AG92" s="93" t="n">
        <v>0.8614600654811679</v>
      </c>
      <c r="AH92" s="93" t="n">
        <v>0.4534561312531932</v>
      </c>
      <c r="AI92" s="93" t="n">
        <v>0.1182067115326841</v>
      </c>
      <c r="AJ92" s="85" t="n"/>
      <c r="AK92" s="85" t="n"/>
      <c r="AL92" s="85" t="n"/>
      <c r="AM92" s="85" t="n"/>
      <c r="AN92" s="85" t="n"/>
      <c r="AO92" s="85" t="n"/>
      <c r="AP92" s="94" t="n"/>
      <c r="AQ92" s="89" t="n"/>
      <c r="AR92" s="95" t="inlineStr">
        <is>
          <t>Y</t>
        </is>
      </c>
      <c r="AS92" s="95" t="inlineStr">
        <is>
          <t>List Price</t>
        </is>
      </c>
      <c r="AT92" s="96" t="n">
        <v>299</v>
      </c>
      <c r="AU92" s="96" t="n">
        <v>224.25</v>
      </c>
      <c r="AV92" s="95" t="inlineStr">
        <is>
          <t>none</t>
        </is>
      </c>
      <c r="AW92" s="95" t="inlineStr">
        <is>
          <t>Y</t>
        </is>
      </c>
      <c r="AX92" s="95" t="inlineStr">
        <is>
          <t>2026-10-13 12:12:07</t>
        </is>
      </c>
      <c r="AY92" s="97" t="inlineStr">
        <is>
          <t>Price cut only</t>
        </is>
      </c>
      <c r="AZ92" s="97" t="inlineStr">
        <is>
          <t>11-20 to 12-01</t>
        </is>
      </c>
      <c r="BA92" s="98" t="n">
        <v>299</v>
      </c>
      <c r="BB92" s="98" t="n">
        <v>215.88</v>
      </c>
      <c r="BC92" s="87">
        <f>IF(AND(ISNUMBER(BA92),ISNUMBER(BB92),N(BA92)&gt;0),1-BB92/BA92,"")</f>
        <v/>
      </c>
      <c r="BD92" s="99" t="n">
        <v>30243</v>
      </c>
      <c r="BE92" s="99" t="n">
        <v>15706</v>
      </c>
      <c r="BF92" s="100">
        <f>IF(AND(ISNUMBER(BD92),ISNUMBER(BE92),N(BE92)&gt;0),BD92/BE92,"")</f>
        <v/>
      </c>
      <c r="BG92" s="97" t="inlineStr">
        <is>
          <t>N</t>
        </is>
      </c>
      <c r="BH92" s="97" t="inlineStr">
        <is>
          <t>Lightning Deal 11-14 to 11-14; List Price $299.00</t>
        </is>
      </c>
    </row>
    <row r="93" ht="62" customHeight="1">
      <c r="A93" s="39" t="inlineStr">
        <is>
          <t>IMAGE MISSING</t>
        </is>
      </c>
      <c r="B93" s="84" t="inlineStr">
        <is>
          <t>Breescape</t>
        </is>
      </c>
      <c r="C93" s="32" t="inlineStr">
        <is>
          <t>Cooling Sheets</t>
        </is>
      </c>
      <c r="D93" s="84" t="inlineStr">
        <is>
          <t>Untiered</t>
        </is>
      </c>
      <c r="E93" s="84" t="inlineStr">
        <is>
          <t>B0H41M1N4B</t>
        </is>
      </c>
      <c r="F93" s="84" t="inlineStr">
        <is>
          <t>B0DSPZJKTB</t>
        </is>
      </c>
      <c r="G93" s="84" t="n"/>
      <c r="H93" s="84" t="n"/>
      <c r="I93" s="85" t="n">
        <v>26</v>
      </c>
      <c r="J93" s="32" t="inlineStr">
        <is>
          <t>B0DSPZJKTB (49%), B0DSPZSVFL (26%), B0DSPZKCCN (6%)</t>
        </is>
      </c>
      <c r="K93" s="86" t="n">
        <v>149.99</v>
      </c>
      <c r="L93" s="86" t="n">
        <v>179.99</v>
      </c>
      <c r="M93" s="87">
        <f>IF(AND(ISNUMBER(L93),ISNUMBER(K93),N(K93)&gt;0),L93/K93-1,"")</f>
        <v/>
      </c>
      <c r="N93" s="88">
        <f>IF(M93="","No List Price",IF(M93&lt;=0,"At/below price",IF(M93&lt;=0.12,"&lt;=12% STR zone",IF(M93&lt;=0.25,"12-25%","&gt;25% over"))))</f>
        <v/>
      </c>
      <c r="O93" s="86" t="n"/>
      <c r="P93" s="89">
        <f>IF(AND(ISNUMBER(K93),ISNUMBER(O93),N(O93)&gt;0),K93/O93-1,"")</f>
        <v/>
      </c>
      <c r="Q93" s="32" t="inlineStr">
        <is>
          <t>No price for us</t>
        </is>
      </c>
      <c r="R93" s="85" t="n">
        <v>49910</v>
      </c>
      <c r="S93" s="85" t="n">
        <v>35</v>
      </c>
      <c r="T93" s="90">
        <f>IF(AND(ISNUMBER(K93),ISNUMBER(S93)),K93*S93*52/12,"")</f>
        <v/>
      </c>
      <c r="U93" s="91" t="n">
        <v>4.2</v>
      </c>
      <c r="V93" s="85" t="n">
        <v>595</v>
      </c>
      <c r="W93" s="92" t="n">
        <v>46307</v>
      </c>
      <c r="X93" s="92" t="n"/>
      <c r="Y93" s="84" t="n"/>
      <c r="Z93" s="84" t="n"/>
      <c r="AA93" s="85" t="n">
        <v>107224</v>
      </c>
      <c r="AB93" s="85" t="n">
        <v>1884</v>
      </c>
      <c r="AC93" s="93" t="n">
        <v>0.5282540960978878</v>
      </c>
      <c r="AD93" s="93" t="n">
        <v>0.4717459934343065</v>
      </c>
      <c r="AE93" s="32" t="inlineStr">
        <is>
          <t>cooling sheets</t>
        </is>
      </c>
      <c r="AF93" s="93" t="n">
        <v>0.853279116615683</v>
      </c>
      <c r="AG93" s="93" t="n">
        <v>0.6382059986570171</v>
      </c>
      <c r="AH93" s="93" t="n">
        <v>0.7425203312691189</v>
      </c>
      <c r="AI93" s="93" t="n">
        <v>0.09657352831455644</v>
      </c>
      <c r="AJ93" s="85" t="n"/>
      <c r="AK93" s="85" t="n"/>
      <c r="AL93" s="85" t="n"/>
      <c r="AM93" s="85" t="n"/>
      <c r="AN93" s="85" t="n"/>
      <c r="AO93" s="85" t="n"/>
      <c r="AP93" s="94" t="n">
        <v>1.443271767810026</v>
      </c>
      <c r="AQ93" s="89" t="n">
        <v>0.2381786339754817</v>
      </c>
      <c r="AR93" s="95" t="inlineStr">
        <is>
          <t>Y</t>
        </is>
      </c>
      <c r="AS93" s="95" t="inlineStr">
        <is>
          <t>List Price</t>
        </is>
      </c>
      <c r="AT93" s="96" t="n">
        <v>179.99</v>
      </c>
      <c r="AU93" s="96" t="n">
        <v>149.99</v>
      </c>
      <c r="AV93" s="95" t="inlineStr">
        <is>
          <t>none</t>
        </is>
      </c>
      <c r="AW93" s="95" t="inlineStr">
        <is>
          <t>Y</t>
        </is>
      </c>
      <c r="AX93" s="95" t="inlineStr">
        <is>
          <t>2026-10-13 12:11:52</t>
        </is>
      </c>
      <c r="AY93" s="97" t="inlineStr">
        <is>
          <t>Price cut only</t>
        </is>
      </c>
      <c r="AZ93" s="97" t="inlineStr">
        <is>
          <t>11-20 to 12-01</t>
        </is>
      </c>
      <c r="BA93" s="98" t="n">
        <v>125.99</v>
      </c>
      <c r="BB93" s="98" t="n">
        <v>119.69</v>
      </c>
      <c r="BC93" s="87">
        <f>IF(AND(ISNUMBER(BA93),ISNUMBER(BB93),N(BA93)&gt;0),1-BB93/BA93,"")</f>
        <v/>
      </c>
      <c r="BD93" s="99" t="n">
        <v>74970</v>
      </c>
      <c r="BE93" s="99" t="n">
        <v>53655</v>
      </c>
      <c r="BF93" s="100">
        <f>IF(AND(ISNUMBER(BD93),ISNUMBER(BE93),N(BE93)&gt;0),BD93/BE93,"")</f>
        <v/>
      </c>
      <c r="BG93" s="97" t="inlineStr">
        <is>
          <t>N</t>
        </is>
      </c>
      <c r="BH93" s="97" t="inlineStr">
        <is>
          <t>Coupon 30% (11-01 to 11-02); List Price $179.99</t>
        </is>
      </c>
    </row>
    <row r="94" ht="62" customHeight="1">
      <c r="A94" s="39" t="inlineStr">
        <is>
          <t>IMAGE MISSING</t>
        </is>
      </c>
      <c r="B94" s="84" t="inlineStr">
        <is>
          <t>Bedsure</t>
        </is>
      </c>
      <c r="C94" s="32" t="inlineStr">
        <is>
          <t>Cooling Sheets</t>
        </is>
      </c>
      <c r="D94" s="84" t="inlineStr">
        <is>
          <t>Untiered</t>
        </is>
      </c>
      <c r="E94" s="84" t="inlineStr">
        <is>
          <t>B0CPDTJ5NN</t>
        </is>
      </c>
      <c r="F94" s="84" t="inlineStr">
        <is>
          <t>B0CPDR5DDM</t>
        </is>
      </c>
      <c r="G94" s="84" t="n"/>
      <c r="H94" s="84" t="n"/>
      <c r="I94" s="85" t="n">
        <v>1</v>
      </c>
      <c r="J94" s="32" t="inlineStr">
        <is>
          <t>B0DGWZTTRL (100%)</t>
        </is>
      </c>
      <c r="K94" s="86" t="n">
        <v>149.99</v>
      </c>
      <c r="L94" s="86" t="n"/>
      <c r="M94" s="87">
        <f>IF(AND(ISNUMBER(L94),ISNUMBER(K94),N(K94)&gt;0),L94/K94-1,"")</f>
        <v/>
      </c>
      <c r="N94" s="88">
        <f>IF(M94="","No List Price",IF(M94&lt;=0,"At/below price",IF(M94&lt;=0.12,"&lt;=12% STR zone",IF(M94&lt;=0.25,"12-25%","&gt;25% over"))))</f>
        <v/>
      </c>
      <c r="O94" s="86" t="n"/>
      <c r="P94" s="89">
        <f>IF(AND(ISNUMBER(K94),ISNUMBER(O94),N(O94)&gt;0),K94/O94-1,"")</f>
        <v/>
      </c>
      <c r="Q94" s="32" t="inlineStr">
        <is>
          <t>No price for us</t>
        </is>
      </c>
      <c r="R94" s="85" t="n">
        <v>463922</v>
      </c>
      <c r="S94" s="85" t="n">
        <v>5</v>
      </c>
      <c r="T94" s="90">
        <f>IF(AND(ISNUMBER(K94),ISNUMBER(S94)),K94*S94*52/12,"")</f>
        <v/>
      </c>
      <c r="U94" s="91" t="n">
        <v>4.2</v>
      </c>
      <c r="V94" s="85" t="n">
        <v>512</v>
      </c>
      <c r="W94" s="92" t="n">
        <v>46307</v>
      </c>
      <c r="X94" s="92" t="n"/>
      <c r="Y94" s="84" t="n"/>
      <c r="Z94" s="84" t="n"/>
      <c r="AA94" s="85" t="n">
        <v>170</v>
      </c>
      <c r="AB94" s="85" t="n">
        <v>22</v>
      </c>
      <c r="AC94" s="93" t="n">
        <v>1</v>
      </c>
      <c r="AD94" s="93" t="n">
        <v>0</v>
      </c>
      <c r="AE94" s="32" t="inlineStr">
        <is>
          <t>bedsure cooling sheets</t>
        </is>
      </c>
      <c r="AF94" s="93" t="n"/>
      <c r="AG94" s="93" t="n"/>
      <c r="AH94" s="93" t="n"/>
      <c r="AI94" s="93" t="n"/>
      <c r="AJ94" s="85" t="n"/>
      <c r="AK94" s="85" t="n"/>
      <c r="AL94" s="85" t="n"/>
      <c r="AM94" s="85" t="n"/>
      <c r="AN94" s="85" t="n"/>
      <c r="AO94" s="85" t="n"/>
      <c r="AP94" s="94" t="n"/>
      <c r="AQ94" s="89" t="n"/>
      <c r="AR94" s="95" t="inlineStr">
        <is>
          <t>N</t>
        </is>
      </c>
      <c r="AS94" s="95" t="inlineStr">
        <is>
          <t>none</t>
        </is>
      </c>
      <c r="AT94" s="101" t="n"/>
      <c r="AU94" s="101" t="n"/>
      <c r="AV94" s="95" t="inlineStr">
        <is>
          <t>none</t>
        </is>
      </c>
      <c r="AW94" s="95" t="inlineStr">
        <is>
          <t>N</t>
        </is>
      </c>
      <c r="AX94" s="95" t="inlineStr">
        <is>
          <t>2026-10-13 12:11:48</t>
        </is>
      </c>
      <c r="AY94" s="102" t="n"/>
      <c r="AZ94" s="102" t="n"/>
      <c r="BA94" s="101" t="n"/>
      <c r="BB94" s="101" t="n"/>
      <c r="BC94" s="87">
        <f>IF(AND(ISNUMBER(BA94),ISNUMBER(BB94),N(BA94)&gt;0),1-BB94/BA94,"")</f>
        <v/>
      </c>
      <c r="BD94" s="103" t="n"/>
      <c r="BE94" s="103" t="n"/>
      <c r="BF94" s="100">
        <f>IF(AND(ISNUMBER(BD94),ISNUMBER(BE94),N(BE94)&gt;0),BD94/BE94,"")</f>
        <v/>
      </c>
      <c r="BG94" s="97" t="inlineStr">
        <is>
          <t>Y</t>
        </is>
      </c>
      <c r="BH94" s="97" t="inlineStr">
        <is>
          <t>No Buy Box history in Keepa for BFCM 2025; List Price $82.99</t>
        </is>
      </c>
    </row>
    <row r="95" ht="62" customHeight="1">
      <c r="A95" s="39" t="inlineStr">
        <is>
          <t>IMAGE MISSING</t>
        </is>
      </c>
      <c r="B95" s="84" t="inlineStr">
        <is>
          <t>DOWNCOOL</t>
        </is>
      </c>
      <c r="C95" s="32" t="inlineStr">
        <is>
          <t>Cooling Sheets</t>
        </is>
      </c>
      <c r="D95" s="84" t="inlineStr">
        <is>
          <t>Untiered</t>
        </is>
      </c>
      <c r="E95" s="84" t="inlineStr">
        <is>
          <t>B0F93XRVSZ</t>
        </is>
      </c>
      <c r="F95" s="84" t="inlineStr">
        <is>
          <t>B0F93XRVSZ</t>
        </is>
      </c>
      <c r="G95" s="84" t="n"/>
      <c r="H95" s="84" t="n"/>
      <c r="I95" s="85" t="n"/>
      <c r="J95" s="32" t="inlineStr"/>
      <c r="K95" s="86" t="n">
        <v>139.99</v>
      </c>
      <c r="L95" s="86" t="n"/>
      <c r="M95" s="87">
        <f>IF(AND(ISNUMBER(L95),ISNUMBER(K95),N(K95)&gt;0),L95/K95-1,"")</f>
        <v/>
      </c>
      <c r="N95" s="88">
        <f>IF(M95="","No List Price",IF(M95&lt;=0,"At/below price",IF(M95&lt;=0.12,"&lt;=12% STR zone",IF(M95&lt;=0.25,"12-25%","&gt;25% over"))))</f>
        <v/>
      </c>
      <c r="O95" s="86" t="n"/>
      <c r="P95" s="89">
        <f>IF(AND(ISNUMBER(K95),ISNUMBER(O95),N(O95)&gt;0),K95/O95-1,"")</f>
        <v/>
      </c>
      <c r="Q95" s="32" t="inlineStr">
        <is>
          <t>No price for us</t>
        </is>
      </c>
      <c r="R95" s="85" t="n">
        <v>2798999</v>
      </c>
      <c r="S95" s="85" t="n">
        <v>5</v>
      </c>
      <c r="T95" s="90">
        <f>IF(AND(ISNUMBER(K95),ISNUMBER(S95)),K95*S95*52/12,"")</f>
        <v/>
      </c>
      <c r="U95" s="91" t="n">
        <v>4.2</v>
      </c>
      <c r="V95" s="85" t="n">
        <v>6</v>
      </c>
      <c r="W95" s="92" t="n">
        <v>46279</v>
      </c>
      <c r="X95" s="92" t="n"/>
      <c r="Y95" s="84" t="n"/>
      <c r="Z95" s="84" t="n"/>
      <c r="AA95" s="85" t="n"/>
      <c r="AB95" s="85" t="n"/>
      <c r="AC95" s="93" t="n"/>
      <c r="AD95" s="93" t="n"/>
      <c r="AE95" s="32" t="n"/>
      <c r="AF95" s="93" t="n"/>
      <c r="AG95" s="93" t="n"/>
      <c r="AH95" s="93" t="n"/>
      <c r="AI95" s="93" t="n"/>
      <c r="AJ95" s="85" t="n"/>
      <c r="AK95" s="85" t="n"/>
      <c r="AL95" s="85" t="n"/>
      <c r="AM95" s="85" t="n"/>
      <c r="AN95" s="85" t="n"/>
      <c r="AO95" s="85" t="n"/>
      <c r="AP95" s="94" t="n"/>
      <c r="AQ95" s="89" t="n"/>
      <c r="AR95" s="95" t="inlineStr">
        <is>
          <t>N</t>
        </is>
      </c>
      <c r="AS95" s="95" t="inlineStr">
        <is>
          <t>none</t>
        </is>
      </c>
      <c r="AT95" s="101" t="n"/>
      <c r="AU95" s="101" t="n"/>
      <c r="AV95" s="95" t="inlineStr">
        <is>
          <t>none</t>
        </is>
      </c>
      <c r="AW95" s="95" t="inlineStr">
        <is>
          <t>N</t>
        </is>
      </c>
      <c r="AX95" s="95" t="inlineStr">
        <is>
          <t>2026-10-13 12:11:54</t>
        </is>
      </c>
      <c r="AY95" s="97" t="inlineStr">
        <is>
          <t>Prime Exclusive Discount</t>
        </is>
      </c>
      <c r="AZ95" s="97" t="inlineStr">
        <is>
          <t>11-21 to 12-01</t>
        </is>
      </c>
      <c r="BA95" s="98" t="n">
        <v>35.99</v>
      </c>
      <c r="BB95" s="98" t="n">
        <v>29.99</v>
      </c>
      <c r="BC95" s="87">
        <f>IF(AND(ISNUMBER(BA95),ISNUMBER(BB95),N(BA95)&gt;0),1-BB95/BA95,"")</f>
        <v/>
      </c>
      <c r="BD95" s="99" t="n">
        <v>223574</v>
      </c>
      <c r="BE95" s="99" t="n">
        <v>226828</v>
      </c>
      <c r="BF95" s="100">
        <f>IF(AND(ISNUMBER(BD95),ISNUMBER(BE95),N(BE95)&gt;0),BD95/BE95,"")</f>
        <v/>
      </c>
      <c r="BG95" s="97" t="inlineStr">
        <is>
          <t>N</t>
        </is>
      </c>
      <c r="BH95" s="97" t="inlineStr">
        <is>
          <t>Buy Box RAISED in BFCM week (median $69.99 vs $35.99 before); List Price $69.99</t>
        </is>
      </c>
    </row>
    <row r="96" ht="62" customHeight="1">
      <c r="A96" s="39" t="inlineStr">
        <is>
          <t>IMAGE MISSING</t>
        </is>
      </c>
      <c r="B96" s="84" t="inlineStr">
        <is>
          <t>OMERAI</t>
        </is>
      </c>
      <c r="C96" s="32" t="inlineStr">
        <is>
          <t>Cooling Sheets</t>
        </is>
      </c>
      <c r="D96" s="84" t="inlineStr">
        <is>
          <t>Untiered</t>
        </is>
      </c>
      <c r="E96" s="84" t="inlineStr">
        <is>
          <t>B0HDC7BMTC</t>
        </is>
      </c>
      <c r="F96" s="84" t="inlineStr">
        <is>
          <t>B0FX8K1CG9</t>
        </is>
      </c>
      <c r="G96" s="84" t="n"/>
      <c r="H96" s="84" t="n"/>
      <c r="I96" s="85" t="n">
        <v>10</v>
      </c>
      <c r="J96" s="32" t="inlineStr">
        <is>
          <t>B0BM9K24ST (46%), B0BM9GLKYV (43%)</t>
        </is>
      </c>
      <c r="K96" s="86" t="n">
        <v>42.99</v>
      </c>
      <c r="L96" s="86" t="n">
        <v>59.99</v>
      </c>
      <c r="M96" s="87">
        <f>IF(AND(ISNUMBER(L96),ISNUMBER(K96),N(K96)&gt;0),L96/K96-1,"")</f>
        <v/>
      </c>
      <c r="N96" s="88">
        <f>IF(M96="","No List Price",IF(M96&lt;=0,"At/below price",IF(M96&lt;=0.12,"&lt;=12% STR zone",IF(M96&lt;=0.25,"12-25%","&gt;25% over"))))</f>
        <v/>
      </c>
      <c r="O96" s="86" t="n"/>
      <c r="P96" s="89">
        <f>IF(AND(ISNUMBER(K96),ISNUMBER(O96),N(O96)&gt;0),K96/O96-1,"")</f>
        <v/>
      </c>
      <c r="Q96" s="32" t="inlineStr">
        <is>
          <t>No price for us</t>
        </is>
      </c>
      <c r="R96" s="85" t="n">
        <v>115669</v>
      </c>
      <c r="S96" s="85" t="n">
        <v>5</v>
      </c>
      <c r="T96" s="90">
        <f>IF(AND(ISNUMBER(K96),ISNUMBER(S96)),K96*S96*52/12,"")</f>
        <v/>
      </c>
      <c r="U96" s="91" t="n">
        <v>4.7</v>
      </c>
      <c r="V96" s="85" t="n">
        <v>4</v>
      </c>
      <c r="W96" s="92" t="n">
        <v>46307</v>
      </c>
      <c r="X96" s="92" t="n"/>
      <c r="Y96" s="84" t="n"/>
      <c r="Z96" s="84" t="n"/>
      <c r="AA96" s="85" t="n">
        <v>13712</v>
      </c>
      <c r="AB96" s="85" t="n">
        <v>332</v>
      </c>
      <c r="AC96" s="93" t="n">
        <v>0.8852072199533255</v>
      </c>
      <c r="AD96" s="93" t="n">
        <v>0.1147927800466745</v>
      </c>
      <c r="AE96" s="32" t="inlineStr">
        <is>
          <t>cooling sheets queen</t>
        </is>
      </c>
      <c r="AF96" s="93" t="n">
        <v>0.8668319719953326</v>
      </c>
      <c r="AG96" s="93" t="n"/>
      <c r="AH96" s="93" t="n"/>
      <c r="AI96" s="93" t="n"/>
      <c r="AJ96" s="85" t="n"/>
      <c r="AK96" s="85" t="n"/>
      <c r="AL96" s="85" t="n"/>
      <c r="AM96" s="85" t="n"/>
      <c r="AN96" s="85" t="n"/>
      <c r="AO96" s="85" t="n"/>
      <c r="AP96" s="94" t="n"/>
      <c r="AQ96" s="89" t="n"/>
      <c r="AR96" s="95" t="inlineStr">
        <is>
          <t>Y</t>
        </is>
      </c>
      <c r="AS96" s="95" t="inlineStr">
        <is>
          <t>List Price</t>
        </is>
      </c>
      <c r="AT96" s="96" t="n">
        <v>59.99</v>
      </c>
      <c r="AU96" s="96" t="n">
        <v>42.99</v>
      </c>
      <c r="AV96" s="95" t="inlineStr">
        <is>
          <t>coupon 20%</t>
        </is>
      </c>
      <c r="AW96" s="95" t="inlineStr">
        <is>
          <t>Y</t>
        </is>
      </c>
      <c r="AX96" s="95" t="inlineStr">
        <is>
          <t>2026-10-13 12:12:04</t>
        </is>
      </c>
      <c r="AY96" s="97" t="inlineStr">
        <is>
          <t>Not live in 2025</t>
        </is>
      </c>
      <c r="AZ96" s="102" t="n"/>
      <c r="BA96" s="101" t="n"/>
      <c r="BB96" s="101" t="n"/>
      <c r="BC96" s="87">
        <f>IF(AND(ISNUMBER(BA96),ISNUMBER(BB96),N(BA96)&gt;0),1-BB96/BA96,"")</f>
        <v/>
      </c>
      <c r="BD96" s="103" t="n"/>
      <c r="BE96" s="103" t="n"/>
      <c r="BF96" s="100">
        <f>IF(AND(ISNUMBER(BD96),ISNUMBER(BE96),N(BE96)&gt;0),BD96/BE96,"")</f>
        <v/>
      </c>
      <c r="BG96" s="102" t="n"/>
      <c r="BH96" s="102" t="n"/>
    </row>
    <row r="97" ht="62" customHeight="1">
      <c r="A97" s="39" t="inlineStr">
        <is>
          <t>IMAGE MISSING</t>
        </is>
      </c>
      <c r="B97" s="84" t="inlineStr">
        <is>
          <t>David's Home</t>
        </is>
      </c>
      <c r="C97" s="32" t="inlineStr">
        <is>
          <t>Cooling Sheets</t>
        </is>
      </c>
      <c r="D97" s="84" t="inlineStr">
        <is>
          <t>Untiered</t>
        </is>
      </c>
      <c r="E97" s="84" t="inlineStr">
        <is>
          <t>B0D1SRR2H4</t>
        </is>
      </c>
      <c r="F97" s="84" t="inlineStr">
        <is>
          <t>B0D1RBXBNG</t>
        </is>
      </c>
      <c r="G97" s="84" t="n"/>
      <c r="H97" s="84" t="n"/>
      <c r="I97" s="85" t="n"/>
      <c r="J97" s="32" t="inlineStr"/>
      <c r="K97" s="86" t="n">
        <v>24.99</v>
      </c>
      <c r="L97" s="86" t="n"/>
      <c r="M97" s="87">
        <f>IF(AND(ISNUMBER(L97),ISNUMBER(K97),N(K97)&gt;0),L97/K97-1,"")</f>
        <v/>
      </c>
      <c r="N97" s="88">
        <f>IF(M97="","No List Price",IF(M97&lt;=0,"At/below price",IF(M97&lt;=0.12,"&lt;=12% STR zone",IF(M97&lt;=0.25,"12-25%","&gt;25% over"))))</f>
        <v/>
      </c>
      <c r="O97" s="86" t="n"/>
      <c r="P97" s="89">
        <f>IF(AND(ISNUMBER(K97),ISNUMBER(O97),N(O97)&gt;0),K97/O97-1,"")</f>
        <v/>
      </c>
      <c r="Q97" s="32" t="inlineStr">
        <is>
          <t>No price for us</t>
        </is>
      </c>
      <c r="R97" s="85" t="n">
        <v>758020</v>
      </c>
      <c r="S97" s="85" t="n"/>
      <c r="T97" s="90">
        <f>IF(AND(ISNUMBER(K97),ISNUMBER(S97)),K97*S97*52/12,"")</f>
        <v/>
      </c>
      <c r="U97" s="91" t="n">
        <v>4.3</v>
      </c>
      <c r="V97" s="85" t="n">
        <v>169</v>
      </c>
      <c r="W97" s="92" t="n">
        <v>46307</v>
      </c>
      <c r="X97" s="92" t="n"/>
      <c r="Y97" s="84" t="n"/>
      <c r="Z97" s="84" t="n"/>
      <c r="AA97" s="85" t="n"/>
      <c r="AB97" s="85" t="n"/>
      <c r="AC97" s="93" t="n"/>
      <c r="AD97" s="93" t="n"/>
      <c r="AE97" s="32" t="n"/>
      <c r="AF97" s="93" t="n"/>
      <c r="AG97" s="93" t="n"/>
      <c r="AH97" s="93" t="n"/>
      <c r="AI97" s="93" t="n"/>
      <c r="AJ97" s="85" t="n"/>
      <c r="AK97" s="85" t="n"/>
      <c r="AL97" s="85" t="n"/>
      <c r="AM97" s="85" t="n"/>
      <c r="AN97" s="85" t="n"/>
      <c r="AO97" s="85" t="n"/>
      <c r="AP97" s="94" t="n"/>
      <c r="AQ97" s="89" t="n"/>
      <c r="AR97" s="95" t="inlineStr">
        <is>
          <t>unknown</t>
        </is>
      </c>
      <c r="AS97" s="102" t="n"/>
      <c r="AT97" s="101" t="n"/>
      <c r="AU97" s="101" t="n"/>
      <c r="AV97" s="102" t="n"/>
      <c r="AW97" s="102" t="n"/>
      <c r="AX97" s="95" t="inlineStr">
        <is>
          <t>2026-10-13 12:11:57</t>
        </is>
      </c>
      <c r="AY97" s="97" t="inlineStr">
        <is>
          <t>Prime Exclusive Discount</t>
        </is>
      </c>
      <c r="AZ97" s="97" t="inlineStr">
        <is>
          <t>11-24 to 11-27</t>
        </is>
      </c>
      <c r="BA97" s="98" t="n">
        <v>39.99</v>
      </c>
      <c r="BB97" s="98" t="n">
        <v>10</v>
      </c>
      <c r="BC97" s="87">
        <f>IF(AND(ISNUMBER(BA97),ISNUMBER(BB97),N(BA97)&gt;0),1-BB97/BA97,"")</f>
        <v/>
      </c>
      <c r="BD97" s="99" t="n">
        <v>437868</v>
      </c>
      <c r="BE97" s="99" t="n">
        <v>446244</v>
      </c>
      <c r="BF97" s="100">
        <f>IF(AND(ISNUMBER(BD97),ISNUMBER(BE97),N(BE97)&gt;0),BD97/BE97,"")</f>
        <v/>
      </c>
      <c r="BG97" s="97" t="inlineStr">
        <is>
          <t>Y</t>
        </is>
      </c>
      <c r="BH97" s="97" t="inlineStr">
        <is>
          <t>Coupon 20%, 40% (11-01 to 11-20); List Price $67.99</t>
        </is>
      </c>
    </row>
    <row r="99" ht="20" customHeight="1">
      <c r="A99" s="54" t="inlineStr">
        <is>
          <t>5 · WHAT THIS MEANS FOR BFCM</t>
        </is>
      </c>
    </row>
    <row r="100" ht="30" customHeight="1">
      <c r="A100" s="104" t="inlineStr">
        <is>
          <t>•  Who sells most: Bedsure ~809/wk at $62.99 (List $69.99, +11%); REST ~81/wk at $224.25 (List $299.00, +33%); Breescape ~35/wk at $149.99 (List $179.99, +20%); Bedsure ~5/wk at $149.99; DOWNCOOL ~5/wk at $139.99. Tracked rivals ~940 units/wk; we sell ~0/wk (0.0% of the tracked set).</t>
        </is>
      </c>
    </row>
    <row r="101" ht="18" customHeight="1">
      <c r="A101" s="104" t="inlineStr">
        <is>
          <t>•  Strikethrough: 4 of 7 rivals set a List Price above price; 1 within 12%: Bedsure +11%.</t>
        </is>
      </c>
    </row>
    <row r="102" ht="18" customHeight="1">
      <c r="A102" s="104" t="inlineStr">
        <is>
          <t>•  Price: 0 of 7 rivals sit below our price today (same size where the title states one). Cheapest strong rivals: .</t>
        </is>
      </c>
    </row>
    <row r="103" ht="30" customHeight="1">
      <c r="A103" s="104" t="inlineStr">
        <is>
          <t>•  Strikethrough on the page today (Oct 13 check): 4 of 6 checked rivals show one: Bedsure List Price $69.99 vs $62.99 (+11%), REST List Price $299.00 vs $224.25 (+33%), Breescape List Price $179.99 vs $149.99 (+20%), OMERAI List Price $59.99 vs $42.99 (+40%).</t>
        </is>
      </c>
    </row>
    <row r="104" ht="30" customHeight="1">
      <c r="A104" s="104" t="inlineStr">
        <is>
          <t>•  BFCM 2025, 5 rivals with Keepa history: Prime Exclusive Discount 3, Price cut only 2. Median depth vs their Nov 1-19 price 17%; median BSR lift 0.99x. 2 raised their Buy Box in BFCM week, so their deal looked deeper than it was.</t>
        </is>
      </c>
    </row>
    <row r="105" ht="18" customHeight="1">
      <c r="A105" s="104" t="inlineStr">
        <is>
          <t>•  1 rival not in the Keepa pulls yet (yellow BFCM 2025 columns) - remaining P2 batches, AGENT_PROMPTS Prompt 2.</t>
        </is>
      </c>
    </row>
  </sheetData>
  <autoFilter ref="B90:BH97"/>
  <mergeCells count="62">
    <mergeCell ref="A15:BH15"/>
    <mergeCell ref="A80:C80"/>
    <mergeCell ref="AR89:AX89"/>
    <mergeCell ref="L5:Q5"/>
    <mergeCell ref="A1:BH1"/>
    <mergeCell ref="A103:BH103"/>
    <mergeCell ref="Q11:T11"/>
    <mergeCell ref="A79:BH79"/>
    <mergeCell ref="L8:Q8"/>
    <mergeCell ref="A88:BH88"/>
    <mergeCell ref="L4:Q4"/>
    <mergeCell ref="D7:I7"/>
    <mergeCell ref="C2:BH2"/>
    <mergeCell ref="A13:D13"/>
    <mergeCell ref="I13:L13"/>
    <mergeCell ref="A87:BH87"/>
    <mergeCell ref="A16:BH16"/>
    <mergeCell ref="X89:Z89"/>
    <mergeCell ref="A99:BH99"/>
    <mergeCell ref="D4:I4"/>
    <mergeCell ref="L10:Q10"/>
    <mergeCell ref="E12:H12"/>
    <mergeCell ref="Q13:T13"/>
    <mergeCell ref="AY89:BH89"/>
    <mergeCell ref="D9:I9"/>
    <mergeCell ref="U12:X12"/>
    <mergeCell ref="L9:Q9"/>
    <mergeCell ref="Q12:T12"/>
    <mergeCell ref="A84:BH84"/>
    <mergeCell ref="A11:D11"/>
    <mergeCell ref="I11:L11"/>
    <mergeCell ref="A81:C81"/>
    <mergeCell ref="D8:I8"/>
    <mergeCell ref="L6:Q6"/>
    <mergeCell ref="A3:BH3"/>
    <mergeCell ref="A4:B9"/>
    <mergeCell ref="A89:H89"/>
    <mergeCell ref="T6:Y6"/>
    <mergeCell ref="A101:BH101"/>
    <mergeCell ref="A105:BH105"/>
    <mergeCell ref="K89:W89"/>
    <mergeCell ref="A104:BH104"/>
    <mergeCell ref="D5:I5"/>
    <mergeCell ref="M11:P11"/>
    <mergeCell ref="U11:X11"/>
    <mergeCell ref="A83:C83"/>
    <mergeCell ref="A100:BH100"/>
    <mergeCell ref="E13:H13"/>
    <mergeCell ref="A82:C82"/>
    <mergeCell ref="D10:I10"/>
    <mergeCell ref="L7:Q7"/>
    <mergeCell ref="T5:Y5"/>
    <mergeCell ref="AA89:AQ89"/>
    <mergeCell ref="A12:D12"/>
    <mergeCell ref="M13:P13"/>
    <mergeCell ref="I12:L12"/>
    <mergeCell ref="U13:X13"/>
    <mergeCell ref="A102:BH102"/>
    <mergeCell ref="M12:P12"/>
    <mergeCell ref="T4:Y4"/>
    <mergeCell ref="D6:I6"/>
    <mergeCell ref="E11:H11"/>
  </mergeCells>
  <conditionalFormatting sqref="N91:N97">
    <cfRule type="expression" priority="1" dxfId="1">
      <formula>N91="&lt;=12% STR zone"</formula>
    </cfRule>
  </conditionalFormatting>
  <conditionalFormatting sqref="W91:W97">
    <cfRule type="expression" priority="2" dxfId="0">
      <formula>AND(ISNUMBER(W91),W91&lt;DATE(2026,10,6))</formula>
    </cfRule>
  </conditionalFormatting>
  <conditionalFormatting sqref="Q91:Q97">
    <cfRule type="expression" priority="3" dxfId="0">
      <formula>ISNUMBER(SEARCH("STALE",Q91))</formula>
    </cfRule>
  </conditionalFormatting>
  <conditionalFormatting sqref="P91:P97">
    <cfRule type="expression" priority="4" dxfId="0">
      <formula>AND(ISNUMBER(P91),P91&lt;0)</formula>
    </cfRule>
  </conditionalFormatting>
  <dataValidations count="3">
    <dataValidation sqref="AR91:AR97 BG91:BG97" showDropDown="0" showInputMessage="0" showErrorMessage="0" allowBlank="1" type="list">
      <formula1>"Y,N"</formula1>
    </dataValidation>
    <dataValidation sqref="AS91:AS97" showDropDown="0" showInputMessage="0" showErrorMessage="0" allowBlank="1" type="list">
      <formula1>"List Price,Typical price,Was price,None"</formula1>
    </dataValidation>
    <dataValidation sqref="AY91:AY97"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8.xml><?xml version="1.0" encoding="utf-8"?>
<worksheet xmlns="http://schemas.openxmlformats.org/spreadsheetml/2006/main">
  <sheetPr>
    <outlinePr summaryBelow="1" summaryRight="1"/>
    <pageSetUpPr/>
  </sheetPr>
  <dimension ref="A1:BH112"/>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Sheets 4 Piece  ·  Amazon.com (US)  ·  Cooling  ·  BFCM role: Launch  ·  Scope: Launching (partly live)</t>
        </is>
      </c>
    </row>
    <row r="2">
      <c r="A2" s="53" t="inlineStr">
        <is>
          <t>← Dashboard</t>
        </is>
      </c>
      <c r="C2" s="106" t="inlineStr">
        <is>
          <t>LAUNCHING: only part of this family is live (confirmed Oct 14, 2026). Variations without a live price are not launched yet, not missing data.</t>
        </is>
      </c>
    </row>
    <row r="3" ht="20" customHeight="1">
      <c r="A3" s="54" t="inlineStr">
        <is>
          <t>1 · OUR PRODUCT</t>
        </is>
      </c>
    </row>
    <row r="4" ht="34" customHeight="1">
      <c r="A4" s="10">
        <f>_xlfn.IMAGE("https://m.media-amazon.com/images/I/81GLNCr7elL.jpg")</f>
        <v/>
      </c>
      <c r="C4" s="11" t="inlineStr">
        <is>
          <t>Title</t>
        </is>
      </c>
      <c r="D4" s="12" t="inlineStr">
        <is>
          <t>COOLINENS Cooling Sheets - BreezeWeave 4 PC California King Size Cooling Bed Sheets for Hot Sleepers &amp; Deep, Cool Rest - Cloud Soft, Silky Smooth, 16 in Deep Pocket, Ultra Durable (Beige)</t>
        </is>
      </c>
      <c r="K4" s="11" t="inlineStr">
        <is>
          <t>Sizes</t>
        </is>
      </c>
      <c r="L4" s="55" t="inlineStr">
        <is>
          <t>California King, Full, King, Queen, Twin</t>
        </is>
      </c>
      <c r="S4" s="11" t="inlineStr">
        <is>
          <t>Break-even ACoS</t>
        </is>
      </c>
      <c r="T4" s="55" t="inlineStr">
        <is>
          <t>n/a</t>
        </is>
      </c>
    </row>
    <row r="5" ht="22" customHeight="1">
      <c r="C5" s="11" t="inlineStr">
        <is>
          <t>Brand</t>
        </is>
      </c>
      <c r="D5" s="55" t="inlineStr">
        <is>
          <t>CooLinens</t>
        </is>
      </c>
      <c r="K5" s="11" t="inlineStr">
        <is>
          <t>Colours</t>
        </is>
      </c>
      <c r="L5" s="55" t="inlineStr">
        <is>
          <t>Beige, Cool Grey, Cream, Graphite, Light Blue, Light Grey, Light Pink, Midnight Black, Navy Blue, Regal Purple, Sage Green, White</t>
        </is>
      </c>
      <c r="S5" s="11" t="inlineStr">
        <is>
          <t>Units last 28 days</t>
        </is>
      </c>
      <c r="T5" s="55" t="inlineStr">
        <is>
          <t>42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B0H6K5RPX6 (one of our child ASINs, not the Amazon parent)</t>
        </is>
      </c>
    </row>
    <row r="7" ht="22" customHeight="1">
      <c r="C7" s="11" t="inlineStr">
        <is>
          <t>Parent ASIN (Amazon)</t>
        </is>
      </c>
      <c r="D7" s="55" t="inlineStr">
        <is>
          <t>B0H6K5RPX6</t>
        </is>
      </c>
      <c r="K7" s="11" t="inlineStr">
        <is>
          <t>Rating / reviews now</t>
        </is>
      </c>
      <c r="L7" s="55" t="inlineStr">
        <is>
          <t>Not checked yet</t>
        </is>
      </c>
    </row>
    <row r="8" ht="22" customHeight="1">
      <c r="C8" s="11" t="inlineStr">
        <is>
          <t>Best-selling child ASIN</t>
        </is>
      </c>
      <c r="D8" s="55" t="n"/>
      <c r="K8" s="11" t="inlineStr">
        <is>
          <t>Live prices held</t>
        </is>
      </c>
      <c r="L8" s="55" t="inlineStr">
        <is>
          <t>6 of 60 variations</t>
        </is>
      </c>
    </row>
    <row r="9" ht="22" customHeight="1">
      <c r="C9" s="11" t="inlineStr">
        <is>
          <t>Stage</t>
        </is>
      </c>
      <c r="D9" s="55" t="inlineStr">
        <is>
          <t>Production</t>
        </is>
      </c>
      <c r="K9" s="11" t="inlineStr">
        <is>
          <t>Blended price (Command Center)</t>
        </is>
      </c>
      <c r="L9" s="55" t="n"/>
    </row>
    <row r="10">
      <c r="C10" s="11" t="inlineStr">
        <is>
          <t>Total variations (SKUs)</t>
        </is>
      </c>
      <c r="D10" s="55" t="n">
        <v>60</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14</t>
        </is>
      </c>
      <c r="Q12" s="57" t="inlineStr">
        <is>
          <t>5</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_xlfn.IMAGE("https://m.media-amazon.com/images/I/81FIe8vozbL.jpg")</f>
        <v/>
      </c>
      <c r="B18" s="32" t="inlineStr">
        <is>
          <t>B0H6K1MKQW</t>
        </is>
      </c>
      <c r="C18" s="32" t="inlineStr">
        <is>
          <t>CL-COOLING-SHEET-QUEEN-GRAPHITE</t>
        </is>
      </c>
      <c r="D18" s="32" t="inlineStr">
        <is>
          <t>COOLINENS Cooling Sheets - BreezeWeave 4 PC Queen Size Cooling Bed Sheets for Hot Sleepers &amp; Deep, Cool Rest - Cloud Soft, Silky Smooth, 16 in Deep Pocket, Ultra Durable (Graphite)</t>
        </is>
      </c>
      <c r="E18" s="32" t="inlineStr">
        <is>
          <t>Queen</t>
        </is>
      </c>
      <c r="F18" s="32" t="inlineStr">
        <is>
          <t>Graphite</t>
        </is>
      </c>
      <c r="G18" s="33" t="n"/>
      <c r="H18" s="32" t="n"/>
      <c r="I18" s="33" t="n"/>
      <c r="J18" s="32" t="n"/>
      <c r="K18" s="33" t="n"/>
      <c r="L18" s="63" t="n"/>
      <c r="M18" s="64" t="n">
        <v>30</v>
      </c>
      <c r="N18" s="32" t="inlineStr">
        <is>
          <t>Active</t>
        </is>
      </c>
      <c r="O18" s="32" t="n"/>
      <c r="P18" s="65" t="n"/>
      <c r="Q18" s="64" t="n"/>
      <c r="R18" s="64" t="n"/>
      <c r="S18" s="64" t="n"/>
      <c r="T18" s="32" t="n"/>
    </row>
    <row r="19" ht="62" customHeight="1">
      <c r="A19" s="10">
        <f>_xlfn.IMAGE("https://m.media-amazon.com/images/I/81XCjQT6mGL.jpg")</f>
        <v/>
      </c>
      <c r="B19" s="32" t="inlineStr">
        <is>
          <t>B0H6JWNCK3</t>
        </is>
      </c>
      <c r="C19" s="32" t="inlineStr">
        <is>
          <t>CL-COOLING-SHEET-QUEEN-COOL-GREY</t>
        </is>
      </c>
      <c r="D19" s="32" t="inlineStr">
        <is>
          <t>COOLINENS Cooling Sheets - BreezeWeave 4 PC Queen Size Cooling Bed Sheets for Hot Sleepers &amp; Deep, Cool Rest - Cloud Soft, Silky Smooth, 16 in Deep Pocket, Ultra Durable (Cool Grey)</t>
        </is>
      </c>
      <c r="E19" s="32" t="inlineStr">
        <is>
          <t>Queen</t>
        </is>
      </c>
      <c r="F19" s="32" t="inlineStr">
        <is>
          <t>Cool Grey</t>
        </is>
      </c>
      <c r="G19" s="60" t="n">
        <v>79.98999999999999</v>
      </c>
      <c r="H19" s="32" t="inlineStr">
        <is>
          <t>Helium 10 Xray, 2026-10-13</t>
        </is>
      </c>
      <c r="I19" s="33" t="n"/>
      <c r="J19" s="32" t="n"/>
      <c r="K19" s="33" t="n"/>
      <c r="L19" s="63" t="n"/>
      <c r="M19" s="64" t="n">
        <v>11</v>
      </c>
      <c r="N19" s="32" t="inlineStr">
        <is>
          <t>Active</t>
        </is>
      </c>
      <c r="O19" s="32" t="n"/>
      <c r="P19" s="65" t="n">
        <v>5</v>
      </c>
      <c r="Q19" s="64" t="n">
        <v>3</v>
      </c>
      <c r="R19" s="64" t="n">
        <v>1074515</v>
      </c>
      <c r="S19" s="64" t="n">
        <v>4</v>
      </c>
      <c r="T19" s="32" t="n"/>
    </row>
    <row r="20" ht="62" customHeight="1">
      <c r="A20" s="10">
        <f>_xlfn.IMAGE("https://m.media-amazon.com/images/I/81UwBUFGzsL.jpg")</f>
        <v/>
      </c>
      <c r="B20" s="32" t="inlineStr">
        <is>
          <t>B0H6K1VFZ5</t>
        </is>
      </c>
      <c r="C20" s="32" t="inlineStr">
        <is>
          <t>CL-COOLING-SHEET-FULL-LIGHT-PINK</t>
        </is>
      </c>
      <c r="D20" s="32" t="inlineStr">
        <is>
          <t>COOLINENS Cooling Sheets - BreezeWeave 4 PC Full Size Cooling Bed Sheets for Hot Sleepers &amp; Deep, Cool Rest - Cloud Soft, Silky Smooth, 16 in Deep Pocket, Ultra Durable (Light Pink)</t>
        </is>
      </c>
      <c r="E20" s="32" t="inlineStr">
        <is>
          <t>Full</t>
        </is>
      </c>
      <c r="F20" s="32" t="inlineStr">
        <is>
          <t>Light Pink</t>
        </is>
      </c>
      <c r="G20" s="33" t="n"/>
      <c r="H20" s="32" t="n"/>
      <c r="I20" s="33" t="n"/>
      <c r="J20" s="32" t="n"/>
      <c r="K20" s="33" t="n"/>
      <c r="L20" s="63" t="n"/>
      <c r="M20" s="64" t="n">
        <v>1</v>
      </c>
      <c r="N20" s="32" t="inlineStr">
        <is>
          <t>Active</t>
        </is>
      </c>
      <c r="O20" s="32" t="n"/>
      <c r="P20" s="65" t="n"/>
      <c r="Q20" s="64" t="n"/>
      <c r="R20" s="64" t="n"/>
      <c r="S20" s="64" t="n"/>
      <c r="T20" s="32" t="n"/>
    </row>
    <row r="21" ht="62" customHeight="1">
      <c r="A21" s="10">
        <f>_xlfn.IMAGE("https://m.media-amazon.com/images/I/81GLNCr7elL.jpg")</f>
        <v/>
      </c>
      <c r="B21" s="32" t="inlineStr">
        <is>
          <t>B0H6K5RPX6</t>
        </is>
      </c>
      <c r="C21" s="32" t="inlineStr">
        <is>
          <t>CL-COOLING-SHEET-CAL-KING-BEIGE</t>
        </is>
      </c>
      <c r="D21" s="32" t="inlineStr">
        <is>
          <t>COOLINENS Cooling Sheets - BreezeWeave 4 PC California King Size Cooling Bed Sheets for Hot Sleepers &amp; Deep, Cool Rest - Cloud Soft, Silky Smooth, 16 in Deep Pocket, Ultra Durable (Beige)</t>
        </is>
      </c>
      <c r="E21" s="32" t="inlineStr">
        <is>
          <t>California King</t>
        </is>
      </c>
      <c r="F21" s="32" t="inlineStr">
        <is>
          <t>Beige</t>
        </is>
      </c>
      <c r="G21" s="33" t="n"/>
      <c r="H21" s="32" t="n"/>
      <c r="I21" s="33" t="n"/>
      <c r="J21" s="32" t="n"/>
      <c r="K21" s="33" t="n"/>
      <c r="L21" s="63" t="n"/>
      <c r="M21" s="64" t="n">
        <v>0</v>
      </c>
      <c r="N21" s="32" t="inlineStr">
        <is>
          <t>Active</t>
        </is>
      </c>
      <c r="O21" s="32" t="n"/>
      <c r="P21" s="65" t="n"/>
      <c r="Q21" s="64" t="n"/>
      <c r="R21" s="64" t="n"/>
      <c r="S21" s="64" t="n"/>
      <c r="T21" s="32" t="n"/>
    </row>
    <row r="22" ht="62" customHeight="1">
      <c r="A22" s="10">
        <f>_xlfn.IMAGE("https://m.media-amazon.com/images/I/81XCjQT6mGL.jpg")</f>
        <v/>
      </c>
      <c r="B22" s="32" t="inlineStr">
        <is>
          <t>B0H6JWSSY9</t>
        </is>
      </c>
      <c r="C22" s="32" t="inlineStr">
        <is>
          <t>CL-COOLING-SHEET-CAL-KING-COOL-GREY</t>
        </is>
      </c>
      <c r="D22" s="32" t="inlineStr">
        <is>
          <t>COOLINENS Cooling Sheets - BreezeWeave 4 PC California King Size Cooling Bed Sheets for Hot Sleepers &amp; Deep, Cool Rest - Cloud Soft, Silky Smooth, 16 in Deep Pocket, Ultra Durable (Cool Grey)</t>
        </is>
      </c>
      <c r="E22" s="32" t="inlineStr">
        <is>
          <t>California King</t>
        </is>
      </c>
      <c r="F22" s="32" t="inlineStr">
        <is>
          <t>Cool Grey</t>
        </is>
      </c>
      <c r="G22" s="33" t="n"/>
      <c r="H22" s="32" t="n"/>
      <c r="I22" s="33" t="n"/>
      <c r="J22" s="32" t="n"/>
      <c r="K22" s="33" t="n"/>
      <c r="L22" s="63" t="n"/>
      <c r="M22" s="64" t="n">
        <v>0</v>
      </c>
      <c r="N22" s="32" t="inlineStr">
        <is>
          <t>Active</t>
        </is>
      </c>
      <c r="O22" s="32" t="n"/>
      <c r="P22" s="65" t="n"/>
      <c r="Q22" s="64" t="n"/>
      <c r="R22" s="64" t="n"/>
      <c r="S22" s="64" t="n"/>
      <c r="T22" s="32" t="n"/>
    </row>
    <row r="23" ht="62" customHeight="1">
      <c r="A23" s="10">
        <f>_xlfn.IMAGE("https://m.media-amazon.com/images/I/81hYGok5xCL.jpg")</f>
        <v/>
      </c>
      <c r="B23" s="32" t="inlineStr">
        <is>
          <t>B0H6JXJHJK</t>
        </is>
      </c>
      <c r="C23" s="32" t="inlineStr">
        <is>
          <t>CL-COOLING-SHEET-CAL-KING-CREAM</t>
        </is>
      </c>
      <c r="D23" s="32" t="inlineStr">
        <is>
          <t>COOLINENS Cooling Sheets - BreezeWeave 4 PC California King Size Cooling Bed Sheets for Hot Sleepers &amp; Deep, Cool Rest - Cloud Soft, Silky Smooth, 16 in Deep Pocket, Ultra Durable (Cream)</t>
        </is>
      </c>
      <c r="E23" s="32" t="inlineStr">
        <is>
          <t>California King</t>
        </is>
      </c>
      <c r="F23" s="32" t="inlineStr">
        <is>
          <t>Cream</t>
        </is>
      </c>
      <c r="G23" s="33" t="n"/>
      <c r="H23" s="32" t="n"/>
      <c r="I23" s="33" t="n"/>
      <c r="J23" s="32" t="n"/>
      <c r="K23" s="33" t="n"/>
      <c r="L23" s="63" t="n"/>
      <c r="M23" s="64" t="n"/>
      <c r="N23" s="32" t="inlineStr">
        <is>
          <t>Active</t>
        </is>
      </c>
      <c r="O23" s="32" t="n"/>
      <c r="P23" s="65" t="n"/>
      <c r="Q23" s="64" t="n"/>
      <c r="R23" s="64" t="n"/>
      <c r="S23" s="64" t="n"/>
      <c r="T23" s="32" t="n"/>
    </row>
    <row r="24" ht="62" customHeight="1">
      <c r="A24" s="10">
        <f>_xlfn.IMAGE("https://m.media-amazon.com/images/I/81FIe8vozbL.jpg")</f>
        <v/>
      </c>
      <c r="B24" s="32" t="inlineStr">
        <is>
          <t>B0H6JV73R5</t>
        </is>
      </c>
      <c r="C24" s="32" t="inlineStr">
        <is>
          <t>CL-COOLING-SHEET-CAL-KING-GRAPHITE</t>
        </is>
      </c>
      <c r="D24" s="32" t="inlineStr">
        <is>
          <t>COOLINENS Cooling Sheets - BreezeWeave 4 PC California King Size Cooling Bed Sheets for Hot Sleepers &amp; Deep, Cool Rest - Cloud Soft, Silky Smooth, 16 in Deep Pocket, Ultra Durable (Graphite)</t>
        </is>
      </c>
      <c r="E24" s="32" t="inlineStr">
        <is>
          <t>California King</t>
        </is>
      </c>
      <c r="F24" s="32" t="inlineStr">
        <is>
          <t>Graphite</t>
        </is>
      </c>
      <c r="G24" s="33" t="n"/>
      <c r="H24" s="32" t="n"/>
      <c r="I24" s="33" t="n"/>
      <c r="J24" s="32" t="n"/>
      <c r="K24" s="33" t="n"/>
      <c r="L24" s="63" t="n"/>
      <c r="M24" s="64" t="n"/>
      <c r="N24" s="32" t="inlineStr">
        <is>
          <t>Active</t>
        </is>
      </c>
      <c r="O24" s="32" t="n"/>
      <c r="P24" s="65" t="n"/>
      <c r="Q24" s="64" t="n"/>
      <c r="R24" s="64" t="n"/>
      <c r="S24" s="64" t="n"/>
      <c r="T24" s="32" t="n"/>
    </row>
    <row r="25" ht="62" customHeight="1">
      <c r="A25" s="10">
        <f>_xlfn.IMAGE("https://m.media-amazon.com/images/I/81-pnxSpyEL.jpg")</f>
        <v/>
      </c>
      <c r="B25" s="32" t="inlineStr">
        <is>
          <t>B0H6K58NNT</t>
        </is>
      </c>
      <c r="C25" s="32" t="inlineStr">
        <is>
          <t>CL-COOLING-SHEET-CAL-KING-LIGHT-BLUE</t>
        </is>
      </c>
      <c r="D25" s="32" t="inlineStr">
        <is>
          <t>COOLINENS Cooling Sheets - BreezeWeave 4 PC California King Size Cooling Bed Sheets for Hot Sleepers &amp; Deep, Cool Rest - Cloud Soft, Silky Smooth, 16 in Deep Pocket, Ultra Durable (Light Blue)</t>
        </is>
      </c>
      <c r="E25" s="32" t="inlineStr">
        <is>
          <t>California King</t>
        </is>
      </c>
      <c r="F25" s="32" t="inlineStr">
        <is>
          <t>Light Blue</t>
        </is>
      </c>
      <c r="G25" s="33" t="n"/>
      <c r="H25" s="32" t="n"/>
      <c r="I25" s="33" t="n"/>
      <c r="J25" s="32" t="n"/>
      <c r="K25" s="33" t="n"/>
      <c r="L25" s="63" t="n"/>
      <c r="M25" s="64" t="n"/>
      <c r="N25" s="32" t="inlineStr">
        <is>
          <t>Active</t>
        </is>
      </c>
      <c r="O25" s="32" t="n"/>
      <c r="P25" s="65" t="n"/>
      <c r="Q25" s="64" t="n"/>
      <c r="R25" s="64" t="n"/>
      <c r="S25" s="64" t="n"/>
      <c r="T25" s="32" t="n"/>
    </row>
    <row r="26" ht="62" customHeight="1">
      <c r="A26" s="10">
        <f>_xlfn.IMAGE("https://m.media-amazon.com/images/I/81R6cQjusKL.jpg")</f>
        <v/>
      </c>
      <c r="B26" s="32" t="inlineStr">
        <is>
          <t>B0H6K5DRLZ</t>
        </is>
      </c>
      <c r="C26" s="32" t="inlineStr">
        <is>
          <t>CL-COOLING-SHEET-CAL-KING-LIGHT-GREY</t>
        </is>
      </c>
      <c r="D26" s="32" t="inlineStr">
        <is>
          <t>COOLINENS Cooling Sheets - BreezeWeave 4 PC California King Size Cooling Bed Sheets for Hot Sleepers &amp; Deep, Cool Rest - Cloud Soft, Silky Smooth, 16 in Deep Pocket, Ultra Durable (Light Grey)</t>
        </is>
      </c>
      <c r="E26" s="32" t="inlineStr">
        <is>
          <t>California King</t>
        </is>
      </c>
      <c r="F26" s="32" t="inlineStr">
        <is>
          <t>Light Grey</t>
        </is>
      </c>
      <c r="G26" s="33" t="n"/>
      <c r="H26" s="32" t="n"/>
      <c r="I26" s="33" t="n"/>
      <c r="J26" s="32" t="n"/>
      <c r="K26" s="33" t="n"/>
      <c r="L26" s="63" t="n"/>
      <c r="M26" s="64" t="n">
        <v>0</v>
      </c>
      <c r="N26" s="32" t="inlineStr">
        <is>
          <t>Active</t>
        </is>
      </c>
      <c r="O26" s="32" t="n"/>
      <c r="P26" s="65" t="n"/>
      <c r="Q26" s="64" t="n"/>
      <c r="R26" s="64" t="n"/>
      <c r="S26" s="64" t="n"/>
      <c r="T26" s="32" t="n"/>
    </row>
    <row r="27" ht="62" customHeight="1">
      <c r="A27" s="10">
        <f>_xlfn.IMAGE("https://m.media-amazon.com/images/I/81UwBUFGzsL.jpg")</f>
        <v/>
      </c>
      <c r="B27" s="32" t="inlineStr">
        <is>
          <t>B0H6JYRJHC</t>
        </is>
      </c>
      <c r="C27" s="32" t="inlineStr">
        <is>
          <t>CL-COOLING-SHEET-CAL-KING-LIGHT-PINK</t>
        </is>
      </c>
      <c r="D27" s="32" t="inlineStr">
        <is>
          <t>COOLINENS Cooling Sheets - BreezeWeave 4 PC California King Size Cooling Bed Sheets for Hot Sleepers &amp; Deep, Cool Rest - Cloud Soft, Silky Smooth, 16 in Deep Pocket, Ultra Durable (Light Pink)</t>
        </is>
      </c>
      <c r="E27" s="32" t="inlineStr">
        <is>
          <t>California King</t>
        </is>
      </c>
      <c r="F27" s="32" t="inlineStr">
        <is>
          <t>Light Pink</t>
        </is>
      </c>
      <c r="G27" s="33" t="n"/>
      <c r="H27" s="32" t="n"/>
      <c r="I27" s="33" t="n"/>
      <c r="J27" s="32" t="n"/>
      <c r="K27" s="33" t="n"/>
      <c r="L27" s="63" t="n"/>
      <c r="M27" s="64" t="n">
        <v>0</v>
      </c>
      <c r="N27" s="32" t="inlineStr">
        <is>
          <t>Active</t>
        </is>
      </c>
      <c r="O27" s="32" t="n"/>
      <c r="P27" s="65" t="n"/>
      <c r="Q27" s="64" t="n"/>
      <c r="R27" s="64" t="n"/>
      <c r="S27" s="64" t="n"/>
      <c r="T27" s="32" t="n"/>
    </row>
    <row r="28" ht="62" customHeight="1">
      <c r="A28" s="10">
        <f>_xlfn.IMAGE("https://m.media-amazon.com/images/I/81IS+DiYFRL.jpg")</f>
        <v/>
      </c>
      <c r="B28" s="32" t="inlineStr">
        <is>
          <t>B0H6JZG4W5</t>
        </is>
      </c>
      <c r="C28" s="32" t="inlineStr">
        <is>
          <t>CL-COOLING-SHEET-CAL-KING-MIDNIGHT-BLACK</t>
        </is>
      </c>
      <c r="D28" s="32" t="inlineStr">
        <is>
          <t>COOLINENS Cooling Sheets - BreezeWeave 4 PC California King Size Cooling Bed Sheets for Hot Sleepers &amp; Deep, Cool Rest - Cloud Soft, Silky Smooth, 16 in Deep Pocket, Ultra Durable (Midnight Black)</t>
        </is>
      </c>
      <c r="E28" s="32" t="inlineStr">
        <is>
          <t>California King</t>
        </is>
      </c>
      <c r="F28" s="32" t="inlineStr">
        <is>
          <t>Midnight Black</t>
        </is>
      </c>
      <c r="G28" s="33" t="n"/>
      <c r="H28" s="32" t="n"/>
      <c r="I28" s="33" t="n"/>
      <c r="J28" s="32" t="n"/>
      <c r="K28" s="33" t="n"/>
      <c r="L28" s="63" t="n"/>
      <c r="M28" s="64" t="n">
        <v>0</v>
      </c>
      <c r="N28" s="32" t="inlineStr">
        <is>
          <t>Active</t>
        </is>
      </c>
      <c r="O28" s="32" t="n"/>
      <c r="P28" s="65" t="n"/>
      <c r="Q28" s="64" t="n"/>
      <c r="R28" s="64" t="n"/>
      <c r="S28" s="64" t="n"/>
      <c r="T28" s="32" t="n"/>
    </row>
    <row r="29" ht="62" customHeight="1">
      <c r="A29" s="10">
        <f>_xlfn.IMAGE("https://m.media-amazon.com/images/I/817Z4JGPz8L.jpg")</f>
        <v/>
      </c>
      <c r="B29" s="32" t="inlineStr">
        <is>
          <t>B0H6K6KLFY</t>
        </is>
      </c>
      <c r="C29" s="32" t="inlineStr">
        <is>
          <t>CL-COOLING-SHEET-CAL-KING-NAVY-BLUE</t>
        </is>
      </c>
      <c r="D29" s="32" t="inlineStr">
        <is>
          <t>COOLINENS Cooling Sheets - BreezeWeave 4 PC California King Size Cooling Bed Sheets for Hot Sleepers &amp; Deep, Cool Rest - Cloud Soft, Silky Smooth, 16 in Deep Pocket, Ultra Durable (Navy Blue)</t>
        </is>
      </c>
      <c r="E29" s="32" t="inlineStr">
        <is>
          <t>California King</t>
        </is>
      </c>
      <c r="F29" s="32" t="inlineStr">
        <is>
          <t>Navy Blue</t>
        </is>
      </c>
      <c r="G29" s="33" t="n"/>
      <c r="H29" s="32" t="n"/>
      <c r="I29" s="33" t="n"/>
      <c r="J29" s="32" t="n"/>
      <c r="K29" s="33" t="n"/>
      <c r="L29" s="63" t="n"/>
      <c r="M29" s="64" t="n"/>
      <c r="N29" s="32" t="inlineStr">
        <is>
          <t>Active</t>
        </is>
      </c>
      <c r="O29" s="32" t="n"/>
      <c r="P29" s="65" t="n"/>
      <c r="Q29" s="64" t="n"/>
      <c r="R29" s="64" t="n"/>
      <c r="S29" s="64" t="n"/>
      <c r="T29" s="32" t="n"/>
    </row>
    <row r="30" ht="62" customHeight="1">
      <c r="A30" s="10">
        <f>_xlfn.IMAGE("https://m.media-amazon.com/images/I/818DClLHYtL.jpg")</f>
        <v/>
      </c>
      <c r="B30" s="32" t="inlineStr">
        <is>
          <t>B0H6JXKJJQ</t>
        </is>
      </c>
      <c r="C30" s="32" t="inlineStr">
        <is>
          <t>CL-COOLING-SHEET-CAL-KING-REGAL-PURPLE</t>
        </is>
      </c>
      <c r="D30" s="32" t="inlineStr">
        <is>
          <t>COOLINENS Cooling Sheets - BreezeWeave 4 PC California King Size Cooling Bed Sheets for Hot Sleepers &amp; Deep, Cool Rest - Cloud Soft, Silky Smooth, 16 in Deep Pocket, Ultra Durable (Regal Purple)</t>
        </is>
      </c>
      <c r="E30" s="32" t="inlineStr">
        <is>
          <t>California King</t>
        </is>
      </c>
      <c r="F30" s="32" t="inlineStr">
        <is>
          <t>Regal Purple</t>
        </is>
      </c>
      <c r="G30" s="33" t="n"/>
      <c r="H30" s="32" t="n"/>
      <c r="I30" s="33" t="n"/>
      <c r="J30" s="32" t="n"/>
      <c r="K30" s="33" t="n"/>
      <c r="L30" s="63" t="n"/>
      <c r="M30" s="64" t="n">
        <v>0</v>
      </c>
      <c r="N30" s="32" t="inlineStr">
        <is>
          <t>Active</t>
        </is>
      </c>
      <c r="O30" s="32" t="n"/>
      <c r="P30" s="65" t="n"/>
      <c r="Q30" s="64" t="n"/>
      <c r="R30" s="64" t="n"/>
      <c r="S30" s="64" t="n"/>
      <c r="T30" s="32" t="n"/>
    </row>
    <row r="31" ht="62" customHeight="1">
      <c r="A31" s="10">
        <f>_xlfn.IMAGE("https://m.media-amazon.com/images/I/81Yt-bt8B3L.jpg")</f>
        <v/>
      </c>
      <c r="B31" s="32" t="inlineStr">
        <is>
          <t>B0H6K39KQX</t>
        </is>
      </c>
      <c r="C31" s="32" t="inlineStr">
        <is>
          <t>CL-COOLING-SHEET-CAL-KING-SAGE-GREEN</t>
        </is>
      </c>
      <c r="D31" s="32" t="inlineStr">
        <is>
          <t>COOLINENS Cooling Sheets - BreezeWeave 4 PC California King Size Cooling Bed Sheets for Hot Sleepers &amp; Deep, Cool Rest - Cloud Soft, Silky Smooth, 16 in Deep Pocket, Ultra Durable (Sage Green)</t>
        </is>
      </c>
      <c r="E31" s="32" t="inlineStr">
        <is>
          <t>California King</t>
        </is>
      </c>
      <c r="F31" s="32" t="inlineStr">
        <is>
          <t>Sage Green</t>
        </is>
      </c>
      <c r="G31" s="33" t="n"/>
      <c r="H31" s="32" t="n"/>
      <c r="I31" s="33" t="n"/>
      <c r="J31" s="32" t="n"/>
      <c r="K31" s="33" t="n"/>
      <c r="L31" s="63" t="n"/>
      <c r="M31" s="64" t="n">
        <v>0</v>
      </c>
      <c r="N31" s="32" t="inlineStr">
        <is>
          <t>Active</t>
        </is>
      </c>
      <c r="O31" s="32" t="n"/>
      <c r="P31" s="65" t="n"/>
      <c r="Q31" s="64" t="n"/>
      <c r="R31" s="64" t="n"/>
      <c r="S31" s="64" t="n"/>
      <c r="T31" s="32" t="n"/>
    </row>
    <row r="32" ht="62" customHeight="1">
      <c r="A32" s="10">
        <f>_xlfn.IMAGE("https://m.media-amazon.com/images/I/81ptLz5jTWL.jpg")</f>
        <v/>
      </c>
      <c r="B32" s="32" t="inlineStr">
        <is>
          <t>B0H6JYWQYR</t>
        </is>
      </c>
      <c r="C32" s="32" t="inlineStr">
        <is>
          <t>CL-COOLING-SHEET-CAL-KING-WHITE</t>
        </is>
      </c>
      <c r="D32" s="32" t="inlineStr">
        <is>
          <t>COOLINENS Cooling Sheets - BreezeWeave 4 PC California King Size Cooling Bed Sheets for Hot Sleepers &amp; Deep, Cool Rest - Cloud Soft, Silky Smooth, 16 in Deep Pocket, Ultra Durable (White)</t>
        </is>
      </c>
      <c r="E32" s="32" t="inlineStr">
        <is>
          <t>California King</t>
        </is>
      </c>
      <c r="F32" s="32" t="inlineStr">
        <is>
          <t>White</t>
        </is>
      </c>
      <c r="G32" s="33" t="n"/>
      <c r="H32" s="32" t="n"/>
      <c r="I32" s="33" t="n"/>
      <c r="J32" s="32" t="n"/>
      <c r="K32" s="33" t="n"/>
      <c r="L32" s="63" t="n"/>
      <c r="M32" s="64" t="n">
        <v>0</v>
      </c>
      <c r="N32" s="32" t="inlineStr">
        <is>
          <t>Active</t>
        </is>
      </c>
      <c r="O32" s="32" t="n"/>
      <c r="P32" s="65" t="n"/>
      <c r="Q32" s="64" t="n"/>
      <c r="R32" s="64" t="n"/>
      <c r="S32" s="64" t="n"/>
      <c r="T32" s="32" t="n"/>
    </row>
    <row r="33" ht="62" customHeight="1">
      <c r="A33" s="10">
        <f>_xlfn.IMAGE("https://m.media-amazon.com/images/I/81GLNCr7elL.jpg")</f>
        <v/>
      </c>
      <c r="B33" s="32" t="inlineStr">
        <is>
          <t>B0H6JWJ4X2</t>
        </is>
      </c>
      <c r="C33" s="32" t="inlineStr">
        <is>
          <t>CL-COOLING-SHEET-FULL-BEIGE</t>
        </is>
      </c>
      <c r="D33" s="32" t="inlineStr">
        <is>
          <t>COOLINENS Cooling Sheets - BreezeWeave 4 PC Full Size Cooling Bed Sheets for Hot Sleepers &amp; Deep, Cool Rest - Cloud Soft, Silky Smooth, 16 in Deep Pocket, Ultra Durable (Beige)</t>
        </is>
      </c>
      <c r="E33" s="32" t="inlineStr">
        <is>
          <t>Full</t>
        </is>
      </c>
      <c r="F33" s="32" t="inlineStr">
        <is>
          <t>Beige</t>
        </is>
      </c>
      <c r="G33" s="33" t="n"/>
      <c r="H33" s="32" t="n"/>
      <c r="I33" s="33" t="n"/>
      <c r="J33" s="32" t="n"/>
      <c r="K33" s="33" t="n"/>
      <c r="L33" s="63" t="n"/>
      <c r="M33" s="64" t="n"/>
      <c r="N33" s="32" t="inlineStr">
        <is>
          <t>Active</t>
        </is>
      </c>
      <c r="O33" s="32" t="n"/>
      <c r="P33" s="65" t="n"/>
      <c r="Q33" s="64" t="n"/>
      <c r="R33" s="64" t="n"/>
      <c r="S33" s="64" t="n"/>
      <c r="T33" s="32" t="n"/>
    </row>
    <row r="34" ht="62" customHeight="1">
      <c r="A34" s="10">
        <f>_xlfn.IMAGE("https://m.media-amazon.com/images/I/81XCjQT6mGL.jpg")</f>
        <v/>
      </c>
      <c r="B34" s="32" t="inlineStr">
        <is>
          <t>B0H6K4KPGJ</t>
        </is>
      </c>
      <c r="C34" s="32" t="inlineStr">
        <is>
          <t>CL-COOLING-SHEET-FULL-COOL-GREY</t>
        </is>
      </c>
      <c r="D34" s="32" t="inlineStr">
        <is>
          <t>COOLINENS Cooling Sheets - BreezeWeave 4 PC Full Size Cooling Bed Sheets for Hot Sleepers &amp; Deep, Cool Rest - Cloud Soft, Silky Smooth, 16 in Deep Pocket, Ultra Durable (Cool Grey)</t>
        </is>
      </c>
      <c r="E34" s="32" t="inlineStr">
        <is>
          <t>Full</t>
        </is>
      </c>
      <c r="F34" s="32" t="inlineStr">
        <is>
          <t>Cool Grey</t>
        </is>
      </c>
      <c r="G34" s="60" t="n">
        <v>67.98999999999999</v>
      </c>
      <c r="H34" s="32" t="inlineStr">
        <is>
          <t>Helium 10 Xray, 2026-10-13</t>
        </is>
      </c>
      <c r="I34" s="33" t="n"/>
      <c r="J34" s="32" t="n"/>
      <c r="K34" s="33" t="n"/>
      <c r="L34" s="63" t="n"/>
      <c r="M34" s="64" t="n">
        <v>0</v>
      </c>
      <c r="N34" s="32" t="inlineStr">
        <is>
          <t>Active</t>
        </is>
      </c>
      <c r="O34" s="32" t="n"/>
      <c r="P34" s="65" t="n"/>
      <c r="Q34" s="64" t="n">
        <v>0</v>
      </c>
      <c r="R34" s="64" t="n">
        <v>1021435</v>
      </c>
      <c r="S34" s="64" t="n">
        <v>0</v>
      </c>
      <c r="T34" s="66" t="inlineStr">
        <is>
          <t>SEPARATE listing - not in the main review family</t>
        </is>
      </c>
    </row>
    <row r="35" ht="62" customHeight="1">
      <c r="A35" s="10">
        <f>_xlfn.IMAGE("https://m.media-amazon.com/images/I/81hYGok5xCL.jpg")</f>
        <v/>
      </c>
      <c r="B35" s="32" t="inlineStr">
        <is>
          <t>B0H6K8FXL7</t>
        </is>
      </c>
      <c r="C35" s="32" t="inlineStr">
        <is>
          <t>CL-COOLING-SHEET-FULL-CREAM</t>
        </is>
      </c>
      <c r="D35" s="32" t="inlineStr">
        <is>
          <t>COOLINENS Cooling Sheets - BreezeWeave 4 PC Full Size Cooling Bed Sheets for Hot Sleepers &amp; Deep, Cool Rest - Cloud Soft, Silky Smooth, 16 in Deep Pocket, Ultra Durable (Cream)</t>
        </is>
      </c>
      <c r="E35" s="32" t="inlineStr">
        <is>
          <t>Full</t>
        </is>
      </c>
      <c r="F35" s="32" t="inlineStr">
        <is>
          <t>Cream</t>
        </is>
      </c>
      <c r="G35" s="33" t="n"/>
      <c r="H35" s="32" t="n"/>
      <c r="I35" s="33" t="n"/>
      <c r="J35" s="32" t="n"/>
      <c r="K35" s="33" t="n"/>
      <c r="L35" s="63" t="n"/>
      <c r="M35" s="64" t="n"/>
      <c r="N35" s="32" t="inlineStr">
        <is>
          <t>Active</t>
        </is>
      </c>
      <c r="O35" s="32" t="n"/>
      <c r="P35" s="65" t="n"/>
      <c r="Q35" s="64" t="n"/>
      <c r="R35" s="64" t="n"/>
      <c r="S35" s="64" t="n"/>
      <c r="T35" s="32" t="n"/>
    </row>
    <row r="36" ht="62" customHeight="1">
      <c r="A36" s="10">
        <f>_xlfn.IMAGE("https://m.media-amazon.com/images/I/81FIe8vozbL.jpg")</f>
        <v/>
      </c>
      <c r="B36" s="32" t="inlineStr">
        <is>
          <t>B0H6K1C7N1</t>
        </is>
      </c>
      <c r="C36" s="32" t="inlineStr">
        <is>
          <t>CL-COOLING-SHEET-FULL-GRAPHITE</t>
        </is>
      </c>
      <c r="D36" s="32" t="inlineStr">
        <is>
          <t>COOLINENS Cooling Sheets - BreezeWeave 4 PC Full Size Cooling Bed Sheets for Hot Sleepers &amp; Deep, Cool Rest - Cloud Soft, Silky Smooth, 16 in Deep Pocket, Ultra Durable (Graphite)</t>
        </is>
      </c>
      <c r="E36" s="32" t="inlineStr">
        <is>
          <t>Full</t>
        </is>
      </c>
      <c r="F36" s="32" t="inlineStr">
        <is>
          <t>Graphite</t>
        </is>
      </c>
      <c r="G36" s="33" t="n"/>
      <c r="H36" s="32" t="n"/>
      <c r="I36" s="33" t="n"/>
      <c r="J36" s="32" t="n"/>
      <c r="K36" s="33" t="n"/>
      <c r="L36" s="63" t="n"/>
      <c r="M36" s="64" t="n">
        <v>0</v>
      </c>
      <c r="N36" s="32" t="inlineStr">
        <is>
          <t>Active</t>
        </is>
      </c>
      <c r="O36" s="32" t="n"/>
      <c r="P36" s="65" t="n"/>
      <c r="Q36" s="64" t="n"/>
      <c r="R36" s="64" t="n"/>
      <c r="S36" s="64" t="n"/>
      <c r="T36" s="32" t="n"/>
    </row>
    <row r="37" ht="62" customHeight="1">
      <c r="A37" s="10">
        <f>_xlfn.IMAGE("https://m.media-amazon.com/images/I/81-pnxSpyEL.jpg")</f>
        <v/>
      </c>
      <c r="B37" s="32" t="inlineStr">
        <is>
          <t>B0H6K5J4F2</t>
        </is>
      </c>
      <c r="C37" s="32" t="inlineStr">
        <is>
          <t>CL-COOLING-SHEET-FULL-LIGHT-BLUE</t>
        </is>
      </c>
      <c r="D37" s="32" t="inlineStr">
        <is>
          <t>COOLINENS Cooling Sheets - BreezeWeave 4 PC Full Size Cooling Bed Sheets for Hot Sleepers &amp; Deep, Cool Rest - Cloud Soft, Silky Smooth, 16 in Deep Pocket, Ultra Durable (Light Blue)</t>
        </is>
      </c>
      <c r="E37" s="32" t="inlineStr">
        <is>
          <t>Full</t>
        </is>
      </c>
      <c r="F37" s="32" t="inlineStr">
        <is>
          <t>Light Blue</t>
        </is>
      </c>
      <c r="G37" s="33" t="n"/>
      <c r="H37" s="32" t="n"/>
      <c r="I37" s="33" t="n"/>
      <c r="J37" s="32" t="n"/>
      <c r="K37" s="33" t="n"/>
      <c r="L37" s="63" t="n"/>
      <c r="M37" s="64" t="n">
        <v>0</v>
      </c>
      <c r="N37" s="32" t="inlineStr">
        <is>
          <t>Active</t>
        </is>
      </c>
      <c r="O37" s="32" t="n"/>
      <c r="P37" s="65" t="n"/>
      <c r="Q37" s="64" t="n"/>
      <c r="R37" s="64" t="n"/>
      <c r="S37" s="64" t="n"/>
      <c r="T37" s="32" t="n"/>
    </row>
    <row r="38" ht="62" customHeight="1">
      <c r="A38" s="10">
        <f>_xlfn.IMAGE("https://m.media-amazon.com/images/I/81R6cQjusKL.jpg")</f>
        <v/>
      </c>
      <c r="B38" s="32" t="inlineStr">
        <is>
          <t>B0H6K2W7HC</t>
        </is>
      </c>
      <c r="C38" s="32" t="inlineStr">
        <is>
          <t>CL-COOLING-SHEET-FULL-LIGHT-GREY</t>
        </is>
      </c>
      <c r="D38" s="32" t="inlineStr">
        <is>
          <t>COOLINENS Cooling Sheets - BreezeWeave 4 PC Full Size Cooling Bed Sheets for Hot Sleepers &amp; Deep, Cool Rest - Cloud Soft, Silky Smooth, 16 in Deep Pocket, Ultra Durable (Light Grey)</t>
        </is>
      </c>
      <c r="E38" s="32" t="inlineStr">
        <is>
          <t>Full</t>
        </is>
      </c>
      <c r="F38" s="32" t="inlineStr">
        <is>
          <t>Light Grey</t>
        </is>
      </c>
      <c r="G38" s="33" t="n"/>
      <c r="H38" s="32" t="n"/>
      <c r="I38" s="33" t="n"/>
      <c r="J38" s="32" t="n"/>
      <c r="K38" s="33" t="n"/>
      <c r="L38" s="63" t="n"/>
      <c r="M38" s="64" t="n">
        <v>0</v>
      </c>
      <c r="N38" s="32" t="inlineStr">
        <is>
          <t>Active</t>
        </is>
      </c>
      <c r="O38" s="32" t="n"/>
      <c r="P38" s="65" t="n"/>
      <c r="Q38" s="64" t="n"/>
      <c r="R38" s="64" t="n"/>
      <c r="S38" s="64" t="n"/>
      <c r="T38" s="32" t="n"/>
    </row>
    <row r="39" ht="62" customHeight="1">
      <c r="A39" s="10">
        <f>_xlfn.IMAGE("https://m.media-amazon.com/images/I/81IS+DiYFRL.jpg")</f>
        <v/>
      </c>
      <c r="B39" s="32" t="inlineStr">
        <is>
          <t>B0H6KBLW87</t>
        </is>
      </c>
      <c r="C39" s="32" t="inlineStr">
        <is>
          <t>CL-COOLING-SHEET-FULL-MIDNIGHT-BLACK</t>
        </is>
      </c>
      <c r="D39" s="32" t="inlineStr">
        <is>
          <t>COOLINENS Cooling Sheets - BreezeWeave 4 PC Full Size Cooling Bed Sheets for Hot Sleepers &amp; Deep, Cool Rest - Cloud Soft, Silky Smooth, 16 in Deep Pocket, Ultra Durable (Midnight Black)</t>
        </is>
      </c>
      <c r="E39" s="32" t="inlineStr">
        <is>
          <t>Full</t>
        </is>
      </c>
      <c r="F39" s="32" t="inlineStr">
        <is>
          <t>Midnight Black</t>
        </is>
      </c>
      <c r="G39" s="60" t="n">
        <v>67.98999999999999</v>
      </c>
      <c r="H39" s="32" t="inlineStr">
        <is>
          <t>Helium 10 Xray, 2026-10-13</t>
        </is>
      </c>
      <c r="I39" s="33" t="n"/>
      <c r="J39" s="32" t="n"/>
      <c r="K39" s="33" t="n"/>
      <c r="L39" s="63" t="n"/>
      <c r="M39" s="64" t="n">
        <v>0</v>
      </c>
      <c r="N39" s="32" t="inlineStr">
        <is>
          <t>Active</t>
        </is>
      </c>
      <c r="O39" s="32" t="n"/>
      <c r="P39" s="65" t="n"/>
      <c r="Q39" s="64" t="n">
        <v>0</v>
      </c>
      <c r="R39" s="64" t="n"/>
      <c r="S39" s="64" t="n">
        <v>0</v>
      </c>
      <c r="T39" s="66" t="inlineStr">
        <is>
          <t>SEPARATE listing - not in the main review family</t>
        </is>
      </c>
    </row>
    <row r="40" ht="62" customHeight="1">
      <c r="A40" s="10">
        <f>_xlfn.IMAGE("https://m.media-amazon.com/images/I/817Z4JGPz8L.jpg")</f>
        <v/>
      </c>
      <c r="B40" s="32" t="inlineStr">
        <is>
          <t>B0H6K57TQN</t>
        </is>
      </c>
      <c r="C40" s="32" t="inlineStr">
        <is>
          <t>CL-COOLING-SHEET-FULL-NAVY-BLUE</t>
        </is>
      </c>
      <c r="D40" s="32" t="inlineStr">
        <is>
          <t>COOLINENS Cooling Sheets - BreezeWeave 4 PC Full Size Cooling Bed Sheets for Hot Sleepers &amp; Deep, Cool Rest - Cloud Soft, Silky Smooth, 16 in Deep Pocket, Ultra Durable (Navy Blue)</t>
        </is>
      </c>
      <c r="E40" s="32" t="inlineStr">
        <is>
          <t>Full</t>
        </is>
      </c>
      <c r="F40" s="32" t="inlineStr">
        <is>
          <t>Navy Blue</t>
        </is>
      </c>
      <c r="G40" s="33" t="n"/>
      <c r="H40" s="32" t="n"/>
      <c r="I40" s="33" t="n"/>
      <c r="J40" s="32" t="n"/>
      <c r="K40" s="33" t="n"/>
      <c r="L40" s="63" t="n"/>
      <c r="M40" s="64" t="n"/>
      <c r="N40" s="32" t="inlineStr">
        <is>
          <t>Active</t>
        </is>
      </c>
      <c r="O40" s="32" t="n"/>
      <c r="P40" s="65" t="n"/>
      <c r="Q40" s="64" t="n"/>
      <c r="R40" s="64" t="n"/>
      <c r="S40" s="64" t="n"/>
      <c r="T40" s="32" t="n"/>
    </row>
    <row r="41" ht="62" customHeight="1">
      <c r="A41" s="10">
        <f>_xlfn.IMAGE("https://m.media-amazon.com/images/I/818DClLHYtL.jpg")</f>
        <v/>
      </c>
      <c r="B41" s="32" t="inlineStr">
        <is>
          <t>B0H6K4DQHY</t>
        </is>
      </c>
      <c r="C41" s="32" t="inlineStr">
        <is>
          <t>CL-COOLING-SHEET-FULL-REGAL-PURPLE</t>
        </is>
      </c>
      <c r="D41" s="32" t="inlineStr">
        <is>
          <t>COOLINENS Cooling Sheets - BreezeWeave 4 PC Full Size Cooling Bed Sheets for Hot Sleepers &amp; Deep, Cool Rest - Cloud Soft, Silky Smooth, 16 in Deep Pocket, Ultra Durable (Regal Purple)</t>
        </is>
      </c>
      <c r="E41" s="32" t="inlineStr">
        <is>
          <t>Full</t>
        </is>
      </c>
      <c r="F41" s="32" t="inlineStr">
        <is>
          <t>Regal Purple</t>
        </is>
      </c>
      <c r="G41" s="33" t="n"/>
      <c r="H41" s="32" t="n"/>
      <c r="I41" s="33" t="n"/>
      <c r="J41" s="32" t="n"/>
      <c r="K41" s="33" t="n"/>
      <c r="L41" s="63" t="n"/>
      <c r="M41" s="64" t="n"/>
      <c r="N41" s="32" t="inlineStr">
        <is>
          <t>Active</t>
        </is>
      </c>
      <c r="O41" s="32" t="n"/>
      <c r="P41" s="65" t="n"/>
      <c r="Q41" s="64" t="n"/>
      <c r="R41" s="64" t="n"/>
      <c r="S41" s="64" t="n"/>
      <c r="T41" s="32" t="n"/>
    </row>
    <row r="42" ht="62" customHeight="1">
      <c r="A42" s="10">
        <f>_xlfn.IMAGE("https://m.media-amazon.com/images/I/81Yt-bt8B3L.jpg")</f>
        <v/>
      </c>
      <c r="B42" s="32" t="inlineStr">
        <is>
          <t>B0H6K2ZKTZ</t>
        </is>
      </c>
      <c r="C42" s="32" t="inlineStr">
        <is>
          <t>CL-COOLING-SHEET-FULL-SAGE-GREEN</t>
        </is>
      </c>
      <c r="D42" s="32" t="inlineStr">
        <is>
          <t>COOLINENS Cooling Sheets - BreezeWeave 4 PC Full Size Cooling Bed Sheets for Hot Sleepers &amp; Deep, Cool Rest - Cloud Soft, Silky Smooth, 16 in Deep Pocket, Ultra Durable (Sage Green)</t>
        </is>
      </c>
      <c r="E42" s="32" t="inlineStr">
        <is>
          <t>Full</t>
        </is>
      </c>
      <c r="F42" s="32" t="inlineStr">
        <is>
          <t>Sage Green</t>
        </is>
      </c>
      <c r="G42" s="60" t="n">
        <v>67.98999999999999</v>
      </c>
      <c r="H42" s="32" t="inlineStr">
        <is>
          <t>Helium 10 Xray, 2026-10-13</t>
        </is>
      </c>
      <c r="I42" s="33" t="n"/>
      <c r="J42" s="32" t="n"/>
      <c r="K42" s="33" t="n"/>
      <c r="L42" s="63" t="n"/>
      <c r="M42" s="64" t="n">
        <v>0</v>
      </c>
      <c r="N42" s="32" t="inlineStr">
        <is>
          <t>Active</t>
        </is>
      </c>
      <c r="O42" s="32" t="n"/>
      <c r="P42" s="65" t="n"/>
      <c r="Q42" s="64" t="n">
        <v>0</v>
      </c>
      <c r="R42" s="64" t="n">
        <v>1021434</v>
      </c>
      <c r="S42" s="64" t="n">
        <v>0</v>
      </c>
      <c r="T42" s="66" t="inlineStr">
        <is>
          <t>SEPARATE listing - not in the main review family</t>
        </is>
      </c>
    </row>
    <row r="43" ht="62" customHeight="1">
      <c r="A43" s="10">
        <f>_xlfn.IMAGE("https://m.media-amazon.com/images/I/81ptLz5jTWL.jpg")</f>
        <v/>
      </c>
      <c r="B43" s="32" t="inlineStr">
        <is>
          <t>B0H6JZ1QQH</t>
        </is>
      </c>
      <c r="C43" s="32" t="inlineStr">
        <is>
          <t>CL-COOLING-SHEET-FULL-WHITE</t>
        </is>
      </c>
      <c r="D43" s="32" t="inlineStr">
        <is>
          <t>COOLINENS Cooling Sheets - BreezeWeave 4 PC Full Size Cooling Bed Sheets for Hot Sleepers &amp; Deep, Cool Rest - Cloud Soft, Silky Smooth, 16 in Deep Pocket, Ultra Durable (White)</t>
        </is>
      </c>
      <c r="E43" s="32" t="inlineStr">
        <is>
          <t>Full</t>
        </is>
      </c>
      <c r="F43" s="32" t="inlineStr">
        <is>
          <t>White</t>
        </is>
      </c>
      <c r="G43" s="33" t="n"/>
      <c r="H43" s="32" t="n"/>
      <c r="I43" s="33" t="n"/>
      <c r="J43" s="32" t="n"/>
      <c r="K43" s="33" t="n"/>
      <c r="L43" s="63" t="n"/>
      <c r="M43" s="64" t="n">
        <v>0</v>
      </c>
      <c r="N43" s="32" t="inlineStr">
        <is>
          <t>Active</t>
        </is>
      </c>
      <c r="O43" s="32" t="n"/>
      <c r="P43" s="65" t="n"/>
      <c r="Q43" s="64" t="n"/>
      <c r="R43" s="64" t="n"/>
      <c r="S43" s="64" t="n"/>
      <c r="T43" s="32" t="n"/>
    </row>
    <row r="44" ht="62" customHeight="1">
      <c r="A44" s="10">
        <f>_xlfn.IMAGE("https://m.media-amazon.com/images/I/81GLNCr7elL.jpg")</f>
        <v/>
      </c>
      <c r="B44" s="32" t="inlineStr">
        <is>
          <t>B0H6KBLZ6X</t>
        </is>
      </c>
      <c r="C44" s="32" t="inlineStr">
        <is>
          <t>CL-COOLING-SHEET-KING-BEIGE</t>
        </is>
      </c>
      <c r="D44" s="32" t="inlineStr">
        <is>
          <t>COOLINENS Cooling Sheets - BreezeWeave 4 PC King Size Cooling Bed Sheets for Hot Sleepers &amp; Deep, Cool Rest - Cloud Soft, Silky Smooth, 16 in Deep Pocket, Ultra Durable (Beige)</t>
        </is>
      </c>
      <c r="E44" s="32" t="inlineStr">
        <is>
          <t>King</t>
        </is>
      </c>
      <c r="F44" s="32" t="inlineStr">
        <is>
          <t>Beige</t>
        </is>
      </c>
      <c r="G44" s="33" t="n"/>
      <c r="H44" s="32" t="n"/>
      <c r="I44" s="33" t="n"/>
      <c r="J44" s="32" t="n"/>
      <c r="K44" s="33" t="n"/>
      <c r="L44" s="63" t="n"/>
      <c r="M44" s="64" t="n">
        <v>0</v>
      </c>
      <c r="N44" s="32" t="inlineStr">
        <is>
          <t>Active</t>
        </is>
      </c>
      <c r="O44" s="32" t="n"/>
      <c r="P44" s="65" t="n"/>
      <c r="Q44" s="64" t="n"/>
      <c r="R44" s="64" t="n"/>
      <c r="S44" s="64" t="n"/>
      <c r="T44" s="32" t="n"/>
    </row>
    <row r="45" ht="62" customHeight="1">
      <c r="A45" s="10">
        <f>_xlfn.IMAGE("https://m.media-amazon.com/images/I/81XCjQT6mGL.jpg")</f>
        <v/>
      </c>
      <c r="B45" s="32" t="inlineStr">
        <is>
          <t>B0H6K77BRL</t>
        </is>
      </c>
      <c r="C45" s="32" t="inlineStr">
        <is>
          <t>CL-COOLING-SHEET-KING-COOL-GREY</t>
        </is>
      </c>
      <c r="D45" s="32" t="inlineStr">
        <is>
          <t>COOLINENS Cooling Sheets - BreezeWeave 4 PC King Size Cooling Bed Sheets for Hot Sleepers &amp; Deep, Cool Rest - Cloud Soft, Silky Smooth, 16 in Deep Pocket, Ultra Durable (Cool Grey)</t>
        </is>
      </c>
      <c r="E45" s="32" t="inlineStr">
        <is>
          <t>King</t>
        </is>
      </c>
      <c r="F45" s="32" t="inlineStr">
        <is>
          <t>Cool Grey</t>
        </is>
      </c>
      <c r="G45" s="33" t="n"/>
      <c r="H45" s="32" t="n"/>
      <c r="I45" s="33" t="n"/>
      <c r="J45" s="32" t="n"/>
      <c r="K45" s="33" t="n"/>
      <c r="L45" s="63" t="n"/>
      <c r="M45" s="64" t="n">
        <v>0</v>
      </c>
      <c r="N45" s="32" t="inlineStr">
        <is>
          <t>Active</t>
        </is>
      </c>
      <c r="O45" s="32" t="n"/>
      <c r="P45" s="65" t="n"/>
      <c r="Q45" s="64" t="n"/>
      <c r="R45" s="64" t="n"/>
      <c r="S45" s="64" t="n"/>
      <c r="T45" s="32" t="n"/>
    </row>
    <row r="46" ht="62" customHeight="1">
      <c r="A46" s="10">
        <f>_xlfn.IMAGE("https://m.media-amazon.com/images/I/81hYGok5xCL.jpg")</f>
        <v/>
      </c>
      <c r="B46" s="32" t="inlineStr">
        <is>
          <t>B0H6JWKFXF</t>
        </is>
      </c>
      <c r="C46" s="32" t="inlineStr">
        <is>
          <t>CL-COOLING-SHEET-KING-CREAM</t>
        </is>
      </c>
      <c r="D46" s="32" t="inlineStr">
        <is>
          <t>COOLINENS Cooling Sheets - BreezeWeave 4 PC King Size Cooling Bed Sheets for Hot Sleepers &amp; Deep, Cool Rest - Cloud Soft, Silky Smooth, 16 in Deep Pocket, Ultra Durable (Cream)</t>
        </is>
      </c>
      <c r="E46" s="32" t="inlineStr">
        <is>
          <t>King</t>
        </is>
      </c>
      <c r="F46" s="32" t="inlineStr">
        <is>
          <t>Cream</t>
        </is>
      </c>
      <c r="G46" s="33" t="n"/>
      <c r="H46" s="32" t="n"/>
      <c r="I46" s="33" t="n"/>
      <c r="J46" s="32" t="n"/>
      <c r="K46" s="33" t="n"/>
      <c r="L46" s="63" t="n"/>
      <c r="M46" s="64" t="n"/>
      <c r="N46" s="32" t="inlineStr">
        <is>
          <t>Active</t>
        </is>
      </c>
      <c r="O46" s="32" t="n"/>
      <c r="P46" s="65" t="n"/>
      <c r="Q46" s="64" t="n"/>
      <c r="R46" s="64" t="n"/>
      <c r="S46" s="64" t="n"/>
      <c r="T46" s="32" t="n"/>
    </row>
    <row r="47" ht="62" customHeight="1">
      <c r="A47" s="10">
        <f>_xlfn.IMAGE("https://m.media-amazon.com/images/I/81FIe8vozbL.jpg")</f>
        <v/>
      </c>
      <c r="B47" s="32" t="inlineStr">
        <is>
          <t>B0H6JXBD3K</t>
        </is>
      </c>
      <c r="C47" s="32" t="inlineStr">
        <is>
          <t>CL-COOLING-SHEET-KING-GRAPHITE</t>
        </is>
      </c>
      <c r="D47" s="32" t="inlineStr">
        <is>
          <t>COOLINENS Cooling Sheets - BreezeWeave 4 PC King Size Cooling Bed Sheets for Hot Sleepers &amp; Deep, Cool Rest - Cloud Soft, Silky Smooth, 16 in Deep Pocket, Ultra Durable (Graphite)</t>
        </is>
      </c>
      <c r="E47" s="32" t="inlineStr">
        <is>
          <t>King</t>
        </is>
      </c>
      <c r="F47" s="32" t="inlineStr">
        <is>
          <t>Graphite</t>
        </is>
      </c>
      <c r="G47" s="60" t="n">
        <v>84.98999999999999</v>
      </c>
      <c r="H47" s="32" t="inlineStr">
        <is>
          <t>Helium 10 Xray, 2026-10-13</t>
        </is>
      </c>
      <c r="I47" s="33" t="n"/>
      <c r="J47" s="32" t="n"/>
      <c r="K47" s="33" t="n"/>
      <c r="L47" s="63" t="n"/>
      <c r="M47" s="64" t="n">
        <v>0</v>
      </c>
      <c r="N47" s="32" t="inlineStr">
        <is>
          <t>Active</t>
        </is>
      </c>
      <c r="O47" s="32" t="n"/>
      <c r="P47" s="65" t="n">
        <v>5</v>
      </c>
      <c r="Q47" s="64" t="n">
        <v>3</v>
      </c>
      <c r="R47" s="64" t="n">
        <v>1021342</v>
      </c>
      <c r="S47" s="64" t="n">
        <v>0</v>
      </c>
      <c r="T47" s="66" t="inlineStr">
        <is>
          <t>SEPARATE listing - not in the main review family</t>
        </is>
      </c>
    </row>
    <row r="48" ht="62" customHeight="1">
      <c r="A48" s="10">
        <f>_xlfn.IMAGE("https://m.media-amazon.com/images/I/81-pnxSpyEL.jpg")</f>
        <v/>
      </c>
      <c r="B48" s="32" t="inlineStr">
        <is>
          <t>B0H6JYX655</t>
        </is>
      </c>
      <c r="C48" s="32" t="inlineStr">
        <is>
          <t>CL-COOLING-SHEET-KING-LIGHT-BLUE</t>
        </is>
      </c>
      <c r="D48" s="32" t="inlineStr">
        <is>
          <t>COOLINENS Cooling Sheets - BreezeWeave 4 PC King Size Cooling Bed Sheets for Hot Sleepers &amp; Deep, Cool Rest - Cloud Soft, Silky Smooth, 16 in Deep Pocket, Ultra Durable (Light Blue)</t>
        </is>
      </c>
      <c r="E48" s="32" t="inlineStr">
        <is>
          <t>King</t>
        </is>
      </c>
      <c r="F48" s="32" t="inlineStr">
        <is>
          <t>Light Blue</t>
        </is>
      </c>
      <c r="G48" s="33" t="n"/>
      <c r="H48" s="32" t="n"/>
      <c r="I48" s="33" t="n"/>
      <c r="J48" s="32" t="n"/>
      <c r="K48" s="33" t="n"/>
      <c r="L48" s="63" t="n"/>
      <c r="M48" s="64" t="n">
        <v>0</v>
      </c>
      <c r="N48" s="32" t="inlineStr">
        <is>
          <t>Active</t>
        </is>
      </c>
      <c r="O48" s="32" t="n"/>
      <c r="P48" s="65" t="n"/>
      <c r="Q48" s="64" t="n"/>
      <c r="R48" s="64" t="n"/>
      <c r="S48" s="64" t="n"/>
      <c r="T48" s="32" t="n"/>
    </row>
    <row r="49" ht="62" customHeight="1">
      <c r="A49" s="10">
        <f>_xlfn.IMAGE("https://m.media-amazon.com/images/I/81R6cQjusKL.jpg")</f>
        <v/>
      </c>
      <c r="B49" s="32" t="inlineStr">
        <is>
          <t>B0H6K3X9SH</t>
        </is>
      </c>
      <c r="C49" s="32" t="inlineStr">
        <is>
          <t>CL-COOLING-SHEET-KING-LIGHT-GREY</t>
        </is>
      </c>
      <c r="D49" s="32" t="inlineStr">
        <is>
          <t>COOLINENS Cooling Sheets - BreezeWeave 4 PC King Size Cooling Bed Sheets for Hot Sleepers &amp; Deep, Cool Rest - Cloud Soft, Silky Smooth, 16 in Deep Pocket, Ultra Durable (Light Grey)</t>
        </is>
      </c>
      <c r="E49" s="32" t="inlineStr">
        <is>
          <t>King</t>
        </is>
      </c>
      <c r="F49" s="32" t="inlineStr">
        <is>
          <t>Light Grey</t>
        </is>
      </c>
      <c r="G49" s="33" t="n"/>
      <c r="H49" s="32" t="n"/>
      <c r="I49" s="33" t="n"/>
      <c r="J49" s="32" t="n"/>
      <c r="K49" s="33" t="n"/>
      <c r="L49" s="63" t="n"/>
      <c r="M49" s="64" t="n"/>
      <c r="N49" s="32" t="inlineStr">
        <is>
          <t>Active</t>
        </is>
      </c>
      <c r="O49" s="32" t="n"/>
      <c r="P49" s="65" t="n"/>
      <c r="Q49" s="64" t="n"/>
      <c r="R49" s="64" t="n"/>
      <c r="S49" s="64" t="n"/>
      <c r="T49" s="32" t="n"/>
    </row>
    <row r="50" ht="62" customHeight="1">
      <c r="A50" s="10">
        <f>_xlfn.IMAGE("https://m.media-amazon.com/images/I/81UwBUFGzsL.jpg")</f>
        <v/>
      </c>
      <c r="B50" s="32" t="inlineStr">
        <is>
          <t>B0H6K7DXNY</t>
        </is>
      </c>
      <c r="C50" s="32" t="inlineStr">
        <is>
          <t>CL-COOLING-SHEET-KING-LIGHT-PINK</t>
        </is>
      </c>
      <c r="D50" s="32" t="inlineStr">
        <is>
          <t>COOLINENS Cooling Sheets - BreezeWeave 4 PC King Size Cooling Bed Sheets for Hot Sleepers &amp; Deep, Cool Rest - Cloud Soft, Silky Smooth, 16 in Deep Pocket, Ultra Durable (Light Pink)</t>
        </is>
      </c>
      <c r="E50" s="32" t="inlineStr">
        <is>
          <t>King</t>
        </is>
      </c>
      <c r="F50" s="32" t="inlineStr">
        <is>
          <t>Light Pink</t>
        </is>
      </c>
      <c r="G50" s="33" t="n"/>
      <c r="H50" s="32" t="n"/>
      <c r="I50" s="33" t="n"/>
      <c r="J50" s="32" t="n"/>
      <c r="K50" s="33" t="n"/>
      <c r="L50" s="63" t="n"/>
      <c r="M50" s="64" t="n">
        <v>0</v>
      </c>
      <c r="N50" s="32" t="inlineStr">
        <is>
          <t>Active</t>
        </is>
      </c>
      <c r="O50" s="32" t="n"/>
      <c r="P50" s="65" t="n"/>
      <c r="Q50" s="64" t="n"/>
      <c r="R50" s="64" t="n"/>
      <c r="S50" s="64" t="n"/>
      <c r="T50" s="32" t="n"/>
    </row>
    <row r="51" ht="62" customHeight="1">
      <c r="A51" s="10">
        <f>_xlfn.IMAGE("https://m.media-amazon.com/images/I/81IS+DiYFRL.jpg")</f>
        <v/>
      </c>
      <c r="B51" s="32" t="inlineStr">
        <is>
          <t>B0H6K5JM82</t>
        </is>
      </c>
      <c r="C51" s="32" t="inlineStr">
        <is>
          <t>CL-COOLING-SHEET-KING-MIDNIGHT-BLACK</t>
        </is>
      </c>
      <c r="D51" s="32" t="inlineStr">
        <is>
          <t>COOLINENS Cooling Sheets - BreezeWeave 4 PC King Size Cooling Bed Sheets for Hot Sleepers &amp; Deep, Cool Rest - Cloud Soft, Silky Smooth, 16 in Deep Pocket, Ultra Durable (Midnight Black)</t>
        </is>
      </c>
      <c r="E51" s="32" t="inlineStr">
        <is>
          <t>King</t>
        </is>
      </c>
      <c r="F51" s="32" t="inlineStr">
        <is>
          <t>Midnight Black</t>
        </is>
      </c>
      <c r="G51" s="33" t="n"/>
      <c r="H51" s="32" t="n"/>
      <c r="I51" s="33" t="n"/>
      <c r="J51" s="32" t="n"/>
      <c r="K51" s="33" t="n"/>
      <c r="L51" s="63" t="n"/>
      <c r="M51" s="64" t="n">
        <v>0</v>
      </c>
      <c r="N51" s="32" t="inlineStr">
        <is>
          <t>Active</t>
        </is>
      </c>
      <c r="O51" s="32" t="n"/>
      <c r="P51" s="65" t="n"/>
      <c r="Q51" s="64" t="n"/>
      <c r="R51" s="64" t="n"/>
      <c r="S51" s="64" t="n"/>
      <c r="T51" s="32" t="n"/>
    </row>
    <row r="52" ht="62" customHeight="1">
      <c r="A52" s="10">
        <f>_xlfn.IMAGE("https://m.media-amazon.com/images/I/817Z4JGPz8L.jpg")</f>
        <v/>
      </c>
      <c r="B52" s="32" t="inlineStr">
        <is>
          <t>B0H6K78BHY</t>
        </is>
      </c>
      <c r="C52" s="32" t="inlineStr">
        <is>
          <t>CL-COOLING-SHEET-KING-NAVY-BLUE</t>
        </is>
      </c>
      <c r="D52" s="32" t="inlineStr">
        <is>
          <t>COOLINENS Cooling Sheets - BreezeWeave 4 PC King Size Cooling Bed Sheets for Hot Sleepers &amp; Deep, Cool Rest - Cloud Soft, Silky Smooth, 16 in Deep Pocket, Ultra Durable (Navy Blue)</t>
        </is>
      </c>
      <c r="E52" s="32" t="inlineStr">
        <is>
          <t>King</t>
        </is>
      </c>
      <c r="F52" s="32" t="inlineStr">
        <is>
          <t>Navy Blue</t>
        </is>
      </c>
      <c r="G52" s="33" t="n"/>
      <c r="H52" s="32" t="n"/>
      <c r="I52" s="33" t="n"/>
      <c r="J52" s="32" t="n"/>
      <c r="K52" s="33" t="n"/>
      <c r="L52" s="63" t="n"/>
      <c r="M52" s="64" t="n">
        <v>0</v>
      </c>
      <c r="N52" s="32" t="inlineStr">
        <is>
          <t>Active</t>
        </is>
      </c>
      <c r="O52" s="32" t="n"/>
      <c r="P52" s="65" t="n"/>
      <c r="Q52" s="64" t="n"/>
      <c r="R52" s="64" t="n"/>
      <c r="S52" s="64" t="n"/>
      <c r="T52" s="32" t="n"/>
    </row>
    <row r="53" ht="62" customHeight="1">
      <c r="A53" s="10">
        <f>_xlfn.IMAGE("https://m.media-amazon.com/images/I/818DClLHYtL.jpg")</f>
        <v/>
      </c>
      <c r="B53" s="32" t="inlineStr">
        <is>
          <t>B0H6JZT4XF</t>
        </is>
      </c>
      <c r="C53" s="32" t="inlineStr">
        <is>
          <t>CL-COOLING-SHEET-KING-REGAL-PURPLE</t>
        </is>
      </c>
      <c r="D53" s="32" t="inlineStr">
        <is>
          <t>COOLINENS Cooling Sheets - BreezeWeave 4 PC King Size Cooling Bed Sheets for Hot Sleepers &amp; Deep, Cool Rest - Cloud Soft, Silky Smooth, 16 in Deep Pocket, Ultra Durable (Regal Purple)</t>
        </is>
      </c>
      <c r="E53" s="32" t="inlineStr">
        <is>
          <t>King</t>
        </is>
      </c>
      <c r="F53" s="32" t="inlineStr">
        <is>
          <t>Regal Purple</t>
        </is>
      </c>
      <c r="G53" s="33" t="n"/>
      <c r="H53" s="32" t="n"/>
      <c r="I53" s="33" t="n"/>
      <c r="J53" s="32" t="n"/>
      <c r="K53" s="33" t="n"/>
      <c r="L53" s="63" t="n"/>
      <c r="M53" s="64" t="n">
        <v>0</v>
      </c>
      <c r="N53" s="32" t="inlineStr">
        <is>
          <t>Active</t>
        </is>
      </c>
      <c r="O53" s="32" t="n"/>
      <c r="P53" s="65" t="n"/>
      <c r="Q53" s="64" t="n"/>
      <c r="R53" s="64" t="n"/>
      <c r="S53" s="64" t="n"/>
      <c r="T53" s="32" t="n"/>
    </row>
    <row r="54" ht="62" customHeight="1">
      <c r="A54" s="10">
        <f>_xlfn.IMAGE("https://m.media-amazon.com/images/I/81Yt-bt8B3L.jpg")</f>
        <v/>
      </c>
      <c r="B54" s="32" t="inlineStr">
        <is>
          <t>B0H6K79KGF</t>
        </is>
      </c>
      <c r="C54" s="32" t="inlineStr">
        <is>
          <t>CL-COOLING-SHEET-KING-SAGE-GREEN</t>
        </is>
      </c>
      <c r="D54" s="32" t="inlineStr">
        <is>
          <t>COOLINENS Cooling Sheets - BreezeWeave 4 PC King Size Cooling Bed Sheets for Hot Sleepers &amp; Deep, Cool Rest - Cloud Soft, Silky Smooth, 16 in Deep Pocket, Ultra Durable (Sage Green)</t>
        </is>
      </c>
      <c r="E54" s="32" t="inlineStr">
        <is>
          <t>King</t>
        </is>
      </c>
      <c r="F54" s="32" t="inlineStr">
        <is>
          <t>Sage Green</t>
        </is>
      </c>
      <c r="G54" s="33" t="n"/>
      <c r="H54" s="32" t="n"/>
      <c r="I54" s="33" t="n"/>
      <c r="J54" s="32" t="n"/>
      <c r="K54" s="33" t="n"/>
      <c r="L54" s="63" t="n"/>
      <c r="M54" s="64" t="n">
        <v>0</v>
      </c>
      <c r="N54" s="32" t="inlineStr">
        <is>
          <t>Active</t>
        </is>
      </c>
      <c r="O54" s="32" t="n"/>
      <c r="P54" s="65" t="n"/>
      <c r="Q54" s="64" t="n"/>
      <c r="R54" s="64" t="n"/>
      <c r="S54" s="64" t="n"/>
      <c r="T54" s="32" t="n"/>
    </row>
    <row r="55" ht="62" customHeight="1">
      <c r="A55" s="10">
        <f>_xlfn.IMAGE("https://m.media-amazon.com/images/I/81ptLz5jTWL.jpg")</f>
        <v/>
      </c>
      <c r="B55" s="32" t="inlineStr">
        <is>
          <t>B0H6K7BNHG</t>
        </is>
      </c>
      <c r="C55" s="32" t="inlineStr">
        <is>
          <t>CL-COOLING-SHEET-KING-WHITE</t>
        </is>
      </c>
      <c r="D55" s="32" t="inlineStr">
        <is>
          <t>COOLINENS Cooling Sheets - BreezeWeave 4 PC King Size Cooling Bed Sheets for Hot Sleepers &amp; Deep, Cool Rest - Cloud Soft, Silky Smooth, 16 in Deep Pocket, Ultra Durable (White)</t>
        </is>
      </c>
      <c r="E55" s="32" t="inlineStr">
        <is>
          <t>King</t>
        </is>
      </c>
      <c r="F55" s="32" t="inlineStr">
        <is>
          <t>White</t>
        </is>
      </c>
      <c r="G55" s="33" t="n"/>
      <c r="H55" s="32" t="n"/>
      <c r="I55" s="33" t="n"/>
      <c r="J55" s="32" t="n"/>
      <c r="K55" s="33" t="n"/>
      <c r="L55" s="63" t="n"/>
      <c r="M55" s="64" t="n">
        <v>0</v>
      </c>
      <c r="N55" s="32" t="inlineStr">
        <is>
          <t>Active</t>
        </is>
      </c>
      <c r="O55" s="32" t="n"/>
      <c r="P55" s="65" t="n"/>
      <c r="Q55" s="64" t="n"/>
      <c r="R55" s="64" t="n"/>
      <c r="S55" s="64" t="n"/>
      <c r="T55" s="32" t="n"/>
    </row>
    <row r="56" ht="62" customHeight="1">
      <c r="A56" s="10">
        <f>_xlfn.IMAGE("https://m.media-amazon.com/images/I/81GLNCr7elL.jpg")</f>
        <v/>
      </c>
      <c r="B56" s="32" t="inlineStr">
        <is>
          <t>B0H6K4BKT8</t>
        </is>
      </c>
      <c r="C56" s="32" t="inlineStr">
        <is>
          <t>CL-COOLING-SHEET-QUEEN-BEIGE</t>
        </is>
      </c>
      <c r="D56" s="32" t="inlineStr">
        <is>
          <t>COOLINENS Cooling Sheets - BreezeWeave 4 PC Queen Size Cooling Bed Sheets for Hot Sleepers &amp; Deep, Cool Rest - Cloud Soft, Silky Smooth, 16 in Deep Pocket, Ultra Durable (Beige)</t>
        </is>
      </c>
      <c r="E56" s="32" t="inlineStr">
        <is>
          <t>Queen</t>
        </is>
      </c>
      <c r="F56" s="32" t="inlineStr">
        <is>
          <t>Beige</t>
        </is>
      </c>
      <c r="G56" s="60" t="n">
        <v>79.98999999999999</v>
      </c>
      <c r="H56" s="32" t="inlineStr">
        <is>
          <t>Helium 10 Xray, 2026-10-13</t>
        </is>
      </c>
      <c r="I56" s="33" t="n"/>
      <c r="J56" s="32" t="n"/>
      <c r="K56" s="33" t="n"/>
      <c r="L56" s="63" t="n"/>
      <c r="M56" s="64" t="n">
        <v>0</v>
      </c>
      <c r="N56" s="32" t="inlineStr">
        <is>
          <t>Active</t>
        </is>
      </c>
      <c r="O56" s="32" t="n"/>
      <c r="P56" s="65" t="n">
        <v>5</v>
      </c>
      <c r="Q56" s="64" t="n">
        <v>4</v>
      </c>
      <c r="R56" s="64" t="n">
        <v>777853</v>
      </c>
      <c r="S56" s="64" t="n">
        <v>0</v>
      </c>
      <c r="T56" s="66" t="inlineStr">
        <is>
          <t>SEPARATE listing - not in the main review family</t>
        </is>
      </c>
    </row>
    <row r="57" ht="62" customHeight="1">
      <c r="A57" s="10">
        <f>_xlfn.IMAGE("https://m.media-amazon.com/images/I/81hYGok5xCL.jpg")</f>
        <v/>
      </c>
      <c r="B57" s="32" t="inlineStr">
        <is>
          <t>B0H6K1XRBF</t>
        </is>
      </c>
      <c r="C57" s="32" t="inlineStr">
        <is>
          <t>CL-COOLING-SHEET-QUEEN-CREAM</t>
        </is>
      </c>
      <c r="D57" s="32" t="inlineStr">
        <is>
          <t>COOLINENS Cooling Sheets - BreezeWeave 4 PC Queen Size Cooling Bed Sheets for Hot Sleepers &amp; Deep, Cool Rest - Cloud Soft, Silky Smooth, 16 in Deep Pocket, Ultra Durable (Cream)</t>
        </is>
      </c>
      <c r="E57" s="32" t="inlineStr">
        <is>
          <t>Queen</t>
        </is>
      </c>
      <c r="F57" s="32" t="inlineStr">
        <is>
          <t>Cream</t>
        </is>
      </c>
      <c r="G57" s="33" t="n"/>
      <c r="H57" s="32" t="n"/>
      <c r="I57" s="33" t="n"/>
      <c r="J57" s="32" t="n"/>
      <c r="K57" s="33" t="n"/>
      <c r="L57" s="63" t="n"/>
      <c r="M57" s="64" t="n"/>
      <c r="N57" s="32" t="inlineStr">
        <is>
          <t>Active</t>
        </is>
      </c>
      <c r="O57" s="32" t="n"/>
      <c r="P57" s="65" t="n"/>
      <c r="Q57" s="64" t="n"/>
      <c r="R57" s="64" t="n"/>
      <c r="S57" s="64" t="n"/>
      <c r="T57" s="32" t="n"/>
    </row>
    <row r="58" ht="62" customHeight="1">
      <c r="A58" s="10">
        <f>_xlfn.IMAGE("https://m.media-amazon.com/images/I/81-pnxSpyEL.jpg")</f>
        <v/>
      </c>
      <c r="B58" s="32" t="inlineStr">
        <is>
          <t>B0H6K8W1VH</t>
        </is>
      </c>
      <c r="C58" s="32" t="inlineStr">
        <is>
          <t>CL-COOLING-SHEET-QUEEN-LIGHT-BLUE</t>
        </is>
      </c>
      <c r="D58" s="32" t="inlineStr">
        <is>
          <t>COOLINENS Cooling Sheets - BreezeWeave 4 PC Queen Size Cooling Bed Sheets for Hot Sleepers &amp; Deep, Cool Rest - Cloud Soft, Silky Smooth, 16 in Deep Pocket, Ultra Durable (Light Blue)</t>
        </is>
      </c>
      <c r="E58" s="32" t="inlineStr">
        <is>
          <t>Queen</t>
        </is>
      </c>
      <c r="F58" s="32" t="inlineStr">
        <is>
          <t>Light Blue</t>
        </is>
      </c>
      <c r="G58" s="33" t="n"/>
      <c r="H58" s="32" t="n"/>
      <c r="I58" s="33" t="n"/>
      <c r="J58" s="32" t="n"/>
      <c r="K58" s="33" t="n"/>
      <c r="L58" s="63" t="n"/>
      <c r="M58" s="64" t="n">
        <v>0</v>
      </c>
      <c r="N58" s="32" t="inlineStr">
        <is>
          <t>Active</t>
        </is>
      </c>
      <c r="O58" s="32" t="n"/>
      <c r="P58" s="65" t="n"/>
      <c r="Q58" s="64" t="n"/>
      <c r="R58" s="64" t="n"/>
      <c r="S58" s="64" t="n"/>
      <c r="T58" s="32" t="n"/>
    </row>
    <row r="59" ht="62" customHeight="1">
      <c r="A59" s="10">
        <f>_xlfn.IMAGE("https://m.media-amazon.com/images/I/81R6cQjusKL.jpg")</f>
        <v/>
      </c>
      <c r="B59" s="32" t="inlineStr">
        <is>
          <t>B0H6K55LHF</t>
        </is>
      </c>
      <c r="C59" s="32" t="inlineStr">
        <is>
          <t>CL-COOLING-SHEET-QUEEN-LIGHT-GREY</t>
        </is>
      </c>
      <c r="D59" s="32" t="inlineStr">
        <is>
          <t>COOLINENS Cooling Sheets - BreezeWeave 4 PC Queen Size Cooling Bed Sheets for Hot Sleepers &amp; Deep, Cool Rest - Cloud Soft, Silky Smooth, 16 in Deep Pocket, Ultra Durable (Light Grey)</t>
        </is>
      </c>
      <c r="E59" s="32" t="inlineStr">
        <is>
          <t>Queen</t>
        </is>
      </c>
      <c r="F59" s="32" t="inlineStr">
        <is>
          <t>Light Grey</t>
        </is>
      </c>
      <c r="G59" s="33" t="n"/>
      <c r="H59" s="32" t="n"/>
      <c r="I59" s="33" t="n"/>
      <c r="J59" s="32" t="n"/>
      <c r="K59" s="33" t="n"/>
      <c r="L59" s="63" t="n"/>
      <c r="M59" s="64" t="n">
        <v>0</v>
      </c>
      <c r="N59" s="32" t="inlineStr">
        <is>
          <t>Active</t>
        </is>
      </c>
      <c r="O59" s="32" t="n"/>
      <c r="P59" s="65" t="n"/>
      <c r="Q59" s="64" t="n"/>
      <c r="R59" s="64" t="n"/>
      <c r="S59" s="64" t="n"/>
      <c r="T59" s="32" t="n"/>
    </row>
    <row r="60" ht="62" customHeight="1">
      <c r="A60" s="10">
        <f>_xlfn.IMAGE("https://m.media-amazon.com/images/I/81UwBUFGzsL.jpg")</f>
        <v/>
      </c>
      <c r="B60" s="32" t="inlineStr">
        <is>
          <t>B0H6K2MXND</t>
        </is>
      </c>
      <c r="C60" s="32" t="inlineStr">
        <is>
          <t>CL-COOLING-SHEET-QUEEN-LIGHT-PINK</t>
        </is>
      </c>
      <c r="D60" s="32" t="inlineStr">
        <is>
          <t>COOLINENS Cooling Sheets - BreezeWeave 4 PC Queen Size Cooling Bed Sheets for Hot Sleepers &amp; Deep, Cool Rest - Cloud Soft, Silky Smooth, 16 in Deep Pocket, Ultra Durable (Light Pink)</t>
        </is>
      </c>
      <c r="E60" s="32" t="inlineStr">
        <is>
          <t>Queen</t>
        </is>
      </c>
      <c r="F60" s="32" t="inlineStr">
        <is>
          <t>Light Pink</t>
        </is>
      </c>
      <c r="G60" s="33" t="n"/>
      <c r="H60" s="32" t="n"/>
      <c r="I60" s="33" t="n"/>
      <c r="J60" s="32" t="n"/>
      <c r="K60" s="33" t="n"/>
      <c r="L60" s="63" t="n"/>
      <c r="M60" s="64" t="n"/>
      <c r="N60" s="32" t="inlineStr">
        <is>
          <t>Active</t>
        </is>
      </c>
      <c r="O60" s="32" t="n"/>
      <c r="P60" s="65" t="n"/>
      <c r="Q60" s="64" t="n"/>
      <c r="R60" s="64" t="n"/>
      <c r="S60" s="64" t="n"/>
      <c r="T60" s="32" t="n"/>
    </row>
    <row r="61" ht="62" customHeight="1">
      <c r="A61" s="10">
        <f>_xlfn.IMAGE("https://m.media-amazon.com/images/I/81IS+DiYFRL.jpg")</f>
        <v/>
      </c>
      <c r="B61" s="32" t="inlineStr">
        <is>
          <t>B0H6JXLFX6</t>
        </is>
      </c>
      <c r="C61" s="32" t="inlineStr">
        <is>
          <t>CL-COOLING-SHEET-QUEEN-MIDNIGHT-BLACK</t>
        </is>
      </c>
      <c r="D61" s="32" t="inlineStr">
        <is>
          <t>COOLINENS Cooling Sheets - BreezeWeave 4 PC Queen Size Cooling Bed Sheets for Hot Sleepers &amp; Deep, Cool Rest - Cloud Soft, Silky Smooth, 16 in Deep Pocket, Ultra Durable (Midnight Black)</t>
        </is>
      </c>
      <c r="E61" s="32" t="inlineStr">
        <is>
          <t>Queen</t>
        </is>
      </c>
      <c r="F61" s="32" t="inlineStr">
        <is>
          <t>Midnight Black</t>
        </is>
      </c>
      <c r="G61" s="33" t="n"/>
      <c r="H61" s="32" t="n"/>
      <c r="I61" s="33" t="n"/>
      <c r="J61" s="32" t="n"/>
      <c r="K61" s="33" t="n"/>
      <c r="L61" s="63" t="n"/>
      <c r="M61" s="64" t="n">
        <v>0</v>
      </c>
      <c r="N61" s="32" t="inlineStr">
        <is>
          <t>Active</t>
        </is>
      </c>
      <c r="O61" s="32" t="n"/>
      <c r="P61" s="65" t="n"/>
      <c r="Q61" s="64" t="n"/>
      <c r="R61" s="64" t="n"/>
      <c r="S61" s="64" t="n"/>
      <c r="T61" s="32" t="n"/>
    </row>
    <row r="62" ht="62" customHeight="1">
      <c r="A62" s="10">
        <f>_xlfn.IMAGE("https://m.media-amazon.com/images/I/817Z4JGPz8L.jpg")</f>
        <v/>
      </c>
      <c r="B62" s="32" t="inlineStr">
        <is>
          <t>B0H6K7PWRL</t>
        </is>
      </c>
      <c r="C62" s="32" t="inlineStr">
        <is>
          <t>CL-COOLING-SHEET-QUEEN-NAVY-BLUE</t>
        </is>
      </c>
      <c r="D62" s="32" t="inlineStr">
        <is>
          <t>COOLINENS Cooling Sheets - BreezeWeave 4 PC Queen Size Cooling Bed Sheets for Hot Sleepers &amp; Deep, Cool Rest - Cloud Soft, Silky Smooth, 16 in Deep Pocket, Ultra Durable (Navy Blue)</t>
        </is>
      </c>
      <c r="E62" s="32" t="inlineStr">
        <is>
          <t>Queen</t>
        </is>
      </c>
      <c r="F62" s="32" t="inlineStr">
        <is>
          <t>Navy Blue</t>
        </is>
      </c>
      <c r="G62" s="33" t="n"/>
      <c r="H62" s="32" t="n"/>
      <c r="I62" s="33" t="n"/>
      <c r="J62" s="32" t="n"/>
      <c r="K62" s="33" t="n"/>
      <c r="L62" s="63" t="n"/>
      <c r="M62" s="64" t="n"/>
      <c r="N62" s="32" t="inlineStr">
        <is>
          <t>Active</t>
        </is>
      </c>
      <c r="O62" s="32" t="n"/>
      <c r="P62" s="65" t="n"/>
      <c r="Q62" s="64" t="n"/>
      <c r="R62" s="64" t="n"/>
      <c r="S62" s="64" t="n"/>
      <c r="T62" s="32" t="n"/>
    </row>
    <row r="63" ht="62" customHeight="1">
      <c r="A63" s="10">
        <f>_xlfn.IMAGE("https://m.media-amazon.com/images/I/818DClLHYtL.jpg")</f>
        <v/>
      </c>
      <c r="B63" s="32" t="inlineStr">
        <is>
          <t>B0H6JW1KL2</t>
        </is>
      </c>
      <c r="C63" s="32" t="inlineStr">
        <is>
          <t>CL-COOLING-SHEET-QUEEN-REGAL-PURPLE</t>
        </is>
      </c>
      <c r="D63" s="32" t="inlineStr">
        <is>
          <t>COOLINENS Cooling Sheets - BreezeWeave 4 PC Queen Size Cooling Bed Sheets for Hot Sleepers &amp; Deep, Cool Rest - Cloud Soft, Silky Smooth, 16 in Deep Pocket, Ultra Durable (Regal Purple)</t>
        </is>
      </c>
      <c r="E63" s="32" t="inlineStr">
        <is>
          <t>Queen</t>
        </is>
      </c>
      <c r="F63" s="32" t="inlineStr">
        <is>
          <t>Regal Purple</t>
        </is>
      </c>
      <c r="G63" s="33" t="n"/>
      <c r="H63" s="32" t="n"/>
      <c r="I63" s="33" t="n"/>
      <c r="J63" s="32" t="n"/>
      <c r="K63" s="33" t="n"/>
      <c r="L63" s="63" t="n"/>
      <c r="M63" s="64" t="n">
        <v>0</v>
      </c>
      <c r="N63" s="32" t="inlineStr">
        <is>
          <t>Active</t>
        </is>
      </c>
      <c r="O63" s="32" t="n"/>
      <c r="P63" s="65" t="n"/>
      <c r="Q63" s="64" t="n"/>
      <c r="R63" s="64" t="n"/>
      <c r="S63" s="64" t="n"/>
      <c r="T63" s="32" t="n"/>
    </row>
    <row r="64" ht="62" customHeight="1">
      <c r="A64" s="10">
        <f>_xlfn.IMAGE("https://m.media-amazon.com/images/I/81Yt-bt8B3L.jpg")</f>
        <v/>
      </c>
      <c r="B64" s="32" t="inlineStr">
        <is>
          <t>B0H6JZVSG3</t>
        </is>
      </c>
      <c r="C64" s="32" t="inlineStr">
        <is>
          <t>CL-COOLING-SHEET-QUEEN-SAGE-GREEN</t>
        </is>
      </c>
      <c r="D64" s="32" t="inlineStr">
        <is>
          <t>COOLINENS Cooling Sheets - BreezeWeave 4 PC Queen Size Cooling Bed Sheets for Hot Sleepers &amp; Deep, Cool Rest - Cloud Soft, Silky Smooth, 16 in Deep Pocket, Ultra Durable (Sage Green)</t>
        </is>
      </c>
      <c r="E64" s="32" t="inlineStr">
        <is>
          <t>Queen</t>
        </is>
      </c>
      <c r="F64" s="32" t="inlineStr">
        <is>
          <t>Sage Green</t>
        </is>
      </c>
      <c r="G64" s="33" t="n"/>
      <c r="H64" s="32" t="n"/>
      <c r="I64" s="33" t="n"/>
      <c r="J64" s="32" t="n"/>
      <c r="K64" s="33" t="n"/>
      <c r="L64" s="63" t="n"/>
      <c r="M64" s="64" t="n">
        <v>0</v>
      </c>
      <c r="N64" s="32" t="inlineStr">
        <is>
          <t>Active</t>
        </is>
      </c>
      <c r="O64" s="32" t="n"/>
      <c r="P64" s="65" t="n"/>
      <c r="Q64" s="64" t="n"/>
      <c r="R64" s="64" t="n"/>
      <c r="S64" s="64" t="n"/>
      <c r="T64" s="32" t="n"/>
    </row>
    <row r="65" ht="62" customHeight="1">
      <c r="A65" s="10">
        <f>_xlfn.IMAGE("https://m.media-amazon.com/images/I/81ptLz5jTWL.jpg")</f>
        <v/>
      </c>
      <c r="B65" s="32" t="inlineStr">
        <is>
          <t>B0H6K5MXPD</t>
        </is>
      </c>
      <c r="C65" s="32" t="inlineStr">
        <is>
          <t>CL-COOLING-SHEET-QUEEN-WHITE</t>
        </is>
      </c>
      <c r="D65" s="32" t="inlineStr">
        <is>
          <t>COOLINENS Cooling Sheets - BreezeWeave 4 PC Queen Size Cooling Bed Sheets for Hot Sleepers &amp; Deep, Cool Rest - Cloud Soft, Silky Smooth, 16 in Deep Pocket, Ultra Durable (White)</t>
        </is>
      </c>
      <c r="E65" s="32" t="inlineStr">
        <is>
          <t>Queen</t>
        </is>
      </c>
      <c r="F65" s="32" t="inlineStr">
        <is>
          <t>White</t>
        </is>
      </c>
      <c r="G65" s="33" t="n"/>
      <c r="H65" s="32" t="n"/>
      <c r="I65" s="33" t="n"/>
      <c r="J65" s="32" t="n"/>
      <c r="K65" s="33" t="n"/>
      <c r="L65" s="63" t="n"/>
      <c r="M65" s="64" t="n">
        <v>0</v>
      </c>
      <c r="N65" s="32" t="inlineStr">
        <is>
          <t>Active</t>
        </is>
      </c>
      <c r="O65" s="32" t="n"/>
      <c r="P65" s="65" t="n"/>
      <c r="Q65" s="64" t="n"/>
      <c r="R65" s="64" t="n"/>
      <c r="S65" s="64" t="n"/>
      <c r="T65" s="32" t="n"/>
    </row>
    <row r="66" ht="62" customHeight="1">
      <c r="A66" s="10">
        <f>_xlfn.IMAGE("https://m.media-amazon.com/images/I/81jiGHrbLyL.jpg")</f>
        <v/>
      </c>
      <c r="B66" s="32" t="inlineStr">
        <is>
          <t>B0H6K7NVS4</t>
        </is>
      </c>
      <c r="C66" s="32" t="inlineStr">
        <is>
          <t>CL-COOLING-SHEET-TWIN-BEIGE</t>
        </is>
      </c>
      <c r="D66" s="32" t="inlineStr">
        <is>
          <t>COOLINENS Cooling Sheets - BreezeWeave 3 PC Twin Size Cooling Bed Sheets for Hot Sleepers &amp; Deep, Cool Rest - Cloud Soft, Silky Smooth, 16 in Deep Pocket, Ultra Durable (Beige)</t>
        </is>
      </c>
      <c r="E66" s="32" t="inlineStr">
        <is>
          <t>Twin</t>
        </is>
      </c>
      <c r="F66" s="32" t="inlineStr">
        <is>
          <t>Beige</t>
        </is>
      </c>
      <c r="G66" s="33" t="n"/>
      <c r="H66" s="32" t="n"/>
      <c r="I66" s="33" t="n"/>
      <c r="J66" s="32" t="n"/>
      <c r="K66" s="33" t="n"/>
      <c r="L66" s="63" t="n"/>
      <c r="M66" s="64" t="n">
        <v>0</v>
      </c>
      <c r="N66" s="32" t="inlineStr">
        <is>
          <t>Active</t>
        </is>
      </c>
      <c r="O66" s="32" t="n"/>
      <c r="P66" s="65" t="n"/>
      <c r="Q66" s="64" t="n"/>
      <c r="R66" s="64" t="n"/>
      <c r="S66" s="64" t="n"/>
      <c r="T66" s="32" t="n"/>
    </row>
    <row r="67" ht="62" customHeight="1">
      <c r="A67" s="10">
        <f>_xlfn.IMAGE("https://m.media-amazon.com/images/I/81DuCEBlXpL.jpg")</f>
        <v/>
      </c>
      <c r="B67" s="32" t="inlineStr">
        <is>
          <t>B0H6K2GPYY</t>
        </is>
      </c>
      <c r="C67" s="32" t="inlineStr">
        <is>
          <t>CL-COOLING-SHEET-TWIN-COOL-GREY</t>
        </is>
      </c>
      <c r="D67" s="32" t="inlineStr">
        <is>
          <t>COOLINENS Cooling Sheets - BreezeWeave 3 PC Twin Size Cooling Bed Sheets for Hot Sleepers &amp; Deep, Cool Rest - Cloud Soft, Silky Smooth, 16 in Deep Pocket, Ultra Durable (Cool Grey)</t>
        </is>
      </c>
      <c r="E67" s="32" t="inlineStr">
        <is>
          <t>Twin</t>
        </is>
      </c>
      <c r="F67" s="32" t="inlineStr">
        <is>
          <t>Cool Grey</t>
        </is>
      </c>
      <c r="G67" s="33" t="n"/>
      <c r="H67" s="32" t="n"/>
      <c r="I67" s="33" t="n"/>
      <c r="J67" s="32" t="n"/>
      <c r="K67" s="33" t="n"/>
      <c r="L67" s="63" t="n"/>
      <c r="M67" s="64" t="n"/>
      <c r="N67" s="32" t="inlineStr">
        <is>
          <t>Active</t>
        </is>
      </c>
      <c r="O67" s="32" t="n"/>
      <c r="P67" s="65" t="n"/>
      <c r="Q67" s="64" t="n"/>
      <c r="R67" s="64" t="n"/>
      <c r="S67" s="64" t="n"/>
      <c r="T67" s="32" t="n"/>
    </row>
    <row r="68" ht="62" customHeight="1">
      <c r="A68" s="10">
        <f>_xlfn.IMAGE("https://m.media-amazon.com/images/I/81q6wCungpL.jpg")</f>
        <v/>
      </c>
      <c r="B68" s="32" t="inlineStr">
        <is>
          <t>B0H6JZ632R</t>
        </is>
      </c>
      <c r="C68" s="32" t="inlineStr">
        <is>
          <t>CL-COOLING-SHEET-TWIN-CREAM</t>
        </is>
      </c>
      <c r="D68" s="32" t="inlineStr">
        <is>
          <t>COOLINENS Cooling Sheets - BreezeWeave 3 PC Twin Size Cooling Bed Sheets for Hot Sleepers &amp; Deep, Cool Rest - Cloud Soft, Silky Smooth, 16 in Deep Pocket, Ultra Durable (Cream)</t>
        </is>
      </c>
      <c r="E68" s="32" t="inlineStr">
        <is>
          <t>Twin</t>
        </is>
      </c>
      <c r="F68" s="32" t="inlineStr">
        <is>
          <t>Cream</t>
        </is>
      </c>
      <c r="G68" s="33" t="n"/>
      <c r="H68" s="32" t="n"/>
      <c r="I68" s="33" t="n"/>
      <c r="J68" s="32" t="n"/>
      <c r="K68" s="33" t="n"/>
      <c r="L68" s="63" t="n"/>
      <c r="M68" s="64" t="n"/>
      <c r="N68" s="32" t="inlineStr">
        <is>
          <t>Active</t>
        </is>
      </c>
      <c r="O68" s="32" t="n"/>
      <c r="P68" s="65" t="n"/>
      <c r="Q68" s="64" t="n"/>
      <c r="R68" s="64" t="n"/>
      <c r="S68" s="64" t="n"/>
      <c r="T68" s="32" t="n"/>
    </row>
    <row r="69" ht="62" customHeight="1">
      <c r="A69" s="10">
        <f>_xlfn.IMAGE("https://m.media-amazon.com/images/I/81MwnUeGkNL.jpg")</f>
        <v/>
      </c>
      <c r="B69" s="32" t="inlineStr">
        <is>
          <t>B0H6K1TJWV</t>
        </is>
      </c>
      <c r="C69" s="32" t="inlineStr">
        <is>
          <t>CL-COOLING-SHEET-TWIN-GRAPHITE</t>
        </is>
      </c>
      <c r="D69" s="32" t="inlineStr">
        <is>
          <t>COOLINENS Cooling Sheets - BreezeWeave 3 PC Twin Size Cooling Bed Sheets for Hot Sleepers &amp; Deep, Cool Rest - Cloud Soft, Silky Smooth, 16 in Deep Pocket, Ultra Durable (Graphite)</t>
        </is>
      </c>
      <c r="E69" s="32" t="inlineStr">
        <is>
          <t>Twin</t>
        </is>
      </c>
      <c r="F69" s="32" t="inlineStr">
        <is>
          <t>Graphite</t>
        </is>
      </c>
      <c r="G69" s="33" t="n"/>
      <c r="H69" s="32" t="n"/>
      <c r="I69" s="33" t="n"/>
      <c r="J69" s="32" t="n"/>
      <c r="K69" s="33" t="n"/>
      <c r="L69" s="63" t="n"/>
      <c r="M69" s="64" t="n">
        <v>0</v>
      </c>
      <c r="N69" s="32" t="inlineStr">
        <is>
          <t>Active</t>
        </is>
      </c>
      <c r="O69" s="32" t="n"/>
      <c r="P69" s="65" t="n"/>
      <c r="Q69" s="64" t="n"/>
      <c r="R69" s="64" t="n"/>
      <c r="S69" s="64" t="n"/>
      <c r="T69" s="32" t="n"/>
    </row>
    <row r="70" ht="62" customHeight="1">
      <c r="A70" s="10">
        <f>_xlfn.IMAGE("https://m.media-amazon.com/images/I/814UfS5IeEL.jpg")</f>
        <v/>
      </c>
      <c r="B70" s="32" t="inlineStr">
        <is>
          <t>B0H6JY5YZ5</t>
        </is>
      </c>
      <c r="C70" s="32" t="inlineStr">
        <is>
          <t>CL-COOLING-SHEET-TWIN-LIGHT-BLUE</t>
        </is>
      </c>
      <c r="D70" s="32" t="inlineStr">
        <is>
          <t>COOLINENS Cooling Sheets - BreezeWeave 3 PC Twin Size Cooling Bed Sheets for Hot Sleepers &amp; Deep, Cool Rest - Cloud Soft, Silky Smooth, 16 in Deep Pocket, Ultra Durable (Light Blue)</t>
        </is>
      </c>
      <c r="E70" s="32" t="inlineStr">
        <is>
          <t>Twin</t>
        </is>
      </c>
      <c r="F70" s="32" t="inlineStr">
        <is>
          <t>Light Blue</t>
        </is>
      </c>
      <c r="G70" s="33" t="n"/>
      <c r="H70" s="32" t="n"/>
      <c r="I70" s="33" t="n"/>
      <c r="J70" s="32" t="n"/>
      <c r="K70" s="33" t="n"/>
      <c r="L70" s="63" t="n"/>
      <c r="M70" s="64" t="n"/>
      <c r="N70" s="32" t="inlineStr">
        <is>
          <t>Active</t>
        </is>
      </c>
      <c r="O70" s="32" t="n"/>
      <c r="P70" s="65" t="n"/>
      <c r="Q70" s="64" t="n"/>
      <c r="R70" s="64" t="n"/>
      <c r="S70" s="64" t="n"/>
      <c r="T70" s="32" t="n"/>
    </row>
    <row r="71" ht="62" customHeight="1">
      <c r="A71" s="10">
        <f>_xlfn.IMAGE("https://m.media-amazon.com/images/I/81KlULEc7AL.jpg")</f>
        <v/>
      </c>
      <c r="B71" s="32" t="inlineStr">
        <is>
          <t>B0H6K375NT</t>
        </is>
      </c>
      <c r="C71" s="32" t="inlineStr">
        <is>
          <t>CL-COOLING-SHEET-TWIN-LIGHT-GREY</t>
        </is>
      </c>
      <c r="D71" s="32" t="inlineStr">
        <is>
          <t>COOLINENS Cooling Sheets - BreezeWeave 3 PC Twin Size Cooling Bed Sheets for Hot Sleepers &amp; Deep, Cool Rest - Cloud Soft, Silky Smooth, 16 in Deep Pocket, Ultra Durable (Light Grey)</t>
        </is>
      </c>
      <c r="E71" s="32" t="inlineStr">
        <is>
          <t>Twin</t>
        </is>
      </c>
      <c r="F71" s="32" t="inlineStr">
        <is>
          <t>Light Grey</t>
        </is>
      </c>
      <c r="G71" s="33" t="n"/>
      <c r="H71" s="32" t="n"/>
      <c r="I71" s="33" t="n"/>
      <c r="J71" s="32" t="n"/>
      <c r="K71" s="33" t="n"/>
      <c r="L71" s="63" t="n"/>
      <c r="M71" s="64" t="n"/>
      <c r="N71" s="32" t="inlineStr">
        <is>
          <t>Active</t>
        </is>
      </c>
      <c r="O71" s="32" t="n"/>
      <c r="P71" s="65" t="n"/>
      <c r="Q71" s="64" t="n"/>
      <c r="R71" s="64" t="n"/>
      <c r="S71" s="64" t="n"/>
      <c r="T71" s="32" t="n"/>
    </row>
    <row r="72" ht="62" customHeight="1">
      <c r="A72" s="10">
        <f>_xlfn.IMAGE("https://m.media-amazon.com/images/I/81WmaV1ULrL.jpg")</f>
        <v/>
      </c>
      <c r="B72" s="32" t="inlineStr">
        <is>
          <t>B0H6K9M7WN</t>
        </is>
      </c>
      <c r="C72" s="32" t="inlineStr">
        <is>
          <t>CL-COOLING-SHEET-TWIN-LIGHT-PINK</t>
        </is>
      </c>
      <c r="D72" s="32" t="inlineStr">
        <is>
          <t>COOLINENS Cooling Sheets - BreezeWeave 3 PC Twin Size Cooling Bed Sheets for Hot Sleepers &amp; Deep, Cool Rest - Cloud Soft, Silky Smooth, 16 in Deep Pocket, Ultra Durable (Light Pink)</t>
        </is>
      </c>
      <c r="E72" s="32" t="inlineStr">
        <is>
          <t>Twin</t>
        </is>
      </c>
      <c r="F72" s="32" t="inlineStr">
        <is>
          <t>Light Pink</t>
        </is>
      </c>
      <c r="G72" s="33" t="n"/>
      <c r="H72" s="32" t="n"/>
      <c r="I72" s="33" t="n"/>
      <c r="J72" s="32" t="n"/>
      <c r="K72" s="33" t="n"/>
      <c r="L72" s="63" t="n"/>
      <c r="M72" s="64" t="n"/>
      <c r="N72" s="32" t="inlineStr">
        <is>
          <t>Active</t>
        </is>
      </c>
      <c r="O72" s="32" t="n"/>
      <c r="P72" s="65" t="n"/>
      <c r="Q72" s="64" t="n"/>
      <c r="R72" s="64" t="n"/>
      <c r="S72" s="64" t="n"/>
      <c r="T72" s="32" t="n"/>
    </row>
    <row r="73" ht="62" customHeight="1">
      <c r="A73" s="10">
        <f>_xlfn.IMAGE("https://m.media-amazon.com/images/I/81nCKuPyoYL.jpg")</f>
        <v/>
      </c>
      <c r="B73" s="32" t="inlineStr">
        <is>
          <t>B0H6K2WQHQ</t>
        </is>
      </c>
      <c r="C73" s="32" t="inlineStr">
        <is>
          <t>CL-COOLING-SHEET-TWIN-MIDNIGHT-BLACK</t>
        </is>
      </c>
      <c r="D73" s="32" t="inlineStr">
        <is>
          <t>COOLINENS Cooling Sheets - BreezeWeave 3 PC Twin Size Cooling Bed Sheets for Hot Sleepers &amp; Deep, Cool Rest - Cloud Soft, Silky Smooth, 16 in Deep Pocket, Ultra Durable (Midnight Black)</t>
        </is>
      </c>
      <c r="E73" s="32" t="inlineStr">
        <is>
          <t>Twin</t>
        </is>
      </c>
      <c r="F73" s="32" t="inlineStr">
        <is>
          <t>Midnight Black</t>
        </is>
      </c>
      <c r="G73" s="33" t="n"/>
      <c r="H73" s="32" t="n"/>
      <c r="I73" s="33" t="n"/>
      <c r="J73" s="32" t="n"/>
      <c r="K73" s="33" t="n"/>
      <c r="L73" s="63" t="n"/>
      <c r="M73" s="64" t="n"/>
      <c r="N73" s="32" t="inlineStr">
        <is>
          <t>Active</t>
        </is>
      </c>
      <c r="O73" s="32" t="n"/>
      <c r="P73" s="65" t="n"/>
      <c r="Q73" s="64" t="n"/>
      <c r="R73" s="64" t="n"/>
      <c r="S73" s="64" t="n"/>
      <c r="T73" s="32" t="n"/>
    </row>
    <row r="74" ht="62" customHeight="1">
      <c r="A74" s="10">
        <f>_xlfn.IMAGE("https://m.media-amazon.com/images/I/81tqzC7pzFL.jpg")</f>
        <v/>
      </c>
      <c r="B74" s="32" t="inlineStr">
        <is>
          <t>B0H6K777C2</t>
        </is>
      </c>
      <c r="C74" s="32" t="inlineStr">
        <is>
          <t>CL-COOLING-SHEET-TWIN-NAVY-BLUE</t>
        </is>
      </c>
      <c r="D74" s="32" t="inlineStr">
        <is>
          <t>COOLINENS Cooling Sheets - BreezeWeave 3 PC Twin Size Cooling Bed Sheets for Hot Sleepers &amp; Deep, Cool Rest - Cloud Soft, Silky Smooth, 16 in Deep Pocket, Ultra Durable (Navy Blue)</t>
        </is>
      </c>
      <c r="E74" s="32" t="inlineStr">
        <is>
          <t>Twin</t>
        </is>
      </c>
      <c r="F74" s="32" t="inlineStr">
        <is>
          <t>Navy Blue</t>
        </is>
      </c>
      <c r="G74" s="33" t="n"/>
      <c r="H74" s="32" t="n"/>
      <c r="I74" s="33" t="n"/>
      <c r="J74" s="32" t="n"/>
      <c r="K74" s="33" t="n"/>
      <c r="L74" s="63" t="n"/>
      <c r="M74" s="64" t="n">
        <v>0</v>
      </c>
      <c r="N74" s="32" t="inlineStr">
        <is>
          <t>Active</t>
        </is>
      </c>
      <c r="O74" s="32" t="n"/>
      <c r="P74" s="65" t="n"/>
      <c r="Q74" s="64" t="n"/>
      <c r="R74" s="64" t="n"/>
      <c r="S74" s="64" t="n"/>
      <c r="T74" s="32" t="n"/>
    </row>
    <row r="75" ht="62" customHeight="1">
      <c r="A75" s="10">
        <f>_xlfn.IMAGE("https://m.media-amazon.com/images/I/81A129nPBbL.jpg")</f>
        <v/>
      </c>
      <c r="B75" s="32" t="inlineStr">
        <is>
          <t>B0H6JVZNYN</t>
        </is>
      </c>
      <c r="C75" s="32" t="inlineStr">
        <is>
          <t>CL-COOLING-SHEET-TWIN-REGAL-PURPLE</t>
        </is>
      </c>
      <c r="D75" s="32" t="inlineStr">
        <is>
          <t>COOLINENS Cooling Sheets - BreezeWeave 3 PC Twin Size Cooling Bed Sheets for Hot Sleepers &amp; Deep, Cool Rest - Cloud Soft, Silky Smooth, 16 in Deep Pocket, Ultra Durable (Regal Purple)</t>
        </is>
      </c>
      <c r="E75" s="32" t="inlineStr">
        <is>
          <t>Twin</t>
        </is>
      </c>
      <c r="F75" s="32" t="inlineStr">
        <is>
          <t>Regal Purple</t>
        </is>
      </c>
      <c r="G75" s="33" t="n"/>
      <c r="H75" s="32" t="n"/>
      <c r="I75" s="33" t="n"/>
      <c r="J75" s="32" t="n"/>
      <c r="K75" s="33" t="n"/>
      <c r="L75" s="63" t="n"/>
      <c r="M75" s="64" t="n"/>
      <c r="N75" s="32" t="inlineStr">
        <is>
          <t>Active</t>
        </is>
      </c>
      <c r="O75" s="32" t="n"/>
      <c r="P75" s="65" t="n"/>
      <c r="Q75" s="64" t="n"/>
      <c r="R75" s="64" t="n"/>
      <c r="S75" s="64" t="n"/>
      <c r="T75" s="32" t="n"/>
    </row>
    <row r="76" ht="62" customHeight="1">
      <c r="A76" s="10">
        <f>_xlfn.IMAGE("https://m.media-amazon.com/images/I/81o5MvCK14L.jpg")</f>
        <v/>
      </c>
      <c r="B76" s="32" t="inlineStr">
        <is>
          <t>B0H6K7PWRM</t>
        </is>
      </c>
      <c r="C76" s="32" t="inlineStr">
        <is>
          <t>CL-COOLING-SHEET-TWIN-SAGE-GREEN</t>
        </is>
      </c>
      <c r="D76" s="32" t="inlineStr">
        <is>
          <t>COOLINENS Cooling Sheets - BreezeWeave 3 PC Twin Size Cooling Bed Sheets for Hot Sleepers &amp; Deep, Cool Rest - Cloud Soft, Silky Smooth, 16 in Deep Pocket, Ultra Durable (Sage Green)</t>
        </is>
      </c>
      <c r="E76" s="32" t="inlineStr">
        <is>
          <t>Twin</t>
        </is>
      </c>
      <c r="F76" s="32" t="inlineStr">
        <is>
          <t>Sage Green</t>
        </is>
      </c>
      <c r="G76" s="33" t="n"/>
      <c r="H76" s="32" t="n"/>
      <c r="I76" s="33" t="n"/>
      <c r="J76" s="32" t="n"/>
      <c r="K76" s="33" t="n"/>
      <c r="L76" s="63" t="n"/>
      <c r="M76" s="64" t="n"/>
      <c r="N76" s="32" t="inlineStr">
        <is>
          <t>Active</t>
        </is>
      </c>
      <c r="O76" s="32" t="n"/>
      <c r="P76" s="65" t="n"/>
      <c r="Q76" s="64" t="n"/>
      <c r="R76" s="64" t="n"/>
      <c r="S76" s="64" t="n"/>
      <c r="T76" s="32" t="n"/>
    </row>
    <row r="77" ht="62" customHeight="1">
      <c r="A77" s="10">
        <f>_xlfn.IMAGE("https://m.media-amazon.com/images/I/819ME8ZV-eL.jpg")</f>
        <v/>
      </c>
      <c r="B77" s="32" t="inlineStr">
        <is>
          <t>B0H6K85JXL</t>
        </is>
      </c>
      <c r="C77" s="32" t="inlineStr">
        <is>
          <t>CL-COOLING-SHEET-TWIN-WHITE</t>
        </is>
      </c>
      <c r="D77" s="32" t="inlineStr">
        <is>
          <t>COOLINENS Cooling Sheets - BreezeWeave 3 PC Twin Size Cooling Bed Sheets for Hot Sleepers &amp; Deep, Cool Rest - Cloud Soft, Silky Smooth, 16 in Deep Pocket, Ultra Durable (White)</t>
        </is>
      </c>
      <c r="E77" s="32" t="inlineStr">
        <is>
          <t>Twin</t>
        </is>
      </c>
      <c r="F77" s="32" t="inlineStr">
        <is>
          <t>White</t>
        </is>
      </c>
      <c r="G77" s="33" t="n"/>
      <c r="H77" s="32" t="n"/>
      <c r="I77" s="33" t="n"/>
      <c r="J77" s="32" t="n"/>
      <c r="K77" s="33" t="n"/>
      <c r="L77" s="63" t="n"/>
      <c r="M77" s="64" t="n">
        <v>0</v>
      </c>
      <c r="N77" s="32" t="inlineStr">
        <is>
          <t>Active</t>
        </is>
      </c>
      <c r="O77" s="32" t="n"/>
      <c r="P77" s="65" t="n"/>
      <c r="Q77" s="64" t="n"/>
      <c r="R77" s="64" t="n"/>
      <c r="S77" s="64" t="n"/>
      <c r="T77" s="32" t="n"/>
    </row>
    <row r="79" ht="20" customHeight="1">
      <c r="A79" s="54" t="inlineStr">
        <is>
          <t>3 · OUR BFCM 2025 RESULT &amp; EVENT VISIBILITY</t>
        </is>
      </c>
    </row>
    <row r="80">
      <c r="A80" s="67" t="inlineStr">
        <is>
          <t>Window</t>
        </is>
      </c>
      <c r="B80" s="68" t="n"/>
      <c r="C80" s="69" t="n"/>
      <c r="D80" s="67" t="inlineStr">
        <is>
          <t>Ad spend</t>
        </is>
      </c>
      <c r="E80" s="67" t="inlineStr">
        <is>
          <t>Ad sales</t>
        </is>
      </c>
      <c r="F80" s="67" t="inlineStr">
        <is>
          <t>ACoS</t>
        </is>
      </c>
      <c r="G80" s="67" t="inlineStr">
        <is>
          <t>TACoS</t>
        </is>
      </c>
      <c r="H80" s="67" t="inlineStr">
        <is>
          <t>Total sales (derived)</t>
        </is>
      </c>
      <c r="J80" s="67" t="inlineStr">
        <is>
          <t>Ad orders</t>
        </is>
      </c>
      <c r="K80" s="67" t="inlineStr">
        <is>
          <t>CVR</t>
        </is>
      </c>
    </row>
    <row r="81">
      <c r="A81" s="70" t="inlineStr">
        <is>
          <t>Pre-event Oct 21 - Nov 19, 2025 (30d)</t>
        </is>
      </c>
      <c r="B81" s="68" t="n"/>
      <c r="C81" s="69" t="n"/>
      <c r="D81" s="71" t="n"/>
      <c r="E81" s="71" t="n"/>
      <c r="F81" s="72" t="n"/>
      <c r="G81" s="72" t="n"/>
      <c r="H81" s="71" t="n"/>
      <c r="J81" s="73" t="n"/>
      <c r="K81" s="74" t="n"/>
    </row>
    <row r="82">
      <c r="A82" s="70" t="inlineStr">
        <is>
          <t>BFCM week Nov 20 - Dec 1, 2025 (12d)</t>
        </is>
      </c>
      <c r="B82" s="68" t="n"/>
      <c r="C82" s="69" t="n"/>
      <c r="D82" s="71" t="n"/>
      <c r="E82" s="71" t="n"/>
      <c r="F82" s="72" t="n"/>
      <c r="G82" s="72" t="n"/>
      <c r="H82" s="71" t="n"/>
      <c r="J82" s="73" t="n"/>
      <c r="K82" s="74" t="n"/>
    </row>
    <row r="83">
      <c r="A83" s="70" t="inlineStr">
        <is>
          <t>December 2 - 31, 2025 (30d)</t>
        </is>
      </c>
      <c r="B83" s="68" t="n"/>
      <c r="C83" s="69" t="n"/>
      <c r="D83" s="71" t="n"/>
      <c r="E83" s="71" t="n"/>
      <c r="F83" s="72" t="n"/>
      <c r="G83" s="72" t="n"/>
      <c r="H83" s="71" t="n"/>
      <c r="J83" s="73" t="n"/>
      <c r="K83" s="74" t="n"/>
    </row>
    <row r="84">
      <c r="A84" s="59" t="inlineStr">
        <is>
          <t>No Command Center visibility history for our best child ASIN.</t>
        </is>
      </c>
    </row>
    <row r="85">
      <c r="A85" s="107" t="inlineStr">
        <is>
          <t>No BFCM 2025 PPC data for this product (not advertised or launched after BFCM 2025).</t>
        </is>
      </c>
    </row>
    <row r="87" ht="20" customHeight="1">
      <c r="A87" s="54" t="inlineStr">
        <is>
          <t>4 · COMPETITOR LANDSCAPE (14 mapped)</t>
        </is>
      </c>
    </row>
    <row r="88">
      <c r="A88" s="59" t="inlineStr">
        <is>
          <t>Sorted by tier, then estimated weekly units. Green = Command Center price/sales; blue = Data Dive listing; purple = Command Center search strategy (ASINsight); yellow = fill from Keepa / page check.</t>
        </is>
      </c>
    </row>
    <row r="89">
      <c r="A89" s="78" t="inlineStr">
        <is>
          <t>COMPETITOR</t>
        </is>
      </c>
      <c r="I89" s="79" t="inlineStr">
        <is>
          <t>LISTING - Data Dive</t>
        </is>
      </c>
      <c r="J89" s="80" t="inlineStr">
        <is>
          <t>SEARCH STRATEGY - Command Center ASINsight</t>
        </is>
      </c>
      <c r="K89" s="81" t="inlineStr">
        <is>
          <t>PRICE &amp; SALES - Command Center snapshot (date per row)</t>
        </is>
      </c>
      <c r="X89" s="79" t="inlineStr">
        <is>
          <t>LISTING - Data Dive</t>
        </is>
      </c>
      <c r="AA89" s="80" t="inlineStr">
        <is>
          <t>SEARCH STRATEGY - Command Center ASINsight</t>
        </is>
      </c>
      <c r="AR89" s="82" t="inlineStr">
        <is>
          <t>STR NOW - Amazon page check (Oct 13, P1 + P2)</t>
        </is>
      </c>
      <c r="AY89" s="83" t="inlineStr">
        <is>
          <t>BFCM 2025 - Keepa (P1 filled; yellow = not pulled yet)</t>
        </is>
      </c>
    </row>
    <row r="90" ht="48" customHeight="1">
      <c r="A90" s="22" t="inlineStr">
        <is>
          <t>Image</t>
        </is>
      </c>
      <c r="B90" s="22" t="inlineStr">
        <is>
          <t>Brand</t>
        </is>
      </c>
      <c r="C90" s="22" t="inlineStr">
        <is>
          <t>Product title</t>
        </is>
      </c>
      <c r="D90" s="22" t="inlineStr">
        <is>
          <t>Tier</t>
        </is>
      </c>
      <c r="E90" s="22" t="inlineStr">
        <is>
          <t>Parent ASIN</t>
        </is>
      </c>
      <c r="F90" s="22" t="inlineStr">
        <is>
          <t>Tracked child ASIN</t>
        </is>
      </c>
      <c r="G90" s="22" t="inlineStr">
        <is>
          <t>Size (title)</t>
        </is>
      </c>
      <c r="H90" s="22" t="inlineStr">
        <is>
          <t>Colour (title)</t>
        </is>
      </c>
      <c r="I90" s="22" t="inlineStr">
        <is>
          <t>Variations</t>
        </is>
      </c>
      <c r="J90" s="22" t="inlineStr">
        <is>
          <t>Hero child ASINs (share of their visibility)</t>
        </is>
      </c>
      <c r="K90" s="22" t="inlineStr">
        <is>
          <t>Price ($)</t>
        </is>
      </c>
      <c r="L90" s="22" t="inlineStr">
        <is>
          <t>List Price ($)</t>
        </is>
      </c>
      <c r="M90" s="22" t="inlineStr">
        <is>
          <t>List Price % over</t>
        </is>
      </c>
      <c r="N90" s="22" t="inlineStr">
        <is>
          <t>STR band</t>
        </is>
      </c>
      <c r="O90" s="22" t="inlineStr">
        <is>
          <t>Our price, same size ($)</t>
        </is>
      </c>
      <c r="P90" s="22" t="inlineStr">
        <is>
          <t>Their price vs ours</t>
        </is>
      </c>
      <c r="Q90" s="22" t="inlineStr">
        <is>
          <t>Comparison basis</t>
        </is>
      </c>
      <c r="R90" s="22" t="inlineStr">
        <is>
          <t>BSR</t>
        </is>
      </c>
      <c r="S90" s="22" t="inlineStr">
        <is>
          <t>Est weekly units</t>
        </is>
      </c>
      <c r="T90" s="22" t="inlineStr">
        <is>
          <t>Est monthly revenue ($)</t>
        </is>
      </c>
      <c r="U90" s="22" t="inlineStr">
        <is>
          <t>Rating</t>
        </is>
      </c>
      <c r="V90" s="22" t="inlineStr">
        <is>
          <t>Reviews</t>
        </is>
      </c>
      <c r="W90" s="22" t="inlineStr">
        <is>
          <t>Snapshot date</t>
        </is>
      </c>
      <c r="X90" s="22" t="inlineStr">
        <is>
          <t>Listed</t>
        </is>
      </c>
      <c r="Y90" s="22" t="inlineStr">
        <is>
          <t>Fulfil.</t>
        </is>
      </c>
      <c r="Z90" s="22" t="inlineStr">
        <is>
          <t>Seller country</t>
        </is>
      </c>
      <c r="AA90" s="22" t="inlineStr">
        <is>
          <t>ASINsight 7d traffic</t>
        </is>
      </c>
      <c r="AB90" s="22" t="inlineStr">
        <is>
          <t>Keywords ranked</t>
        </is>
      </c>
      <c r="AC90" s="22" t="inlineStr">
        <is>
          <t>Organic share of traffic</t>
        </is>
      </c>
      <c r="AD90" s="22" t="inlineStr">
        <is>
          <t>Ad share of traffic</t>
        </is>
      </c>
      <c r="AE90" s="22" t="inlineStr">
        <is>
          <t>Top keyword</t>
        </is>
      </c>
      <c r="AF90" s="22" t="inlineStr">
        <is>
          <t>SP reach</t>
        </is>
      </c>
      <c r="AG90" s="22" t="inlineStr">
        <is>
          <t>SB reach</t>
        </is>
      </c>
      <c r="AH90" s="22" t="inlineStr">
        <is>
          <t>SB video reach</t>
        </is>
      </c>
      <c r="AI90" s="22" t="inlineStr">
        <is>
          <t>Amazon's Choice reach</t>
        </is>
      </c>
      <c r="AJ90" s="22" t="inlineStr">
        <is>
          <t>Shared keywords</t>
        </is>
      </c>
      <c r="AK90" s="22" t="inlineStr">
        <is>
          <t>We win</t>
        </is>
      </c>
      <c r="AL90" s="22" t="inlineStr">
        <is>
          <t>We lose</t>
        </is>
      </c>
      <c r="AM90" s="22" t="inlineStr">
        <is>
          <t>Their keywords we miss</t>
        </is>
      </c>
      <c r="AN90" s="22" t="inlineStr">
        <is>
          <t>KWs they advertise, we don't</t>
        </is>
      </c>
      <c r="AO90" s="22" t="inlineStr">
        <is>
          <t>KWs they out-advertise us</t>
        </is>
      </c>
      <c r="AP90" s="22" t="inlineStr">
        <is>
          <t>Prime Day 2026 organic vis lift</t>
        </is>
      </c>
      <c r="AQ90" s="22" t="inlineStr">
        <is>
          <t>Organic trend (Aug-Sep vs Q2)</t>
        </is>
      </c>
      <c r="AR90" s="22" t="inlineStr">
        <is>
          <t>STR showing now? (Y/N)</t>
        </is>
      </c>
      <c r="AS90" s="22" t="inlineStr">
        <is>
          <t>STR label</t>
        </is>
      </c>
      <c r="AT90" s="22" t="inlineStr">
        <is>
          <t>Strikethrough price ($)</t>
        </is>
      </c>
      <c r="AU90" s="22" t="inlineStr">
        <is>
          <t>Page price at check ($)</t>
        </is>
      </c>
      <c r="AV90" s="22" t="inlineStr">
        <is>
          <t>Deal / coupon now</t>
        </is>
      </c>
      <c r="AW90" s="22" t="inlineStr">
        <is>
          <t>Orderable now (Y/N)</t>
        </is>
      </c>
      <c r="AX90" s="22" t="inlineStr">
        <is>
          <t>Checked (ET)</t>
        </is>
      </c>
      <c r="AY90" s="22" t="inlineStr">
        <is>
          <t>BFCM 2025 deal type</t>
        </is>
      </c>
      <c r="AZ90" s="22" t="inlineStr">
        <is>
          <t>BFCM 2025 deal dates</t>
        </is>
      </c>
      <c r="BA90" s="22" t="inlineStr">
        <is>
          <t>Pre-event price ($)</t>
        </is>
      </c>
      <c r="BB90" s="22" t="inlineStr">
        <is>
          <t>BFCM 2025 low ($)</t>
        </is>
      </c>
      <c r="BC90" s="22" t="inlineStr">
        <is>
          <t>BFCM 2025 discount</t>
        </is>
      </c>
      <c r="BD90" s="22" t="inlineStr">
        <is>
          <t>BSR pre-event</t>
        </is>
      </c>
      <c r="BE90" s="22" t="inlineStr">
        <is>
          <t>BSR BFCM wk</t>
        </is>
      </c>
      <c r="BF90" s="22" t="inlineStr">
        <is>
          <t>BSR lift (x)</t>
        </is>
      </c>
      <c r="BG90" s="22" t="inlineStr">
        <is>
          <t>OOS in BFCM? (Y/N)</t>
        </is>
      </c>
      <c r="BH90" s="22" t="inlineStr">
        <is>
          <t>Notes</t>
        </is>
      </c>
    </row>
    <row r="91" ht="62" customHeight="1">
      <c r="A91" s="39" t="inlineStr">
        <is>
          <t>IMAGE MISSING</t>
        </is>
      </c>
      <c r="B91" s="84" t="inlineStr">
        <is>
          <t>Comfort Spaces</t>
        </is>
      </c>
      <c r="C91" s="32" t="inlineStr">
        <is>
          <t>Comfort Spaces Coolmax Moisture Wicking Fitted Sheet ONLY Super Soft, Fade Resis</t>
        </is>
      </c>
      <c r="D91" s="84" t="inlineStr">
        <is>
          <t>Untiered</t>
        </is>
      </c>
      <c r="E91" s="84" t="inlineStr">
        <is>
          <t>B0DCGL5646</t>
        </is>
      </c>
      <c r="F91" s="84" t="inlineStr">
        <is>
          <t>B09GV8SK79</t>
        </is>
      </c>
      <c r="G91" s="84" t="n"/>
      <c r="H91" s="84" t="n"/>
      <c r="I91" s="85" t="n"/>
      <c r="J91" s="32" t="inlineStr"/>
      <c r="K91" s="86" t="n">
        <v>15.95</v>
      </c>
      <c r="L91" s="86" t="n"/>
      <c r="M91" s="87">
        <f>IF(AND(ISNUMBER(L91),ISNUMBER(K91),N(K91)&gt;0),L91/K91-1,"")</f>
        <v/>
      </c>
      <c r="N91" s="88">
        <f>IF(M91="","No List Price",IF(M91&lt;=0,"At/below price",IF(M91&lt;=0.12,"&lt;=12% STR zone",IF(M91&lt;=0.25,"12-25%","&gt;25% over"))))</f>
        <v/>
      </c>
      <c r="O91" s="86" t="n">
        <v>79.98999999999999</v>
      </c>
      <c r="P91" s="89">
        <f>IF(AND(ISNUMBER(K91),ISNUMBER(O91),N(O91)&gt;0),K91/O91-1,"")</f>
        <v/>
      </c>
      <c r="Q91" s="32" t="inlineStr">
        <is>
          <t>Size not stated - vs our Queen. Ours live: Helium 10 Xray, 2026-10-13; 2 children</t>
        </is>
      </c>
      <c r="R91" s="85" t="n">
        <v>6671</v>
      </c>
      <c r="S91" s="85" t="n">
        <v>185</v>
      </c>
      <c r="T91" s="90">
        <f>IF(AND(ISNUMBER(K91),ISNUMBER(S91)),K91*S91*52/12,"")</f>
        <v/>
      </c>
      <c r="U91" s="91" t="n">
        <v>4.2</v>
      </c>
      <c r="V91" s="85" t="n">
        <v>1336</v>
      </c>
      <c r="W91" s="92" t="n">
        <v>46307</v>
      </c>
      <c r="X91" s="92" t="n"/>
      <c r="Y91" s="84" t="n"/>
      <c r="Z91" s="84" t="n"/>
      <c r="AA91" s="85" t="n"/>
      <c r="AB91" s="85" t="n"/>
      <c r="AC91" s="93" t="n"/>
      <c r="AD91" s="93" t="n"/>
      <c r="AE91" s="32" t="n"/>
      <c r="AF91" s="93" t="n"/>
      <c r="AG91" s="93" t="n"/>
      <c r="AH91" s="93" t="n"/>
      <c r="AI91" s="93" t="n"/>
      <c r="AJ91" s="85" t="n"/>
      <c r="AK91" s="85" t="n"/>
      <c r="AL91" s="85" t="n"/>
      <c r="AM91" s="85" t="n"/>
      <c r="AN91" s="85" t="n"/>
      <c r="AO91" s="85" t="n"/>
      <c r="AP91" s="94" t="n"/>
      <c r="AQ91" s="89" t="n"/>
      <c r="AR91" s="95" t="inlineStr">
        <is>
          <t>N</t>
        </is>
      </c>
      <c r="AS91" s="95" t="inlineStr">
        <is>
          <t>none</t>
        </is>
      </c>
      <c r="AT91" s="101" t="n"/>
      <c r="AU91" s="96" t="n">
        <v>16.01</v>
      </c>
      <c r="AV91" s="95" t="inlineStr">
        <is>
          <t>none</t>
        </is>
      </c>
      <c r="AW91" s="95" t="inlineStr">
        <is>
          <t>Y</t>
        </is>
      </c>
      <c r="AX91" s="95" t="inlineStr">
        <is>
          <t>2026-10-13 23:37:59</t>
        </is>
      </c>
      <c r="AY91" s="97" t="inlineStr">
        <is>
          <t>Price cut only</t>
        </is>
      </c>
      <c r="AZ91" s="97" t="inlineStr">
        <is>
          <t>12-01 to 12-01</t>
        </is>
      </c>
      <c r="BA91" s="98" t="n">
        <v>19.57</v>
      </c>
      <c r="BB91" s="98" t="n">
        <v>17.6</v>
      </c>
      <c r="BC91" s="87">
        <f>IF(AND(ISNUMBER(BA91),ISNUMBER(BB91),N(BA91)&gt;0),1-BB91/BA91,"")</f>
        <v/>
      </c>
      <c r="BD91" s="99" t="n">
        <v>35490</v>
      </c>
      <c r="BE91" s="99" t="n">
        <v>50123</v>
      </c>
      <c r="BF91" s="100">
        <f>IF(AND(ISNUMBER(BD91),ISNUMBER(BE91),N(BE91)&gt;0),BD91/BE91,"")</f>
        <v/>
      </c>
      <c r="BG91" s="97" t="inlineStr">
        <is>
          <t>N</t>
        </is>
      </c>
      <c r="BH91" s="97" t="inlineStr">
        <is>
          <t>Buy Box RAISED in BFCM week (median $24.33 vs $19.57 before); List Price $16.99</t>
        </is>
      </c>
    </row>
    <row r="92" ht="62" customHeight="1">
      <c r="A92" s="39" t="inlineStr">
        <is>
          <t>IMAGE MISSING</t>
        </is>
      </c>
      <c r="B92" s="84" t="inlineStr">
        <is>
          <t>REST</t>
        </is>
      </c>
      <c r="C92" s="32" t="inlineStr">
        <is>
          <t>Cooling Sheets</t>
        </is>
      </c>
      <c r="D92" s="84" t="inlineStr">
        <is>
          <t>Untiered</t>
        </is>
      </c>
      <c r="E92" s="84" t="inlineStr">
        <is>
          <t>B0HC6866B7</t>
        </is>
      </c>
      <c r="F92" s="84" t="inlineStr">
        <is>
          <t>B0D9JHBBCZ</t>
        </is>
      </c>
      <c r="G92" s="84" t="n"/>
      <c r="H92" s="84" t="n"/>
      <c r="I92" s="85" t="n">
        <v>69</v>
      </c>
      <c r="J92" s="32" t="inlineStr">
        <is>
          <t>B0C56ZNQVQ (16%), B0BLYSGFRW (15%), B0BLYVMGYB (7%), B0BLYW9CJZ (7%), B0C56YLKZW (7%)</t>
        </is>
      </c>
      <c r="K92" s="86" t="n">
        <v>224.25</v>
      </c>
      <c r="L92" s="86" t="n">
        <v>299</v>
      </c>
      <c r="M92" s="87">
        <f>IF(AND(ISNUMBER(L92),ISNUMBER(K92),N(K92)&gt;0),L92/K92-1,"")</f>
        <v/>
      </c>
      <c r="N92" s="88">
        <f>IF(M92="","No List Price",IF(M92&lt;=0,"At/below price",IF(M92&lt;=0.12,"&lt;=12% STR zone",IF(M92&lt;=0.25,"12-25%","&gt;25% over"))))</f>
        <v/>
      </c>
      <c r="O92" s="86" t="n">
        <v>79.98999999999999</v>
      </c>
      <c r="P92" s="89">
        <f>IF(AND(ISNUMBER(K92),ISNUMBER(O92),N(O92)&gt;0),K92/O92-1,"")</f>
        <v/>
      </c>
      <c r="Q92" s="32" t="inlineStr">
        <is>
          <t>Size not stated - vs our Queen. Ours live: Helium 10 Xray, 2026-10-13; 2 children</t>
        </is>
      </c>
      <c r="R92" s="85" t="n">
        <v>5255</v>
      </c>
      <c r="S92" s="85" t="n">
        <v>81</v>
      </c>
      <c r="T92" s="90">
        <f>IF(AND(ISNUMBER(K92),ISNUMBER(S92)),K92*S92*52/12,"")</f>
        <v/>
      </c>
      <c r="U92" s="91" t="n">
        <v>4.3</v>
      </c>
      <c r="V92" s="85" t="n">
        <v>1149</v>
      </c>
      <c r="W92" s="92" t="n">
        <v>46307</v>
      </c>
      <c r="X92" s="92" t="n"/>
      <c r="Y92" s="84" t="n"/>
      <c r="Z92" s="84" t="n"/>
      <c r="AA92" s="85" t="n">
        <v>522593</v>
      </c>
      <c r="AB92" s="85" t="n">
        <v>7281</v>
      </c>
      <c r="AC92" s="93" t="n">
        <v>0.2234137663535486</v>
      </c>
      <c r="AD92" s="93" t="n">
        <v>0.7765862336464519</v>
      </c>
      <c r="AE92" s="32" t="inlineStr">
        <is>
          <t>cooling sheets</t>
        </is>
      </c>
      <c r="AF92" s="93" t="n">
        <v>0.7800085343661319</v>
      </c>
      <c r="AG92" s="93" t="n">
        <v>0.8614600654811679</v>
      </c>
      <c r="AH92" s="93" t="n">
        <v>0.4534561312531932</v>
      </c>
      <c r="AI92" s="93" t="n">
        <v>0.1182067115326841</v>
      </c>
      <c r="AJ92" s="85" t="n"/>
      <c r="AK92" s="85" t="n"/>
      <c r="AL92" s="85" t="n"/>
      <c r="AM92" s="85" t="n"/>
      <c r="AN92" s="85" t="n"/>
      <c r="AO92" s="85" t="n"/>
      <c r="AP92" s="94" t="n"/>
      <c r="AQ92" s="89" t="n"/>
      <c r="AR92" s="95" t="inlineStr">
        <is>
          <t>Y</t>
        </is>
      </c>
      <c r="AS92" s="95" t="inlineStr">
        <is>
          <t>List Price</t>
        </is>
      </c>
      <c r="AT92" s="96" t="n">
        <v>299</v>
      </c>
      <c r="AU92" s="96" t="n">
        <v>224.25</v>
      </c>
      <c r="AV92" s="95" t="inlineStr">
        <is>
          <t>none</t>
        </is>
      </c>
      <c r="AW92" s="95" t="inlineStr">
        <is>
          <t>Y</t>
        </is>
      </c>
      <c r="AX92" s="95" t="inlineStr">
        <is>
          <t>2026-10-13 12:12:07</t>
        </is>
      </c>
      <c r="AY92" s="97" t="inlineStr">
        <is>
          <t>Price cut only</t>
        </is>
      </c>
      <c r="AZ92" s="97" t="inlineStr">
        <is>
          <t>11-20 to 12-01</t>
        </is>
      </c>
      <c r="BA92" s="98" t="n">
        <v>299</v>
      </c>
      <c r="BB92" s="98" t="n">
        <v>215.88</v>
      </c>
      <c r="BC92" s="87">
        <f>IF(AND(ISNUMBER(BA92),ISNUMBER(BB92),N(BA92)&gt;0),1-BB92/BA92,"")</f>
        <v/>
      </c>
      <c r="BD92" s="99" t="n">
        <v>30243</v>
      </c>
      <c r="BE92" s="99" t="n">
        <v>15706</v>
      </c>
      <c r="BF92" s="100">
        <f>IF(AND(ISNUMBER(BD92),ISNUMBER(BE92),N(BE92)&gt;0),BD92/BE92,"")</f>
        <v/>
      </c>
      <c r="BG92" s="97" t="inlineStr">
        <is>
          <t>N</t>
        </is>
      </c>
      <c r="BH92" s="97" t="inlineStr">
        <is>
          <t>Lightning Deal 11-14 to 11-14; List Price $299.00</t>
        </is>
      </c>
    </row>
    <row r="93" ht="62" customHeight="1">
      <c r="A93" s="39" t="inlineStr">
        <is>
          <t>IMAGE MISSING</t>
        </is>
      </c>
      <c r="B93" s="84" t="inlineStr">
        <is>
          <t>Breescape</t>
        </is>
      </c>
      <c r="C93" s="32" t="inlineStr">
        <is>
          <t>Cooling Sheets</t>
        </is>
      </c>
      <c r="D93" s="84" t="inlineStr">
        <is>
          <t>Untiered</t>
        </is>
      </c>
      <c r="E93" s="84" t="inlineStr">
        <is>
          <t>B0H41M1N4B</t>
        </is>
      </c>
      <c r="F93" s="84" t="inlineStr">
        <is>
          <t>B0DSPZJKTB</t>
        </is>
      </c>
      <c r="G93" s="84" t="n"/>
      <c r="H93" s="84" t="n"/>
      <c r="I93" s="85" t="n">
        <v>26</v>
      </c>
      <c r="J93" s="32" t="inlineStr">
        <is>
          <t>B0DSPZJKTB (49%), B0DSPZSVFL (26%), B0DSPZKCCN (6%)</t>
        </is>
      </c>
      <c r="K93" s="86" t="n">
        <v>149.99</v>
      </c>
      <c r="L93" s="86" t="n">
        <v>179.99</v>
      </c>
      <c r="M93" s="87">
        <f>IF(AND(ISNUMBER(L93),ISNUMBER(K93),N(K93)&gt;0),L93/K93-1,"")</f>
        <v/>
      </c>
      <c r="N93" s="88">
        <f>IF(M93="","No List Price",IF(M93&lt;=0,"At/below price",IF(M93&lt;=0.12,"&lt;=12% STR zone",IF(M93&lt;=0.25,"12-25%","&gt;25% over"))))</f>
        <v/>
      </c>
      <c r="O93" s="86" t="n">
        <v>79.98999999999999</v>
      </c>
      <c r="P93" s="89">
        <f>IF(AND(ISNUMBER(K93),ISNUMBER(O93),N(O93)&gt;0),K93/O93-1,"")</f>
        <v/>
      </c>
      <c r="Q93" s="32" t="inlineStr">
        <is>
          <t>Size not stated - vs our Queen. Ours live: Helium 10 Xray, 2026-10-13; 2 children</t>
        </is>
      </c>
      <c r="R93" s="85" t="n">
        <v>49910</v>
      </c>
      <c r="S93" s="85" t="n">
        <v>35</v>
      </c>
      <c r="T93" s="90">
        <f>IF(AND(ISNUMBER(K93),ISNUMBER(S93)),K93*S93*52/12,"")</f>
        <v/>
      </c>
      <c r="U93" s="91" t="n">
        <v>4.2</v>
      </c>
      <c r="V93" s="85" t="n">
        <v>595</v>
      </c>
      <c r="W93" s="92" t="n">
        <v>46307</v>
      </c>
      <c r="X93" s="92" t="n"/>
      <c r="Y93" s="84" t="n"/>
      <c r="Z93" s="84" t="n"/>
      <c r="AA93" s="85" t="n">
        <v>107224</v>
      </c>
      <c r="AB93" s="85" t="n">
        <v>1884</v>
      </c>
      <c r="AC93" s="93" t="n">
        <v>0.5282540960978878</v>
      </c>
      <c r="AD93" s="93" t="n">
        <v>0.4717459934343065</v>
      </c>
      <c r="AE93" s="32" t="inlineStr">
        <is>
          <t>cooling sheets</t>
        </is>
      </c>
      <c r="AF93" s="93" t="n">
        <v>0.853279116615683</v>
      </c>
      <c r="AG93" s="93" t="n">
        <v>0.6382059986570171</v>
      </c>
      <c r="AH93" s="93" t="n">
        <v>0.7425203312691189</v>
      </c>
      <c r="AI93" s="93" t="n">
        <v>0.09657352831455644</v>
      </c>
      <c r="AJ93" s="85" t="n"/>
      <c r="AK93" s="85" t="n"/>
      <c r="AL93" s="85" t="n"/>
      <c r="AM93" s="85" t="n"/>
      <c r="AN93" s="85" t="n"/>
      <c r="AO93" s="85" t="n"/>
      <c r="AP93" s="94" t="n">
        <v>1.443271767810026</v>
      </c>
      <c r="AQ93" s="89" t="n">
        <v>0.2381786339754817</v>
      </c>
      <c r="AR93" s="95" t="inlineStr">
        <is>
          <t>Y</t>
        </is>
      </c>
      <c r="AS93" s="95" t="inlineStr">
        <is>
          <t>List Price</t>
        </is>
      </c>
      <c r="AT93" s="96" t="n">
        <v>179.99</v>
      </c>
      <c r="AU93" s="96" t="n">
        <v>149.99</v>
      </c>
      <c r="AV93" s="95" t="inlineStr">
        <is>
          <t>none</t>
        </is>
      </c>
      <c r="AW93" s="95" t="inlineStr">
        <is>
          <t>Y</t>
        </is>
      </c>
      <c r="AX93" s="95" t="inlineStr">
        <is>
          <t>2026-10-13 12:11:52</t>
        </is>
      </c>
      <c r="AY93" s="97" t="inlineStr">
        <is>
          <t>Price cut only</t>
        </is>
      </c>
      <c r="AZ93" s="97" t="inlineStr">
        <is>
          <t>11-20 to 12-01</t>
        </is>
      </c>
      <c r="BA93" s="98" t="n">
        <v>125.99</v>
      </c>
      <c r="BB93" s="98" t="n">
        <v>119.69</v>
      </c>
      <c r="BC93" s="87">
        <f>IF(AND(ISNUMBER(BA93),ISNUMBER(BB93),N(BA93)&gt;0),1-BB93/BA93,"")</f>
        <v/>
      </c>
      <c r="BD93" s="99" t="n">
        <v>74970</v>
      </c>
      <c r="BE93" s="99" t="n">
        <v>53655</v>
      </c>
      <c r="BF93" s="100">
        <f>IF(AND(ISNUMBER(BD93),ISNUMBER(BE93),N(BE93)&gt;0),BD93/BE93,"")</f>
        <v/>
      </c>
      <c r="BG93" s="97" t="inlineStr">
        <is>
          <t>N</t>
        </is>
      </c>
      <c r="BH93" s="97" t="inlineStr">
        <is>
          <t>Coupon 30% (11-01 to 11-02); List Price $179.99</t>
        </is>
      </c>
    </row>
    <row r="94" ht="62" customHeight="1">
      <c r="A94" s="10">
        <f>_xlfn.IMAGE("https://images-na.ssl-images-amazon.com/images/I/716hu1FzoSL.jpg")</f>
        <v/>
      </c>
      <c r="B94" s="84" t="inlineStr">
        <is>
          <t>Degrees of Comfort</t>
        </is>
      </c>
      <c r="C94" s="32" t="inlineStr">
        <is>
          <t>Coolmax® Cooling Sheets for Hot Sleepers, Queen Size, Grey</t>
        </is>
      </c>
      <c r="D94" s="84" t="inlineStr">
        <is>
          <t>Untiered</t>
        </is>
      </c>
      <c r="E94" s="84" t="inlineStr">
        <is>
          <t>B0DXT68BBR</t>
        </is>
      </c>
      <c r="F94" s="84" t="inlineStr">
        <is>
          <t>B08YS6WZRR</t>
        </is>
      </c>
      <c r="G94" s="84" t="inlineStr">
        <is>
          <t>Queen</t>
        </is>
      </c>
      <c r="H94" s="84" t="inlineStr">
        <is>
          <t>Grey</t>
        </is>
      </c>
      <c r="I94" s="85" t="n">
        <v>31</v>
      </c>
      <c r="J94" s="32" t="inlineStr"/>
      <c r="K94" s="86" t="n">
        <v>24.99</v>
      </c>
      <c r="L94" s="86" t="n">
        <v>29.99</v>
      </c>
      <c r="M94" s="87">
        <f>IF(AND(ISNUMBER(L94),ISNUMBER(K94),N(K94)&gt;0),L94/K94-1,"")</f>
        <v/>
      </c>
      <c r="N94" s="88">
        <f>IF(M94="","No List Price",IF(M94&lt;=0,"At/below price",IF(M94&lt;=0.12,"&lt;=12% STR zone",IF(M94&lt;=0.25,"12-25%","&gt;25% over"))))</f>
        <v/>
      </c>
      <c r="O94" s="86" t="n">
        <v>79.98999999999999</v>
      </c>
      <c r="P94" s="89">
        <f>IF(AND(ISNUMBER(K94),ISNUMBER(O94),N(O94)&gt;0),K94/O94-1,"")</f>
        <v/>
      </c>
      <c r="Q94" s="32" t="inlineStr">
        <is>
          <t>Same size (Queen). Ours live: Helium 10 Xray, 2026-10-13; 2 children</t>
        </is>
      </c>
      <c r="R94" s="85" t="n">
        <v>39599</v>
      </c>
      <c r="S94" s="85" t="n">
        <v>35</v>
      </c>
      <c r="T94" s="90">
        <f>IF(AND(ISNUMBER(K94),ISNUMBER(S94)),K94*S94*52/12,"")</f>
        <v/>
      </c>
      <c r="U94" s="91" t="n">
        <v>4.1</v>
      </c>
      <c r="V94" s="85" t="n">
        <v>7328</v>
      </c>
      <c r="W94" s="92" t="n">
        <v>46307</v>
      </c>
      <c r="X94" s="92" t="n">
        <v>44267</v>
      </c>
      <c r="Y94" s="84" t="inlineStr">
        <is>
          <t>FBA</t>
        </is>
      </c>
      <c r="Z94" s="84" t="inlineStr">
        <is>
          <t>US</t>
        </is>
      </c>
      <c r="AA94" s="85" t="n"/>
      <c r="AB94" s="85" t="n"/>
      <c r="AC94" s="93" t="n"/>
      <c r="AD94" s="93" t="n"/>
      <c r="AE94" s="32" t="n"/>
      <c r="AF94" s="93" t="n"/>
      <c r="AG94" s="93" t="n"/>
      <c r="AH94" s="93" t="n"/>
      <c r="AI94" s="93" t="n"/>
      <c r="AJ94" s="85" t="n"/>
      <c r="AK94" s="85" t="n"/>
      <c r="AL94" s="85" t="n"/>
      <c r="AM94" s="85" t="n"/>
      <c r="AN94" s="85" t="n"/>
      <c r="AO94" s="85" t="n"/>
      <c r="AP94" s="94" t="n"/>
      <c r="AQ94" s="89" t="n"/>
      <c r="AR94" s="95" t="inlineStr">
        <is>
          <t>Y</t>
        </is>
      </c>
      <c r="AS94" s="95" t="inlineStr">
        <is>
          <t>Typical price</t>
        </is>
      </c>
      <c r="AT94" s="96" t="n">
        <v>29.99</v>
      </c>
      <c r="AU94" s="96" t="n">
        <v>24.99</v>
      </c>
      <c r="AV94" s="95" t="inlineStr">
        <is>
          <t>none</t>
        </is>
      </c>
      <c r="AW94" s="95" t="inlineStr">
        <is>
          <t>Y</t>
        </is>
      </c>
      <c r="AX94" s="95" t="inlineStr">
        <is>
          <t>2026-10-13 23:38:21</t>
        </is>
      </c>
      <c r="AY94" s="97" t="inlineStr">
        <is>
          <t>Prime Exclusive Discount</t>
        </is>
      </c>
      <c r="AZ94" s="97" t="inlineStr">
        <is>
          <t>11-01 to 12-01</t>
        </is>
      </c>
      <c r="BA94" s="98" t="n">
        <v>33.24</v>
      </c>
      <c r="BB94" s="98" t="n">
        <v>28.49</v>
      </c>
      <c r="BC94" s="87">
        <f>IF(AND(ISNUMBER(BA94),ISNUMBER(BB94),N(BA94)&gt;0),1-BB94/BA94,"")</f>
        <v/>
      </c>
      <c r="BD94" s="99" t="n">
        <v>47851</v>
      </c>
      <c r="BE94" s="99" t="n">
        <v>53371</v>
      </c>
      <c r="BF94" s="100">
        <f>IF(AND(ISNUMBER(BD94),ISNUMBER(BE94),N(BE94)&gt;0),BD94/BE94,"")</f>
        <v/>
      </c>
      <c r="BG94" s="97" t="inlineStr">
        <is>
          <t>N</t>
        </is>
      </c>
      <c r="BH94" s="97" t="inlineStr">
        <is>
          <t>Prime Exclusive already running before BFCM week; Buy Box RAISED in BFCM week (median $37.99 vs $34.99 before); List Price $39.99</t>
        </is>
      </c>
    </row>
    <row r="95" ht="62" customHeight="1">
      <c r="A95" s="39" t="inlineStr">
        <is>
          <t>IMAGE MISSING</t>
        </is>
      </c>
      <c r="B95" s="84" t="inlineStr">
        <is>
          <t>REST</t>
        </is>
      </c>
      <c r="C95" s="32" t="inlineStr">
        <is>
          <t>Cooling Sheets 4/6 Pcs</t>
        </is>
      </c>
      <c r="D95" s="84" t="inlineStr">
        <is>
          <t>Untiered</t>
        </is>
      </c>
      <c r="E95" s="84" t="inlineStr">
        <is>
          <t>B0C56VXVB3</t>
        </is>
      </c>
      <c r="F95" s="84" t="inlineStr">
        <is>
          <t>B0D25LDRPS</t>
        </is>
      </c>
      <c r="G95" s="84" t="n"/>
      <c r="H95" s="84" t="n"/>
      <c r="I95" s="85" t="n"/>
      <c r="J95" s="32" t="inlineStr"/>
      <c r="K95" s="86" t="n">
        <v>164.25</v>
      </c>
      <c r="L95" s="86" t="n">
        <v>219</v>
      </c>
      <c r="M95" s="87">
        <f>IF(AND(ISNUMBER(L95),ISNUMBER(K95),N(K95)&gt;0),L95/K95-1,"")</f>
        <v/>
      </c>
      <c r="N95" s="88">
        <f>IF(M95="","No List Price",IF(M95&lt;=0,"At/below price",IF(M95&lt;=0.12,"&lt;=12% STR zone",IF(M95&lt;=0.25,"12-25%","&gt;25% over"))))</f>
        <v/>
      </c>
      <c r="O95" s="86" t="n">
        <v>79.98999999999999</v>
      </c>
      <c r="P95" s="89">
        <f>IF(AND(ISNUMBER(K95),ISNUMBER(O95),N(O95)&gt;0),K95/O95-1,"")</f>
        <v/>
      </c>
      <c r="Q95" s="32" t="inlineStr">
        <is>
          <t>Size not stated - vs our Queen. Ours live: Helium 10 Xray, 2026-10-13; 2 children</t>
        </is>
      </c>
      <c r="R95" s="85" t="n">
        <v>5255</v>
      </c>
      <c r="S95" s="85" t="n">
        <v>35</v>
      </c>
      <c r="T95" s="90">
        <f>IF(AND(ISNUMBER(K95),ISNUMBER(S95)),K95*S95*52/12,"")</f>
        <v/>
      </c>
      <c r="U95" s="91" t="n">
        <v>4.3</v>
      </c>
      <c r="V95" s="85" t="n">
        <v>1149</v>
      </c>
      <c r="W95" s="92" t="n">
        <v>46307</v>
      </c>
      <c r="X95" s="92" t="n"/>
      <c r="Y95" s="84" t="n"/>
      <c r="Z95" s="84" t="n"/>
      <c r="AA95" s="85" t="n"/>
      <c r="AB95" s="85" t="n"/>
      <c r="AC95" s="93" t="n"/>
      <c r="AD95" s="93" t="n"/>
      <c r="AE95" s="32" t="n"/>
      <c r="AF95" s="93" t="n"/>
      <c r="AG95" s="93" t="n"/>
      <c r="AH95" s="93" t="n"/>
      <c r="AI95" s="93" t="n"/>
      <c r="AJ95" s="85" t="n"/>
      <c r="AK95" s="85" t="n"/>
      <c r="AL95" s="85" t="n"/>
      <c r="AM95" s="85" t="n"/>
      <c r="AN95" s="85" t="n"/>
      <c r="AO95" s="85" t="n"/>
      <c r="AP95" s="94" t="n"/>
      <c r="AQ95" s="89" t="n"/>
      <c r="AR95" s="95" t="inlineStr">
        <is>
          <t>Y</t>
        </is>
      </c>
      <c r="AS95" s="95" t="inlineStr">
        <is>
          <t>List Price</t>
        </is>
      </c>
      <c r="AT95" s="96" t="n">
        <v>219</v>
      </c>
      <c r="AU95" s="96" t="n">
        <v>164.25</v>
      </c>
      <c r="AV95" s="95" t="inlineStr">
        <is>
          <t>none</t>
        </is>
      </c>
      <c r="AW95" s="95" t="inlineStr">
        <is>
          <t>Y</t>
        </is>
      </c>
      <c r="AX95" s="95" t="inlineStr">
        <is>
          <t>2026-10-13 12:12:10</t>
        </is>
      </c>
      <c r="AY95" s="97" t="inlineStr">
        <is>
          <t>Price cut only</t>
        </is>
      </c>
      <c r="AZ95" s="97" t="inlineStr">
        <is>
          <t>11-20 to 12-01</t>
        </is>
      </c>
      <c r="BA95" s="98" t="n">
        <v>219</v>
      </c>
      <c r="BB95" s="98" t="n">
        <v>158.12</v>
      </c>
      <c r="BC95" s="87">
        <f>IF(AND(ISNUMBER(BA95),ISNUMBER(BB95),N(BA95)&gt;0),1-BB95/BA95,"")</f>
        <v/>
      </c>
      <c r="BD95" s="99" t="n">
        <v>30250</v>
      </c>
      <c r="BE95" s="99" t="n">
        <v>15708</v>
      </c>
      <c r="BF95" s="100">
        <f>IF(AND(ISNUMBER(BD95),ISNUMBER(BE95),N(BE95)&gt;0),BD95/BE95,"")</f>
        <v/>
      </c>
      <c r="BG95" s="97" t="inlineStr">
        <is>
          <t>N</t>
        </is>
      </c>
      <c r="BH95" s="97" t="inlineStr">
        <is>
          <t>Lightning Deal 11-14 to 11-14; List Price $219.00</t>
        </is>
      </c>
    </row>
    <row r="96" ht="62" customHeight="1">
      <c r="A96" s="39" t="inlineStr">
        <is>
          <t>IMAGE MISSING</t>
        </is>
      </c>
      <c r="B96" s="84" t="inlineStr">
        <is>
          <t>Bedsure</t>
        </is>
      </c>
      <c r="C96" s="32" t="inlineStr">
        <is>
          <t>Cooling Sheets</t>
        </is>
      </c>
      <c r="D96" s="84" t="inlineStr">
        <is>
          <t>Untiered</t>
        </is>
      </c>
      <c r="E96" s="84" t="inlineStr">
        <is>
          <t>B0CPDTJ5NN</t>
        </is>
      </c>
      <c r="F96" s="84" t="inlineStr">
        <is>
          <t>B0CPDR5DDM</t>
        </is>
      </c>
      <c r="G96" s="84" t="n"/>
      <c r="H96" s="84" t="n"/>
      <c r="I96" s="85" t="n">
        <v>1</v>
      </c>
      <c r="J96" s="32" t="inlineStr">
        <is>
          <t>B0DGWZTTRL (100%)</t>
        </is>
      </c>
      <c r="K96" s="86" t="n">
        <v>149.99</v>
      </c>
      <c r="L96" s="86" t="n"/>
      <c r="M96" s="87">
        <f>IF(AND(ISNUMBER(L96),ISNUMBER(K96),N(K96)&gt;0),L96/K96-1,"")</f>
        <v/>
      </c>
      <c r="N96" s="88">
        <f>IF(M96="","No List Price",IF(M96&lt;=0,"At/below price",IF(M96&lt;=0.12,"&lt;=12% STR zone",IF(M96&lt;=0.25,"12-25%","&gt;25% over"))))</f>
        <v/>
      </c>
      <c r="O96" s="86" t="n">
        <v>79.98999999999999</v>
      </c>
      <c r="P96" s="89">
        <f>IF(AND(ISNUMBER(K96),ISNUMBER(O96),N(O96)&gt;0),K96/O96-1,"")</f>
        <v/>
      </c>
      <c r="Q96" s="32" t="inlineStr">
        <is>
          <t>Size not stated - vs our Queen. Ours live: Helium 10 Xray, 2026-10-13; 2 children</t>
        </is>
      </c>
      <c r="R96" s="85" t="n">
        <v>463922</v>
      </c>
      <c r="S96" s="85" t="n">
        <v>5</v>
      </c>
      <c r="T96" s="90">
        <f>IF(AND(ISNUMBER(K96),ISNUMBER(S96)),K96*S96*52/12,"")</f>
        <v/>
      </c>
      <c r="U96" s="91" t="n">
        <v>4.2</v>
      </c>
      <c r="V96" s="85" t="n">
        <v>512</v>
      </c>
      <c r="W96" s="92" t="n">
        <v>46307</v>
      </c>
      <c r="X96" s="92" t="n"/>
      <c r="Y96" s="84" t="n"/>
      <c r="Z96" s="84" t="n"/>
      <c r="AA96" s="85" t="n">
        <v>170</v>
      </c>
      <c r="AB96" s="85" t="n">
        <v>22</v>
      </c>
      <c r="AC96" s="93" t="n">
        <v>1</v>
      </c>
      <c r="AD96" s="93" t="n">
        <v>0</v>
      </c>
      <c r="AE96" s="32" t="inlineStr">
        <is>
          <t>bedsure cooling sheets</t>
        </is>
      </c>
      <c r="AF96" s="93" t="n"/>
      <c r="AG96" s="93" t="n"/>
      <c r="AH96" s="93" t="n"/>
      <c r="AI96" s="93" t="n"/>
      <c r="AJ96" s="85" t="n"/>
      <c r="AK96" s="85" t="n"/>
      <c r="AL96" s="85" t="n"/>
      <c r="AM96" s="85" t="n"/>
      <c r="AN96" s="85" t="n"/>
      <c r="AO96" s="85" t="n"/>
      <c r="AP96" s="94" t="n"/>
      <c r="AQ96" s="89" t="n"/>
      <c r="AR96" s="95" t="inlineStr">
        <is>
          <t>N</t>
        </is>
      </c>
      <c r="AS96" s="95" t="inlineStr">
        <is>
          <t>none</t>
        </is>
      </c>
      <c r="AT96" s="101" t="n"/>
      <c r="AU96" s="101" t="n"/>
      <c r="AV96" s="95" t="inlineStr">
        <is>
          <t>none</t>
        </is>
      </c>
      <c r="AW96" s="95" t="inlineStr">
        <is>
          <t>N</t>
        </is>
      </c>
      <c r="AX96" s="95" t="inlineStr">
        <is>
          <t>2026-10-13 12:11:48</t>
        </is>
      </c>
      <c r="AY96" s="102" t="n"/>
      <c r="AZ96" s="102" t="n"/>
      <c r="BA96" s="101" t="n"/>
      <c r="BB96" s="101" t="n"/>
      <c r="BC96" s="87">
        <f>IF(AND(ISNUMBER(BA96),ISNUMBER(BB96),N(BA96)&gt;0),1-BB96/BA96,"")</f>
        <v/>
      </c>
      <c r="BD96" s="103" t="n"/>
      <c r="BE96" s="103" t="n"/>
      <c r="BF96" s="100">
        <f>IF(AND(ISNUMBER(BD96),ISNUMBER(BE96),N(BE96)&gt;0),BD96/BE96,"")</f>
        <v/>
      </c>
      <c r="BG96" s="97" t="inlineStr">
        <is>
          <t>Y</t>
        </is>
      </c>
      <c r="BH96" s="97" t="inlineStr">
        <is>
          <t>No Buy Box history in Keepa for BFCM 2025; List Price $82.99</t>
        </is>
      </c>
    </row>
    <row r="97" ht="62" customHeight="1">
      <c r="A97" s="39" t="inlineStr">
        <is>
          <t>IMAGE MISSING</t>
        </is>
      </c>
      <c r="B97" s="84" t="inlineStr">
        <is>
          <t>Breescape</t>
        </is>
      </c>
      <c r="C97" s="32" t="inlineStr">
        <is>
          <t>Breescape Cooling Sheets King Size - BlendTek Dry &amp; Cool Technology Cooling Bed</t>
        </is>
      </c>
      <c r="D97" s="84" t="inlineStr">
        <is>
          <t>Untiered</t>
        </is>
      </c>
      <c r="E97" s="84" t="inlineStr">
        <is>
          <t>B0DSPY326Y</t>
        </is>
      </c>
      <c r="F97" s="84" t="inlineStr">
        <is>
          <t>B0DSPYXPSP</t>
        </is>
      </c>
      <c r="G97" s="84" t="inlineStr">
        <is>
          <t>King</t>
        </is>
      </c>
      <c r="H97" s="84" t="n"/>
      <c r="I97" s="85" t="n"/>
      <c r="J97" s="32" t="inlineStr"/>
      <c r="K97" s="86" t="n">
        <v>179.99</v>
      </c>
      <c r="L97" s="86" t="n"/>
      <c r="M97" s="87">
        <f>IF(AND(ISNUMBER(L97),ISNUMBER(K97),N(K97)&gt;0),L97/K97-1,"")</f>
        <v/>
      </c>
      <c r="N97" s="88">
        <f>IF(M97="","No List Price",IF(M97&lt;=0,"At/below price",IF(M97&lt;=0.12,"&lt;=12% STR zone",IF(M97&lt;=0.25,"12-25%","&gt;25% over"))))</f>
        <v/>
      </c>
      <c r="O97" s="86" t="n">
        <v>84.98999999999999</v>
      </c>
      <c r="P97" s="89">
        <f>IF(AND(ISNUMBER(K97),ISNUMBER(O97),N(O97)&gt;0),K97/O97-1,"")</f>
        <v/>
      </c>
      <c r="Q97" s="32" t="inlineStr">
        <is>
          <t>Same size (King). Ours live: Helium 10 Xray, 2026-10-13; 1 child</t>
        </is>
      </c>
      <c r="R97" s="85" t="n">
        <v>422828</v>
      </c>
      <c r="S97" s="85" t="n">
        <v>5</v>
      </c>
      <c r="T97" s="90">
        <f>IF(AND(ISNUMBER(K97),ISNUMBER(S97)),K97*S97*52/12,"")</f>
        <v/>
      </c>
      <c r="U97" s="91" t="n">
        <v>3.8</v>
      </c>
      <c r="V97" s="85" t="n">
        <v>73</v>
      </c>
      <c r="W97" s="92" t="n">
        <v>46307</v>
      </c>
      <c r="X97" s="92" t="n"/>
      <c r="Y97" s="84" t="n"/>
      <c r="Z97" s="84" t="n"/>
      <c r="AA97" s="85" t="n"/>
      <c r="AB97" s="85" t="n"/>
      <c r="AC97" s="93" t="n"/>
      <c r="AD97" s="93" t="n"/>
      <c r="AE97" s="32" t="n"/>
      <c r="AF97" s="93" t="n"/>
      <c r="AG97" s="93" t="n"/>
      <c r="AH97" s="93" t="n"/>
      <c r="AI97" s="93" t="n"/>
      <c r="AJ97" s="85" t="n"/>
      <c r="AK97" s="85" t="n"/>
      <c r="AL97" s="85" t="n"/>
      <c r="AM97" s="85" t="n"/>
      <c r="AN97" s="85" t="n"/>
      <c r="AO97" s="85" t="n"/>
      <c r="AP97" s="94" t="n"/>
      <c r="AQ97" s="89" t="n"/>
      <c r="AR97" s="95" t="inlineStr">
        <is>
          <t>N</t>
        </is>
      </c>
      <c r="AS97" s="95" t="inlineStr">
        <is>
          <t>none</t>
        </is>
      </c>
      <c r="AT97" s="101" t="n"/>
      <c r="AU97" s="96" t="n">
        <v>179.99</v>
      </c>
      <c r="AV97" s="95" t="inlineStr">
        <is>
          <t>coupon 50%</t>
        </is>
      </c>
      <c r="AW97" s="95" t="inlineStr">
        <is>
          <t>Y</t>
        </is>
      </c>
      <c r="AX97" s="95" t="inlineStr">
        <is>
          <t>2026-10-13 23:37:37</t>
        </is>
      </c>
      <c r="AY97" s="97" t="inlineStr">
        <is>
          <t>Price cut only</t>
        </is>
      </c>
      <c r="AZ97" s="97" t="inlineStr">
        <is>
          <t>11-20 to 12-01</t>
        </is>
      </c>
      <c r="BA97" s="98" t="n">
        <v>125.99</v>
      </c>
      <c r="BB97" s="98" t="n">
        <v>119.69</v>
      </c>
      <c r="BC97" s="87">
        <f>IF(AND(ISNUMBER(BA97),ISNUMBER(BB97),N(BA97)&gt;0),1-BB97/BA97,"")</f>
        <v/>
      </c>
      <c r="BD97" s="99" t="n">
        <v>75301</v>
      </c>
      <c r="BE97" s="99" t="n">
        <v>53658</v>
      </c>
      <c r="BF97" s="100">
        <f>IF(AND(ISNUMBER(BD97),ISNUMBER(BE97),N(BE97)&gt;0),BD97/BE97,"")</f>
        <v/>
      </c>
      <c r="BG97" s="97" t="inlineStr">
        <is>
          <t>N</t>
        </is>
      </c>
      <c r="BH97" s="97" t="inlineStr">
        <is>
          <t>List Price $179.99</t>
        </is>
      </c>
    </row>
    <row r="98" ht="62" customHeight="1">
      <c r="A98" s="39" t="inlineStr">
        <is>
          <t>IMAGE MISSING</t>
        </is>
      </c>
      <c r="B98" s="84" t="inlineStr">
        <is>
          <t>Breescape</t>
        </is>
      </c>
      <c r="C98" s="32" t="inlineStr">
        <is>
          <t>Breescape Cooling Sheets King Size - BlendTek Dry &amp; Cool Technology Cooling Bed</t>
        </is>
      </c>
      <c r="D98" s="84" t="inlineStr">
        <is>
          <t>Untiered</t>
        </is>
      </c>
      <c r="E98" s="84" t="inlineStr">
        <is>
          <t>B0H2797BXF</t>
        </is>
      </c>
      <c r="F98" s="84" t="inlineStr">
        <is>
          <t>B0DSQ26RH3</t>
        </is>
      </c>
      <c r="G98" s="84" t="inlineStr">
        <is>
          <t>King</t>
        </is>
      </c>
      <c r="H98" s="84" t="n"/>
      <c r="I98" s="85" t="n"/>
      <c r="J98" s="32" t="inlineStr"/>
      <c r="K98" s="86" t="n">
        <v>136</v>
      </c>
      <c r="L98" s="86" t="n"/>
      <c r="M98" s="87">
        <f>IF(AND(ISNUMBER(L98),ISNUMBER(K98),N(K98)&gt;0),L98/K98-1,"")</f>
        <v/>
      </c>
      <c r="N98" s="88">
        <f>IF(M98="","No List Price",IF(M98&lt;=0,"At/below price",IF(M98&lt;=0.12,"&lt;=12% STR zone",IF(M98&lt;=0.25,"12-25%","&gt;25% over"))))</f>
        <v/>
      </c>
      <c r="O98" s="86" t="n">
        <v>84.98999999999999</v>
      </c>
      <c r="P98" s="89">
        <f>IF(AND(ISNUMBER(K98),ISNUMBER(O98),N(O98)&gt;0),K98/O98-1,"")</f>
        <v/>
      </c>
      <c r="Q98" s="32" t="inlineStr">
        <is>
          <t>Same size (King). Ours live: Helium 10 Xray, 2026-10-13; 1 child</t>
        </is>
      </c>
      <c r="R98" s="85" t="n">
        <v>423704</v>
      </c>
      <c r="S98" s="85" t="n">
        <v>5</v>
      </c>
      <c r="T98" s="90">
        <f>IF(AND(ISNUMBER(K98),ISNUMBER(S98)),K98*S98*52/12,"")</f>
        <v/>
      </c>
      <c r="U98" s="91" t="n">
        <v>3.8</v>
      </c>
      <c r="V98" s="85" t="n">
        <v>73</v>
      </c>
      <c r="W98" s="92" t="n">
        <v>46307</v>
      </c>
      <c r="X98" s="92" t="n"/>
      <c r="Y98" s="84" t="n"/>
      <c r="Z98" s="84" t="n"/>
      <c r="AA98" s="85" t="n"/>
      <c r="AB98" s="85" t="n"/>
      <c r="AC98" s="93" t="n"/>
      <c r="AD98" s="93" t="n"/>
      <c r="AE98" s="32" t="n"/>
      <c r="AF98" s="93" t="n"/>
      <c r="AG98" s="93" t="n"/>
      <c r="AH98" s="93" t="n"/>
      <c r="AI98" s="93" t="n"/>
      <c r="AJ98" s="85" t="n"/>
      <c r="AK98" s="85" t="n"/>
      <c r="AL98" s="85" t="n"/>
      <c r="AM98" s="85" t="n"/>
      <c r="AN98" s="85" t="n"/>
      <c r="AO98" s="85" t="n"/>
      <c r="AP98" s="94" t="n"/>
      <c r="AQ98" s="89" t="n"/>
      <c r="AR98" s="95" t="inlineStr">
        <is>
          <t>N</t>
        </is>
      </c>
      <c r="AS98" s="95" t="inlineStr">
        <is>
          <t>none</t>
        </is>
      </c>
      <c r="AT98" s="101" t="n"/>
      <c r="AU98" s="96" t="n">
        <v>139.99</v>
      </c>
      <c r="AV98" s="95" t="inlineStr">
        <is>
          <t>coupon 50%</t>
        </is>
      </c>
      <c r="AW98" s="95" t="inlineStr">
        <is>
          <t>Y</t>
        </is>
      </c>
      <c r="AX98" s="95" t="inlineStr">
        <is>
          <t>2026-10-13 23:48:02</t>
        </is>
      </c>
      <c r="AY98" s="97" t="inlineStr">
        <is>
          <t>Price cut only</t>
        </is>
      </c>
      <c r="AZ98" s="97" t="inlineStr">
        <is>
          <t>11-20 to 12-01</t>
        </is>
      </c>
      <c r="BA98" s="98" t="n">
        <v>139.99</v>
      </c>
      <c r="BB98" s="98" t="n">
        <v>118.99</v>
      </c>
      <c r="BC98" s="87">
        <f>IF(AND(ISNUMBER(BA98),ISNUMBER(BB98),N(BA98)&gt;0),1-BB98/BA98,"")</f>
        <v/>
      </c>
      <c r="BD98" s="99" t="n">
        <v>74966</v>
      </c>
      <c r="BE98" s="99" t="n">
        <v>54620</v>
      </c>
      <c r="BF98" s="100">
        <f>IF(AND(ISNUMBER(BD98),ISNUMBER(BE98),N(BE98)&gt;0),BD98/BE98,"")</f>
        <v/>
      </c>
      <c r="BG98" s="97" t="inlineStr">
        <is>
          <t>N</t>
        </is>
      </c>
      <c r="BH98" s="97" t="inlineStr">
        <is>
          <t>List Price $139.99</t>
        </is>
      </c>
    </row>
    <row r="99" ht="62" customHeight="1">
      <c r="A99" s="39" t="inlineStr">
        <is>
          <t>IMAGE MISSING</t>
        </is>
      </c>
      <c r="B99" s="84" t="inlineStr">
        <is>
          <t>Brookstone</t>
        </is>
      </c>
      <c r="C99" s="32" t="inlineStr">
        <is>
          <t>Cooling Fitted Sheet</t>
        </is>
      </c>
      <c r="D99" s="84" t="inlineStr">
        <is>
          <t>Untiered</t>
        </is>
      </c>
      <c r="E99" s="84" t="inlineStr">
        <is>
          <t>B0CXB579TZ</t>
        </is>
      </c>
      <c r="F99" s="84" t="inlineStr">
        <is>
          <t>B0CTKM53QJ</t>
        </is>
      </c>
      <c r="G99" s="84" t="n"/>
      <c r="H99" s="84" t="n"/>
      <c r="I99" s="85" t="n"/>
      <c r="J99" s="32" t="inlineStr"/>
      <c r="K99" s="86" t="n">
        <v>49.99</v>
      </c>
      <c r="L99" s="86" t="n"/>
      <c r="M99" s="87">
        <f>IF(AND(ISNUMBER(L99),ISNUMBER(K99),N(K99)&gt;0),L99/K99-1,"")</f>
        <v/>
      </c>
      <c r="N99" s="88">
        <f>IF(M99="","No List Price",IF(M99&lt;=0,"At/below price",IF(M99&lt;=0.12,"&lt;=12% STR zone",IF(M99&lt;=0.25,"12-25%","&gt;25% over"))))</f>
        <v/>
      </c>
      <c r="O99" s="86" t="n">
        <v>79.98999999999999</v>
      </c>
      <c r="P99" s="89">
        <f>IF(AND(ISNUMBER(K99),ISNUMBER(O99),N(O99)&gt;0),K99/O99-1,"")</f>
        <v/>
      </c>
      <c r="Q99" s="32" t="inlineStr">
        <is>
          <t>Size not stated - vs our Queen. Ours live: Helium 10 Xray, 2026-10-13; 2 children</t>
        </is>
      </c>
      <c r="R99" s="85" t="n">
        <v>501090</v>
      </c>
      <c r="S99" s="85" t="n">
        <v>5</v>
      </c>
      <c r="T99" s="90">
        <f>IF(AND(ISNUMBER(K99),ISNUMBER(S99)),K99*S99*52/12,"")</f>
        <v/>
      </c>
      <c r="U99" s="91" t="n">
        <v>4.1</v>
      </c>
      <c r="V99" s="85" t="n">
        <v>184</v>
      </c>
      <c r="W99" s="92" t="n">
        <v>46307</v>
      </c>
      <c r="X99" s="92" t="n"/>
      <c r="Y99" s="84" t="n"/>
      <c r="Z99" s="84" t="n"/>
      <c r="AA99" s="85" t="n"/>
      <c r="AB99" s="85" t="n"/>
      <c r="AC99" s="93" t="n"/>
      <c r="AD99" s="93" t="n"/>
      <c r="AE99" s="32" t="n"/>
      <c r="AF99" s="93" t="n"/>
      <c r="AG99" s="93" t="n"/>
      <c r="AH99" s="93" t="n"/>
      <c r="AI99" s="93" t="n"/>
      <c r="AJ99" s="85" t="n"/>
      <c r="AK99" s="85" t="n"/>
      <c r="AL99" s="85" t="n"/>
      <c r="AM99" s="85" t="n"/>
      <c r="AN99" s="85" t="n"/>
      <c r="AO99" s="85" t="n"/>
      <c r="AP99" s="94" t="n"/>
      <c r="AQ99" s="89" t="n"/>
      <c r="AR99" s="95" t="inlineStr">
        <is>
          <t>N</t>
        </is>
      </c>
      <c r="AS99" s="95" t="inlineStr">
        <is>
          <t>none</t>
        </is>
      </c>
      <c r="AT99" s="101" t="n"/>
      <c r="AU99" s="96" t="n">
        <v>49.99</v>
      </c>
      <c r="AV99" s="95" t="inlineStr">
        <is>
          <t>none</t>
        </is>
      </c>
      <c r="AW99" s="95" t="inlineStr">
        <is>
          <t>Y</t>
        </is>
      </c>
      <c r="AX99" s="95" t="inlineStr">
        <is>
          <t>2026-10-13 23:37:50</t>
        </is>
      </c>
      <c r="AY99" s="97" t="inlineStr">
        <is>
          <t>Prime Exclusive Discount</t>
        </is>
      </c>
      <c r="AZ99" s="97" t="inlineStr">
        <is>
          <t>11-28 to 12-01</t>
        </is>
      </c>
      <c r="BA99" s="98" t="n">
        <v>49.99</v>
      </c>
      <c r="BB99" s="98" t="n">
        <v>39.99</v>
      </c>
      <c r="BC99" s="87">
        <f>IF(AND(ISNUMBER(BA99),ISNUMBER(BB99),N(BA99)&gt;0),1-BB99/BA99,"")</f>
        <v/>
      </c>
      <c r="BD99" s="99" t="n">
        <v>453218</v>
      </c>
      <c r="BE99" s="99" t="n">
        <v>431081</v>
      </c>
      <c r="BF99" s="100">
        <f>IF(AND(ISNUMBER(BD99),ISNUMBER(BE99),N(BE99)&gt;0),BD99/BE99,"")</f>
        <v/>
      </c>
      <c r="BG99" s="97" t="inlineStr">
        <is>
          <t>N</t>
        </is>
      </c>
      <c r="BH99" s="97" t="inlineStr">
        <is>
          <t>Coupon 10% (11-11 to 11-27); List Price $49.99</t>
        </is>
      </c>
    </row>
    <row r="100" ht="62" customHeight="1">
      <c r="A100" s="39" t="inlineStr">
        <is>
          <t>IMAGE MISSING</t>
        </is>
      </c>
      <c r="B100" s="84" t="inlineStr">
        <is>
          <t>CGK Unlimited</t>
        </is>
      </c>
      <c r="C100" s="32" t="inlineStr">
        <is>
          <t>Cooling Sheets Set Twin XL Size - 3 Piece Summer Bed Sheets for Hot Sleepers &amp; N</t>
        </is>
      </c>
      <c r="D100" s="84" t="inlineStr">
        <is>
          <t>Untiered</t>
        </is>
      </c>
      <c r="E100" s="84" t="inlineStr">
        <is>
          <t>B0FT4VV426</t>
        </is>
      </c>
      <c r="F100" s="84" t="inlineStr">
        <is>
          <t>B0FT4TC7NV</t>
        </is>
      </c>
      <c r="G100" s="84" t="inlineStr">
        <is>
          <t>Twin XL</t>
        </is>
      </c>
      <c r="H100" s="84" t="n"/>
      <c r="I100" s="85" t="n"/>
      <c r="J100" s="32" t="inlineStr"/>
      <c r="K100" s="86" t="n">
        <v>57.99</v>
      </c>
      <c r="L100" s="86" t="n"/>
      <c r="M100" s="87">
        <f>IF(AND(ISNUMBER(L100),ISNUMBER(K100),N(K100)&gt;0),L100/K100-1,"")</f>
        <v/>
      </c>
      <c r="N100" s="88">
        <f>IF(M100="","No List Price",IF(M100&lt;=0,"At/below price",IF(M100&lt;=0.12,"&lt;=12% STR zone",IF(M100&lt;=0.25,"12-25%","&gt;25% over"))))</f>
        <v/>
      </c>
      <c r="O100" s="86" t="n"/>
      <c r="P100" s="89">
        <f>IF(AND(ISNUMBER(K100),ISNUMBER(O100),N(O100)&gt;0),K100/O100-1,"")</f>
        <v/>
      </c>
      <c r="Q100" s="32" t="inlineStr">
        <is>
          <t>No price for us</t>
        </is>
      </c>
      <c r="R100" s="85" t="n">
        <v>381427</v>
      </c>
      <c r="S100" s="85" t="n">
        <v>5</v>
      </c>
      <c r="T100" s="90">
        <f>IF(AND(ISNUMBER(K100),ISNUMBER(S100)),K100*S100*52/12,"")</f>
        <v/>
      </c>
      <c r="U100" s="91" t="n">
        <v>4.1</v>
      </c>
      <c r="V100" s="85" t="n">
        <v>118</v>
      </c>
      <c r="W100" s="92" t="n">
        <v>46307</v>
      </c>
      <c r="X100" s="92" t="n"/>
      <c r="Y100" s="84" t="n"/>
      <c r="Z100" s="84" t="n"/>
      <c r="AA100" s="85" t="n"/>
      <c r="AB100" s="85" t="n"/>
      <c r="AC100" s="93" t="n"/>
      <c r="AD100" s="93" t="n"/>
      <c r="AE100" s="32" t="n"/>
      <c r="AF100" s="93" t="n"/>
      <c r="AG100" s="93" t="n"/>
      <c r="AH100" s="93" t="n"/>
      <c r="AI100" s="93" t="n"/>
      <c r="AJ100" s="85" t="n"/>
      <c r="AK100" s="85" t="n"/>
      <c r="AL100" s="85" t="n"/>
      <c r="AM100" s="85" t="n"/>
      <c r="AN100" s="85" t="n"/>
      <c r="AO100" s="85" t="n"/>
      <c r="AP100" s="94" t="n"/>
      <c r="AQ100" s="89" t="n"/>
      <c r="AR100" s="95" t="inlineStr">
        <is>
          <t>N</t>
        </is>
      </c>
      <c r="AS100" s="95" t="inlineStr">
        <is>
          <t>none</t>
        </is>
      </c>
      <c r="AT100" s="101" t="n"/>
      <c r="AU100" s="96" t="n">
        <v>57.99</v>
      </c>
      <c r="AV100" s="95" t="inlineStr">
        <is>
          <t>none</t>
        </is>
      </c>
      <c r="AW100" s="95" t="inlineStr">
        <is>
          <t>Y</t>
        </is>
      </c>
      <c r="AX100" s="95" t="inlineStr">
        <is>
          <t>2026-10-13 23:37:53</t>
        </is>
      </c>
      <c r="AY100" s="97" t="inlineStr">
        <is>
          <t>Not live in 2025</t>
        </is>
      </c>
      <c r="AZ100" s="102" t="n"/>
      <c r="BA100" s="101" t="n"/>
      <c r="BB100" s="101" t="n"/>
      <c r="BC100" s="87">
        <f>IF(AND(ISNUMBER(BA100),ISNUMBER(BB100),N(BA100)&gt;0),1-BB100/BA100,"")</f>
        <v/>
      </c>
      <c r="BD100" s="103" t="n"/>
      <c r="BE100" s="103" t="n"/>
      <c r="BF100" s="100">
        <f>IF(AND(ISNUMBER(BD100),ISNUMBER(BE100),N(BE100)&gt;0),BD100/BE100,"")</f>
        <v/>
      </c>
      <c r="BG100" s="102" t="n"/>
      <c r="BH100" s="102" t="n"/>
    </row>
    <row r="101" ht="62" customHeight="1">
      <c r="A101" s="39" t="inlineStr">
        <is>
          <t>IMAGE MISSING</t>
        </is>
      </c>
      <c r="B101" s="84" t="inlineStr">
        <is>
          <t>DOWNCOOL</t>
        </is>
      </c>
      <c r="C101" s="32" t="inlineStr">
        <is>
          <t>Cooling Sheets</t>
        </is>
      </c>
      <c r="D101" s="84" t="inlineStr">
        <is>
          <t>Untiered</t>
        </is>
      </c>
      <c r="E101" s="84" t="inlineStr">
        <is>
          <t>B0F93XRVSZ</t>
        </is>
      </c>
      <c r="F101" s="84" t="inlineStr">
        <is>
          <t>B0F93XRVSZ</t>
        </is>
      </c>
      <c r="G101" s="84" t="n"/>
      <c r="H101" s="84" t="n"/>
      <c r="I101" s="85" t="n"/>
      <c r="J101" s="32" t="inlineStr"/>
      <c r="K101" s="86" t="n">
        <v>139.99</v>
      </c>
      <c r="L101" s="86" t="n"/>
      <c r="M101" s="87">
        <f>IF(AND(ISNUMBER(L101),ISNUMBER(K101),N(K101)&gt;0),L101/K101-1,"")</f>
        <v/>
      </c>
      <c r="N101" s="88">
        <f>IF(M101="","No List Price",IF(M101&lt;=0,"At/below price",IF(M101&lt;=0.12,"&lt;=12% STR zone",IF(M101&lt;=0.25,"12-25%","&gt;25% over"))))</f>
        <v/>
      </c>
      <c r="O101" s="86" t="n">
        <v>79.98999999999999</v>
      </c>
      <c r="P101" s="89">
        <f>IF(AND(ISNUMBER(K101),ISNUMBER(O101),N(O101)&gt;0),K101/O101-1,"")</f>
        <v/>
      </c>
      <c r="Q101" s="32" t="inlineStr">
        <is>
          <t>Size not stated - vs our Queen. Ours live: Helium 10 Xray, 2026-10-13; 2 children</t>
        </is>
      </c>
      <c r="R101" s="85" t="n">
        <v>2798999</v>
      </c>
      <c r="S101" s="85" t="n">
        <v>5</v>
      </c>
      <c r="T101" s="90">
        <f>IF(AND(ISNUMBER(K101),ISNUMBER(S101)),K101*S101*52/12,"")</f>
        <v/>
      </c>
      <c r="U101" s="91" t="n">
        <v>4.2</v>
      </c>
      <c r="V101" s="85" t="n">
        <v>6</v>
      </c>
      <c r="W101" s="92" t="n">
        <v>46279</v>
      </c>
      <c r="X101" s="92" t="n"/>
      <c r="Y101" s="84" t="n"/>
      <c r="Z101" s="84" t="n"/>
      <c r="AA101" s="85" t="n"/>
      <c r="AB101" s="85" t="n"/>
      <c r="AC101" s="93" t="n"/>
      <c r="AD101" s="93" t="n"/>
      <c r="AE101" s="32" t="n"/>
      <c r="AF101" s="93" t="n"/>
      <c r="AG101" s="93" t="n"/>
      <c r="AH101" s="93" t="n"/>
      <c r="AI101" s="93" t="n"/>
      <c r="AJ101" s="85" t="n"/>
      <c r="AK101" s="85" t="n"/>
      <c r="AL101" s="85" t="n"/>
      <c r="AM101" s="85" t="n"/>
      <c r="AN101" s="85" t="n"/>
      <c r="AO101" s="85" t="n"/>
      <c r="AP101" s="94" t="n"/>
      <c r="AQ101" s="89" t="n"/>
      <c r="AR101" s="95" t="inlineStr">
        <is>
          <t>N</t>
        </is>
      </c>
      <c r="AS101" s="95" t="inlineStr">
        <is>
          <t>none</t>
        </is>
      </c>
      <c r="AT101" s="101" t="n"/>
      <c r="AU101" s="101" t="n"/>
      <c r="AV101" s="95" t="inlineStr">
        <is>
          <t>none</t>
        </is>
      </c>
      <c r="AW101" s="95" t="inlineStr">
        <is>
          <t>N</t>
        </is>
      </c>
      <c r="AX101" s="95" t="inlineStr">
        <is>
          <t>2026-10-13 12:11:54</t>
        </is>
      </c>
      <c r="AY101" s="97" t="inlineStr">
        <is>
          <t>Prime Exclusive Discount</t>
        </is>
      </c>
      <c r="AZ101" s="97" t="inlineStr">
        <is>
          <t>11-21 to 12-01</t>
        </is>
      </c>
      <c r="BA101" s="98" t="n">
        <v>35.99</v>
      </c>
      <c r="BB101" s="98" t="n">
        <v>29.99</v>
      </c>
      <c r="BC101" s="87">
        <f>IF(AND(ISNUMBER(BA101),ISNUMBER(BB101),N(BA101)&gt;0),1-BB101/BA101,"")</f>
        <v/>
      </c>
      <c r="BD101" s="99" t="n">
        <v>223574</v>
      </c>
      <c r="BE101" s="99" t="n">
        <v>226828</v>
      </c>
      <c r="BF101" s="100">
        <f>IF(AND(ISNUMBER(BD101),ISNUMBER(BE101),N(BE101)&gt;0),BD101/BE101,"")</f>
        <v/>
      </c>
      <c r="BG101" s="97" t="inlineStr">
        <is>
          <t>N</t>
        </is>
      </c>
      <c r="BH101" s="97" t="inlineStr">
        <is>
          <t>Buy Box RAISED in BFCM week (median $69.99 vs $35.99 before); List Price $69.99</t>
        </is>
      </c>
    </row>
    <row r="102" ht="62" customHeight="1">
      <c r="A102" s="39" t="inlineStr">
        <is>
          <t>IMAGE MISSING</t>
        </is>
      </c>
      <c r="B102" s="84" t="inlineStr">
        <is>
          <t>Elegear</t>
        </is>
      </c>
      <c r="C102" s="32" t="inlineStr">
        <is>
          <t>Elegear Silver Infused Cooling Bed Sheets Queen, Arc-Chill® 3.0 Cool Tech, Silve</t>
        </is>
      </c>
      <c r="D102" s="84" t="inlineStr">
        <is>
          <t>Untiered</t>
        </is>
      </c>
      <c r="E102" s="84" t="inlineStr">
        <is>
          <t>B0H7YWGBW3</t>
        </is>
      </c>
      <c r="F102" s="84" t="inlineStr">
        <is>
          <t>B0GCGXW1WT</t>
        </is>
      </c>
      <c r="G102" s="84" t="inlineStr">
        <is>
          <t>Queen</t>
        </is>
      </c>
      <c r="H102" s="84" t="inlineStr">
        <is>
          <t>Silver</t>
        </is>
      </c>
      <c r="I102" s="85" t="n">
        <v>8</v>
      </c>
      <c r="J102" s="32" t="inlineStr">
        <is>
          <t>B0GCHRGYZZ (25%), B0GCHG6VG6 (21%), B0GCH7FHV1 (18%), B0GCGXW1WT (11%), B0GCGXXC24 (10%)</t>
        </is>
      </c>
      <c r="K102" s="86" t="n">
        <v>67.98999999999999</v>
      </c>
      <c r="L102" s="86" t="n">
        <v>79.98999999999999</v>
      </c>
      <c r="M102" s="87">
        <f>IF(AND(ISNUMBER(L102),ISNUMBER(K102),N(K102)&gt;0),L102/K102-1,"")</f>
        <v/>
      </c>
      <c r="N102" s="88">
        <f>IF(M102="","No List Price",IF(M102&lt;=0,"At/below price",IF(M102&lt;=0.12,"&lt;=12% STR zone",IF(M102&lt;=0.25,"12-25%","&gt;25% over"))))</f>
        <v/>
      </c>
      <c r="O102" s="86" t="n">
        <v>79.98999999999999</v>
      </c>
      <c r="P102" s="89">
        <f>IF(AND(ISNUMBER(K102),ISNUMBER(O102),N(O102)&gt;0),K102/O102-1,"")</f>
        <v/>
      </c>
      <c r="Q102" s="32" t="inlineStr">
        <is>
          <t>Same size (Queen). Ours live: Helium 10 Xray, 2026-10-13; 2 children</t>
        </is>
      </c>
      <c r="R102" s="85" t="n">
        <v>159865</v>
      </c>
      <c r="S102" s="85" t="n">
        <v>5</v>
      </c>
      <c r="T102" s="90">
        <f>IF(AND(ISNUMBER(K102),ISNUMBER(S102)),K102*S102*52/12,"")</f>
        <v/>
      </c>
      <c r="U102" s="91" t="n">
        <v>4.4</v>
      </c>
      <c r="V102" s="85" t="n">
        <v>131</v>
      </c>
      <c r="W102" s="92" t="n">
        <v>46307</v>
      </c>
      <c r="X102" s="92" t="n"/>
      <c r="Y102" s="84" t="n"/>
      <c r="Z102" s="84" t="n"/>
      <c r="AA102" s="85" t="n">
        <v>15624</v>
      </c>
      <c r="AB102" s="85" t="n">
        <v>643</v>
      </c>
      <c r="AC102" s="93" t="n">
        <v>0.6086269521249359</v>
      </c>
      <c r="AD102" s="93" t="n">
        <v>0.3913732526881721</v>
      </c>
      <c r="AE102" s="32" t="inlineStr">
        <is>
          <t>miracle sheets</t>
        </is>
      </c>
      <c r="AF102" s="93" t="n">
        <v>0.5840373783922171</v>
      </c>
      <c r="AG102" s="93" t="n">
        <v>0.7140296979006656</v>
      </c>
      <c r="AH102" s="93" t="n"/>
      <c r="AI102" s="93" t="n"/>
      <c r="AJ102" s="85" t="n"/>
      <c r="AK102" s="85" t="n"/>
      <c r="AL102" s="85" t="n"/>
      <c r="AM102" s="85" t="n"/>
      <c r="AN102" s="85" t="n"/>
      <c r="AO102" s="85" t="n"/>
      <c r="AP102" s="94" t="n">
        <v>0.4848484848484848</v>
      </c>
      <c r="AQ102" s="89" t="n"/>
      <c r="AR102" s="95" t="inlineStr">
        <is>
          <t>Y</t>
        </is>
      </c>
      <c r="AS102" s="95" t="inlineStr">
        <is>
          <t>Typical price</t>
        </is>
      </c>
      <c r="AT102" s="96" t="n">
        <v>79.98999999999999</v>
      </c>
      <c r="AU102" s="96" t="n">
        <v>67.98999999999999</v>
      </c>
      <c r="AV102" s="95" t="inlineStr">
        <is>
          <t>Limited time deal</t>
        </is>
      </c>
      <c r="AW102" s="95" t="inlineStr">
        <is>
          <t>Y</t>
        </is>
      </c>
      <c r="AX102" s="95" t="inlineStr">
        <is>
          <t>2026-10-13 12:12:01</t>
        </is>
      </c>
      <c r="AY102" s="97" t="inlineStr">
        <is>
          <t>Not live in 2025</t>
        </is>
      </c>
      <c r="AZ102" s="102" t="n"/>
      <c r="BA102" s="101" t="n"/>
      <c r="BB102" s="101" t="n"/>
      <c r="BC102" s="87">
        <f>IF(AND(ISNUMBER(BA102),ISNUMBER(BB102),N(BA102)&gt;0),1-BB102/BA102,"")</f>
        <v/>
      </c>
      <c r="BD102" s="103" t="n"/>
      <c r="BE102" s="103" t="n"/>
      <c r="BF102" s="100">
        <f>IF(AND(ISNUMBER(BD102),ISNUMBER(BE102),N(BE102)&gt;0),BD102/BE102,"")</f>
        <v/>
      </c>
      <c r="BG102" s="102" t="n"/>
      <c r="BH102" s="102" t="n"/>
    </row>
    <row r="103" ht="62" customHeight="1">
      <c r="A103" s="39" t="inlineStr">
        <is>
          <t>IMAGE MISSING</t>
        </is>
      </c>
      <c r="B103" s="84" t="inlineStr">
        <is>
          <t>OMERAI</t>
        </is>
      </c>
      <c r="C103" s="32" t="inlineStr">
        <is>
          <t>Cooling Sheets</t>
        </is>
      </c>
      <c r="D103" s="84" t="inlineStr">
        <is>
          <t>Untiered</t>
        </is>
      </c>
      <c r="E103" s="84" t="inlineStr">
        <is>
          <t>B0HDC7BMTC</t>
        </is>
      </c>
      <c r="F103" s="84" t="inlineStr">
        <is>
          <t>B0FX8K1CG9</t>
        </is>
      </c>
      <c r="G103" s="84" t="n"/>
      <c r="H103" s="84" t="n"/>
      <c r="I103" s="85" t="n">
        <v>10</v>
      </c>
      <c r="J103" s="32" t="inlineStr">
        <is>
          <t>B0BM9K24ST (46%), B0BM9GLKYV (43%)</t>
        </is>
      </c>
      <c r="K103" s="86" t="n">
        <v>42.99</v>
      </c>
      <c r="L103" s="86" t="n">
        <v>59.99</v>
      </c>
      <c r="M103" s="87">
        <f>IF(AND(ISNUMBER(L103),ISNUMBER(K103),N(K103)&gt;0),L103/K103-1,"")</f>
        <v/>
      </c>
      <c r="N103" s="88">
        <f>IF(M103="","No List Price",IF(M103&lt;=0,"At/below price",IF(M103&lt;=0.12,"&lt;=12% STR zone",IF(M103&lt;=0.25,"12-25%","&gt;25% over"))))</f>
        <v/>
      </c>
      <c r="O103" s="86" t="n">
        <v>79.98999999999999</v>
      </c>
      <c r="P103" s="89">
        <f>IF(AND(ISNUMBER(K103),ISNUMBER(O103),N(O103)&gt;0),K103/O103-1,"")</f>
        <v/>
      </c>
      <c r="Q103" s="32" t="inlineStr">
        <is>
          <t>Size not stated - vs our Queen. Ours live: Helium 10 Xray, 2026-10-13; 2 children</t>
        </is>
      </c>
      <c r="R103" s="85" t="n">
        <v>115669</v>
      </c>
      <c r="S103" s="85" t="n">
        <v>5</v>
      </c>
      <c r="T103" s="90">
        <f>IF(AND(ISNUMBER(K103),ISNUMBER(S103)),K103*S103*52/12,"")</f>
        <v/>
      </c>
      <c r="U103" s="91" t="n">
        <v>4.7</v>
      </c>
      <c r="V103" s="85" t="n">
        <v>4</v>
      </c>
      <c r="W103" s="92" t="n">
        <v>46307</v>
      </c>
      <c r="X103" s="92" t="n"/>
      <c r="Y103" s="84" t="n"/>
      <c r="Z103" s="84" t="n"/>
      <c r="AA103" s="85" t="n">
        <v>13712</v>
      </c>
      <c r="AB103" s="85" t="n">
        <v>332</v>
      </c>
      <c r="AC103" s="93" t="n">
        <v>0.8852072199533255</v>
      </c>
      <c r="AD103" s="93" t="n">
        <v>0.1147927800466745</v>
      </c>
      <c r="AE103" s="32" t="inlineStr">
        <is>
          <t>cooling sheets queen</t>
        </is>
      </c>
      <c r="AF103" s="93" t="n">
        <v>0.8668319719953326</v>
      </c>
      <c r="AG103" s="93" t="n"/>
      <c r="AH103" s="93" t="n"/>
      <c r="AI103" s="93" t="n"/>
      <c r="AJ103" s="85" t="n"/>
      <c r="AK103" s="85" t="n"/>
      <c r="AL103" s="85" t="n"/>
      <c r="AM103" s="85" t="n"/>
      <c r="AN103" s="85" t="n"/>
      <c r="AO103" s="85" t="n"/>
      <c r="AP103" s="94" t="n"/>
      <c r="AQ103" s="89" t="n"/>
      <c r="AR103" s="95" t="inlineStr">
        <is>
          <t>Y</t>
        </is>
      </c>
      <c r="AS103" s="95" t="inlineStr">
        <is>
          <t>List Price</t>
        </is>
      </c>
      <c r="AT103" s="96" t="n">
        <v>59.99</v>
      </c>
      <c r="AU103" s="96" t="n">
        <v>42.99</v>
      </c>
      <c r="AV103" s="95" t="inlineStr">
        <is>
          <t>coupon 20%</t>
        </is>
      </c>
      <c r="AW103" s="95" t="inlineStr">
        <is>
          <t>Y</t>
        </is>
      </c>
      <c r="AX103" s="95" t="inlineStr">
        <is>
          <t>2026-10-13 12:12:04</t>
        </is>
      </c>
      <c r="AY103" s="97" t="inlineStr">
        <is>
          <t>Not live in 2025</t>
        </is>
      </c>
      <c r="AZ103" s="102" t="n"/>
      <c r="BA103" s="101" t="n"/>
      <c r="BB103" s="101" t="n"/>
      <c r="BC103" s="87">
        <f>IF(AND(ISNUMBER(BA103),ISNUMBER(BB103),N(BA103)&gt;0),1-BB103/BA103,"")</f>
        <v/>
      </c>
      <c r="BD103" s="103" t="n"/>
      <c r="BE103" s="103" t="n"/>
      <c r="BF103" s="100">
        <f>IF(AND(ISNUMBER(BD103),ISNUMBER(BE103),N(BE103)&gt;0),BD103/BE103,"")</f>
        <v/>
      </c>
      <c r="BG103" s="102" t="n"/>
      <c r="BH103" s="102" t="n"/>
    </row>
    <row r="104" ht="62" customHeight="1">
      <c r="A104" s="39" t="inlineStr">
        <is>
          <t>IMAGE MISSING</t>
        </is>
      </c>
      <c r="B104" s="84" t="inlineStr">
        <is>
          <t>SHEEX</t>
        </is>
      </c>
      <c r="C104" s="32" t="inlineStr">
        <is>
          <t>SHEEX - Original Performance Sheets Set (Queen) Graphite - Cooling Sheets - Mois</t>
        </is>
      </c>
      <c r="D104" s="84" t="inlineStr">
        <is>
          <t>Untiered</t>
        </is>
      </c>
      <c r="E104" s="84" t="inlineStr">
        <is>
          <t>B081KX96XD</t>
        </is>
      </c>
      <c r="F104" s="84" t="inlineStr">
        <is>
          <t>B00EWJHJU4</t>
        </is>
      </c>
      <c r="G104" s="84" t="inlineStr">
        <is>
          <t>Queen</t>
        </is>
      </c>
      <c r="H104" s="84" t="inlineStr">
        <is>
          <t>Graphite</t>
        </is>
      </c>
      <c r="I104" s="85" t="n"/>
      <c r="J104" s="32" t="inlineStr"/>
      <c r="K104" s="86" t="n">
        <v>209.3</v>
      </c>
      <c r="L104" s="86" t="n"/>
      <c r="M104" s="87">
        <f>IF(AND(ISNUMBER(L104),ISNUMBER(K104),N(K104)&gt;0),L104/K104-1,"")</f>
        <v/>
      </c>
      <c r="N104" s="88">
        <f>IF(M104="","No List Price",IF(M104&lt;=0,"At/below price",IF(M104&lt;=0.12,"&lt;=12% STR zone",IF(M104&lt;=0.25,"12-25%","&gt;25% over"))))</f>
        <v/>
      </c>
      <c r="O104" s="86" t="n">
        <v>79.98999999999999</v>
      </c>
      <c r="P104" s="89">
        <f>IF(AND(ISNUMBER(K104),ISNUMBER(O104),N(O104)&gt;0),K104/O104-1,"")</f>
        <v/>
      </c>
      <c r="Q104" s="32" t="inlineStr">
        <is>
          <t>Same size (Queen). Ours live: Helium 10 Xray, 2026-10-13; 2 children</t>
        </is>
      </c>
      <c r="R104" s="85" t="n">
        <v>74243</v>
      </c>
      <c r="S104" s="85" t="n">
        <v>5</v>
      </c>
      <c r="T104" s="90">
        <f>IF(AND(ISNUMBER(K104),ISNUMBER(S104)),K104*S104*52/12,"")</f>
        <v/>
      </c>
      <c r="U104" s="91" t="n">
        <v>4.4</v>
      </c>
      <c r="V104" s="85" t="n">
        <v>3256</v>
      </c>
      <c r="W104" s="92" t="n">
        <v>46307</v>
      </c>
      <c r="X104" s="92" t="n"/>
      <c r="Y104" s="84" t="n"/>
      <c r="Z104" s="84" t="n"/>
      <c r="AA104" s="85" t="n"/>
      <c r="AB104" s="85" t="n"/>
      <c r="AC104" s="93" t="n"/>
      <c r="AD104" s="93" t="n"/>
      <c r="AE104" s="32" t="n"/>
      <c r="AF104" s="93" t="n"/>
      <c r="AG104" s="93" t="n"/>
      <c r="AH104" s="93" t="n"/>
      <c r="AI104" s="93" t="n"/>
      <c r="AJ104" s="85" t="n"/>
      <c r="AK104" s="85" t="n"/>
      <c r="AL104" s="85" t="n"/>
      <c r="AM104" s="85" t="n"/>
      <c r="AN104" s="85" t="n"/>
      <c r="AO104" s="85" t="n"/>
      <c r="AP104" s="94" t="n"/>
      <c r="AQ104" s="89" t="n"/>
      <c r="AR104" s="95" t="inlineStr">
        <is>
          <t>N</t>
        </is>
      </c>
      <c r="AS104" s="95" t="inlineStr">
        <is>
          <t>none</t>
        </is>
      </c>
      <c r="AT104" s="101" t="n"/>
      <c r="AU104" s="96" t="n">
        <v>224.25</v>
      </c>
      <c r="AV104" s="95" t="inlineStr">
        <is>
          <t>none</t>
        </is>
      </c>
      <c r="AW104" s="95" t="inlineStr">
        <is>
          <t>Y</t>
        </is>
      </c>
      <c r="AX104" s="95" t="inlineStr">
        <is>
          <t>2026-10-13 12:12:14</t>
        </is>
      </c>
      <c r="AY104" s="97" t="inlineStr">
        <is>
          <t>None</t>
        </is>
      </c>
      <c r="AZ104" s="102" t="n"/>
      <c r="BA104" s="98" t="n">
        <v>299</v>
      </c>
      <c r="BB104" s="98" t="n">
        <v>299</v>
      </c>
      <c r="BC104" s="87">
        <f>IF(AND(ISNUMBER(BA104),ISNUMBER(BB104),N(BA104)&gt;0),1-BB104/BA104,"")</f>
        <v/>
      </c>
      <c r="BD104" s="99" t="n">
        <v>116210</v>
      </c>
      <c r="BE104" s="99" t="n">
        <v>48170</v>
      </c>
      <c r="BF104" s="100">
        <f>IF(AND(ISNUMBER(BD104),ISNUMBER(BE104),N(BE104)&gt;0),BD104/BE104,"")</f>
        <v/>
      </c>
      <c r="BG104" s="97" t="inlineStr">
        <is>
          <t>N</t>
        </is>
      </c>
      <c r="BH104" s="97" t="inlineStr">
        <is>
          <t>Coupon 25%, 30% (11-14 to 11-18); List Price $299.00</t>
        </is>
      </c>
    </row>
    <row r="106" ht="20" customHeight="1">
      <c r="A106" s="54" t="inlineStr">
        <is>
          <t>5 · WHAT THIS MEANS FOR BFCM</t>
        </is>
      </c>
    </row>
    <row r="107" ht="30" customHeight="1">
      <c r="A107" s="104" t="inlineStr">
        <is>
          <t>•  Who sells most: Comfort Spaces ~185/wk at $15.95; REST ~81/wk at $224.25 (List $299.00, +33%); Breescape ~35/wk at $149.99 (List $179.99, +20%); Degrees of Comfort ~35/wk at $24.99 (List $29.99, +20%); REST ~35/wk at $164.25 (List $219.00, +33%). Tracked rivals ~416 units/wk; we sell ~10/wk (2.5% of the tracked set).</t>
        </is>
      </c>
    </row>
    <row r="108" ht="18" customHeight="1">
      <c r="A108" s="104" t="inlineStr">
        <is>
          <t>•  Strikethrough: 6 of 14 rivals set a List Price above price; 0 within 12%.</t>
        </is>
      </c>
    </row>
    <row r="109" ht="18" customHeight="1">
      <c r="A109" s="104" t="inlineStr">
        <is>
          <t>•  Price: 5 of 14 rivals sit below our price today (same size where the title states one). Cheapest strong rivals: .</t>
        </is>
      </c>
    </row>
    <row r="110" ht="30" customHeight="1">
      <c r="A110" s="104" t="inlineStr">
        <is>
          <t>•  Strikethrough on the page today (Oct 13 check): 6 of 14 checked rivals show one: REST List Price $299.00 vs $224.25 (+33%), Breescape List Price $179.99 vs $149.99 (+20%), Degrees of Comfort Typical price $29.99 vs $24.99 (+20%), REST List Price $219.00 vs $164.25 (+33%), Elegear Typical price $79.99 vs $67.99 (+18%) with deal, OMERAI List Price $59.99 vs $42.99 (+40%).</t>
        </is>
      </c>
    </row>
    <row r="111" ht="30" customHeight="1">
      <c r="A111" s="104" t="inlineStr">
        <is>
          <t>•  BFCM 2025, 10 rivals with Keepa history: Price cut only 6, Prime Exclusive Discount 3, None 1. Median depth vs their Nov 1-19 price 15%; median BSR lift 1.38x. 3 raised their Buy Box in BFCM week, so their deal looked deeper than it was.</t>
        </is>
      </c>
    </row>
    <row r="112" ht="18" customHeight="1">
      <c r="A112" s="104" t="inlineStr">
        <is>
          <t>•  1 rival not in the Keepa pulls yet (yellow BFCM 2025 columns) - remaining P2 batches, AGENT_PROMPTS Prompt 2.</t>
        </is>
      </c>
    </row>
  </sheetData>
  <autoFilter ref="B90:BH104"/>
  <mergeCells count="62">
    <mergeCell ref="A15:BH15"/>
    <mergeCell ref="A80:C80"/>
    <mergeCell ref="AR89:AX89"/>
    <mergeCell ref="A107:BH107"/>
    <mergeCell ref="L5:Q5"/>
    <mergeCell ref="A1:BH1"/>
    <mergeCell ref="A110:BH110"/>
    <mergeCell ref="Q11:T11"/>
    <mergeCell ref="A79:BH79"/>
    <mergeCell ref="L8:Q8"/>
    <mergeCell ref="A88:BH88"/>
    <mergeCell ref="L4:Q4"/>
    <mergeCell ref="D7:I7"/>
    <mergeCell ref="C2:BH2"/>
    <mergeCell ref="A13:D13"/>
    <mergeCell ref="I13:L13"/>
    <mergeCell ref="A87:BH87"/>
    <mergeCell ref="A16:BH16"/>
    <mergeCell ref="X89:Z89"/>
    <mergeCell ref="D4:I4"/>
    <mergeCell ref="L10:Q10"/>
    <mergeCell ref="E12:H12"/>
    <mergeCell ref="Q13:T13"/>
    <mergeCell ref="AY89:BH89"/>
    <mergeCell ref="A108:BH108"/>
    <mergeCell ref="D9:I9"/>
    <mergeCell ref="U12:X12"/>
    <mergeCell ref="L9:Q9"/>
    <mergeCell ref="Q12:T12"/>
    <mergeCell ref="A84:BH84"/>
    <mergeCell ref="A11:D11"/>
    <mergeCell ref="I11:L11"/>
    <mergeCell ref="A81:C81"/>
    <mergeCell ref="D8:I8"/>
    <mergeCell ref="L6:Q6"/>
    <mergeCell ref="A3:BH3"/>
    <mergeCell ref="A4:B9"/>
    <mergeCell ref="A89:H89"/>
    <mergeCell ref="T6:Y6"/>
    <mergeCell ref="K89:W89"/>
    <mergeCell ref="D5:I5"/>
    <mergeCell ref="M11:P11"/>
    <mergeCell ref="U11:X11"/>
    <mergeCell ref="A83:C83"/>
    <mergeCell ref="A106:BH106"/>
    <mergeCell ref="E13:H13"/>
    <mergeCell ref="A82:C82"/>
    <mergeCell ref="A109:BH109"/>
    <mergeCell ref="D10:I10"/>
    <mergeCell ref="L7:Q7"/>
    <mergeCell ref="T5:Y5"/>
    <mergeCell ref="AA89:AQ89"/>
    <mergeCell ref="A12:D12"/>
    <mergeCell ref="M13:P13"/>
    <mergeCell ref="A112:BH112"/>
    <mergeCell ref="I12:L12"/>
    <mergeCell ref="U13:X13"/>
    <mergeCell ref="M12:P12"/>
    <mergeCell ref="A111:BH111"/>
    <mergeCell ref="T4:Y4"/>
    <mergeCell ref="D6:I6"/>
    <mergeCell ref="E11:H11"/>
  </mergeCells>
  <conditionalFormatting sqref="N91:N104">
    <cfRule type="expression" priority="1" dxfId="1">
      <formula>N91="&lt;=12% STR zone"</formula>
    </cfRule>
  </conditionalFormatting>
  <conditionalFormatting sqref="W91:W104">
    <cfRule type="expression" priority="2" dxfId="0">
      <formula>AND(ISNUMBER(W91),W91&lt;DATE(2026,10,6))</formula>
    </cfRule>
  </conditionalFormatting>
  <conditionalFormatting sqref="Q91:Q104">
    <cfRule type="expression" priority="3" dxfId="0">
      <formula>ISNUMBER(SEARCH("STALE",Q91))</formula>
    </cfRule>
  </conditionalFormatting>
  <conditionalFormatting sqref="P91:P104">
    <cfRule type="expression" priority="4" dxfId="0">
      <formula>AND(ISNUMBER(P91),P91&lt;0)</formula>
    </cfRule>
  </conditionalFormatting>
  <dataValidations count="3">
    <dataValidation sqref="AR91:AR104 BG91:BG104" showDropDown="0" showInputMessage="0" showErrorMessage="0" allowBlank="1" type="list">
      <formula1>"Y,N"</formula1>
    </dataValidation>
    <dataValidation sqref="AS91:AS104" showDropDown="0" showInputMessage="0" showErrorMessage="0" allowBlank="1" type="list">
      <formula1>"List Price,Typical price,Was price,None"</formula1>
    </dataValidation>
    <dataValidation sqref="AY91:AY104"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sheetPr>
  <dimension ref="A1:BH66"/>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CooLinens Cooling Pillowcases 2 Piece  ·  Amazon.com (US)  ·  Cooling  ·  BFCM role: Launch  ·  Scope: Other</t>
        </is>
      </c>
    </row>
    <row r="2">
      <c r="A2" s="53" t="inlineStr">
        <is>
          <t>← Dashboard</t>
        </is>
      </c>
    </row>
    <row r="3" ht="20" customHeight="1">
      <c r="A3" s="54" t="inlineStr">
        <is>
          <t>1 · OUR PRODUCT</t>
        </is>
      </c>
    </row>
    <row r="4" ht="34" customHeight="1">
      <c r="A4" s="10">
        <f>_xlfn.IMAGE("https://m.media-amazon.com/images/I/71xw+HPSbYL._AC_SL1500_.jpg")</f>
        <v/>
      </c>
      <c r="C4" s="11" t="inlineStr">
        <is>
          <t>Title</t>
        </is>
      </c>
      <c r="D4" s="12" t="inlineStr">
        <is>
          <t>COOLINENS Cooling Pillow Cases Queen Size | Set of 2 for Hot Sleepers</t>
        </is>
      </c>
      <c r="K4" s="11" t="inlineStr">
        <is>
          <t>Sizes</t>
        </is>
      </c>
      <c r="L4" s="55" t="inlineStr">
        <is>
          <t>King, Queen, Standard</t>
        </is>
      </c>
      <c r="S4" s="11" t="inlineStr">
        <is>
          <t>Break-even ACoS</t>
        </is>
      </c>
      <c r="T4" s="55" t="inlineStr">
        <is>
          <t>n/a</t>
        </is>
      </c>
    </row>
    <row r="5" ht="22" customHeight="1">
      <c r="C5" s="11" t="inlineStr">
        <is>
          <t>Brand</t>
        </is>
      </c>
      <c r="D5" s="55" t="inlineStr">
        <is>
          <t>CooLinens</t>
        </is>
      </c>
      <c r="K5" s="11" t="inlineStr">
        <is>
          <t>Colours</t>
        </is>
      </c>
      <c r="L5" s="55" t="inlineStr">
        <is>
          <t>Blue, Dark Grey, Light Grey, White</t>
        </is>
      </c>
      <c r="S5" s="11" t="inlineStr">
        <is>
          <t>Units last 28 days</t>
        </is>
      </c>
      <c r="T5" s="55" t="inlineStr">
        <is>
          <t>310</t>
        </is>
      </c>
    </row>
    <row r="6" ht="22" customHeight="1">
      <c r="C6" s="11" t="inlineStr">
        <is>
          <t>Marketplace</t>
        </is>
      </c>
      <c r="D6" s="55" t="inlineStr">
        <is>
          <t>Amazon.com (US)</t>
        </is>
      </c>
      <c r="K6" s="11" t="inlineStr">
        <is>
          <t>Price now, best child</t>
        </is>
      </c>
      <c r="L6" s="55" t="inlineStr">
        <is>
          <t>$19.99 (Helium 10 Xray, 2026-10-13)</t>
        </is>
      </c>
      <c r="S6" s="11" t="inlineStr">
        <is>
          <t>Command Center product ASIN</t>
        </is>
      </c>
      <c r="T6" s="55" t="inlineStr">
        <is>
          <t>B0H5X3L7M3 (one of our child ASINs, not the Amazon parent)</t>
        </is>
      </c>
    </row>
    <row r="7" ht="22" customHeight="1">
      <c r="C7" s="11" t="inlineStr">
        <is>
          <t>Parent ASIN (Amazon)</t>
        </is>
      </c>
      <c r="D7" s="55" t="inlineStr">
        <is>
          <t>B0HLSNQNCK</t>
        </is>
      </c>
      <c r="K7" s="11" t="inlineStr">
        <is>
          <t>Rating / reviews now</t>
        </is>
      </c>
      <c r="L7" s="55" t="inlineStr">
        <is>
          <t>4.7 / 238 (Helium 10 Xray, 2026-10-13)</t>
        </is>
      </c>
    </row>
    <row r="8" ht="22" customHeight="1">
      <c r="C8" s="11" t="inlineStr">
        <is>
          <t>Best-selling child ASIN</t>
        </is>
      </c>
      <c r="D8" s="55" t="inlineStr">
        <is>
          <t>B0H5WWMPNN</t>
        </is>
      </c>
      <c r="K8" s="11" t="inlineStr">
        <is>
          <t>Live prices held</t>
        </is>
      </c>
      <c r="L8" s="55" t="inlineStr">
        <is>
          <t>12 of 12 variations</t>
        </is>
      </c>
    </row>
    <row r="9" ht="22" customHeight="1">
      <c r="C9" s="11" t="inlineStr">
        <is>
          <t>Stage</t>
        </is>
      </c>
      <c r="D9" s="55" t="inlineStr">
        <is>
          <t>Launch</t>
        </is>
      </c>
      <c r="K9" s="11" t="inlineStr">
        <is>
          <t>Blended price (Command Center)</t>
        </is>
      </c>
      <c r="L9" s="55" t="n"/>
    </row>
    <row r="10">
      <c r="C10" s="11" t="inlineStr">
        <is>
          <t>Total variations (SKUs)</t>
        </is>
      </c>
      <c r="D10" s="55" t="n">
        <v>12</v>
      </c>
      <c r="K10" s="11" t="inlineStr">
        <is>
          <t>Contribution / unit</t>
        </is>
      </c>
      <c r="L10" s="55" t="inlineStr">
        <is>
          <t>n/a</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15</t>
        </is>
      </c>
      <c r="Q12" s="57" t="inlineStr">
        <is>
          <t>9</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_xlfn.IMAGE("https://m.media-amazon.com/images/I/81gg7RVfBLL.jpg")</f>
        <v/>
      </c>
      <c r="B18" s="32" t="inlineStr">
        <is>
          <t>B0H5WV9RBQ</t>
        </is>
      </c>
      <c r="C18" s="32" t="inlineStr">
        <is>
          <t>CL-CLG-PC-LIGHT-GREY-QUEEN-2PCS</t>
        </is>
      </c>
      <c r="D18" s="32" t="inlineStr">
        <is>
          <t>COOLINENS Cooling Pillow Cases Queen Size | Set of 2 for Hot Sleepers</t>
        </is>
      </c>
      <c r="E18" s="32" t="inlineStr">
        <is>
          <t>Queen</t>
        </is>
      </c>
      <c r="F18" s="32" t="inlineStr">
        <is>
          <t>Light Grey</t>
        </is>
      </c>
      <c r="G18" s="60" t="n">
        <v>19.99</v>
      </c>
      <c r="H18" s="32" t="inlineStr">
        <is>
          <t>Helium 10 Xray, 2026-10-13</t>
        </is>
      </c>
      <c r="I18" s="33" t="n"/>
      <c r="J18" s="32" t="n"/>
      <c r="K18" s="33" t="n"/>
      <c r="L18" s="63" t="n"/>
      <c r="M18" s="64" t="n">
        <v>39</v>
      </c>
      <c r="N18" s="32" t="inlineStr">
        <is>
          <t>Active</t>
        </is>
      </c>
      <c r="O18" s="32" t="inlineStr">
        <is>
          <t>Yes (14%)</t>
        </is>
      </c>
      <c r="P18" s="65" t="n">
        <v>4.7</v>
      </c>
      <c r="Q18" s="64" t="n">
        <v>238</v>
      </c>
      <c r="R18" s="64" t="n">
        <v>22338</v>
      </c>
      <c r="S18" s="64" t="n">
        <v>33</v>
      </c>
      <c r="T18" s="32" t="n"/>
    </row>
    <row r="19" ht="62" customHeight="1">
      <c r="A19" s="10">
        <f>_xlfn.IMAGE("https://m.media-amazon.com/images/I/71frG-1MQ1L.jpg")</f>
        <v/>
      </c>
      <c r="B19" s="32" t="inlineStr">
        <is>
          <t>B0H5XBSQ71</t>
        </is>
      </c>
      <c r="C19" s="32" t="inlineStr">
        <is>
          <t>CL-CLG-PC-WHITE-STANDARD-2PCS</t>
        </is>
      </c>
      <c r="D19" s="32" t="inlineStr">
        <is>
          <t>COOLINENS Cooling Pillow Cases Standard Size | Set of 2 for Hot Sleepers</t>
        </is>
      </c>
      <c r="E19" s="32" t="inlineStr">
        <is>
          <t>Standard</t>
        </is>
      </c>
      <c r="F19" s="32" t="inlineStr">
        <is>
          <t>White</t>
        </is>
      </c>
      <c r="G19" s="60" t="n">
        <v>17.99</v>
      </c>
      <c r="H19" s="32" t="inlineStr">
        <is>
          <t>Helium 10 Xray, 2026-10-13</t>
        </is>
      </c>
      <c r="I19" s="33" t="n"/>
      <c r="J19" s="32" t="n"/>
      <c r="K19" s="33" t="n"/>
      <c r="L19" s="63" t="n"/>
      <c r="M19" s="64" t="n">
        <v>36</v>
      </c>
      <c r="N19" s="32" t="inlineStr">
        <is>
          <t>Active</t>
        </is>
      </c>
      <c r="O19" s="32" t="inlineStr">
        <is>
          <t>Yes (16%)</t>
        </is>
      </c>
      <c r="P19" s="65" t="n">
        <v>4.7</v>
      </c>
      <c r="Q19" s="64" t="n">
        <v>238</v>
      </c>
      <c r="R19" s="64" t="n">
        <v>22338</v>
      </c>
      <c r="S19" s="64" t="n">
        <v>57</v>
      </c>
      <c r="T19" s="32" t="n"/>
    </row>
    <row r="20" ht="62" customHeight="1">
      <c r="A20" s="10">
        <f>_xlfn.IMAGE("https://m.media-amazon.com/images/I/71frG-1MQ1L.jpg")</f>
        <v/>
      </c>
      <c r="B20" s="32" t="inlineStr">
        <is>
          <t>B0H5WWMPNN</t>
        </is>
      </c>
      <c r="C20" s="32" t="inlineStr">
        <is>
          <t>CL-CLG-PC-WHITE-QUEEN-2PCS</t>
        </is>
      </c>
      <c r="D20" s="32" t="inlineStr">
        <is>
          <t>COOLINENS Cooling Pillow Cases Queen Size | Set of 2 for Hot Sleepers</t>
        </is>
      </c>
      <c r="E20" s="32" t="inlineStr">
        <is>
          <t>Queen</t>
        </is>
      </c>
      <c r="F20" s="32" t="inlineStr">
        <is>
          <t>White</t>
        </is>
      </c>
      <c r="G20" s="60" t="n">
        <v>19.99</v>
      </c>
      <c r="H20" s="32" t="inlineStr">
        <is>
          <t>Helium 10 Xray, 2026-10-13</t>
        </is>
      </c>
      <c r="I20" s="33" t="n"/>
      <c r="J20" s="32" t="n"/>
      <c r="K20" s="33" t="n"/>
      <c r="L20" s="63" t="n"/>
      <c r="M20" s="64" t="n">
        <v>34</v>
      </c>
      <c r="N20" s="32" t="inlineStr">
        <is>
          <t>Active</t>
        </is>
      </c>
      <c r="O20" s="32" t="inlineStr">
        <is>
          <t>Yes (11%)</t>
        </is>
      </c>
      <c r="P20" s="65" t="n">
        <v>4.7</v>
      </c>
      <c r="Q20" s="64" t="n">
        <v>238</v>
      </c>
      <c r="R20" s="64" t="n">
        <v>22333</v>
      </c>
      <c r="S20" s="64" t="n">
        <v>32</v>
      </c>
      <c r="T20" s="32" t="n"/>
    </row>
    <row r="21" ht="62" customHeight="1">
      <c r="A21" s="10">
        <f>_xlfn.IMAGE("https://m.media-amazon.com/images/I/81oQL3GI3QL.jpg")</f>
        <v/>
      </c>
      <c r="B21" s="32" t="inlineStr">
        <is>
          <t>B0H5X5VGDP</t>
        </is>
      </c>
      <c r="C21" s="32" t="inlineStr">
        <is>
          <t>CL-CLG-PC-DARK-GREY-QUEEN-2PCS</t>
        </is>
      </c>
      <c r="D21" s="32" t="inlineStr">
        <is>
          <t>COOLINENS Cooling Pillow Cases Queen Size | Set of 2 for Hot Sleepers</t>
        </is>
      </c>
      <c r="E21" s="32" t="inlineStr">
        <is>
          <t>Queen</t>
        </is>
      </c>
      <c r="F21" s="32" t="inlineStr">
        <is>
          <t>Dark Grey</t>
        </is>
      </c>
      <c r="G21" s="60" t="n">
        <v>19.99</v>
      </c>
      <c r="H21" s="32" t="inlineStr">
        <is>
          <t>Helium 10 Xray, 2026-10-13</t>
        </is>
      </c>
      <c r="I21" s="33" t="n"/>
      <c r="J21" s="32" t="n"/>
      <c r="K21" s="33" t="n"/>
      <c r="L21" s="63" t="n"/>
      <c r="M21" s="64" t="n">
        <v>33</v>
      </c>
      <c r="N21" s="32" t="inlineStr">
        <is>
          <t>Active</t>
        </is>
      </c>
      <c r="O21" s="32" t="inlineStr">
        <is>
          <t>Yes (13%)</t>
        </is>
      </c>
      <c r="P21" s="65" t="n">
        <v>4.7</v>
      </c>
      <c r="Q21" s="64" t="n">
        <v>238</v>
      </c>
      <c r="R21" s="64" t="n">
        <v>22338</v>
      </c>
      <c r="S21" s="64" t="n">
        <v>33</v>
      </c>
      <c r="T21" s="32" t="n"/>
    </row>
    <row r="22" ht="62" customHeight="1">
      <c r="A22" s="10">
        <f>_xlfn.IMAGE("https://m.media-amazon.com/images/I/81oQL3GI3QL.jpg")</f>
        <v/>
      </c>
      <c r="B22" s="32" t="inlineStr">
        <is>
          <t>B0H5X4DPJP</t>
        </is>
      </c>
      <c r="C22" s="32" t="inlineStr">
        <is>
          <t>CL-CLG-PC-DARK-GREY-KING-2PCS</t>
        </is>
      </c>
      <c r="D22" s="32" t="inlineStr">
        <is>
          <t>COOLINENS Cooling Pillow Cases King Size | Set of 2 for Hot Sleepers</t>
        </is>
      </c>
      <c r="E22" s="32" t="inlineStr">
        <is>
          <t>King</t>
        </is>
      </c>
      <c r="F22" s="32" t="inlineStr">
        <is>
          <t>Dark Grey</t>
        </is>
      </c>
      <c r="G22" s="60" t="n">
        <v>20.99</v>
      </c>
      <c r="H22" s="32" t="inlineStr">
        <is>
          <t>Helium 10 Xray, 2026-10-13</t>
        </is>
      </c>
      <c r="I22" s="33" t="n"/>
      <c r="J22" s="32" t="n"/>
      <c r="K22" s="33" t="n"/>
      <c r="L22" s="63" t="n"/>
      <c r="M22" s="64" t="n">
        <v>31</v>
      </c>
      <c r="N22" s="32" t="inlineStr">
        <is>
          <t>Active</t>
        </is>
      </c>
      <c r="O22" s="32" t="n"/>
      <c r="P22" s="65" t="n">
        <v>4.7</v>
      </c>
      <c r="Q22" s="64" t="n">
        <v>238</v>
      </c>
      <c r="R22" s="64" t="n">
        <v>22338</v>
      </c>
      <c r="S22" s="64" t="n">
        <v>13</v>
      </c>
      <c r="T22" s="32" t="n"/>
    </row>
    <row r="23" ht="62" customHeight="1">
      <c r="A23" s="10">
        <f>_xlfn.IMAGE("https://m.media-amazon.com/images/I/81E3ky6zZqL.jpg")</f>
        <v/>
      </c>
      <c r="B23" s="32" t="inlineStr">
        <is>
          <t>B0H5WWD96B</t>
        </is>
      </c>
      <c r="C23" s="32" t="inlineStr">
        <is>
          <t>CL-CLG-PC-BLUE-STANDARD-2PCS</t>
        </is>
      </c>
      <c r="D23" s="32" t="inlineStr">
        <is>
          <t>COOLINENS Cooling Pillow Cases Standard Size | Set of 2 for Hot Sleepers</t>
        </is>
      </c>
      <c r="E23" s="32" t="inlineStr">
        <is>
          <t>Standard</t>
        </is>
      </c>
      <c r="F23" s="32" t="inlineStr">
        <is>
          <t>Blue</t>
        </is>
      </c>
      <c r="G23" s="60" t="n">
        <v>17.99</v>
      </c>
      <c r="H23" s="32" t="inlineStr">
        <is>
          <t>Helium 10 Xray, 2026-10-13</t>
        </is>
      </c>
      <c r="I23" s="33" t="n"/>
      <c r="J23" s="32" t="n"/>
      <c r="K23" s="33" t="n"/>
      <c r="L23" s="63" t="n"/>
      <c r="M23" s="64" t="n">
        <v>31</v>
      </c>
      <c r="N23" s="32" t="inlineStr">
        <is>
          <t>Active</t>
        </is>
      </c>
      <c r="O23" s="32" t="inlineStr">
        <is>
          <t>Yes (12%)</t>
        </is>
      </c>
      <c r="P23" s="65" t="n">
        <v>4.7</v>
      </c>
      <c r="Q23" s="64" t="n">
        <v>238</v>
      </c>
      <c r="R23" s="64" t="n">
        <v>22333</v>
      </c>
      <c r="S23" s="64" t="n">
        <v>64</v>
      </c>
      <c r="T23" s="32" t="n"/>
    </row>
    <row r="24" ht="62" customHeight="1">
      <c r="A24" s="10">
        <f>_xlfn.IMAGE("https://m.media-amazon.com/images/I/81oQL3GI3QL.jpg")</f>
        <v/>
      </c>
      <c r="B24" s="32" t="inlineStr">
        <is>
          <t>B0H5WQT8YF</t>
        </is>
      </c>
      <c r="C24" s="32" t="inlineStr">
        <is>
          <t>CL-CLG-PC-DARK-GREY-STANDARD-2PCS</t>
        </is>
      </c>
      <c r="D24" s="32" t="inlineStr">
        <is>
          <t>COOLINENS Cooling Pillow Cases Standard Size | Set of 2 for Hot Sleepers</t>
        </is>
      </c>
      <c r="E24" s="32" t="inlineStr">
        <is>
          <t>Standard</t>
        </is>
      </c>
      <c r="F24" s="32" t="inlineStr">
        <is>
          <t>Dark Grey</t>
        </is>
      </c>
      <c r="G24" s="60" t="n">
        <v>17.99</v>
      </c>
      <c r="H24" s="32" t="inlineStr">
        <is>
          <t>Helium 10 Xray, 2026-10-13</t>
        </is>
      </c>
      <c r="I24" s="33" t="n"/>
      <c r="J24" s="32" t="n"/>
      <c r="K24" s="33" t="n"/>
      <c r="L24" s="63" t="n"/>
      <c r="M24" s="64" t="n">
        <v>28</v>
      </c>
      <c r="N24" s="32" t="inlineStr">
        <is>
          <t>Active</t>
        </is>
      </c>
      <c r="O24" s="32" t="inlineStr">
        <is>
          <t>Yes (8%)</t>
        </is>
      </c>
      <c r="P24" s="65" t="n">
        <v>4.7</v>
      </c>
      <c r="Q24" s="64" t="n">
        <v>238</v>
      </c>
      <c r="R24" s="64" t="n">
        <v>22333</v>
      </c>
      <c r="S24" s="64" t="n">
        <v>47</v>
      </c>
      <c r="T24" s="32" t="n"/>
    </row>
    <row r="25" ht="62" customHeight="1">
      <c r="A25" s="10">
        <f>_xlfn.IMAGE("https://m.media-amazon.com/images/I/81gg7RVfBLL.jpg")</f>
        <v/>
      </c>
      <c r="B25" s="32" t="inlineStr">
        <is>
          <t>B0H5X6W132</t>
        </is>
      </c>
      <c r="C25" s="32" t="inlineStr">
        <is>
          <t>CL-CLG-PC-LIGHT-GREY-KING-2PCS</t>
        </is>
      </c>
      <c r="D25" s="32" t="inlineStr">
        <is>
          <t>COOLINENS Cooling Pillow Cases King Size | Set of 2 for Hot Sleepers</t>
        </is>
      </c>
      <c r="E25" s="32" t="inlineStr">
        <is>
          <t>King</t>
        </is>
      </c>
      <c r="F25" s="32" t="inlineStr">
        <is>
          <t>Light Grey</t>
        </is>
      </c>
      <c r="G25" s="60" t="n">
        <v>20.99</v>
      </c>
      <c r="H25" s="32" t="inlineStr">
        <is>
          <t>Helium 10 Xray, 2026-10-13</t>
        </is>
      </c>
      <c r="I25" s="33" t="n"/>
      <c r="J25" s="32" t="n"/>
      <c r="K25" s="33" t="n"/>
      <c r="L25" s="63" t="n"/>
      <c r="M25" s="64" t="n">
        <v>20</v>
      </c>
      <c r="N25" s="32" t="inlineStr">
        <is>
          <t>Active</t>
        </is>
      </c>
      <c r="O25" s="32" t="inlineStr">
        <is>
          <t>Yes (10%)</t>
        </is>
      </c>
      <c r="P25" s="65" t="n">
        <v>4.7</v>
      </c>
      <c r="Q25" s="64" t="n">
        <v>238</v>
      </c>
      <c r="R25" s="64" t="n">
        <v>22333</v>
      </c>
      <c r="S25" s="64" t="n">
        <v>14</v>
      </c>
      <c r="T25" s="32" t="n"/>
    </row>
    <row r="26" ht="62" customHeight="1">
      <c r="A26" s="10">
        <f>_xlfn.IMAGE("https://m.media-amazon.com/images/I/81E3ky6zZqL.jpg")</f>
        <v/>
      </c>
      <c r="B26" s="32" t="inlineStr">
        <is>
          <t>B0H5WY7C39</t>
        </is>
      </c>
      <c r="C26" s="32" t="inlineStr">
        <is>
          <t>CL-CLG-PC-BLUE-QUEEN-2PCS</t>
        </is>
      </c>
      <c r="D26" s="32" t="inlineStr">
        <is>
          <t>COOLINENS Cooling Pillow Cases Queen Size | Set of 2 for Hot Sleepers</t>
        </is>
      </c>
      <c r="E26" s="32" t="inlineStr">
        <is>
          <t>Queen</t>
        </is>
      </c>
      <c r="F26" s="32" t="inlineStr">
        <is>
          <t>Blue</t>
        </is>
      </c>
      <c r="G26" s="60" t="n">
        <v>19.99</v>
      </c>
      <c r="H26" s="32" t="inlineStr">
        <is>
          <t>Helium 10 Xray, 2026-10-13</t>
        </is>
      </c>
      <c r="I26" s="33" t="n"/>
      <c r="J26" s="32" t="n"/>
      <c r="K26" s="33" t="n"/>
      <c r="L26" s="63" t="n"/>
      <c r="M26" s="64" t="n">
        <v>20</v>
      </c>
      <c r="N26" s="32" t="inlineStr">
        <is>
          <t>Active</t>
        </is>
      </c>
      <c r="O26" s="32" t="n"/>
      <c r="P26" s="65" t="n">
        <v>4.7</v>
      </c>
      <c r="Q26" s="64" t="n">
        <v>238</v>
      </c>
      <c r="R26" s="64" t="n">
        <v>22338</v>
      </c>
      <c r="S26" s="64" t="n">
        <v>22</v>
      </c>
      <c r="T26" s="32" t="n"/>
    </row>
    <row r="27" ht="62" customHeight="1">
      <c r="A27" s="10">
        <f>_xlfn.IMAGE("https://m.media-amazon.com/images/I/71frG-1MQ1L.jpg")</f>
        <v/>
      </c>
      <c r="B27" s="32" t="inlineStr">
        <is>
          <t>B0H5X91BWJ</t>
        </is>
      </c>
      <c r="C27" s="32" t="inlineStr">
        <is>
          <t>CL-CLG-PC-WHITE-KING-2PCS</t>
        </is>
      </c>
      <c r="D27" s="32" t="inlineStr">
        <is>
          <t>COOLINENS Cooling Pillow Cases King Size | Set of 2 for Hot Sleepers</t>
        </is>
      </c>
      <c r="E27" s="32" t="inlineStr">
        <is>
          <t>King</t>
        </is>
      </c>
      <c r="F27" s="32" t="inlineStr">
        <is>
          <t>White</t>
        </is>
      </c>
      <c r="G27" s="60" t="n">
        <v>20.99</v>
      </c>
      <c r="H27" s="32" t="inlineStr">
        <is>
          <t>Helium 10 Xray, 2026-10-13</t>
        </is>
      </c>
      <c r="I27" s="33" t="n"/>
      <c r="J27" s="32" t="n"/>
      <c r="K27" s="33" t="n"/>
      <c r="L27" s="63" t="n"/>
      <c r="M27" s="64" t="n">
        <v>14</v>
      </c>
      <c r="N27" s="32" t="inlineStr">
        <is>
          <t>Active</t>
        </is>
      </c>
      <c r="O27" s="32" t="n"/>
      <c r="P27" s="65" t="n">
        <v>4.7</v>
      </c>
      <c r="Q27" s="64" t="n">
        <v>238</v>
      </c>
      <c r="R27" s="64" t="n">
        <v>22338</v>
      </c>
      <c r="S27" s="64" t="n">
        <v>17</v>
      </c>
      <c r="T27" s="32" t="n"/>
    </row>
    <row r="28" ht="62" customHeight="1">
      <c r="A28" s="10">
        <f>_xlfn.IMAGE("https://m.media-amazon.com/images/I/81E3ky6zZqL.jpg")</f>
        <v/>
      </c>
      <c r="B28" s="32" t="inlineStr">
        <is>
          <t>B0H5X3L7M3</t>
        </is>
      </c>
      <c r="C28" s="32" t="inlineStr">
        <is>
          <t>CL-CLG-PC-BLUE-KING-2PCS</t>
        </is>
      </c>
      <c r="D28" s="32" t="inlineStr">
        <is>
          <t>COOLINENS Cooling Pillow Cases King Size | Set of 2 for Hot Sleepers</t>
        </is>
      </c>
      <c r="E28" s="32" t="inlineStr">
        <is>
          <t>King</t>
        </is>
      </c>
      <c r="F28" s="32" t="inlineStr">
        <is>
          <t>Blue</t>
        </is>
      </c>
      <c r="G28" s="60" t="n">
        <v>20.99</v>
      </c>
      <c r="H28" s="32" t="inlineStr">
        <is>
          <t>Helium 10 Xray, 2026-10-13</t>
        </is>
      </c>
      <c r="I28" s="33" t="n"/>
      <c r="J28" s="32" t="n"/>
      <c r="K28" s="33" t="n"/>
      <c r="L28" s="63" t="n"/>
      <c r="M28" s="64" t="n">
        <v>12</v>
      </c>
      <c r="N28" s="32" t="inlineStr">
        <is>
          <t>Active</t>
        </is>
      </c>
      <c r="O28" s="32" t="n"/>
      <c r="P28" s="65" t="n">
        <v>4.7</v>
      </c>
      <c r="Q28" s="64" t="n">
        <v>238</v>
      </c>
      <c r="R28" s="64" t="n">
        <v>22338</v>
      </c>
      <c r="S28" s="64" t="n">
        <v>16</v>
      </c>
      <c r="T28" s="32" t="n"/>
    </row>
    <row r="29" ht="62" customHeight="1">
      <c r="A29" s="10">
        <f>_xlfn.IMAGE("https://m.media-amazon.com/images/I/81gg7RVfBLL.jpg")</f>
        <v/>
      </c>
      <c r="B29" s="32" t="inlineStr">
        <is>
          <t>B0H5WYZTKX</t>
        </is>
      </c>
      <c r="C29" s="32" t="inlineStr">
        <is>
          <t>CL-CLG-PC-LIGHT-GREY-STANDARD-2PCS</t>
        </is>
      </c>
      <c r="D29" s="32" t="inlineStr">
        <is>
          <t>COOLINENS Cooling Pillow Cases Standard Size | Set of 2 for Hot Sleepers</t>
        </is>
      </c>
      <c r="E29" s="32" t="inlineStr">
        <is>
          <t>Standard</t>
        </is>
      </c>
      <c r="F29" s="32" t="inlineStr">
        <is>
          <t>Light Grey</t>
        </is>
      </c>
      <c r="G29" s="60" t="n">
        <v>17.99</v>
      </c>
      <c r="H29" s="32" t="inlineStr">
        <is>
          <t>Helium 10 Xray, 2026-10-13</t>
        </is>
      </c>
      <c r="I29" s="33" t="n"/>
      <c r="J29" s="32" t="n"/>
      <c r="K29" s="33" t="n"/>
      <c r="L29" s="63" t="n"/>
      <c r="M29" s="64" t="n">
        <v>12</v>
      </c>
      <c r="N29" s="32" t="inlineStr">
        <is>
          <t>Active</t>
        </is>
      </c>
      <c r="O29" s="32" t="n"/>
      <c r="P29" s="65" t="n">
        <v>4.7</v>
      </c>
      <c r="Q29" s="64" t="n">
        <v>238</v>
      </c>
      <c r="R29" s="64" t="n">
        <v>22338</v>
      </c>
      <c r="S29" s="64" t="n">
        <v>49</v>
      </c>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6">
      <c r="A36" s="59" t="inlineStr">
        <is>
          <t>Command Center visibility for our best child B0H5WWMPNN: organic score None before BFCM 2025 → None in BFCM week; Prime Day 2026 0.0 → 0.0; Aug-Sep 2026 0.1.</t>
        </is>
      </c>
    </row>
    <row r="38" ht="20" customHeight="1">
      <c r="A38" s="54" t="inlineStr">
        <is>
          <t>4 · COMPETITOR LANDSCAPE (15 mapped)</t>
        </is>
      </c>
    </row>
    <row r="39">
      <c r="A39" s="59" t="inlineStr">
        <is>
          <t>Sorted by tier, then estimated weekly units. Green = Command Center price/sales; blue = Data Dive listing; purple = Command Center search strategy (ASINsight); yellow = fill from Keepa / page check.</t>
        </is>
      </c>
    </row>
    <row r="40">
      <c r="A40" s="78" t="inlineStr">
        <is>
          <t>COMPETITOR</t>
        </is>
      </c>
      <c r="I40" s="79" t="inlineStr">
        <is>
          <t>LISTING - Data Dive</t>
        </is>
      </c>
      <c r="J40" s="80" t="inlineStr">
        <is>
          <t>SEARCH STRATEGY - Command Center ASINsight</t>
        </is>
      </c>
      <c r="K40" s="81" t="inlineStr">
        <is>
          <t>PRICE &amp; SALES - Command Center snapshot (date per row)</t>
        </is>
      </c>
      <c r="X40" s="79" t="inlineStr">
        <is>
          <t>LISTING - Data Dive</t>
        </is>
      </c>
      <c r="AA40" s="80" t="inlineStr">
        <is>
          <t>SEARCH STRATEGY - Command Center ASINsight</t>
        </is>
      </c>
      <c r="AR40" s="82" t="inlineStr">
        <is>
          <t>STR NOW - Amazon page check (Oct 13, P1 + P2)</t>
        </is>
      </c>
      <c r="AY40" s="83" t="inlineStr">
        <is>
          <t>BFCM 2025 - Keepa (P1 filled; yellow = not pulled yet)</t>
        </is>
      </c>
    </row>
    <row r="41" ht="48" customHeight="1">
      <c r="A41" s="22" t="inlineStr">
        <is>
          <t>Image</t>
        </is>
      </c>
      <c r="B41" s="22" t="inlineStr">
        <is>
          <t>Brand</t>
        </is>
      </c>
      <c r="C41" s="22" t="inlineStr">
        <is>
          <t>Product title</t>
        </is>
      </c>
      <c r="D41" s="22" t="inlineStr">
        <is>
          <t>Tier</t>
        </is>
      </c>
      <c r="E41" s="22" t="inlineStr">
        <is>
          <t>Parent ASIN</t>
        </is>
      </c>
      <c r="F41" s="22" t="inlineStr">
        <is>
          <t>Tracked child ASIN</t>
        </is>
      </c>
      <c r="G41" s="22" t="inlineStr">
        <is>
          <t>Size (title)</t>
        </is>
      </c>
      <c r="H41" s="22" t="inlineStr">
        <is>
          <t>Colour (title)</t>
        </is>
      </c>
      <c r="I41" s="22" t="inlineStr">
        <is>
          <t>Variations</t>
        </is>
      </c>
      <c r="J41" s="22" t="inlineStr">
        <is>
          <t>Hero child ASINs (share of their visibility)</t>
        </is>
      </c>
      <c r="K41" s="22" t="inlineStr">
        <is>
          <t>Price ($)</t>
        </is>
      </c>
      <c r="L41" s="22" t="inlineStr">
        <is>
          <t>List Price ($)</t>
        </is>
      </c>
      <c r="M41" s="22" t="inlineStr">
        <is>
          <t>List Price % over</t>
        </is>
      </c>
      <c r="N41" s="22" t="inlineStr">
        <is>
          <t>STR band</t>
        </is>
      </c>
      <c r="O41" s="22" t="inlineStr">
        <is>
          <t>Our price, same size ($)</t>
        </is>
      </c>
      <c r="P41" s="22" t="inlineStr">
        <is>
          <t>Their price vs ours</t>
        </is>
      </c>
      <c r="Q41" s="22" t="inlineStr">
        <is>
          <t>Comparison basis</t>
        </is>
      </c>
      <c r="R41" s="22" t="inlineStr">
        <is>
          <t>BSR</t>
        </is>
      </c>
      <c r="S41" s="22" t="inlineStr">
        <is>
          <t>Est weekly units</t>
        </is>
      </c>
      <c r="T41" s="22" t="inlineStr">
        <is>
          <t>Est monthly revenue ($)</t>
        </is>
      </c>
      <c r="U41" s="22" t="inlineStr">
        <is>
          <t>Rating</t>
        </is>
      </c>
      <c r="V41" s="22" t="inlineStr">
        <is>
          <t>Reviews</t>
        </is>
      </c>
      <c r="W41" s="22" t="inlineStr">
        <is>
          <t>Snapshot date</t>
        </is>
      </c>
      <c r="X41" s="22" t="inlineStr">
        <is>
          <t>Listed</t>
        </is>
      </c>
      <c r="Y41" s="22" t="inlineStr">
        <is>
          <t>Fulfil.</t>
        </is>
      </c>
      <c r="Z41" s="22" t="inlineStr">
        <is>
          <t>Seller country</t>
        </is>
      </c>
      <c r="AA41" s="22" t="inlineStr">
        <is>
          <t>ASINsight 7d traffic</t>
        </is>
      </c>
      <c r="AB41" s="22" t="inlineStr">
        <is>
          <t>Keywords ranked</t>
        </is>
      </c>
      <c r="AC41" s="22" t="inlineStr">
        <is>
          <t>Organic share of traffic</t>
        </is>
      </c>
      <c r="AD41" s="22" t="inlineStr">
        <is>
          <t>Ad share of traffic</t>
        </is>
      </c>
      <c r="AE41" s="22" t="inlineStr">
        <is>
          <t>Top keyword</t>
        </is>
      </c>
      <c r="AF41" s="22" t="inlineStr">
        <is>
          <t>SP reach</t>
        </is>
      </c>
      <c r="AG41" s="22" t="inlineStr">
        <is>
          <t>SB reach</t>
        </is>
      </c>
      <c r="AH41" s="22" t="inlineStr">
        <is>
          <t>SB video reach</t>
        </is>
      </c>
      <c r="AI41" s="22" t="inlineStr">
        <is>
          <t>Amazon's Choice reach</t>
        </is>
      </c>
      <c r="AJ41" s="22" t="inlineStr">
        <is>
          <t>Shared keywords</t>
        </is>
      </c>
      <c r="AK41" s="22" t="inlineStr">
        <is>
          <t>We win</t>
        </is>
      </c>
      <c r="AL41" s="22" t="inlineStr">
        <is>
          <t>We lose</t>
        </is>
      </c>
      <c r="AM41" s="22" t="inlineStr">
        <is>
          <t>Their keywords we miss</t>
        </is>
      </c>
      <c r="AN41" s="22" t="inlineStr">
        <is>
          <t>KWs they advertise, we don't</t>
        </is>
      </c>
      <c r="AO41" s="22" t="inlineStr">
        <is>
          <t>KWs they out-advertise us</t>
        </is>
      </c>
      <c r="AP41" s="22" t="inlineStr">
        <is>
          <t>Prime Day 2026 organic vis lift</t>
        </is>
      </c>
      <c r="AQ41" s="22" t="inlineStr">
        <is>
          <t>Organic trend (Aug-Sep vs Q2)</t>
        </is>
      </c>
      <c r="AR41" s="22" t="inlineStr">
        <is>
          <t>STR showing now? (Y/N)</t>
        </is>
      </c>
      <c r="AS41" s="22" t="inlineStr">
        <is>
          <t>STR label</t>
        </is>
      </c>
      <c r="AT41" s="22" t="inlineStr">
        <is>
          <t>Strikethrough price ($)</t>
        </is>
      </c>
      <c r="AU41" s="22" t="inlineStr">
        <is>
          <t>Page price at check ($)</t>
        </is>
      </c>
      <c r="AV41" s="22" t="inlineStr">
        <is>
          <t>Deal / coupon now</t>
        </is>
      </c>
      <c r="AW41" s="22" t="inlineStr">
        <is>
          <t>Orderable now (Y/N)</t>
        </is>
      </c>
      <c r="AX41" s="22" t="inlineStr">
        <is>
          <t>Checked (ET)</t>
        </is>
      </c>
      <c r="AY41" s="22" t="inlineStr">
        <is>
          <t>BFCM 2025 deal type</t>
        </is>
      </c>
      <c r="AZ41" s="22" t="inlineStr">
        <is>
          <t>BFCM 2025 deal dates</t>
        </is>
      </c>
      <c r="BA41" s="22" t="inlineStr">
        <is>
          <t>Pre-event price ($)</t>
        </is>
      </c>
      <c r="BB41" s="22" t="inlineStr">
        <is>
          <t>BFCM 2025 low ($)</t>
        </is>
      </c>
      <c r="BC41" s="22" t="inlineStr">
        <is>
          <t>BFCM 2025 discount</t>
        </is>
      </c>
      <c r="BD41" s="22" t="inlineStr">
        <is>
          <t>BSR pre-event</t>
        </is>
      </c>
      <c r="BE41" s="22" t="inlineStr">
        <is>
          <t>BSR BFCM wk</t>
        </is>
      </c>
      <c r="BF41" s="22" t="inlineStr">
        <is>
          <t>BSR lift (x)</t>
        </is>
      </c>
      <c r="BG41" s="22" t="inlineStr">
        <is>
          <t>OOS in BFCM? (Y/N)</t>
        </is>
      </c>
      <c r="BH41" s="22" t="inlineStr">
        <is>
          <t>Notes</t>
        </is>
      </c>
    </row>
    <row r="42" ht="62" customHeight="1">
      <c r="A42" s="39" t="inlineStr">
        <is>
          <t>IMAGE MISSING</t>
        </is>
      </c>
      <c r="B42" s="84" t="inlineStr">
        <is>
          <t>Avolare</t>
        </is>
      </c>
      <c r="C42" s="32" t="inlineStr">
        <is>
          <t>Avolare Cooling Pillow Cases Queen Size Set of 2,Arc-Chill 3.0 Cool Pillowcases</t>
        </is>
      </c>
      <c r="D42" s="84" t="inlineStr">
        <is>
          <t>Aspirational</t>
        </is>
      </c>
      <c r="E42" s="84" t="inlineStr">
        <is>
          <t>B0GRV9GZ9L</t>
        </is>
      </c>
      <c r="F42" s="84" t="inlineStr">
        <is>
          <t>B08TBL21VT</t>
        </is>
      </c>
      <c r="G42" s="84" t="inlineStr">
        <is>
          <t>Queen</t>
        </is>
      </c>
      <c r="H42" s="84" t="n"/>
      <c r="I42" s="85" t="n"/>
      <c r="J42" s="32" t="inlineStr"/>
      <c r="K42" s="86" t="n">
        <v>15.99</v>
      </c>
      <c r="L42" s="86" t="n">
        <v>19.99</v>
      </c>
      <c r="M42" s="87">
        <f>IF(AND(ISNUMBER(L42),ISNUMBER(K42),N(K42)&gt;0),L42/K42-1,"")</f>
        <v/>
      </c>
      <c r="N42" s="88">
        <f>IF(M42="","No List Price",IF(M42&lt;=0,"At/below price",IF(M42&lt;=0.12,"&lt;=12% STR zone",IF(M42&lt;=0.25,"12-25%","&gt;25% over"))))</f>
        <v/>
      </c>
      <c r="O42" s="86" t="n">
        <v>19.99</v>
      </c>
      <c r="P42" s="89">
        <f>IF(AND(ISNUMBER(K42),ISNUMBER(O42),N(O42)&gt;0),K42/O42-1,"")</f>
        <v/>
      </c>
      <c r="Q42" s="32" t="inlineStr">
        <is>
          <t>Same size (Queen). Ours live: Helium 10 Xray, 2026-10-13; 4 children</t>
        </is>
      </c>
      <c r="R42" s="85" t="n">
        <v>14178</v>
      </c>
      <c r="S42" s="85" t="n">
        <v>173</v>
      </c>
      <c r="T42" s="90">
        <f>IF(AND(ISNUMBER(K42),ISNUMBER(S42)),K42*S42*52/12,"")</f>
        <v/>
      </c>
      <c r="U42" s="91" t="n">
        <v>4.4</v>
      </c>
      <c r="V42" s="85" t="n">
        <v>3832</v>
      </c>
      <c r="W42" s="92" t="n">
        <v>46272</v>
      </c>
      <c r="X42" s="92" t="n"/>
      <c r="Y42" s="84" t="n"/>
      <c r="Z42" s="84" t="n"/>
      <c r="AA42" s="85" t="n"/>
      <c r="AB42" s="85" t="n"/>
      <c r="AC42" s="93" t="n"/>
      <c r="AD42" s="93" t="n"/>
      <c r="AE42" s="32" t="n"/>
      <c r="AF42" s="93" t="n"/>
      <c r="AG42" s="93" t="n"/>
      <c r="AH42" s="93" t="n"/>
      <c r="AI42" s="93" t="n"/>
      <c r="AJ42" s="85" t="n"/>
      <c r="AK42" s="85" t="n"/>
      <c r="AL42" s="85" t="n"/>
      <c r="AM42" s="85" t="n"/>
      <c r="AN42" s="85" t="n"/>
      <c r="AO42" s="85" t="n"/>
      <c r="AP42" s="94" t="n">
        <v>1.099737532808399</v>
      </c>
      <c r="AQ42" s="89" t="n">
        <v>-0.3423336547733847</v>
      </c>
      <c r="AR42" s="95" t="inlineStr">
        <is>
          <t>N</t>
        </is>
      </c>
      <c r="AS42" s="95" t="inlineStr">
        <is>
          <t>none</t>
        </is>
      </c>
      <c r="AT42" s="101" t="n"/>
      <c r="AU42" s="96" t="n">
        <v>17.52</v>
      </c>
      <c r="AV42" s="95" t="inlineStr">
        <is>
          <t>none</t>
        </is>
      </c>
      <c r="AW42" s="95" t="inlineStr">
        <is>
          <t>Y</t>
        </is>
      </c>
      <c r="AX42" s="95" t="inlineStr">
        <is>
          <t>2026-10-13 23:37:15</t>
        </is>
      </c>
      <c r="AY42" s="97" t="inlineStr">
        <is>
          <t>Prime Exclusive Discount</t>
        </is>
      </c>
      <c r="AZ42" s="97" t="inlineStr">
        <is>
          <t>11-21 to 12-01</t>
        </is>
      </c>
      <c r="BA42" s="98" t="n">
        <v>15.99</v>
      </c>
      <c r="BB42" s="98" t="n">
        <v>13.67</v>
      </c>
      <c r="BC42" s="87">
        <f>IF(AND(ISNUMBER(BA42),ISNUMBER(BB42),N(BA42)&gt;0),1-BB42/BA42,"")</f>
        <v/>
      </c>
      <c r="BD42" s="99" t="n">
        <v>24834</v>
      </c>
      <c r="BE42" s="99" t="n">
        <v>30930</v>
      </c>
      <c r="BF42" s="100">
        <f>IF(AND(ISNUMBER(BD42),ISNUMBER(BE42),N(BE42)&gt;0),BD42/BE42,"")</f>
        <v/>
      </c>
      <c r="BG42" s="97" t="inlineStr">
        <is>
          <t>N</t>
        </is>
      </c>
      <c r="BH42" s="97" t="inlineStr">
        <is>
          <t>Coupon 10%, 15% (11-01 to 12-05); List Price $19.99</t>
        </is>
      </c>
    </row>
    <row r="43" ht="62" customHeight="1">
      <c r="A43" s="39" t="inlineStr">
        <is>
          <t>IMAGE MISSING</t>
        </is>
      </c>
      <c r="B43" s="84" t="inlineStr">
        <is>
          <t>Elegear</t>
        </is>
      </c>
      <c r="C43" s="32" t="inlineStr">
        <is>
          <t>Elegear Cooling Pillow Cases for Hot Sleepers, Set of 2, Queen 20'' x 30''</t>
        </is>
      </c>
      <c r="D43" s="84" t="inlineStr">
        <is>
          <t>Aspirational</t>
        </is>
      </c>
      <c r="E43" s="84" t="inlineStr">
        <is>
          <t>B0HFSJ3HLW</t>
        </is>
      </c>
      <c r="F43" s="84" t="inlineStr">
        <is>
          <t>B07TMF54XC</t>
        </is>
      </c>
      <c r="G43" s="84" t="inlineStr">
        <is>
          <t>Queen</t>
        </is>
      </c>
      <c r="H43" s="84" t="n"/>
      <c r="I43" s="85" t="n">
        <v>19</v>
      </c>
      <c r="J43" s="32" t="inlineStr">
        <is>
          <t>B086V7TPDQ (46%), B086V2N4QX (35%)</t>
        </is>
      </c>
      <c r="K43" s="86" t="n">
        <v>16.88</v>
      </c>
      <c r="L43" s="86" t="n"/>
      <c r="M43" s="87">
        <f>IF(AND(ISNUMBER(L43),ISNUMBER(K43),N(K43)&gt;0),L43/K43-1,"")</f>
        <v/>
      </c>
      <c r="N43" s="88">
        <f>IF(M43="","No List Price",IF(M43&lt;=0,"At/below price",IF(M43&lt;=0.12,"&lt;=12% STR zone",IF(M43&lt;=0.25,"12-25%","&gt;25% over"))))</f>
        <v/>
      </c>
      <c r="O43" s="86" t="n">
        <v>19.99</v>
      </c>
      <c r="P43" s="89">
        <f>IF(AND(ISNUMBER(K43),ISNUMBER(O43),N(O43)&gt;0),K43/O43-1,"")</f>
        <v/>
      </c>
      <c r="Q43" s="32" t="inlineStr">
        <is>
          <t>Same size (Queen). Ours live: Helium 10 Xray, 2026-10-13; 4 children</t>
        </is>
      </c>
      <c r="R43" s="85" t="n">
        <v>29862</v>
      </c>
      <c r="S43" s="85" t="n">
        <v>35</v>
      </c>
      <c r="T43" s="90">
        <f>IF(AND(ISNUMBER(K43),ISNUMBER(S43)),K43*S43*52/12,"")</f>
        <v/>
      </c>
      <c r="U43" s="91" t="n">
        <v>4.3</v>
      </c>
      <c r="V43" s="85" t="n">
        <v>8391</v>
      </c>
      <c r="W43" s="92" t="n">
        <v>46307</v>
      </c>
      <c r="X43" s="92" t="n"/>
      <c r="Y43" s="84" t="n"/>
      <c r="Z43" s="84" t="n"/>
      <c r="AA43" s="85" t="n">
        <v>12595</v>
      </c>
      <c r="AB43" s="85" t="n">
        <v>546</v>
      </c>
      <c r="AC43" s="93" t="n">
        <v>0.8238290353314806</v>
      </c>
      <c r="AD43" s="93" t="n">
        <v>0.1761709646685192</v>
      </c>
      <c r="AE43" s="32" t="inlineStr">
        <is>
          <t>cooling pillow cases</t>
        </is>
      </c>
      <c r="AF43" s="93" t="n">
        <v>0.7178245335450576</v>
      </c>
      <c r="AG43" s="93" t="n">
        <v>0.04525605398967844</v>
      </c>
      <c r="AH43" s="93" t="n">
        <v>0.07185391028185788</v>
      </c>
      <c r="AI43" s="93" t="n"/>
      <c r="AJ43" s="85" t="n">
        <v>146</v>
      </c>
      <c r="AK43" s="85" t="n">
        <v>76</v>
      </c>
      <c r="AL43" s="85" t="n">
        <v>55</v>
      </c>
      <c r="AM43" s="85" t="n">
        <v>400</v>
      </c>
      <c r="AN43" s="85" t="n">
        <v>23</v>
      </c>
      <c r="AO43" s="85" t="n">
        <v>7</v>
      </c>
      <c r="AP43" s="94" t="n"/>
      <c r="AQ43" s="89" t="n"/>
      <c r="AR43" s="95" t="inlineStr">
        <is>
          <t>Y</t>
        </is>
      </c>
      <c r="AS43" s="95" t="inlineStr">
        <is>
          <t>List Price</t>
        </is>
      </c>
      <c r="AT43" s="96" t="n">
        <v>18.75</v>
      </c>
      <c r="AU43" s="96" t="n">
        <v>16.88</v>
      </c>
      <c r="AV43" s="95" t="inlineStr">
        <is>
          <t>none</t>
        </is>
      </c>
      <c r="AW43" s="95" t="inlineStr">
        <is>
          <t>Y</t>
        </is>
      </c>
      <c r="AX43" s="95" t="inlineStr">
        <is>
          <t>2026-10-13 23:38:28</t>
        </is>
      </c>
      <c r="AY43" s="102" t="n"/>
      <c r="AZ43" s="102" t="n"/>
      <c r="BA43" s="101" t="n"/>
      <c r="BB43" s="101" t="n"/>
      <c r="BC43" s="87">
        <f>IF(AND(ISNUMBER(BA43),ISNUMBER(BB43),N(BA43)&gt;0),1-BB43/BA43,"")</f>
        <v/>
      </c>
      <c r="BD43" s="103" t="n"/>
      <c r="BE43" s="103" t="n"/>
      <c r="BF43" s="100">
        <f>IF(AND(ISNUMBER(BD43),ISNUMBER(BE43),N(BE43)&gt;0),BD43/BE43,"")</f>
        <v/>
      </c>
      <c r="BG43" s="102" t="n"/>
      <c r="BH43" s="102" t="n"/>
    </row>
    <row r="44" ht="62" customHeight="1">
      <c r="A44" s="39" t="inlineStr">
        <is>
          <t>IMAGE MISSING</t>
        </is>
      </c>
      <c r="B44" s="84" t="inlineStr">
        <is>
          <t>LUXEAR</t>
        </is>
      </c>
      <c r="C44" s="32" t="inlineStr">
        <is>
          <t>LUXEAR 2 Pack Cooling Pillow Cases for Hot Sleepers, Arc-Chill Q-Max &gt; 0.5 Cool</t>
        </is>
      </c>
      <c r="D44" s="84" t="inlineStr">
        <is>
          <t>Aspirational</t>
        </is>
      </c>
      <c r="E44" s="84" t="inlineStr">
        <is>
          <t>B0FRGBT861</t>
        </is>
      </c>
      <c r="F44" s="84" t="inlineStr">
        <is>
          <t>B07V6SKZ7V</t>
        </is>
      </c>
      <c r="G44" s="84" t="n"/>
      <c r="H44" s="84" t="n"/>
      <c r="I44" s="85" t="n"/>
      <c r="J44" s="32" t="inlineStr"/>
      <c r="K44" s="86" t="n">
        <v>15.95</v>
      </c>
      <c r="L44" s="86" t="n"/>
      <c r="M44" s="87">
        <f>IF(AND(ISNUMBER(L44),ISNUMBER(K44),N(K44)&gt;0),L44/K44-1,"")</f>
        <v/>
      </c>
      <c r="N44" s="88">
        <f>IF(M44="","No List Price",IF(M44&lt;=0,"At/below price",IF(M44&lt;=0.12,"&lt;=12% STR zone",IF(M44&lt;=0.25,"12-25%","&gt;25% over"))))</f>
        <v/>
      </c>
      <c r="O44" s="86" t="n">
        <v>19.99</v>
      </c>
      <c r="P44" s="89">
        <f>IF(AND(ISNUMBER(K44),ISNUMBER(O44),N(O44)&gt;0),K44/O44-1,"")</f>
        <v/>
      </c>
      <c r="Q44" s="32" t="inlineStr">
        <is>
          <t>Size not stated - vs our Queen. Ours live: Helium 10 Xray, 2026-10-13; 4 children</t>
        </is>
      </c>
      <c r="R44" s="85" t="n">
        <v>50724</v>
      </c>
      <c r="S44" s="85" t="n">
        <v>35</v>
      </c>
      <c r="T44" s="90">
        <f>IF(AND(ISNUMBER(K44),ISNUMBER(S44)),K44*S44*52/12,"")</f>
        <v/>
      </c>
      <c r="U44" s="91" t="n">
        <v>4.2</v>
      </c>
      <c r="V44" s="85" t="n">
        <v>6718</v>
      </c>
      <c r="W44" s="92" t="n">
        <v>46307</v>
      </c>
      <c r="X44" s="92" t="n"/>
      <c r="Y44" s="84" t="n"/>
      <c r="Z44" s="84" t="n"/>
      <c r="AA44" s="85" t="n"/>
      <c r="AB44" s="85" t="n"/>
      <c r="AC44" s="93" t="n"/>
      <c r="AD44" s="93" t="n"/>
      <c r="AE44" s="32" t="n"/>
      <c r="AF44" s="93" t="n"/>
      <c r="AG44" s="93" t="n"/>
      <c r="AH44" s="93" t="n"/>
      <c r="AI44" s="93" t="n"/>
      <c r="AJ44" s="85" t="n"/>
      <c r="AK44" s="85" t="n"/>
      <c r="AL44" s="85" t="n"/>
      <c r="AM44" s="85" t="n"/>
      <c r="AN44" s="85" t="n"/>
      <c r="AO44" s="85" t="n"/>
      <c r="AP44" s="94" t="n"/>
      <c r="AQ44" s="89" t="n"/>
      <c r="AR44" s="95" t="inlineStr">
        <is>
          <t>N</t>
        </is>
      </c>
      <c r="AS44" s="95" t="inlineStr">
        <is>
          <t>none</t>
        </is>
      </c>
      <c r="AT44" s="101" t="n"/>
      <c r="AU44" s="96" t="n">
        <v>15.95</v>
      </c>
      <c r="AV44" s="95" t="inlineStr">
        <is>
          <t>none</t>
        </is>
      </c>
      <c r="AW44" s="95" t="inlineStr">
        <is>
          <t>Y</t>
        </is>
      </c>
      <c r="AX44" s="95" t="inlineStr">
        <is>
          <t>2026-10-13 23:38:46</t>
        </is>
      </c>
      <c r="AY44" s="102" t="n"/>
      <c r="AZ44" s="102" t="n"/>
      <c r="BA44" s="101" t="n"/>
      <c r="BB44" s="101" t="n"/>
      <c r="BC44" s="87">
        <f>IF(AND(ISNUMBER(BA44),ISNUMBER(BB44),N(BA44)&gt;0),1-BB44/BA44,"")</f>
        <v/>
      </c>
      <c r="BD44" s="103" t="n"/>
      <c r="BE44" s="103" t="n"/>
      <c r="BF44" s="100">
        <f>IF(AND(ISNUMBER(BD44),ISNUMBER(BE44),N(BE44)&gt;0),BD44/BE44,"")</f>
        <v/>
      </c>
      <c r="BG44" s="102" t="n"/>
      <c r="BH44" s="102" t="n"/>
    </row>
    <row r="45" ht="62" customHeight="1">
      <c r="A45" s="10">
        <f>_xlfn.IMAGE("https://images-na.ssl-images-amazon.com/images/I/71eYQFtuPxL.jpg")</f>
        <v/>
      </c>
      <c r="B45" s="84" t="inlineStr">
        <is>
          <t>REST</t>
        </is>
      </c>
      <c r="C45" s="32" t="inlineStr">
        <is>
          <t>REST® Evercool®+ Cooling Pillowcases for Hot Sleepers, Standard, 2PCS</t>
        </is>
      </c>
      <c r="D45" s="84" t="inlineStr">
        <is>
          <t>Beatable</t>
        </is>
      </c>
      <c r="E45" s="84" t="inlineStr">
        <is>
          <t>B0C13Y18JW</t>
        </is>
      </c>
      <c r="F45" s="84" t="inlineStr">
        <is>
          <t>B0C141VGM6</t>
        </is>
      </c>
      <c r="G45" s="84" t="inlineStr">
        <is>
          <t>Standard</t>
        </is>
      </c>
      <c r="H45" s="84" t="n"/>
      <c r="I45" s="85" t="n">
        <v>12</v>
      </c>
      <c r="J45" s="32" t="inlineStr">
        <is>
          <t>B0C141VGM6 (29%), B0C144NQ87 (22%), B0C144HZHL (11%), B0D4YFNCW6 (9%), B0D4YCZSLY (7%)</t>
        </is>
      </c>
      <c r="K45" s="86" t="n">
        <v>59.25</v>
      </c>
      <c r="L45" s="86" t="n">
        <v>79</v>
      </c>
      <c r="M45" s="87">
        <f>IF(AND(ISNUMBER(L45),ISNUMBER(K45),N(K45)&gt;0),L45/K45-1,"")</f>
        <v/>
      </c>
      <c r="N45" s="88">
        <f>IF(M45="","No List Price",IF(M45&lt;=0,"At/below price",IF(M45&lt;=0.12,"&lt;=12% STR zone",IF(M45&lt;=0.25,"12-25%","&gt;25% over"))))</f>
        <v/>
      </c>
      <c r="O45" s="86" t="n">
        <v>17.99</v>
      </c>
      <c r="P45" s="89">
        <f>IF(AND(ISNUMBER(K45),ISNUMBER(O45),N(O45)&gt;0),K45/O45-1,"")</f>
        <v/>
      </c>
      <c r="Q45" s="32" t="inlineStr">
        <is>
          <t>Same size (Standard). Ours live: Helium 10 Xray, 2026-10-13; 4 children</t>
        </is>
      </c>
      <c r="R45" s="85" t="n">
        <v>4369</v>
      </c>
      <c r="S45" s="85" t="n">
        <v>208</v>
      </c>
      <c r="T45" s="90">
        <f>IF(AND(ISNUMBER(K45),ISNUMBER(S45)),K45*S45*52/12,"")</f>
        <v/>
      </c>
      <c r="U45" s="91" t="n">
        <v>4.4</v>
      </c>
      <c r="V45" s="85" t="n">
        <v>1226</v>
      </c>
      <c r="W45" s="92" t="n">
        <v>46307</v>
      </c>
      <c r="X45" s="92" t="n">
        <v>45016</v>
      </c>
      <c r="Y45" s="84" t="inlineStr">
        <is>
          <t>FBA</t>
        </is>
      </c>
      <c r="Z45" s="84" t="inlineStr">
        <is>
          <t>HK</t>
        </is>
      </c>
      <c r="AA45" s="85" t="n">
        <v>345367</v>
      </c>
      <c r="AB45" s="85" t="n">
        <v>4235</v>
      </c>
      <c r="AC45" s="93" t="n">
        <v>0.2641106081356929</v>
      </c>
      <c r="AD45" s="93" t="n">
        <v>0.7358896698294859</v>
      </c>
      <c r="AE45" s="32" t="inlineStr">
        <is>
          <t>cooling pillow cases</t>
        </is>
      </c>
      <c r="AF45" s="93" t="n">
        <v>0.8527276780931589</v>
      </c>
      <c r="AG45" s="93" t="n">
        <v>0.9219902306821439</v>
      </c>
      <c r="AH45" s="93" t="n">
        <v>0.6144159690995376</v>
      </c>
      <c r="AI45" s="93" t="n">
        <v>0.01558921379286382</v>
      </c>
      <c r="AJ45" s="85" t="n">
        <v>254</v>
      </c>
      <c r="AK45" s="85" t="n">
        <v>59</v>
      </c>
      <c r="AL45" s="85" t="n">
        <v>179</v>
      </c>
      <c r="AM45" s="85" t="n">
        <v>3981</v>
      </c>
      <c r="AN45" s="85" t="n">
        <v>1936</v>
      </c>
      <c r="AO45" s="85" t="n">
        <v>11</v>
      </c>
      <c r="AP45" s="94" t="n">
        <v>2.252856054836253</v>
      </c>
      <c r="AQ45" s="89" t="n">
        <v>0.8507734303912649</v>
      </c>
      <c r="AR45" s="95" t="inlineStr">
        <is>
          <t>Y</t>
        </is>
      </c>
      <c r="AS45" s="95" t="inlineStr">
        <is>
          <t>List Price</t>
        </is>
      </c>
      <c r="AT45" s="96" t="n">
        <v>79</v>
      </c>
      <c r="AU45" s="96" t="n">
        <v>59.25</v>
      </c>
      <c r="AV45" s="95" t="inlineStr">
        <is>
          <t>none</t>
        </is>
      </c>
      <c r="AW45" s="95" t="inlineStr">
        <is>
          <t>Y</t>
        </is>
      </c>
      <c r="AX45" s="95" t="inlineStr">
        <is>
          <t>2026-10-13 23:39:04</t>
        </is>
      </c>
      <c r="AY45" s="102" t="n"/>
      <c r="AZ45" s="102" t="n"/>
      <c r="BA45" s="101" t="n"/>
      <c r="BB45" s="101" t="n"/>
      <c r="BC45" s="87">
        <f>IF(AND(ISNUMBER(BA45),ISNUMBER(BB45),N(BA45)&gt;0),1-BB45/BA45,"")</f>
        <v/>
      </c>
      <c r="BD45" s="103" t="n"/>
      <c r="BE45" s="103" t="n"/>
      <c r="BF45" s="100">
        <f>IF(AND(ISNUMBER(BD45),ISNUMBER(BE45),N(BE45)&gt;0),BD45/BE45,"")</f>
        <v/>
      </c>
      <c r="BG45" s="102" t="n"/>
      <c r="BH45" s="102" t="n"/>
    </row>
    <row r="46" ht="62" customHeight="1">
      <c r="A46" s="10">
        <f>_xlfn.IMAGE("https://images-na.ssl-images-amazon.com/images/I/81mbqqKQImL.jpg")</f>
        <v/>
      </c>
      <c r="B46" s="84" t="inlineStr">
        <is>
          <t>CHOSHOME</t>
        </is>
      </c>
      <c r="C46" s="32" t="inlineStr">
        <is>
          <t>CHOSHOME Cooling Pillow Cases Zipper Pillow Covers Q-Max &gt; 0.45 Zippered Pillowcases for Hot Sleepers, Soft, Breathable, Skin-Friendly, 2 Pack (Standard, 20" x 26", Grey)</t>
        </is>
      </c>
      <c r="D46" s="84" t="inlineStr">
        <is>
          <t>Beatable</t>
        </is>
      </c>
      <c r="E46" s="84" t="inlineStr">
        <is>
          <t>B0B75178W1</t>
        </is>
      </c>
      <c r="F46" s="84" t="inlineStr">
        <is>
          <t>B08X2KBD67</t>
        </is>
      </c>
      <c r="G46" s="84" t="inlineStr">
        <is>
          <t>Standard</t>
        </is>
      </c>
      <c r="H46" s="84" t="inlineStr">
        <is>
          <t>Grey</t>
        </is>
      </c>
      <c r="I46" s="85" t="n">
        <v>54</v>
      </c>
      <c r="J46" s="32" t="inlineStr">
        <is>
          <t>B08X2KBD67 (85%)</t>
        </is>
      </c>
      <c r="K46" s="86" t="n">
        <v>14.6</v>
      </c>
      <c r="L46" s="86" t="n"/>
      <c r="M46" s="87">
        <f>IF(AND(ISNUMBER(L46),ISNUMBER(K46),N(K46)&gt;0),L46/K46-1,"")</f>
        <v/>
      </c>
      <c r="N46" s="88">
        <f>IF(M46="","No List Price",IF(M46&lt;=0,"At/below price",IF(M46&lt;=0.12,"&lt;=12% STR zone",IF(M46&lt;=0.25,"12-25%","&gt;25% over"))))</f>
        <v/>
      </c>
      <c r="O46" s="86" t="n">
        <v>17.99</v>
      </c>
      <c r="P46" s="89">
        <f>IF(AND(ISNUMBER(K46),ISNUMBER(O46),N(O46)&gt;0),K46/O46-1,"")</f>
        <v/>
      </c>
      <c r="Q46" s="32" t="inlineStr">
        <is>
          <t>Same size (Standard). Ours live: Helium 10 Xray, 2026-10-13; 4 children</t>
        </is>
      </c>
      <c r="R46" s="85" t="n">
        <v>28988</v>
      </c>
      <c r="S46" s="85" t="n">
        <v>104</v>
      </c>
      <c r="T46" s="90">
        <f>IF(AND(ISNUMBER(K46),ISNUMBER(S46)),K46*S46*52/12,"")</f>
        <v/>
      </c>
      <c r="U46" s="91" t="n">
        <v>4.4</v>
      </c>
      <c r="V46" s="85" t="n">
        <v>1768</v>
      </c>
      <c r="W46" s="92" t="n">
        <v>46307</v>
      </c>
      <c r="X46" s="92" t="n">
        <v>44247</v>
      </c>
      <c r="Y46" s="84" t="inlineStr">
        <is>
          <t>FBA</t>
        </is>
      </c>
      <c r="Z46" s="84" t="inlineStr">
        <is>
          <t>CN</t>
        </is>
      </c>
      <c r="AA46" s="85" t="n">
        <v>17999</v>
      </c>
      <c r="AB46" s="85" t="n">
        <v>499</v>
      </c>
      <c r="AC46" s="93" t="n">
        <v>0.8252617812100672</v>
      </c>
      <c r="AD46" s="93" t="n">
        <v>0.1747382187899328</v>
      </c>
      <c r="AE46" s="32" t="inlineStr">
        <is>
          <t>cooling pillow cases</t>
        </is>
      </c>
      <c r="AF46" s="93" t="n">
        <v>0.5976443135729763</v>
      </c>
      <c r="AG46" s="93" t="n"/>
      <c r="AH46" s="93" t="n">
        <v>0.4869714984165787</v>
      </c>
      <c r="AI46" s="93" t="n">
        <v>0.01083393521862326</v>
      </c>
      <c r="AJ46" s="85" t="n">
        <v>125</v>
      </c>
      <c r="AK46" s="85" t="n">
        <v>51</v>
      </c>
      <c r="AL46" s="85" t="n">
        <v>67</v>
      </c>
      <c r="AM46" s="85" t="n">
        <v>374</v>
      </c>
      <c r="AN46" s="85" t="n">
        <v>40</v>
      </c>
      <c r="AO46" s="85" t="n">
        <v>3</v>
      </c>
      <c r="AP46" s="94" t="n">
        <v>1.111111111111111</v>
      </c>
      <c r="AQ46" s="89" t="n">
        <v>0.1746031746031744</v>
      </c>
      <c r="AR46" s="95" t="inlineStr">
        <is>
          <t>N</t>
        </is>
      </c>
      <c r="AS46" s="95" t="inlineStr">
        <is>
          <t>none</t>
        </is>
      </c>
      <c r="AT46" s="101" t="n"/>
      <c r="AU46" s="96" t="n">
        <v>14.6</v>
      </c>
      <c r="AV46" s="95" t="inlineStr">
        <is>
          <t>none</t>
        </is>
      </c>
      <c r="AW46" s="95" t="inlineStr">
        <is>
          <t>Y</t>
        </is>
      </c>
      <c r="AX46" s="95" t="inlineStr">
        <is>
          <t>2026-10-13 23:37:56</t>
        </is>
      </c>
      <c r="AY46" s="97" t="inlineStr">
        <is>
          <t>Prime Exclusive Discount</t>
        </is>
      </c>
      <c r="AZ46" s="97" t="inlineStr">
        <is>
          <t>11-24 to 12-01</t>
        </is>
      </c>
      <c r="BA46" s="98" t="n">
        <v>15.56</v>
      </c>
      <c r="BB46" s="98" t="n">
        <v>13.13</v>
      </c>
      <c r="BC46" s="87">
        <f>IF(AND(ISNUMBER(BA46),ISNUMBER(BB46),N(BA46)&gt;0),1-BB46/BA46,"")</f>
        <v/>
      </c>
      <c r="BD46" s="99" t="n">
        <v>42613</v>
      </c>
      <c r="BE46" s="99" t="n">
        <v>41326</v>
      </c>
      <c r="BF46" s="100">
        <f>IF(AND(ISNUMBER(BD46),ISNUMBER(BE46),N(BE46)&gt;0),BD46/BE46,"")</f>
        <v/>
      </c>
      <c r="BG46" s="97" t="inlineStr">
        <is>
          <t>N</t>
        </is>
      </c>
      <c r="BH46" s="97" t="inlineStr">
        <is>
          <t>List Price $19.99</t>
        </is>
      </c>
    </row>
    <row r="47" ht="62" customHeight="1">
      <c r="A47" s="10">
        <f>_xlfn.IMAGE("https://images-na.ssl-images-amazon.com/images/I/818UAaS5dSL.jpg")</f>
        <v/>
      </c>
      <c r="B47" s="84" t="inlineStr">
        <is>
          <t>HOMFINE</t>
        </is>
      </c>
      <c r="C47" s="32" t="inlineStr">
        <is>
          <t>HOMFINE Cooling Pillowcases for Hot Sleepers King Size Set of 2, Grey</t>
        </is>
      </c>
      <c r="D47" s="84" t="inlineStr">
        <is>
          <t>Beatable</t>
        </is>
      </c>
      <c r="E47" s="84" t="inlineStr">
        <is>
          <t>B0CN6YFBVJ</t>
        </is>
      </c>
      <c r="F47" s="84" t="inlineStr">
        <is>
          <t>B0BLT2MCT6</t>
        </is>
      </c>
      <c r="G47" s="84" t="inlineStr">
        <is>
          <t>King</t>
        </is>
      </c>
      <c r="H47" s="84" t="inlineStr">
        <is>
          <t>Grey</t>
        </is>
      </c>
      <c r="I47" s="85" t="n">
        <v>22</v>
      </c>
      <c r="J47" s="32" t="inlineStr">
        <is>
          <t>B0BLT2MCT6 (55%), B0DJ7B3X2K (15%), B0FRLJV2B3 (15%)</t>
        </is>
      </c>
      <c r="K47" s="86" t="n">
        <v>11.99</v>
      </c>
      <c r="L47" s="86" t="n"/>
      <c r="M47" s="87">
        <f>IF(AND(ISNUMBER(L47),ISNUMBER(K47),N(K47)&gt;0),L47/K47-1,"")</f>
        <v/>
      </c>
      <c r="N47" s="88">
        <f>IF(M47="","No List Price",IF(M47&lt;=0,"At/below price",IF(M47&lt;=0.12,"&lt;=12% STR zone",IF(M47&lt;=0.25,"12-25%","&gt;25% over"))))</f>
        <v/>
      </c>
      <c r="O47" s="86" t="n">
        <v>20.99</v>
      </c>
      <c r="P47" s="89">
        <f>IF(AND(ISNUMBER(K47),ISNUMBER(O47),N(O47)&gt;0),K47/O47-1,"")</f>
        <v/>
      </c>
      <c r="Q47" s="32" t="inlineStr">
        <is>
          <t>Same size (King). Ours live: Helium 10 Xray, 2026-10-13; 4 children</t>
        </is>
      </c>
      <c r="R47" s="85" t="n">
        <v>31417</v>
      </c>
      <c r="S47" s="85" t="n">
        <v>81</v>
      </c>
      <c r="T47" s="90">
        <f>IF(AND(ISNUMBER(K47),ISNUMBER(S47)),K47*S47*52/12,"")</f>
        <v/>
      </c>
      <c r="U47" s="91" t="n">
        <v>4.3</v>
      </c>
      <c r="V47" s="85" t="n">
        <v>1309</v>
      </c>
      <c r="W47" s="92" t="n">
        <v>46307</v>
      </c>
      <c r="X47" s="92" t="n"/>
      <c r="Y47" s="84" t="n"/>
      <c r="Z47" s="84" t="n"/>
      <c r="AA47" s="85" t="n">
        <v>17008</v>
      </c>
      <c r="AB47" s="85" t="n">
        <v>741</v>
      </c>
      <c r="AC47" s="93" t="n">
        <v>0.9595514640169331</v>
      </c>
      <c r="AD47" s="93" t="n">
        <v>0.04045323965192851</v>
      </c>
      <c r="AE47" s="32" t="inlineStr">
        <is>
          <t>cooling pillow cases</t>
        </is>
      </c>
      <c r="AF47" s="93" t="n">
        <v>0.2387699905926623</v>
      </c>
      <c r="AG47" s="93" t="n">
        <v>0.2089604891815616</v>
      </c>
      <c r="AH47" s="93" t="n">
        <v>0.1087135465663217</v>
      </c>
      <c r="AI47" s="93" t="n">
        <v>0.001528692380056444</v>
      </c>
      <c r="AJ47" s="85" t="n">
        <v>202</v>
      </c>
      <c r="AK47" s="85" t="n">
        <v>102</v>
      </c>
      <c r="AL47" s="85" t="n">
        <v>82</v>
      </c>
      <c r="AM47" s="85" t="n">
        <v>539</v>
      </c>
      <c r="AN47" s="85" t="n">
        <v>26</v>
      </c>
      <c r="AO47" s="85" t="n">
        <v>2</v>
      </c>
      <c r="AP47" s="94" t="n">
        <v>0.8495145631067961</v>
      </c>
      <c r="AQ47" s="89" t="n">
        <v>0.4323144104803494</v>
      </c>
      <c r="AR47" s="95" t="inlineStr">
        <is>
          <t>Y</t>
        </is>
      </c>
      <c r="AS47" s="95" t="inlineStr">
        <is>
          <t>Typical price</t>
        </is>
      </c>
      <c r="AT47" s="96" t="n">
        <v>12.99</v>
      </c>
      <c r="AU47" s="96" t="n">
        <v>9.99</v>
      </c>
      <c r="AV47" s="95" t="inlineStr">
        <is>
          <t>none</t>
        </is>
      </c>
      <c r="AW47" s="95" t="inlineStr">
        <is>
          <t>Y</t>
        </is>
      </c>
      <c r="AX47" s="95" t="inlineStr">
        <is>
          <t>2026-10-13 23:38:40</t>
        </is>
      </c>
      <c r="AY47" s="102" t="n"/>
      <c r="AZ47" s="102" t="n"/>
      <c r="BA47" s="101" t="n"/>
      <c r="BB47" s="101" t="n"/>
      <c r="BC47" s="87">
        <f>IF(AND(ISNUMBER(BA47),ISNUMBER(BB47),N(BA47)&gt;0),1-BB47/BA47,"")</f>
        <v/>
      </c>
      <c r="BD47" s="103" t="n"/>
      <c r="BE47" s="103" t="n"/>
      <c r="BF47" s="100">
        <f>IF(AND(ISNUMBER(BD47),ISNUMBER(BE47),N(BE47)&gt;0),BD47/BE47,"")</f>
        <v/>
      </c>
      <c r="BG47" s="102" t="n"/>
      <c r="BH47" s="102" t="n"/>
    </row>
    <row r="48" ht="62" customHeight="1">
      <c r="A48" s="10">
        <f>_xlfn.IMAGE("https://images-na.ssl-images-amazon.com/images/I/61xlOGglCHL.jpg")</f>
        <v/>
      </c>
      <c r="B48" s="84" t="inlineStr">
        <is>
          <t>QUTOOL</t>
        </is>
      </c>
      <c r="C48" s="32" t="inlineStr">
        <is>
          <t>Luxury Cooling Pillowcases Queen Size 2 Pack, Q-Max&gt;0.4 Cool Touch for Hot Sleepers&amp;Night Sweats Beauty Sleep Anti-Frizz, Softer Than Silk Pillowcover Oeko-TEX Certified Light Gray</t>
        </is>
      </c>
      <c r="D48" s="84" t="inlineStr">
        <is>
          <t>Beatable</t>
        </is>
      </c>
      <c r="E48" s="84" t="inlineStr">
        <is>
          <t>B0DL5R7SSB</t>
        </is>
      </c>
      <c r="F48" s="84" t="inlineStr">
        <is>
          <t>B0DLB4PQS8</t>
        </is>
      </c>
      <c r="G48" s="84" t="inlineStr">
        <is>
          <t>Queen</t>
        </is>
      </c>
      <c r="H48" s="84" t="inlineStr">
        <is>
          <t>Gray</t>
        </is>
      </c>
      <c r="I48" s="85" t="n">
        <v>22</v>
      </c>
      <c r="J48" s="32" t="inlineStr">
        <is>
          <t>B0DLB4PQS8 (41%), B0FXWZM587 (16%), B0DL9Y3JVW (13%), B0DL9ZXKXM (12%)</t>
        </is>
      </c>
      <c r="K48" s="86" t="n">
        <v>16.99</v>
      </c>
      <c r="L48" s="86" t="n"/>
      <c r="M48" s="87">
        <f>IF(AND(ISNUMBER(L48),ISNUMBER(K48),N(K48)&gt;0),L48/K48-1,"")</f>
        <v/>
      </c>
      <c r="N48" s="88">
        <f>IF(M48="","No List Price",IF(M48&lt;=0,"At/below price",IF(M48&lt;=0.12,"&lt;=12% STR zone",IF(M48&lt;=0.25,"12-25%","&gt;25% over"))))</f>
        <v/>
      </c>
      <c r="O48" s="86" t="n">
        <v>19.99</v>
      </c>
      <c r="P48" s="89">
        <f>IF(AND(ISNUMBER(K48),ISNUMBER(O48),N(O48)&gt;0),K48/O48-1,"")</f>
        <v/>
      </c>
      <c r="Q48" s="32" t="inlineStr">
        <is>
          <t>Same size (Queen). Ours live: Helium 10 Xray, 2026-10-13; 4 children</t>
        </is>
      </c>
      <c r="R48" s="85" t="n">
        <v>39446</v>
      </c>
      <c r="S48" s="85" t="n">
        <v>35</v>
      </c>
      <c r="T48" s="90">
        <f>IF(AND(ISNUMBER(K48),ISNUMBER(S48)),K48*S48*52/12,"")</f>
        <v/>
      </c>
      <c r="U48" s="91" t="n">
        <v>4.4</v>
      </c>
      <c r="V48" s="85" t="n">
        <v>769</v>
      </c>
      <c r="W48" s="92" t="n">
        <v>46307</v>
      </c>
      <c r="X48" s="92" t="n">
        <v>45695</v>
      </c>
      <c r="Y48" s="84" t="inlineStr">
        <is>
          <t>FBA</t>
        </is>
      </c>
      <c r="Z48" s="84" t="inlineStr">
        <is>
          <t>CN</t>
        </is>
      </c>
      <c r="AA48" s="85" t="n">
        <v>15503</v>
      </c>
      <c r="AB48" s="85" t="n">
        <v>408</v>
      </c>
      <c r="AC48" s="93" t="n">
        <v>0.6025155131264917</v>
      </c>
      <c r="AD48" s="93" t="n">
        <v>0.3974844868735083</v>
      </c>
      <c r="AE48" s="32" t="inlineStr">
        <is>
          <t>cooling pillow cases</t>
        </is>
      </c>
      <c r="AF48" s="93" t="n">
        <v>0.7854608785396375</v>
      </c>
      <c r="AG48" s="93" t="n">
        <v>0.05508611236534864</v>
      </c>
      <c r="AH48" s="93" t="n"/>
      <c r="AI48" s="93" t="n"/>
      <c r="AJ48" s="85" t="n">
        <v>94</v>
      </c>
      <c r="AK48" s="85" t="n">
        <v>49</v>
      </c>
      <c r="AL48" s="85" t="n">
        <v>33</v>
      </c>
      <c r="AM48" s="85" t="n">
        <v>314</v>
      </c>
      <c r="AN48" s="85" t="n">
        <v>67</v>
      </c>
      <c r="AO48" s="85" t="n">
        <v>5</v>
      </c>
      <c r="AP48" s="94" t="n"/>
      <c r="AQ48" s="89" t="n">
        <v>3.611111111111112</v>
      </c>
      <c r="AR48" s="95" t="inlineStr">
        <is>
          <t>N</t>
        </is>
      </c>
      <c r="AS48" s="95" t="inlineStr">
        <is>
          <t>none</t>
        </is>
      </c>
      <c r="AT48" s="101" t="n"/>
      <c r="AU48" s="96" t="n">
        <v>16.99</v>
      </c>
      <c r="AV48" s="95" t="inlineStr">
        <is>
          <t>none</t>
        </is>
      </c>
      <c r="AW48" s="95" t="inlineStr">
        <is>
          <t>Y</t>
        </is>
      </c>
      <c r="AX48" s="95" t="inlineStr">
        <is>
          <t>2026-10-13 23:39:01</t>
        </is>
      </c>
      <c r="AY48" s="102" t="n"/>
      <c r="AZ48" s="102" t="n"/>
      <c r="BA48" s="101" t="n"/>
      <c r="BB48" s="101" t="n"/>
      <c r="BC48" s="87">
        <f>IF(AND(ISNUMBER(BA48),ISNUMBER(BB48),N(BA48)&gt;0),1-BB48/BA48,"")</f>
        <v/>
      </c>
      <c r="BD48" s="103" t="n"/>
      <c r="BE48" s="103" t="n"/>
      <c r="BF48" s="100">
        <f>IF(AND(ISNUMBER(BD48),ISNUMBER(BE48),N(BE48)&gt;0),BD48/BE48,"")</f>
        <v/>
      </c>
      <c r="BG48" s="102" t="n"/>
      <c r="BH48" s="102" t="n"/>
    </row>
    <row r="49" ht="62" customHeight="1">
      <c r="A49" s="39" t="inlineStr">
        <is>
          <t>IMAGE MISSING</t>
        </is>
      </c>
      <c r="B49" s="84" t="inlineStr">
        <is>
          <t>Breescape</t>
        </is>
      </c>
      <c r="C49" s="32" t="inlineStr">
        <is>
          <t>Breescape Cooling Pillow Cases Queen Size Set of 2, BlendTek™ Cooling Technology</t>
        </is>
      </c>
      <c r="D49" s="84" t="inlineStr">
        <is>
          <t>Beatable</t>
        </is>
      </c>
      <c r="E49" s="84" t="inlineStr">
        <is>
          <t>B0F53TNFSX</t>
        </is>
      </c>
      <c r="F49" s="84" t="inlineStr">
        <is>
          <t>B0DSQ12L6F</t>
        </is>
      </c>
      <c r="G49" s="84" t="inlineStr">
        <is>
          <t>Queen</t>
        </is>
      </c>
      <c r="H49" s="84" t="n"/>
      <c r="I49" s="85" t="n">
        <v>13</v>
      </c>
      <c r="J49" s="32" t="inlineStr">
        <is>
          <t>B0DSQ112N7 (57%), B0DSQ178L4 (15%), B0DSQ1KYQ8 (5%), B0DSQ26ZYC (5%)</t>
        </is>
      </c>
      <c r="K49" s="86" t="n">
        <v>54.99</v>
      </c>
      <c r="L49" s="86" t="n"/>
      <c r="M49" s="87">
        <f>IF(AND(ISNUMBER(L49),ISNUMBER(K49),N(K49)&gt;0),L49/K49-1,"")</f>
        <v/>
      </c>
      <c r="N49" s="88">
        <f>IF(M49="","No List Price",IF(M49&lt;=0,"At/below price",IF(M49&lt;=0.12,"&lt;=12% STR zone",IF(M49&lt;=0.25,"12-25%","&gt;25% over"))))</f>
        <v/>
      </c>
      <c r="O49" s="86" t="n">
        <v>19.99</v>
      </c>
      <c r="P49" s="89">
        <f>IF(AND(ISNUMBER(K49),ISNUMBER(O49),N(O49)&gt;0),K49/O49-1,"")</f>
        <v/>
      </c>
      <c r="Q49" s="32" t="inlineStr">
        <is>
          <t>Same size (Queen). Ours live: Helium 10 Xray, 2026-10-13; 4 children</t>
        </is>
      </c>
      <c r="R49" s="85" t="n">
        <v>132996</v>
      </c>
      <c r="S49" s="85" t="n">
        <v>18</v>
      </c>
      <c r="T49" s="90">
        <f>IF(AND(ISNUMBER(K49),ISNUMBER(S49)),K49*S49*52/12,"")</f>
        <v/>
      </c>
      <c r="U49" s="91" t="n">
        <v>4.4</v>
      </c>
      <c r="V49" s="85" t="n">
        <v>305</v>
      </c>
      <c r="W49" s="92" t="n">
        <v>46307</v>
      </c>
      <c r="X49" s="92" t="n"/>
      <c r="Y49" s="84" t="n"/>
      <c r="Z49" s="84" t="n"/>
      <c r="AA49" s="85" t="n">
        <v>25040</v>
      </c>
      <c r="AB49" s="85" t="n">
        <v>1207</v>
      </c>
      <c r="AC49" s="93" t="n">
        <v>0.3706715455271565</v>
      </c>
      <c r="AD49" s="93" t="n">
        <v>0.6293284544728435</v>
      </c>
      <c r="AE49" s="32" t="inlineStr">
        <is>
          <t>cooling pillow cases</t>
        </is>
      </c>
      <c r="AF49" s="93" t="n">
        <v>0.9612220447284345</v>
      </c>
      <c r="AG49" s="93" t="n">
        <v>0.6791932907348243</v>
      </c>
      <c r="AH49" s="93" t="n">
        <v>0.6243610223642172</v>
      </c>
      <c r="AI49" s="93" t="n">
        <v>0.006869009584664537</v>
      </c>
      <c r="AJ49" s="85" t="n">
        <v>170</v>
      </c>
      <c r="AK49" s="85" t="n">
        <v>81</v>
      </c>
      <c r="AL49" s="85" t="n">
        <v>68</v>
      </c>
      <c r="AM49" s="85" t="n">
        <v>1037</v>
      </c>
      <c r="AN49" s="85" t="n">
        <v>459</v>
      </c>
      <c r="AO49" s="85" t="n">
        <v>10</v>
      </c>
      <c r="AP49" s="94" t="n"/>
      <c r="AQ49" s="89" t="n"/>
      <c r="AR49" s="95" t="inlineStr">
        <is>
          <t>N</t>
        </is>
      </c>
      <c r="AS49" s="95" t="inlineStr">
        <is>
          <t>none</t>
        </is>
      </c>
      <c r="AT49" s="101" t="n"/>
      <c r="AU49" s="96" t="n">
        <v>54.99</v>
      </c>
      <c r="AV49" s="95" t="inlineStr">
        <is>
          <t>none</t>
        </is>
      </c>
      <c r="AW49" s="95" t="inlineStr">
        <is>
          <t>Y</t>
        </is>
      </c>
      <c r="AX49" s="95" t="inlineStr">
        <is>
          <t>2026-10-13 23:37:43</t>
        </is>
      </c>
      <c r="AY49" s="97" t="inlineStr">
        <is>
          <t>Prime Exclusive Discount</t>
        </is>
      </c>
      <c r="AZ49" s="97" t="inlineStr">
        <is>
          <t>11-23 to 12-01</t>
        </is>
      </c>
      <c r="BA49" s="98" t="n">
        <v>38.49</v>
      </c>
      <c r="BB49" s="98" t="n">
        <v>36.56</v>
      </c>
      <c r="BC49" s="87">
        <f>IF(AND(ISNUMBER(BA49),ISNUMBER(BB49),N(BA49)&gt;0),1-BB49/BA49,"")</f>
        <v/>
      </c>
      <c r="BD49" s="99" t="n">
        <v>193609</v>
      </c>
      <c r="BE49" s="99" t="n">
        <v>143502</v>
      </c>
      <c r="BF49" s="100">
        <f>IF(AND(ISNUMBER(BD49),ISNUMBER(BE49),N(BE49)&gt;0),BD49/BE49,"")</f>
        <v/>
      </c>
      <c r="BG49" s="97" t="inlineStr">
        <is>
          <t>N</t>
        </is>
      </c>
      <c r="BH49" s="97" t="inlineStr">
        <is>
          <t>Buy Box RAISED in BFCM week (median $54.99 vs $38.49 before); List Price $54.99</t>
        </is>
      </c>
    </row>
    <row r="50" ht="62" customHeight="1">
      <c r="A50" s="10">
        <f>_xlfn.IMAGE("https://images-na.ssl-images-amazon.com/images/I/71dsthjuVUL.jpg")</f>
        <v/>
      </c>
      <c r="B50" s="84" t="inlineStr">
        <is>
          <t>Fittia</t>
        </is>
      </c>
      <c r="C50" s="32" t="inlineStr">
        <is>
          <t>FITTIA Cooling Pillow Cases with Zipper, 2 Pack, Standard Size 20"x26"</t>
        </is>
      </c>
      <c r="D50" s="84" t="inlineStr">
        <is>
          <t>Beatable</t>
        </is>
      </c>
      <c r="E50" s="84" t="inlineStr">
        <is>
          <t>B099JMGRBY</t>
        </is>
      </c>
      <c r="F50" s="84" t="inlineStr">
        <is>
          <t>B099J7KMK5</t>
        </is>
      </c>
      <c r="G50" s="84" t="inlineStr">
        <is>
          <t>Standard</t>
        </is>
      </c>
      <c r="H50" s="84" t="n"/>
      <c r="I50" s="85" t="n">
        <v>16</v>
      </c>
      <c r="J50" s="32" t="inlineStr">
        <is>
          <t>B09DJY94HD (47%), B099J7KMK5 (30%), B099HV3SX9 (13%)</t>
        </is>
      </c>
      <c r="K50" s="86" t="n">
        <v>19.99</v>
      </c>
      <c r="L50" s="86" t="n"/>
      <c r="M50" s="87">
        <f>IF(AND(ISNUMBER(L50),ISNUMBER(K50),N(K50)&gt;0),L50/K50-1,"")</f>
        <v/>
      </c>
      <c r="N50" s="88">
        <f>IF(M50="","No List Price",IF(M50&lt;=0,"At/below price",IF(M50&lt;=0.12,"&lt;=12% STR zone",IF(M50&lt;=0.25,"12-25%","&gt;25% over"))))</f>
        <v/>
      </c>
      <c r="O50" s="86" t="n">
        <v>17.99</v>
      </c>
      <c r="P50" s="89">
        <f>IF(AND(ISNUMBER(K50),ISNUMBER(O50),N(O50)&gt;0),K50/O50-1,"")</f>
        <v/>
      </c>
      <c r="Q50" s="32" t="inlineStr">
        <is>
          <t>Same size (Standard). Ours live: Helium 10 Xray, 2026-10-13; 4 children</t>
        </is>
      </c>
      <c r="R50" s="85" t="n">
        <v>156607</v>
      </c>
      <c r="S50" s="85" t="n">
        <v>18</v>
      </c>
      <c r="T50" s="90">
        <f>IF(AND(ISNUMBER(K50),ISNUMBER(S50)),K50*S50*52/12,"")</f>
        <v/>
      </c>
      <c r="U50" s="91" t="n">
        <v>4.3</v>
      </c>
      <c r="V50" s="85" t="n">
        <v>1335</v>
      </c>
      <c r="W50" s="92" t="n">
        <v>46307</v>
      </c>
      <c r="X50" s="92" t="n">
        <v>44392</v>
      </c>
      <c r="Y50" s="84" t="inlineStr">
        <is>
          <t>FBA</t>
        </is>
      </c>
      <c r="Z50" s="84" t="inlineStr">
        <is>
          <t>CN</t>
        </is>
      </c>
      <c r="AA50" s="85" t="n">
        <v>16144</v>
      </c>
      <c r="AB50" s="85" t="n">
        <v>429</v>
      </c>
      <c r="AC50" s="93" t="n">
        <v>0.8876912784935578</v>
      </c>
      <c r="AD50" s="93" t="n">
        <v>0.112308721506442</v>
      </c>
      <c r="AE50" s="32" t="inlineStr">
        <is>
          <t>cooling pillow cases</t>
        </is>
      </c>
      <c r="AF50" s="93" t="n">
        <v>0.6258052527254707</v>
      </c>
      <c r="AG50" s="93" t="n">
        <v>0.5755698711595639</v>
      </c>
      <c r="AH50" s="93" t="n"/>
      <c r="AI50" s="93" t="n"/>
      <c r="AJ50" s="85" t="n">
        <v>88</v>
      </c>
      <c r="AK50" s="85" t="n">
        <v>37</v>
      </c>
      <c r="AL50" s="85" t="n">
        <v>44</v>
      </c>
      <c r="AM50" s="85" t="n">
        <v>341</v>
      </c>
      <c r="AN50" s="85" t="n">
        <v>20</v>
      </c>
      <c r="AO50" s="85" t="n">
        <v>3</v>
      </c>
      <c r="AP50" s="94" t="n">
        <v>1.175373134328358</v>
      </c>
      <c r="AQ50" s="89" t="n">
        <v>0.5863636363636362</v>
      </c>
      <c r="AR50" s="95" t="inlineStr">
        <is>
          <t>N</t>
        </is>
      </c>
      <c r="AS50" s="95" t="inlineStr">
        <is>
          <t>none</t>
        </is>
      </c>
      <c r="AT50" s="101" t="n"/>
      <c r="AU50" s="96" t="n">
        <v>19.99</v>
      </c>
      <c r="AV50" s="95" t="inlineStr">
        <is>
          <t>none</t>
        </is>
      </c>
      <c r="AW50" s="95" t="inlineStr">
        <is>
          <t>Y</t>
        </is>
      </c>
      <c r="AX50" s="95" t="inlineStr">
        <is>
          <t>2026-10-13 23:38:34</t>
        </is>
      </c>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10">
        <f>_xlfn.IMAGE("https://images-na.ssl-images-amazon.com/images/I/81lPRf0QezL.jpg")</f>
        <v/>
      </c>
      <c r="B51" s="84" t="inlineStr">
        <is>
          <t>Bedsure</t>
        </is>
      </c>
      <c r="C51" s="32" t="inlineStr">
        <is>
          <t>Bedsure Cooling Pillow Cases Queen Size Set of 2 for Hot Sleepers, Grey</t>
        </is>
      </c>
      <c r="D51" s="84" t="inlineStr">
        <is>
          <t>Beatable</t>
        </is>
      </c>
      <c r="E51" s="84" t="inlineStr">
        <is>
          <t>B0GS2D7MBT</t>
        </is>
      </c>
      <c r="F51" s="84" t="inlineStr">
        <is>
          <t>B0CP3NX181</t>
        </is>
      </c>
      <c r="G51" s="84" t="inlineStr">
        <is>
          <t>Queen</t>
        </is>
      </c>
      <c r="H51" s="84" t="inlineStr">
        <is>
          <t>Grey</t>
        </is>
      </c>
      <c r="I51" s="85" t="n">
        <v>7</v>
      </c>
      <c r="J51" s="32" t="inlineStr">
        <is>
          <t>B0CP3NQSTG (62%), B0CP3P1HRF (34%)</t>
        </is>
      </c>
      <c r="K51" s="86" t="n">
        <v>18.99</v>
      </c>
      <c r="L51" s="86" t="n">
        <v>24.99</v>
      </c>
      <c r="M51" s="87">
        <f>IF(AND(ISNUMBER(L51),ISNUMBER(K51),N(K51)&gt;0),L51/K51-1,"")</f>
        <v/>
      </c>
      <c r="N51" s="88">
        <f>IF(M51="","No List Price",IF(M51&lt;=0,"At/below price",IF(M51&lt;=0.12,"&lt;=12% STR zone",IF(M51&lt;=0.25,"12-25%","&gt;25% over"))))</f>
        <v/>
      </c>
      <c r="O51" s="86" t="n">
        <v>19.99</v>
      </c>
      <c r="P51" s="89">
        <f>IF(AND(ISNUMBER(K51),ISNUMBER(O51),N(O51)&gt;0),K51/O51-1,"")</f>
        <v/>
      </c>
      <c r="Q51" s="32" t="inlineStr">
        <is>
          <t>Same size (Queen). Ours live: Helium 10 Xray, 2026-10-13; 4 children</t>
        </is>
      </c>
      <c r="R51" s="85" t="n">
        <v>156798</v>
      </c>
      <c r="S51" s="85" t="n">
        <v>5</v>
      </c>
      <c r="T51" s="90">
        <f>IF(AND(ISNUMBER(K51),ISNUMBER(S51)),K51*S51*52/12,"")</f>
        <v/>
      </c>
      <c r="U51" s="91" t="n">
        <v>4.5</v>
      </c>
      <c r="V51" s="85" t="n">
        <v>676</v>
      </c>
      <c r="W51" s="92" t="n">
        <v>46307</v>
      </c>
      <c r="X51" s="92" t="n"/>
      <c r="Y51" s="84" t="n"/>
      <c r="Z51" s="84" t="n"/>
      <c r="AA51" s="85" t="n">
        <v>38313</v>
      </c>
      <c r="AB51" s="85" t="n">
        <v>2045</v>
      </c>
      <c r="AC51" s="93" t="n">
        <v>0.4058418317542347</v>
      </c>
      <c r="AD51" s="93" t="n">
        <v>0.5941581682457653</v>
      </c>
      <c r="AE51" s="32" t="inlineStr">
        <is>
          <t>cooling pillow cases</t>
        </is>
      </c>
      <c r="AF51" s="93" t="n">
        <v>0.2079450839140762</v>
      </c>
      <c r="AG51" s="93" t="n">
        <v>0.6478218881319656</v>
      </c>
      <c r="AH51" s="93" t="n"/>
      <c r="AI51" s="93" t="n"/>
      <c r="AJ51" s="85" t="n">
        <v>211</v>
      </c>
      <c r="AK51" s="85" t="n">
        <v>97</v>
      </c>
      <c r="AL51" s="85" t="n">
        <v>98</v>
      </c>
      <c r="AM51" s="85" t="n">
        <v>1834</v>
      </c>
      <c r="AN51" s="85" t="n">
        <v>780</v>
      </c>
      <c r="AO51" s="85" t="n">
        <v>4</v>
      </c>
      <c r="AP51" s="94" t="n"/>
      <c r="AQ51" s="89" t="n"/>
      <c r="AR51" s="95" t="inlineStr">
        <is>
          <t>unknown</t>
        </is>
      </c>
      <c r="AS51" s="102" t="n"/>
      <c r="AT51" s="101" t="n"/>
      <c r="AU51" s="101" t="n"/>
      <c r="AV51" s="102" t="n"/>
      <c r="AW51" s="102" t="n"/>
      <c r="AX51" s="95" t="inlineStr">
        <is>
          <t>2026-10-13 23:37:18</t>
        </is>
      </c>
      <c r="AY51" s="97" t="inlineStr">
        <is>
          <t>None</t>
        </is>
      </c>
      <c r="AZ51" s="102" t="n"/>
      <c r="BA51" s="101" t="n"/>
      <c r="BB51" s="98" t="n">
        <v>24.99</v>
      </c>
      <c r="BC51" s="87">
        <f>IF(AND(ISNUMBER(BA51),ISNUMBER(BB51),N(BA51)&gt;0),1-BB51/BA51,"")</f>
        <v/>
      </c>
      <c r="BD51" s="99" t="n">
        <v>71196</v>
      </c>
      <c r="BE51" s="99" t="n">
        <v>84389</v>
      </c>
      <c r="BF51" s="100">
        <f>IF(AND(ISNUMBER(BD51),ISNUMBER(BE51),N(BE51)&gt;0),BD51/BE51,"")</f>
        <v/>
      </c>
      <c r="BG51" s="97" t="inlineStr">
        <is>
          <t>Y</t>
        </is>
      </c>
      <c r="BH51" s="97" t="inlineStr">
        <is>
          <t>List Price $32.99</t>
        </is>
      </c>
    </row>
    <row r="52" ht="62" customHeight="1">
      <c r="A52" s="39" t="inlineStr">
        <is>
          <t>IMAGE MISSING</t>
        </is>
      </c>
      <c r="B52" s="84" t="inlineStr">
        <is>
          <t>Coop Home Goods</t>
        </is>
      </c>
      <c r="C52" s="32" t="inlineStr">
        <is>
          <t>Coop Home Goods Cool Side Pillowcase, Queen Size Cooling Pillow Case for Hot Sle</t>
        </is>
      </c>
      <c r="D52" s="84" t="inlineStr">
        <is>
          <t>Beatable</t>
        </is>
      </c>
      <c r="E52" s="84" t="inlineStr">
        <is>
          <t>B0DGH3JKZ5</t>
        </is>
      </c>
      <c r="F52" s="84" t="inlineStr">
        <is>
          <t>B08B448344</t>
        </is>
      </c>
      <c r="G52" s="84" t="inlineStr">
        <is>
          <t>Queen</t>
        </is>
      </c>
      <c r="H52" s="84" t="n"/>
      <c r="I52" s="85" t="n">
        <v>7</v>
      </c>
      <c r="J52" s="32" t="inlineStr">
        <is>
          <t>B0CQBCS63N (34%), B08B448344 (27%), B0CQB8LNYY (15%), B0CQB3P54Y (11%)</t>
        </is>
      </c>
      <c r="K52" s="86" t="n">
        <v>25.5</v>
      </c>
      <c r="L52" s="86" t="n"/>
      <c r="M52" s="87">
        <f>IF(AND(ISNUMBER(L52),ISNUMBER(K52),N(K52)&gt;0),L52/K52-1,"")</f>
        <v/>
      </c>
      <c r="N52" s="88">
        <f>IF(M52="","No List Price",IF(M52&lt;=0,"At/below price",IF(M52&lt;=0.12,"&lt;=12% STR zone",IF(M52&lt;=0.25,"12-25%","&gt;25% over"))))</f>
        <v/>
      </c>
      <c r="O52" s="86" t="n">
        <v>19.99</v>
      </c>
      <c r="P52" s="89">
        <f>IF(AND(ISNUMBER(K52),ISNUMBER(O52),N(O52)&gt;0),K52/O52-1,"")</f>
        <v/>
      </c>
      <c r="Q52" s="32" t="inlineStr">
        <is>
          <t>Same size (Queen). Ours live: Helium 10 Xray, 2026-10-13; 4 children</t>
        </is>
      </c>
      <c r="R52" s="85" t="n">
        <v>66369</v>
      </c>
      <c r="S52" s="85" t="n">
        <v>5</v>
      </c>
      <c r="T52" s="90">
        <f>IF(AND(ISNUMBER(K52),ISNUMBER(S52)),K52*S52*52/12,"")</f>
        <v/>
      </c>
      <c r="U52" s="91" t="n">
        <v>4.3</v>
      </c>
      <c r="V52" s="85" t="n">
        <v>1158</v>
      </c>
      <c r="W52" s="92" t="n">
        <v>46307</v>
      </c>
      <c r="X52" s="92" t="n"/>
      <c r="Y52" s="84" t="n"/>
      <c r="Z52" s="84" t="n"/>
      <c r="AA52" s="85" t="n">
        <v>26180</v>
      </c>
      <c r="AB52" s="85" t="n">
        <v>214</v>
      </c>
      <c r="AC52" s="93" t="n">
        <v>0.9925127425515661</v>
      </c>
      <c r="AD52" s="93" t="n">
        <v>0.00748725744843392</v>
      </c>
      <c r="AE52" s="32" t="inlineStr">
        <is>
          <t>coop pillow</t>
        </is>
      </c>
      <c r="AF52" s="93" t="n">
        <v>0.00385790679908327</v>
      </c>
      <c r="AG52" s="93" t="n"/>
      <c r="AH52" s="93" t="n"/>
      <c r="AI52" s="93" t="n"/>
      <c r="AJ52" s="85" t="n">
        <v>45</v>
      </c>
      <c r="AK52" s="85" t="n">
        <v>24</v>
      </c>
      <c r="AL52" s="85" t="n">
        <v>15</v>
      </c>
      <c r="AM52" s="85" t="n">
        <v>169</v>
      </c>
      <c r="AN52" s="85" t="n">
        <v>15</v>
      </c>
      <c r="AO52" s="85" t="n">
        <v>0</v>
      </c>
      <c r="AP52" s="94" t="n">
        <v>0.6264367816091955</v>
      </c>
      <c r="AQ52" s="89" t="n">
        <v>-0.07100591715976323</v>
      </c>
      <c r="AR52" s="95" t="inlineStr">
        <is>
          <t>Y</t>
        </is>
      </c>
      <c r="AS52" s="95" t="inlineStr">
        <is>
          <t>List Price</t>
        </is>
      </c>
      <c r="AT52" s="96" t="n">
        <v>30</v>
      </c>
      <c r="AU52" s="96" t="n">
        <v>25.5</v>
      </c>
      <c r="AV52" s="95" t="inlineStr">
        <is>
          <t>Limited time deal</t>
        </is>
      </c>
      <c r="AW52" s="95" t="inlineStr">
        <is>
          <t>Y</t>
        </is>
      </c>
      <c r="AX52" s="95" t="inlineStr">
        <is>
          <t>2026-10-13 23:38:02</t>
        </is>
      </c>
      <c r="AY52" s="97" t="inlineStr">
        <is>
          <t>Prime Exclusive Discount</t>
        </is>
      </c>
      <c r="AZ52" s="97" t="inlineStr">
        <is>
          <t>11-22 to 12-01</t>
        </is>
      </c>
      <c r="BA52" s="98" t="n">
        <v>30</v>
      </c>
      <c r="BB52" s="98" t="n">
        <v>24</v>
      </c>
      <c r="BC52" s="87">
        <f>IF(AND(ISNUMBER(BA52),ISNUMBER(BB52),N(BA52)&gt;0),1-BB52/BA52,"")</f>
        <v/>
      </c>
      <c r="BD52" s="99" t="n">
        <v>50852</v>
      </c>
      <c r="BE52" s="99" t="n">
        <v>45892</v>
      </c>
      <c r="BF52" s="100">
        <f>IF(AND(ISNUMBER(BD52),ISNUMBER(BE52),N(BE52)&gt;0),BD52/BE52,"")</f>
        <v/>
      </c>
      <c r="BG52" s="97" t="inlineStr">
        <is>
          <t>N</t>
        </is>
      </c>
      <c r="BH52" s="97" t="inlineStr">
        <is>
          <t>Lightning Deal 11-01 to 11-07; List Price $30.00</t>
        </is>
      </c>
    </row>
    <row r="53" ht="62" customHeight="1">
      <c r="A53" s="39" t="inlineStr">
        <is>
          <t>IMAGE MISSING</t>
        </is>
      </c>
      <c r="B53" s="84" t="inlineStr">
        <is>
          <t>Marchpower</t>
        </is>
      </c>
      <c r="C53" s="32" t="inlineStr">
        <is>
          <t>Marchpower Cooling Pillow Cases for Hot Sleepers, Japanese Arc Chill Cooling Pil</t>
        </is>
      </c>
      <c r="D53" s="84" t="inlineStr">
        <is>
          <t>Beatable</t>
        </is>
      </c>
      <c r="E53" s="84" t="inlineStr">
        <is>
          <t>B0CFY7SVV7</t>
        </is>
      </c>
      <c r="F53" s="84" t="inlineStr">
        <is>
          <t>B095GTMX4Y</t>
        </is>
      </c>
      <c r="G53" s="84" t="n"/>
      <c r="H53" s="84" t="n"/>
      <c r="I53" s="85" t="n">
        <v>9</v>
      </c>
      <c r="J53" s="32" t="inlineStr">
        <is>
          <t>B0BVB4W16P (75%), B08B7VPPND (24%)</t>
        </is>
      </c>
      <c r="K53" s="86" t="n">
        <v>19.99</v>
      </c>
      <c r="L53" s="86" t="n"/>
      <c r="M53" s="87">
        <f>IF(AND(ISNUMBER(L53),ISNUMBER(K53),N(K53)&gt;0),L53/K53-1,"")</f>
        <v/>
      </c>
      <c r="N53" s="88">
        <f>IF(M53="","No List Price",IF(M53&lt;=0,"At/below price",IF(M53&lt;=0.12,"&lt;=12% STR zone",IF(M53&lt;=0.25,"12-25%","&gt;25% over"))))</f>
        <v/>
      </c>
      <c r="O53" s="86" t="n">
        <v>19.99</v>
      </c>
      <c r="P53" s="89">
        <f>IF(AND(ISNUMBER(K53),ISNUMBER(O53),N(O53)&gt;0),K53/O53-1,"")</f>
        <v/>
      </c>
      <c r="Q53" s="32" t="inlineStr">
        <is>
          <t>Size not stated - vs our Queen. Ours live: Helium 10 Xray, 2026-10-13; 4 children</t>
        </is>
      </c>
      <c r="R53" s="85" t="n">
        <v>265537</v>
      </c>
      <c r="S53" s="85" t="n">
        <v>5</v>
      </c>
      <c r="T53" s="90">
        <f>IF(AND(ISNUMBER(K53),ISNUMBER(S53)),K53*S53*52/12,"")</f>
        <v/>
      </c>
      <c r="U53" s="91" t="n">
        <v>4.3</v>
      </c>
      <c r="V53" s="85" t="n">
        <v>1247</v>
      </c>
      <c r="W53" s="92" t="n">
        <v>46307</v>
      </c>
      <c r="X53" s="92" t="n"/>
      <c r="Y53" s="84" t="n"/>
      <c r="Z53" s="84" t="n"/>
      <c r="AA53" s="85" t="n">
        <v>5423</v>
      </c>
      <c r="AB53" s="85" t="n">
        <v>205</v>
      </c>
      <c r="AC53" s="93" t="n">
        <v>0.9321121519454174</v>
      </c>
      <c r="AD53" s="93" t="n">
        <v>0.06788784805458234</v>
      </c>
      <c r="AE53" s="32" t="inlineStr">
        <is>
          <t>cooling pillow cases</t>
        </is>
      </c>
      <c r="AF53" s="93" t="n">
        <v>0.7855430573483312</v>
      </c>
      <c r="AG53" s="93" t="n"/>
      <c r="AH53" s="93" t="n"/>
      <c r="AI53" s="93" t="n"/>
      <c r="AJ53" s="85" t="n">
        <v>82</v>
      </c>
      <c r="AK53" s="85" t="n">
        <v>46</v>
      </c>
      <c r="AL53" s="85" t="n">
        <v>20</v>
      </c>
      <c r="AM53" s="85" t="n">
        <v>123</v>
      </c>
      <c r="AN53" s="85" t="n">
        <v>41</v>
      </c>
      <c r="AO53" s="85" t="n">
        <v>0</v>
      </c>
      <c r="AP53" s="94" t="n"/>
      <c r="AQ53" s="89" t="n"/>
      <c r="AR53" s="95" t="inlineStr">
        <is>
          <t>N</t>
        </is>
      </c>
      <c r="AS53" s="95" t="inlineStr">
        <is>
          <t>none</t>
        </is>
      </c>
      <c r="AT53" s="101" t="n"/>
      <c r="AU53" s="96" t="n">
        <v>19.99</v>
      </c>
      <c r="AV53" s="95" t="inlineStr">
        <is>
          <t>none</t>
        </is>
      </c>
      <c r="AW53" s="95" t="inlineStr">
        <is>
          <t>Y</t>
        </is>
      </c>
      <c r="AX53" s="95" t="inlineStr">
        <is>
          <t>2026-10-13 23:38:52</t>
        </is>
      </c>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10">
        <f>_xlfn.IMAGE("https://images-na.ssl-images-amazon.com/images/I/71JIe-f4CUL.jpg")</f>
        <v/>
      </c>
      <c r="B54" s="84" t="inlineStr">
        <is>
          <t>Rifens</t>
        </is>
      </c>
      <c r="C54" s="32" t="inlineStr">
        <is>
          <t>Ice Cooling Pillowcase for Hot Sleepers, Instantly Cool, Stay Cold All Night, Softer Than Silk Pillow Cases, Pillow Covers with Invisible Zipper, Gift for Men &amp; Women - Standard, Light Gray (1 Pack)</t>
        </is>
      </c>
      <c r="D54" s="84" t="inlineStr">
        <is>
          <t>Beatable</t>
        </is>
      </c>
      <c r="E54" s="84" t="inlineStr">
        <is>
          <t>B0DJ933TY2</t>
        </is>
      </c>
      <c r="F54" s="84" t="inlineStr">
        <is>
          <t>B0DJ933TY2</t>
        </is>
      </c>
      <c r="G54" s="84" t="inlineStr">
        <is>
          <t>Standard</t>
        </is>
      </c>
      <c r="H54" s="84" t="inlineStr">
        <is>
          <t>Gray</t>
        </is>
      </c>
      <c r="I54" s="85" t="n">
        <v>1</v>
      </c>
      <c r="J54" s="32" t="inlineStr">
        <is>
          <t>B0DJ933TY2 (100%)</t>
        </is>
      </c>
      <c r="K54" s="86" t="n">
        <v>18.99</v>
      </c>
      <c r="L54" s="86" t="n"/>
      <c r="M54" s="87">
        <f>IF(AND(ISNUMBER(L54),ISNUMBER(K54),N(K54)&gt;0),L54/K54-1,"")</f>
        <v/>
      </c>
      <c r="N54" s="88">
        <f>IF(M54="","No List Price",IF(M54&lt;=0,"At/below price",IF(M54&lt;=0.12,"&lt;=12% STR zone",IF(M54&lt;=0.25,"12-25%","&gt;25% over"))))</f>
        <v/>
      </c>
      <c r="O54" s="86" t="n">
        <v>17.99</v>
      </c>
      <c r="P54" s="89">
        <f>IF(AND(ISNUMBER(K54),ISNUMBER(O54),N(O54)&gt;0),K54/O54-1,"")</f>
        <v/>
      </c>
      <c r="Q54" s="32" t="inlineStr">
        <is>
          <t>Same size (Standard). Ours live: Helium 10 Xray, 2026-10-13; 4 children</t>
        </is>
      </c>
      <c r="R54" s="85" t="n">
        <v>519777</v>
      </c>
      <c r="S54" s="85" t="n">
        <v>5</v>
      </c>
      <c r="T54" s="90">
        <f>IF(AND(ISNUMBER(K54),ISNUMBER(S54)),K54*S54*52/12,"")</f>
        <v/>
      </c>
      <c r="U54" s="91" t="n">
        <v>4.6</v>
      </c>
      <c r="V54" s="85" t="n">
        <v>219</v>
      </c>
      <c r="W54" s="92" t="n">
        <v>46307</v>
      </c>
      <c r="X54" s="92" t="n">
        <v>45565</v>
      </c>
      <c r="Y54" s="84" t="inlineStr">
        <is>
          <t>FBM</t>
        </is>
      </c>
      <c r="Z54" s="84" t="inlineStr">
        <is>
          <t>N/A</t>
        </is>
      </c>
      <c r="AA54" s="85" t="n">
        <v>8663</v>
      </c>
      <c r="AB54" s="85" t="n">
        <v>164</v>
      </c>
      <c r="AC54" s="93" t="n">
        <v>1</v>
      </c>
      <c r="AD54" s="93" t="n">
        <v>0</v>
      </c>
      <c r="AE54" s="32" t="inlineStr">
        <is>
          <t>cooling pillow cases</t>
        </is>
      </c>
      <c r="AF54" s="93" t="n"/>
      <c r="AG54" s="93" t="n"/>
      <c r="AH54" s="93" t="n"/>
      <c r="AI54" s="93" t="n">
        <v>0.02297125707029897</v>
      </c>
      <c r="AJ54" s="85" t="n">
        <v>56</v>
      </c>
      <c r="AK54" s="85" t="n">
        <v>28</v>
      </c>
      <c r="AL54" s="85" t="n">
        <v>20</v>
      </c>
      <c r="AM54" s="85" t="n">
        <v>108</v>
      </c>
      <c r="AN54" s="85" t="n">
        <v>0</v>
      </c>
      <c r="AO54" s="85" t="n">
        <v>0</v>
      </c>
      <c r="AP54" s="94" t="n"/>
      <c r="AQ54" s="89" t="n"/>
      <c r="AR54" s="95" t="inlineStr">
        <is>
          <t>N</t>
        </is>
      </c>
      <c r="AS54" s="95" t="inlineStr">
        <is>
          <t>none</t>
        </is>
      </c>
      <c r="AT54" s="101" t="n"/>
      <c r="AU54" s="101" t="n"/>
      <c r="AV54" s="95" t="inlineStr">
        <is>
          <t>none</t>
        </is>
      </c>
      <c r="AW54" s="95" t="inlineStr">
        <is>
          <t>N</t>
        </is>
      </c>
      <c r="AX54" s="95" t="inlineStr">
        <is>
          <t>2026-10-13 23:39:10</t>
        </is>
      </c>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39" t="inlineStr">
        <is>
          <t>IMAGE MISSING</t>
        </is>
      </c>
      <c r="B55" s="84" t="inlineStr">
        <is>
          <t>Topcee</t>
        </is>
      </c>
      <c r="C55" s="32" t="inlineStr">
        <is>
          <t>Topcee Cooling Pillowcases, 2 Packs Queen Size Arc-Chill Q-Max&gt;0.5 Ultra Soft Co</t>
        </is>
      </c>
      <c r="D55" s="84" t="inlineStr">
        <is>
          <t>Beatable</t>
        </is>
      </c>
      <c r="E55" s="84" t="inlineStr">
        <is>
          <t>B0BR9J5DGW</t>
        </is>
      </c>
      <c r="F55" s="84" t="inlineStr">
        <is>
          <t>B0BR9J5DGW</t>
        </is>
      </c>
      <c r="G55" s="84" t="inlineStr">
        <is>
          <t>Queen</t>
        </is>
      </c>
      <c r="H55" s="84" t="n"/>
      <c r="I55" s="85" t="n"/>
      <c r="J55" s="32" t="inlineStr"/>
      <c r="K55" s="86" t="n">
        <v>18.95</v>
      </c>
      <c r="L55" s="86" t="n"/>
      <c r="M55" s="87">
        <f>IF(AND(ISNUMBER(L55),ISNUMBER(K55),N(K55)&gt;0),L55/K55-1,"")</f>
        <v/>
      </c>
      <c r="N55" s="88">
        <f>IF(M55="","No List Price",IF(M55&lt;=0,"At/below price",IF(M55&lt;=0.12,"&lt;=12% STR zone",IF(M55&lt;=0.25,"12-25%","&gt;25% over"))))</f>
        <v/>
      </c>
      <c r="O55" s="86" t="n">
        <v>19.99</v>
      </c>
      <c r="P55" s="89">
        <f>IF(AND(ISNUMBER(K55),ISNUMBER(O55),N(O55)&gt;0),K55/O55-1,"")</f>
        <v/>
      </c>
      <c r="Q55" s="32" t="inlineStr">
        <is>
          <t>Same size (Queen). Ours live: Helium 10 Xray, 2026-10-13; 4 children</t>
        </is>
      </c>
      <c r="R55" s="85" t="n">
        <v>1292801</v>
      </c>
      <c r="S55" s="85" t="n">
        <v>5</v>
      </c>
      <c r="T55" s="90">
        <f>IF(AND(ISNUMBER(K55),ISNUMBER(S55)),K55*S55*52/12,"")</f>
        <v/>
      </c>
      <c r="U55" s="91" t="n">
        <v>4.2</v>
      </c>
      <c r="V55" s="85" t="n">
        <v>227</v>
      </c>
      <c r="W55" s="92" t="n">
        <v>46307</v>
      </c>
      <c r="X55" s="92" t="n"/>
      <c r="Y55" s="84" t="n"/>
      <c r="Z55" s="84" t="n"/>
      <c r="AA55" s="85" t="n"/>
      <c r="AB55" s="85" t="n"/>
      <c r="AC55" s="93" t="n"/>
      <c r="AD55" s="93" t="n"/>
      <c r="AE55" s="32" t="n"/>
      <c r="AF55" s="93" t="n"/>
      <c r="AG55" s="93" t="n"/>
      <c r="AH55" s="93" t="n"/>
      <c r="AI55" s="93" t="n"/>
      <c r="AJ55" s="85" t="n"/>
      <c r="AK55" s="85" t="n"/>
      <c r="AL55" s="85" t="n"/>
      <c r="AM55" s="85" t="n"/>
      <c r="AN55" s="85" t="n"/>
      <c r="AO55" s="85" t="n"/>
      <c r="AP55" s="94" t="n"/>
      <c r="AQ55" s="89" t="n"/>
      <c r="AR55" s="95" t="inlineStr">
        <is>
          <t>N</t>
        </is>
      </c>
      <c r="AS55" s="95" t="inlineStr">
        <is>
          <t>none</t>
        </is>
      </c>
      <c r="AT55" s="101" t="n"/>
      <c r="AU55" s="101" t="n"/>
      <c r="AV55" s="95" t="inlineStr">
        <is>
          <t>none</t>
        </is>
      </c>
      <c r="AW55" s="95" t="inlineStr">
        <is>
          <t>N</t>
        </is>
      </c>
      <c r="AX55" s="95" t="inlineStr">
        <is>
          <t>2026-10-13 23:39:16</t>
        </is>
      </c>
      <c r="AY55" s="102" t="n"/>
      <c r="AZ55" s="102" t="n"/>
      <c r="BA55" s="101" t="n"/>
      <c r="BB55" s="101" t="n"/>
      <c r="BC55" s="87">
        <f>IF(AND(ISNUMBER(BA55),ISNUMBER(BB55),N(BA55)&gt;0),1-BB55/BA55,"")</f>
        <v/>
      </c>
      <c r="BD55" s="103" t="n"/>
      <c r="BE55" s="103" t="n"/>
      <c r="BF55" s="100">
        <f>IF(AND(ISNUMBER(BD55),ISNUMBER(BE55),N(BE55)&gt;0),BD55/BE55,"")</f>
        <v/>
      </c>
      <c r="BG55" s="102" t="n"/>
      <c r="BH55" s="102" t="n"/>
    </row>
    <row r="56" ht="62" customHeight="1">
      <c r="A56" s="10">
        <f>_xlfn.IMAGE("https://images-na.ssl-images-amazon.com/images/I/81fWRYUTfVL.jpg")</f>
        <v/>
      </c>
      <c r="B56" s="84" t="inlineStr">
        <is>
          <t>Niagara Sleep Solution</t>
        </is>
      </c>
      <c r="C56" s="32" t="inlineStr">
        <is>
          <t>Niagara Set of 2 Cooling Pillow Cases Standard Size, CoolSpan™ Technology Q-Max 0.4 Cooling Pillowcases for Hot Sleepers, Hidden Zipper Pillow Covers, Soft, Anti-Static (20x26'') - Light Grey</t>
        </is>
      </c>
      <c r="D56" s="84" t="inlineStr">
        <is>
          <t>Poor</t>
        </is>
      </c>
      <c r="E56" s="84" t="inlineStr">
        <is>
          <t>B0CZB5B67X</t>
        </is>
      </c>
      <c r="F56" s="84" t="inlineStr">
        <is>
          <t>B0CZB5B67X</t>
        </is>
      </c>
      <c r="G56" s="84" t="inlineStr">
        <is>
          <t>Standard</t>
        </is>
      </c>
      <c r="H56" s="84" t="inlineStr">
        <is>
          <t>Grey</t>
        </is>
      </c>
      <c r="I56" s="85" t="n">
        <v>1</v>
      </c>
      <c r="J56" s="32" t="inlineStr"/>
      <c r="K56" s="86" t="n">
        <v>14.6</v>
      </c>
      <c r="L56" s="86" t="n"/>
      <c r="M56" s="87">
        <f>IF(AND(ISNUMBER(L56),ISNUMBER(K56),N(K56)&gt;0),L56/K56-1,"")</f>
        <v/>
      </c>
      <c r="N56" s="88">
        <f>IF(M56="","No List Price",IF(M56&lt;=0,"At/below price",IF(M56&lt;=0.12,"&lt;=12% STR zone",IF(M56&lt;=0.25,"12-25%","&gt;25% over"))))</f>
        <v/>
      </c>
      <c r="O56" s="86" t="n">
        <v>17.99</v>
      </c>
      <c r="P56" s="89">
        <f>IF(AND(ISNUMBER(K56),ISNUMBER(O56),N(O56)&gt;0),K56/O56-1,"")</f>
        <v/>
      </c>
      <c r="Q56" s="32" t="inlineStr">
        <is>
          <t>Same size (Standard). Ours live: Helium 10 Xray, 2026-10-13; 4 children</t>
        </is>
      </c>
      <c r="R56" s="85" t="n">
        <v>1393717</v>
      </c>
      <c r="S56" s="85" t="n">
        <v>5</v>
      </c>
      <c r="T56" s="90">
        <f>IF(AND(ISNUMBER(K56),ISNUMBER(S56)),K56*S56*52/12,"")</f>
        <v/>
      </c>
      <c r="U56" s="91" t="n">
        <v>4.4</v>
      </c>
      <c r="V56" s="85" t="n">
        <v>109</v>
      </c>
      <c r="W56" s="92" t="n">
        <v>46307</v>
      </c>
      <c r="X56" s="92" t="n">
        <v>45379</v>
      </c>
      <c r="Y56" s="84" t="inlineStr">
        <is>
          <t>FBM</t>
        </is>
      </c>
      <c r="Z56" s="84" t="inlineStr">
        <is>
          <t>N/A</t>
        </is>
      </c>
      <c r="AA56" s="85" t="n"/>
      <c r="AB56" s="85" t="n"/>
      <c r="AC56" s="93" t="n"/>
      <c r="AD56" s="93" t="n"/>
      <c r="AE56" s="32" t="n"/>
      <c r="AF56" s="93" t="n"/>
      <c r="AG56" s="93" t="n"/>
      <c r="AH56" s="93" t="n"/>
      <c r="AI56" s="93" t="n"/>
      <c r="AJ56" s="85" t="n"/>
      <c r="AK56" s="85" t="n"/>
      <c r="AL56" s="85" t="n"/>
      <c r="AM56" s="85" t="n"/>
      <c r="AN56" s="85" t="n"/>
      <c r="AO56" s="85" t="n"/>
      <c r="AP56" s="94" t="n"/>
      <c r="AQ56" s="89" t="n"/>
      <c r="AR56" s="95" t="inlineStr">
        <is>
          <t>N</t>
        </is>
      </c>
      <c r="AS56" s="95" t="inlineStr">
        <is>
          <t>none</t>
        </is>
      </c>
      <c r="AT56" s="101" t="n"/>
      <c r="AU56" s="101" t="n"/>
      <c r="AV56" s="95" t="inlineStr">
        <is>
          <t>none</t>
        </is>
      </c>
      <c r="AW56" s="95" t="inlineStr">
        <is>
          <t>N</t>
        </is>
      </c>
      <c r="AX56" s="95" t="inlineStr">
        <is>
          <t>2026-10-13 23:38:55</t>
        </is>
      </c>
      <c r="AY56" s="102" t="n"/>
      <c r="AZ56" s="102" t="n"/>
      <c r="BA56" s="101" t="n"/>
      <c r="BB56" s="101" t="n"/>
      <c r="BC56" s="87">
        <f>IF(AND(ISNUMBER(BA56),ISNUMBER(BB56),N(BA56)&gt;0),1-BB56/BA56,"")</f>
        <v/>
      </c>
      <c r="BD56" s="103" t="n"/>
      <c r="BE56" s="103" t="n"/>
      <c r="BF56" s="100">
        <f>IF(AND(ISNUMBER(BD56),ISNUMBER(BE56),N(BE56)&gt;0),BD56/BE56,"")</f>
        <v/>
      </c>
      <c r="BG56" s="102" t="n"/>
      <c r="BH56" s="102" t="n"/>
    </row>
    <row r="58" ht="20" customHeight="1">
      <c r="A58" s="54" t="inlineStr">
        <is>
          <t>5 · WHAT THIS MEANS FOR BFCM</t>
        </is>
      </c>
    </row>
    <row r="59" ht="30" customHeight="1">
      <c r="A59" s="104" t="inlineStr">
        <is>
          <t>•  Who sells most: REST ~208/wk at $59.25 (List $79.00, +33%); Avolare ~173/wk at $15.99 (List $19.99, +25%); CHOSHOME ~104/wk at $14.60; HOMFINE ~81/wk at $11.99; Elegear ~35/wk at $16.88. Tracked rivals ~737 units/wk; we sell ~78/wk (9.5% of the tracked set).</t>
        </is>
      </c>
    </row>
    <row r="60" ht="18" customHeight="1">
      <c r="A60" s="104" t="inlineStr">
        <is>
          <t>•  Strikethrough: 3 of 15 rivals set a List Price above price; 0 within 12%.</t>
        </is>
      </c>
    </row>
    <row r="61" ht="18" customHeight="1">
      <c r="A61" s="104" t="inlineStr">
        <is>
          <t>•  Price: 9 of 15 rivals sit below our price today (same size where the title states one). Cheapest strong rivals: HOMFINE $11.99, CHOSHOME $14.60, LUXEAR $15.95, Avolare $15.99.</t>
        </is>
      </c>
    </row>
    <row r="62" ht="30" customHeight="1">
      <c r="A62" s="104" t="inlineStr">
        <is>
          <t>•  Strikethrough on the page today (Oct 13 check): 4 of 14 checked rivals show one: Elegear List Price $18.75 vs $16.88 (+11%), REST List Price $79.00 vs $59.25 (+33%), HOMFINE Typical price $12.99 vs $9.99 (+30%), Coop Home Goods List Price $30.00 vs $25.50 (+18%) with deal.</t>
        </is>
      </c>
    </row>
    <row r="63" ht="30" customHeight="1">
      <c r="A63" s="104" t="inlineStr">
        <is>
          <t>•  Search: we lose most shared keywords to REST (we win 59, lose 179), Bedsure (we win 97, lose 98), HOMFINE (we win 102, lose 82). Biggest ad gaps (they advertise where we don't or harder): REST 1,936 + 11 KWs, Bedsure 780 + 4 KWs, Breescape 459 + 10 KWs.</t>
        </is>
      </c>
    </row>
    <row r="64" ht="30" customHeight="1">
      <c r="A64" s="104" t="inlineStr">
        <is>
          <t>•  Brand ads: REST (SB 92%, SBV 61%), Breescape (SB 68%, SBV 62%), Fittia (SB 58%, SBV 0%), Bedsure (SB 65%, SBV 0%) hold Sponsored Brands / video on most of their traffic - the plan has our SB, SBV and display live by Nov 1.</t>
        </is>
      </c>
    </row>
    <row r="65" ht="30" customHeight="1">
      <c r="A65" s="104" t="inlineStr">
        <is>
          <t>•  BFCM 2025, 5 rivals with Keepa history: Prime Exclusive Discount 4, None 1. Median depth vs their Nov 1-19 price 15%; median BSR lift 1.03x. 1 raised their Buy Box in BFCM week, so their deal looked deeper than it was.</t>
        </is>
      </c>
    </row>
    <row r="66" ht="18" customHeight="1">
      <c r="A66" s="104" t="inlineStr">
        <is>
          <t>•  10 rivals not in the Keepa pulls yet (yellow BFCM 2025 columns) - remaining P2 batches, AGENT_PROMPTS Prompt 2.</t>
        </is>
      </c>
    </row>
  </sheetData>
  <autoFilter ref="B41:BH56"/>
  <mergeCells count="63">
    <mergeCell ref="A15:BH15"/>
    <mergeCell ref="A59:BH59"/>
    <mergeCell ref="A64:BH64"/>
    <mergeCell ref="L5:Q5"/>
    <mergeCell ref="A58:BH58"/>
    <mergeCell ref="A36:BH36"/>
    <mergeCell ref="A60:BH60"/>
    <mergeCell ref="A1:BH1"/>
    <mergeCell ref="Q11:T11"/>
    <mergeCell ref="L8:Q8"/>
    <mergeCell ref="A61:BH61"/>
    <mergeCell ref="AY40:BH40"/>
    <mergeCell ref="L4:Q4"/>
    <mergeCell ref="D7:I7"/>
    <mergeCell ref="A13:D13"/>
    <mergeCell ref="I13:L13"/>
    <mergeCell ref="A65:BH65"/>
    <mergeCell ref="A33:C33"/>
    <mergeCell ref="A16:BH16"/>
    <mergeCell ref="D4:I4"/>
    <mergeCell ref="L10:Q10"/>
    <mergeCell ref="E12:H12"/>
    <mergeCell ref="Q13:T13"/>
    <mergeCell ref="A32:C32"/>
    <mergeCell ref="AA40:AQ40"/>
    <mergeCell ref="D9:I9"/>
    <mergeCell ref="A66:BH66"/>
    <mergeCell ref="U12:X12"/>
    <mergeCell ref="L9:Q9"/>
    <mergeCell ref="Q12:T12"/>
    <mergeCell ref="A11:D11"/>
    <mergeCell ref="A35:C35"/>
    <mergeCell ref="I11:L11"/>
    <mergeCell ref="A3:BH3"/>
    <mergeCell ref="L6:Q6"/>
    <mergeCell ref="D8:I8"/>
    <mergeCell ref="A4:B9"/>
    <mergeCell ref="T6:Y6"/>
    <mergeCell ref="D5:I5"/>
    <mergeCell ref="M11:P11"/>
    <mergeCell ref="U11:X11"/>
    <mergeCell ref="A34:C34"/>
    <mergeCell ref="A62:BH62"/>
    <mergeCell ref="E13:H13"/>
    <mergeCell ref="A40:H40"/>
    <mergeCell ref="X40:Z40"/>
    <mergeCell ref="D10:I10"/>
    <mergeCell ref="L7:Q7"/>
    <mergeCell ref="T5:Y5"/>
    <mergeCell ref="A38:BH38"/>
    <mergeCell ref="A63:BH63"/>
    <mergeCell ref="A12:D12"/>
    <mergeCell ref="M13:P13"/>
    <mergeCell ref="K40:W40"/>
    <mergeCell ref="I12:L12"/>
    <mergeCell ref="U13:X13"/>
    <mergeCell ref="AR40:AX40"/>
    <mergeCell ref="M12:P12"/>
    <mergeCell ref="T4:Y4"/>
    <mergeCell ref="A31:BH31"/>
    <mergeCell ref="D6:I6"/>
    <mergeCell ref="E11:H11"/>
    <mergeCell ref="A39:BH39"/>
  </mergeCells>
  <conditionalFormatting sqref="N42:N56">
    <cfRule type="expression" priority="1" dxfId="1">
      <formula>N42="&lt;=12% STR zone"</formula>
    </cfRule>
  </conditionalFormatting>
  <conditionalFormatting sqref="W42:W56">
    <cfRule type="expression" priority="2" dxfId="0">
      <formula>AND(ISNUMBER(W42),W42&lt;DATE(2026,10,6))</formula>
    </cfRule>
  </conditionalFormatting>
  <conditionalFormatting sqref="Q42:Q56">
    <cfRule type="expression" priority="3" dxfId="0">
      <formula>ISNUMBER(SEARCH("STALE",Q42))</formula>
    </cfRule>
  </conditionalFormatting>
  <conditionalFormatting sqref="P42:P56">
    <cfRule type="expression" priority="4" dxfId="0">
      <formula>AND(ISNUMBER(P42),P42&lt;0)</formula>
    </cfRule>
  </conditionalFormatting>
  <dataValidations count="3">
    <dataValidation sqref="AR42:AR56 BG42:BG56" showDropDown="0" showInputMessage="0" showErrorMessage="0" allowBlank="1" type="list">
      <formula1>"Y,N"</formula1>
    </dataValidation>
    <dataValidation sqref="AS42:AS56" showDropDown="0" showInputMessage="0" showErrorMessage="0" allowBlank="1" type="list">
      <formula1>"List Price,Typical price,Was price,None"</formula1>
    </dataValidation>
    <dataValidation sqref="AY42:AY5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0.xml><?xml version="1.0" encoding="utf-8"?>
<worksheet xmlns="http://schemas.openxmlformats.org/spreadsheetml/2006/main">
  <sheetPr>
    <outlinePr summaryBelow="1" summaryRight="1"/>
    <pageSetUpPr/>
  </sheetPr>
  <dimension ref="A1:BH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Pillowcases  ·  Amazon.com (US)  ·  Cooling  ·  BFCM role: Off-season  ·  Scope: Core</t>
        </is>
      </c>
    </row>
    <row r="2">
      <c r="A2" s="53" t="inlineStr">
        <is>
          <t>← Dashboard</t>
        </is>
      </c>
    </row>
    <row r="3" ht="20" customHeight="1">
      <c r="A3" s="54" t="inlineStr">
        <is>
          <t>1 · OUR PRODUCT</t>
        </is>
      </c>
    </row>
    <row r="4" ht="34" customHeight="1">
      <c r="A4" s="10">
        <f>_xlfn.IMAGE("https://images-na.ssl-images-amazon.com/images/I/71Y1j274VYL.jpg")</f>
        <v/>
      </c>
      <c r="C4" s="11" t="inlineStr">
        <is>
          <t>Title</t>
        </is>
      </c>
      <c r="D4" s="12" t="inlineStr">
        <is>
          <t>SLEEPHORIA Cooling Pillow Cases - BreezeWeave Queen Size Set of 2 Pillowcases for Hot Sleepers &amp; Cool, Deep Rest - Cloud Soft, Silky Smooth, Ultra Durable, Easy Care, Hidden Zipper (Blue)</t>
        </is>
      </c>
      <c r="K4" s="11" t="inlineStr">
        <is>
          <t>Sizes</t>
        </is>
      </c>
      <c r="L4" s="55" t="inlineStr">
        <is>
          <t>King, Queen, Standard</t>
        </is>
      </c>
      <c r="S4" s="11" t="inlineStr">
        <is>
          <t>Break-even ACoS</t>
        </is>
      </c>
      <c r="T4" s="55" t="inlineStr">
        <is>
          <t>33%</t>
        </is>
      </c>
    </row>
    <row r="5" ht="22" customHeight="1">
      <c r="C5" s="11" t="inlineStr">
        <is>
          <t>Brand</t>
        </is>
      </c>
      <c r="D5" s="55" t="inlineStr">
        <is>
          <t>Sleephoria</t>
        </is>
      </c>
      <c r="K5" s="11" t="inlineStr">
        <is>
          <t>Colours</t>
        </is>
      </c>
      <c r="L5" s="55" t="inlineStr">
        <is>
          <t>Blue, Dark Grey, Light Grey, White</t>
        </is>
      </c>
      <c r="S5" s="11" t="inlineStr">
        <is>
          <t>Units last 28 days</t>
        </is>
      </c>
      <c r="T5" s="55" t="inlineStr">
        <is>
          <t>54</t>
        </is>
      </c>
    </row>
    <row r="6" ht="22" customHeight="1">
      <c r="C6" s="11" t="inlineStr">
        <is>
          <t>Marketplace</t>
        </is>
      </c>
      <c r="D6" s="55" t="inlineStr">
        <is>
          <t>Amazon.com (US)</t>
        </is>
      </c>
      <c r="K6" s="11" t="inlineStr">
        <is>
          <t>Price now, best child</t>
        </is>
      </c>
      <c r="L6" s="55" t="inlineStr">
        <is>
          <t>$21.99 (SellerBoard listing price, 2026-10-14)</t>
        </is>
      </c>
      <c r="S6" s="11" t="inlineStr">
        <is>
          <t>Command Center product ASIN</t>
        </is>
      </c>
      <c r="T6" s="55" t="inlineStr">
        <is>
          <t>B0F7LLMXSR (one of our child ASINs, not the Amazon parent)</t>
        </is>
      </c>
    </row>
    <row r="7" ht="22" customHeight="1">
      <c r="C7" s="11" t="inlineStr">
        <is>
          <t>Parent ASIN (Amazon)</t>
        </is>
      </c>
      <c r="D7" s="55" t="inlineStr">
        <is>
          <t>B0FTSVDG77</t>
        </is>
      </c>
      <c r="K7" s="11" t="inlineStr">
        <is>
          <t>Rating / reviews now</t>
        </is>
      </c>
      <c r="L7" s="55" t="inlineStr">
        <is>
          <t>Not checked yet</t>
        </is>
      </c>
    </row>
    <row r="8" ht="22" customHeight="1">
      <c r="C8" s="11" t="inlineStr">
        <is>
          <t>Best-selling child ASIN</t>
        </is>
      </c>
      <c r="D8" s="55" t="inlineStr">
        <is>
          <t>B0F7LJS3N2</t>
        </is>
      </c>
      <c r="K8" s="11" t="inlineStr">
        <is>
          <t>Live prices held</t>
        </is>
      </c>
      <c r="L8" s="55" t="inlineStr">
        <is>
          <t>12 of 12 variations</t>
        </is>
      </c>
    </row>
    <row r="9" ht="22" customHeight="1">
      <c r="C9" s="11" t="inlineStr">
        <is>
          <t>Stage</t>
        </is>
      </c>
      <c r="D9" s="55" t="inlineStr">
        <is>
          <t>Re-Launch</t>
        </is>
      </c>
      <c r="K9" s="11" t="inlineStr">
        <is>
          <t>Blended price (Command Center)</t>
        </is>
      </c>
      <c r="L9" s="55" t="inlineStr">
        <is>
          <t>$20.88 - fee feed as of 2026-03-30, STALE</t>
        </is>
      </c>
    </row>
    <row r="10">
      <c r="C10" s="11" t="inlineStr">
        <is>
          <t>Total variations (SKUs)</t>
        </is>
      </c>
      <c r="D10" s="55" t="n">
        <v>12</v>
      </c>
      <c r="K10" s="11" t="inlineStr">
        <is>
          <t>Contribution / unit</t>
        </is>
      </c>
      <c r="L10" s="55" t="inlineStr">
        <is>
          <t>$6.88</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0.77x</t>
        </is>
      </c>
      <c r="E12" s="57" t="inlineStr">
        <is>
          <t>n/a</t>
        </is>
      </c>
      <c r="I12" s="57" t="inlineStr">
        <is>
          <t>0.64x</t>
        </is>
      </c>
      <c r="M12" s="57" t="inlineStr">
        <is>
          <t>21</t>
        </is>
      </c>
      <c r="Q12" s="57" t="inlineStr">
        <is>
          <t>14</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_xlfn.IMAGE("https://m.media-amazon.com/images/I/81Xy+KUC6XL.jpg")</f>
        <v/>
      </c>
      <c r="B18" s="32" t="inlineStr">
        <is>
          <t>B0F7LM5KWC</t>
        </is>
      </c>
      <c r="C18" s="32" t="inlineStr">
        <is>
          <t>SL-CLG-PC-LIGHT-GREY-KING-2PCS</t>
        </is>
      </c>
      <c r="D18" s="32" t="inlineStr">
        <is>
          <t>SLEEPHORIA Cooling Pillow Cases - BreezeWeave King Size Set of 2 Pillowcases for Hot Sleepers &amp; Cool, Deep Rest - Cloud Soft, Silky Smooth, Ultra Durable, Easy Care, Hidden Zipper (Light Grey)</t>
        </is>
      </c>
      <c r="E18" s="32" t="inlineStr">
        <is>
          <t>King</t>
        </is>
      </c>
      <c r="F18" s="32" t="inlineStr">
        <is>
          <t>Light Grey</t>
        </is>
      </c>
      <c r="G18" s="60" t="n">
        <v>23.99</v>
      </c>
      <c r="H18" s="32" t="inlineStr">
        <is>
          <t>Helium 10 Xray, 2026-10-13</t>
        </is>
      </c>
      <c r="I18" s="61" t="n">
        <v>19.99</v>
      </c>
      <c r="J18" s="62" t="inlineStr">
        <is>
          <t>2026-03-30</t>
        </is>
      </c>
      <c r="K18" s="33" t="n">
        <v>6.719999999999998</v>
      </c>
      <c r="L18" s="63" t="n">
        <v>0.3361680840420209</v>
      </c>
      <c r="M18" s="64" t="n">
        <v>18</v>
      </c>
      <c r="N18" s="32" t="inlineStr">
        <is>
          <t>Active</t>
        </is>
      </c>
      <c r="O18" s="32" t="inlineStr">
        <is>
          <t>Yes (42%)</t>
        </is>
      </c>
      <c r="P18" s="65" t="n">
        <v>4.5</v>
      </c>
      <c r="Q18" s="64" t="n">
        <v>491</v>
      </c>
      <c r="R18" s="64" t="n">
        <v>521501</v>
      </c>
      <c r="S18" s="64" t="n">
        <v>6</v>
      </c>
      <c r="T18" s="32" t="n"/>
    </row>
    <row r="19" ht="62" customHeight="1">
      <c r="A19" s="10">
        <f>_xlfn.IMAGE("https://m.media-amazon.com/images/I/81Fvoa6klwL.jpg")</f>
        <v/>
      </c>
      <c r="B19" s="32" t="inlineStr">
        <is>
          <t>B0F7LKTKKS</t>
        </is>
      </c>
      <c r="C19" s="32" t="inlineStr">
        <is>
          <t>SL-CLG-PC-WHITE-QUEEN-2PCS</t>
        </is>
      </c>
      <c r="D19" s="32" t="inlineStr">
        <is>
          <t>SLEEPHORIA Cooling Pillow Cases - BreezeWeave Queen Size Set of 2 Pillowcases for Hot Sleepers &amp; Cool, Deep Rest - Cloud Soft, Silky Smooth, Ultra Durable, Easy Care, Hidden Zipper (White)</t>
        </is>
      </c>
      <c r="E19" s="32" t="inlineStr">
        <is>
          <t>Queen</t>
        </is>
      </c>
      <c r="F19" s="32" t="inlineStr">
        <is>
          <t>White</t>
        </is>
      </c>
      <c r="G19" s="60" t="n">
        <v>21.99</v>
      </c>
      <c r="H19" s="32" t="inlineStr">
        <is>
          <t>Helium 10 Xray, 2026-10-13</t>
        </is>
      </c>
      <c r="I19" s="61" t="n">
        <v>24.99</v>
      </c>
      <c r="J19" s="62" t="inlineStr">
        <is>
          <t>2026-03-30</t>
        </is>
      </c>
      <c r="K19" s="33" t="n">
        <v>10.74</v>
      </c>
      <c r="L19" s="63" t="n">
        <v>0.4297719087635054</v>
      </c>
      <c r="M19" s="64" t="n">
        <v>16</v>
      </c>
      <c r="N19" s="32" t="inlineStr">
        <is>
          <t>Active</t>
        </is>
      </c>
      <c r="O19" s="32" t="n"/>
      <c r="P19" s="65" t="n">
        <v>4.5</v>
      </c>
      <c r="Q19" s="64" t="n">
        <v>491</v>
      </c>
      <c r="R19" s="64" t="n">
        <v>521501</v>
      </c>
      <c r="S19" s="64" t="n">
        <v>15</v>
      </c>
      <c r="T19" s="32" t="n"/>
    </row>
    <row r="20" ht="62" customHeight="1">
      <c r="A20" s="10">
        <f>_xlfn.IMAGE("https://m.media-amazon.com/images/I/81XKUniONAL.jpg")</f>
        <v/>
      </c>
      <c r="B20" s="32" t="inlineStr">
        <is>
          <t>B0F7LJS3N2</t>
        </is>
      </c>
      <c r="C20" s="32" t="inlineStr">
        <is>
          <t>SL-CLG-PC-BLUE-QUEEN-2PCS</t>
        </is>
      </c>
      <c r="D20" s="32" t="inlineStr">
        <is>
          <t>SLEEPHORIA Cooling Pillow Cases - BreezeWeave Queen Size Set of 2 Pillowcases for Hot Sleepers &amp; Cool, Deep Rest - Cloud Soft, Silky Smooth, Ultra Durable, Easy Care, Hidden Zipper (Blue)</t>
        </is>
      </c>
      <c r="E20" s="32" t="inlineStr">
        <is>
          <t>Queen</t>
        </is>
      </c>
      <c r="F20" s="32" t="inlineStr">
        <is>
          <t>Blue</t>
        </is>
      </c>
      <c r="G20" s="60" t="n">
        <v>21.99</v>
      </c>
      <c r="H20" s="32" t="inlineStr">
        <is>
          <t>SellerBoard listing price, 2026-10-14</t>
        </is>
      </c>
      <c r="I20" s="61" t="n">
        <v>17.99</v>
      </c>
      <c r="J20" s="62" t="inlineStr">
        <is>
          <t>2026-03-30</t>
        </is>
      </c>
      <c r="K20" s="33" t="n">
        <v>3.289999999999999</v>
      </c>
      <c r="L20" s="63" t="n">
        <v>0.1828793774319066</v>
      </c>
      <c r="M20" s="64" t="n">
        <v>12</v>
      </c>
      <c r="N20" s="32" t="inlineStr">
        <is>
          <t>Active</t>
        </is>
      </c>
      <c r="O20" s="32" t="n"/>
      <c r="P20" s="65" t="n"/>
      <c r="Q20" s="64" t="n"/>
      <c r="R20" s="64" t="n"/>
      <c r="S20" s="64" t="n"/>
      <c r="T20" s="32" t="n"/>
    </row>
    <row r="21" ht="62" customHeight="1">
      <c r="A21" s="10">
        <f>_xlfn.IMAGE("https://m.media-amazon.com/images/I/81XKUniONAL.jpg")</f>
        <v/>
      </c>
      <c r="B21" s="32" t="inlineStr">
        <is>
          <t>B0F7LLMXSR</t>
        </is>
      </c>
      <c r="C21" s="32" t="inlineStr">
        <is>
          <t>SL-CLG-PC-BLUE-KING-2PCS</t>
        </is>
      </c>
      <c r="D21" s="32" t="inlineStr">
        <is>
          <t>SLEEPHORIA Cooling Pillow Cases - BreezeWeave King Size Set of 2 Pillowcases for Hot Sleepers &amp; Cool, Deep Rest - Cloud Soft, Silky Smooth, Ultra Durable, Easy Care, Hidden Zipper (Blue)</t>
        </is>
      </c>
      <c r="E21" s="32" t="inlineStr">
        <is>
          <t>King</t>
        </is>
      </c>
      <c r="F21" s="32" t="inlineStr">
        <is>
          <t>Blue</t>
        </is>
      </c>
      <c r="G21" s="60" t="n">
        <v>23.99</v>
      </c>
      <c r="H21" s="32" t="inlineStr">
        <is>
          <t>Helium 10 Xray, 2026-10-13</t>
        </is>
      </c>
      <c r="I21" s="61" t="n">
        <v>19.99</v>
      </c>
      <c r="J21" s="62" t="inlineStr">
        <is>
          <t>2026-03-30</t>
        </is>
      </c>
      <c r="K21" s="33" t="n">
        <v>5.529999999999998</v>
      </c>
      <c r="L21" s="63" t="n">
        <v>0.2766383191595798</v>
      </c>
      <c r="M21" s="64" t="n">
        <v>4</v>
      </c>
      <c r="N21" s="32" t="inlineStr">
        <is>
          <t>Active</t>
        </is>
      </c>
      <c r="O21" s="32" t="inlineStr">
        <is>
          <t>Yes (40%)</t>
        </is>
      </c>
      <c r="P21" s="65" t="n">
        <v>4.5</v>
      </c>
      <c r="Q21" s="64" t="n">
        <v>491</v>
      </c>
      <c r="R21" s="64" t="n">
        <v>521501</v>
      </c>
      <c r="S21" s="64" t="n">
        <v>4</v>
      </c>
      <c r="T21" s="32" t="n"/>
    </row>
    <row r="22" ht="62" customHeight="1">
      <c r="A22" s="10">
        <f>_xlfn.IMAGE("https://m.media-amazon.com/images/I/81XKUniONAL.jpg")</f>
        <v/>
      </c>
      <c r="B22" s="32" t="inlineStr">
        <is>
          <t>B0F7LHWD2N</t>
        </is>
      </c>
      <c r="C22" s="32" t="inlineStr">
        <is>
          <t>SL-CLG-PC-BLUE-STANDARD-2PCS</t>
        </is>
      </c>
      <c r="D22" s="32" t="inlineStr">
        <is>
          <t>SLEEPHORIA Cooling Pillow Cases - BreezeWeave Standard Size Set of 2 Pillowcases for Hot Sleepers &amp; Cool, Deep Rest - Cloud Soft, Silky Smooth, Ultra Durable, Easy Care, Hidden Zipper (Blue)</t>
        </is>
      </c>
      <c r="E22" s="32" t="inlineStr">
        <is>
          <t>Standard</t>
        </is>
      </c>
      <c r="F22" s="32" t="inlineStr">
        <is>
          <t>Blue</t>
        </is>
      </c>
      <c r="G22" s="60" t="n">
        <v>20.99</v>
      </c>
      <c r="H22" s="32" t="inlineStr">
        <is>
          <t>SellerBoard listing price, 2026-10-14</t>
        </is>
      </c>
      <c r="I22" s="61" t="n">
        <v>16.99</v>
      </c>
      <c r="J22" s="62" t="inlineStr">
        <is>
          <t>2026-03-30</t>
        </is>
      </c>
      <c r="K22" s="33" t="n">
        <v>3.309999999999998</v>
      </c>
      <c r="L22" s="63" t="n">
        <v>0.1948204826368451</v>
      </c>
      <c r="M22" s="64" t="n">
        <v>2</v>
      </c>
      <c r="N22" s="32" t="inlineStr">
        <is>
          <t>Inactive</t>
        </is>
      </c>
      <c r="O22" s="32" t="n"/>
      <c r="P22" s="65" t="n"/>
      <c r="Q22" s="64" t="n"/>
      <c r="R22" s="64" t="n"/>
      <c r="S22" s="64" t="n"/>
      <c r="T22" s="32" t="n"/>
    </row>
    <row r="23" ht="62" customHeight="1">
      <c r="A23" s="10">
        <f>_xlfn.IMAGE("https://m.media-amazon.com/images/I/81XKUniONAL.jpg")</f>
        <v/>
      </c>
      <c r="B23" s="32" t="inlineStr">
        <is>
          <t>B0F7LKSFGB</t>
        </is>
      </c>
      <c r="C23" s="32" t="inlineStr">
        <is>
          <t>SL-CLG-PC-DARK-GREY-KING-2PCS</t>
        </is>
      </c>
      <c r="D23" s="32" t="inlineStr">
        <is>
          <t>SLEEPHORIA Cooling Pillow Cases - BreezeWeave King Size Set of 2 Pillowcases for Hot Sleepers &amp; Cool, Deep Rest - Cloud Soft, Silky Smooth, Ultra Durable, Easy Care, Hidden Zipper (Dark Grey)</t>
        </is>
      </c>
      <c r="E23" s="32" t="inlineStr">
        <is>
          <t>King</t>
        </is>
      </c>
      <c r="F23" s="32" t="inlineStr">
        <is>
          <t>Dark Grey</t>
        </is>
      </c>
      <c r="G23" s="60" t="n">
        <v>23.99</v>
      </c>
      <c r="H23" s="32" t="inlineStr">
        <is>
          <t>SellerBoard listing price, 2026-10-14</t>
        </is>
      </c>
      <c r="I23" s="61" t="n">
        <v>19.95</v>
      </c>
      <c r="J23" s="62" t="inlineStr">
        <is>
          <t>2026-03-30</t>
        </is>
      </c>
      <c r="K23" s="33" t="n">
        <v>5.500000000000001</v>
      </c>
      <c r="L23" s="63" t="n">
        <v>0.2756892230576442</v>
      </c>
      <c r="M23" s="64" t="n">
        <v>1</v>
      </c>
      <c r="N23" s="32" t="inlineStr">
        <is>
          <t>Inactive</t>
        </is>
      </c>
      <c r="O23" s="32" t="n"/>
      <c r="P23" s="65" t="n"/>
      <c r="Q23" s="64" t="n"/>
      <c r="R23" s="64" t="n"/>
      <c r="S23" s="64" t="n"/>
      <c r="T23" s="32" t="n"/>
    </row>
    <row r="24" ht="62" customHeight="1">
      <c r="A24" s="10">
        <f>_xlfn.IMAGE("https://m.media-amazon.com/images/I/81XKUniONAL.jpg")</f>
        <v/>
      </c>
      <c r="B24" s="32" t="inlineStr">
        <is>
          <t>B0F7LMHRL9</t>
        </is>
      </c>
      <c r="C24" s="32" t="inlineStr">
        <is>
          <t>SL-CLG-PC-DARK-GREY-QUEEN-2PCS</t>
        </is>
      </c>
      <c r="D24" s="32" t="inlineStr">
        <is>
          <t>SLEEPHORIA Cooling Pillow Cases - BreezeWeave Queen Size Set of 2 Pillowcases for Hot Sleepers &amp; Cool, Deep Rest - Cloud Soft, Silky Smooth, Ultra Durable, Easy Care, Hidden Zipper (Dark Grey)</t>
        </is>
      </c>
      <c r="E24" s="32" t="inlineStr">
        <is>
          <t>Queen</t>
        </is>
      </c>
      <c r="F24" s="32" t="inlineStr">
        <is>
          <t>Dark Grey</t>
        </is>
      </c>
      <c r="G24" s="60" t="n">
        <v>21.99</v>
      </c>
      <c r="H24" s="32" t="inlineStr">
        <is>
          <t>SellerBoard listing price, 2026-10-14</t>
        </is>
      </c>
      <c r="I24" s="61" t="n">
        <v>17.99</v>
      </c>
      <c r="J24" s="62" t="inlineStr">
        <is>
          <t>2026-03-30</t>
        </is>
      </c>
      <c r="K24" s="33" t="n">
        <v>4.789999999999999</v>
      </c>
      <c r="L24" s="63" t="n">
        <v>0.2662590327959978</v>
      </c>
      <c r="M24" s="64" t="n">
        <v>1</v>
      </c>
      <c r="N24" s="32" t="inlineStr">
        <is>
          <t>Inactive</t>
        </is>
      </c>
      <c r="O24" s="32" t="n"/>
      <c r="P24" s="65" t="n"/>
      <c r="Q24" s="64" t="n"/>
      <c r="R24" s="64" t="n"/>
      <c r="S24" s="64" t="n"/>
      <c r="T24" s="32" t="n"/>
    </row>
    <row r="25" ht="62" customHeight="1">
      <c r="A25" s="10">
        <f>_xlfn.IMAGE("https://m.media-amazon.com/images/I/81Fvoa6klwL.jpg")</f>
        <v/>
      </c>
      <c r="B25" s="32" t="inlineStr">
        <is>
          <t>B0F7LLBQH3</t>
        </is>
      </c>
      <c r="C25" s="32" t="inlineStr">
        <is>
          <t>SL-CLG-PC-WHITE-KING-2PCS</t>
        </is>
      </c>
      <c r="D25" s="32" t="inlineStr">
        <is>
          <t>SLEEPHORIA Cooling Pillow Cases - BreezeWeave King Size Set of 2 Pillowcases for Hot Sleepers &amp; Cool, Deep Rest - Cloud Soft, Silky Smooth, Ultra Durable, Easy Care, Hidden Zipper (White)</t>
        </is>
      </c>
      <c r="E25" s="32" t="inlineStr">
        <is>
          <t>King</t>
        </is>
      </c>
      <c r="F25" s="32" t="inlineStr">
        <is>
          <t>White</t>
        </is>
      </c>
      <c r="G25" s="60" t="n">
        <v>19.99</v>
      </c>
      <c r="H25" s="32" t="inlineStr">
        <is>
          <t>SellerBoard listing price, 2026-10-14</t>
        </is>
      </c>
      <c r="I25" s="61" t="n">
        <v>19.99</v>
      </c>
      <c r="J25" s="62" t="inlineStr">
        <is>
          <t>2026-03-30</t>
        </is>
      </c>
      <c r="K25" s="33" t="n">
        <v>6.719999999999998</v>
      </c>
      <c r="L25" s="63" t="n">
        <v>0.3361680840420209</v>
      </c>
      <c r="M25" s="64" t="n"/>
      <c r="N25" s="32" t="inlineStr">
        <is>
          <t>Inactive</t>
        </is>
      </c>
      <c r="O25" s="32" t="n"/>
      <c r="P25" s="65" t="n"/>
      <c r="Q25" s="64" t="n"/>
      <c r="R25" s="64" t="n"/>
      <c r="S25" s="64" t="n"/>
      <c r="T25" s="32" t="n"/>
    </row>
    <row r="26" ht="62" customHeight="1">
      <c r="A26" s="10">
        <f>_xlfn.IMAGE("https://m.media-amazon.com/images/I/81Xy+KUC6XL.jpg")</f>
        <v/>
      </c>
      <c r="B26" s="32" t="inlineStr">
        <is>
          <t>B0F7LJRWB6</t>
        </is>
      </c>
      <c r="C26" s="32" t="inlineStr">
        <is>
          <t>SL-CLG-PC-LIGHT-GREY-QUEEN-2PCS</t>
        </is>
      </c>
      <c r="D26" s="32" t="inlineStr">
        <is>
          <t>SLEEPHORIA Cooling Pillow Cases - BreezeWeave Queen Size Set of 2 Pillowcases for Hot Sleepers &amp; Cool, Deep Rest - Cloud Soft, Silky Smooth, Ultra Durable, Easy Care, Hidden Zipper (Light Grey)</t>
        </is>
      </c>
      <c r="E26" s="32" t="inlineStr">
        <is>
          <t>Queen</t>
        </is>
      </c>
      <c r="F26" s="32" t="inlineStr">
        <is>
          <t>Light Grey</t>
        </is>
      </c>
      <c r="G26" s="60" t="n">
        <v>19.99</v>
      </c>
      <c r="H26" s="32" t="inlineStr">
        <is>
          <t>SellerBoard listing price, 2026-10-14</t>
        </is>
      </c>
      <c r="I26" s="61" t="n">
        <v>17.99</v>
      </c>
      <c r="J26" s="62" t="inlineStr">
        <is>
          <t>2026-03-30</t>
        </is>
      </c>
      <c r="K26" s="33" t="n">
        <v>3.27</v>
      </c>
      <c r="L26" s="63" t="n">
        <v>0.1817676486937187</v>
      </c>
      <c r="M26" s="64" t="n"/>
      <c r="N26" s="32" t="inlineStr">
        <is>
          <t>Inactive</t>
        </is>
      </c>
      <c r="O26" s="32" t="n"/>
      <c r="P26" s="65" t="n"/>
      <c r="Q26" s="64" t="n"/>
      <c r="R26" s="64" t="n"/>
      <c r="S26" s="64" t="n"/>
      <c r="T26" s="32" t="n"/>
    </row>
    <row r="27" ht="62" customHeight="1">
      <c r="A27" s="10">
        <f>_xlfn.IMAGE("https://m.media-amazon.com/images/I/81XKUniONAL.jpg")</f>
        <v/>
      </c>
      <c r="B27" s="32" t="inlineStr">
        <is>
          <t>B0F7LJM867</t>
        </is>
      </c>
      <c r="C27" s="32" t="inlineStr">
        <is>
          <t>SL-CLG-PC-DARK-GREY-STANDARD-2PCS</t>
        </is>
      </c>
      <c r="D27" s="32" t="inlineStr">
        <is>
          <t>SLEEPHORIA Cooling Pillow Cases - BreezeWeave Standard Size Set of 2 Pillowcases for Hot Sleepers &amp; Cool, Deep Rest - Cloud Soft, Silky Smooth, Ultra Durable, Easy Care, Hidden Zipper (Dark Grey)</t>
        </is>
      </c>
      <c r="E27" s="32" t="inlineStr">
        <is>
          <t>Standard</t>
        </is>
      </c>
      <c r="F27" s="32" t="inlineStr">
        <is>
          <t>Dark Grey</t>
        </is>
      </c>
      <c r="G27" s="60" t="n">
        <v>16.99</v>
      </c>
      <c r="H27" s="32" t="inlineStr">
        <is>
          <t>SellerBoard listing price, 2026-10-14</t>
        </is>
      </c>
      <c r="I27" s="61" t="n">
        <v>23.99</v>
      </c>
      <c r="J27" s="62" t="inlineStr">
        <is>
          <t>2026-03-26</t>
        </is>
      </c>
      <c r="K27" s="33" t="n">
        <v>7.809999999999997</v>
      </c>
      <c r="L27" s="63" t="n">
        <v>0.3255523134639432</v>
      </c>
      <c r="M27" s="64" t="n"/>
      <c r="N27" s="32" t="inlineStr">
        <is>
          <t>Inactive</t>
        </is>
      </c>
      <c r="O27" s="32" t="n"/>
      <c r="P27" s="65" t="n"/>
      <c r="Q27" s="64" t="n"/>
      <c r="R27" s="64" t="n"/>
      <c r="S27" s="64" t="n"/>
      <c r="T27" s="32" t="n"/>
    </row>
    <row r="28" ht="62" customHeight="1">
      <c r="A28" s="10">
        <f>_xlfn.IMAGE("https://m.media-amazon.com/images/I/81Xy+KUC6XL.jpg")</f>
        <v/>
      </c>
      <c r="B28" s="32" t="inlineStr">
        <is>
          <t>B0F7LLM71K</t>
        </is>
      </c>
      <c r="C28" s="32" t="inlineStr">
        <is>
          <t>SL-CLG-PC-LIGHT-GREY-STANDARD-2PCS</t>
        </is>
      </c>
      <c r="D28" s="32" t="inlineStr">
        <is>
          <t>SLEEPHORIA Cooling Pillow Cases - BreezeWeave Standard Size Set of 2 Pillowcases for Hot Sleepers &amp; Cool, Deep Rest - Cloud Soft, Silky Smooth, Ultra Durable, Easy Care, Hidden Zipper (Light Grey)</t>
        </is>
      </c>
      <c r="E28" s="32" t="inlineStr">
        <is>
          <t>Standard</t>
        </is>
      </c>
      <c r="F28" s="32" t="inlineStr">
        <is>
          <t>Light Grey</t>
        </is>
      </c>
      <c r="G28" s="60" t="n">
        <v>18.99</v>
      </c>
      <c r="H28" s="32" t="inlineStr">
        <is>
          <t>SellerBoard listing price, 2026-10-14</t>
        </is>
      </c>
      <c r="I28" s="61" t="n">
        <v>16.99</v>
      </c>
      <c r="J28" s="62" t="inlineStr">
        <is>
          <t>2026-03-30</t>
        </is>
      </c>
      <c r="K28" s="33" t="n">
        <v>2.639999999999998</v>
      </c>
      <c r="L28" s="63" t="n">
        <v>0.1553855208946438</v>
      </c>
      <c r="M28" s="64" t="n"/>
      <c r="N28" s="32" t="inlineStr">
        <is>
          <t>Inactive</t>
        </is>
      </c>
      <c r="O28" s="32" t="n"/>
      <c r="P28" s="65" t="n"/>
      <c r="Q28" s="64" t="n"/>
      <c r="R28" s="64" t="n"/>
      <c r="S28" s="64" t="n"/>
      <c r="T28" s="32" t="n"/>
    </row>
    <row r="29" ht="62" customHeight="1">
      <c r="A29" s="10">
        <f>_xlfn.IMAGE("https://m.media-amazon.com/images/I/81Fvoa6klwL.jpg")</f>
        <v/>
      </c>
      <c r="B29" s="32" t="inlineStr">
        <is>
          <t>B0F7LMGHFP</t>
        </is>
      </c>
      <c r="C29" s="32" t="inlineStr">
        <is>
          <t>SL-CLG-PC-WHITE-STANDARD-2PCS</t>
        </is>
      </c>
      <c r="D29" s="32" t="inlineStr">
        <is>
          <t>SLEEPHORIA Cooling Pillow Cases - BreezeWeave Standard Size Set of 2 Pillowcases for Hot Sleepers &amp; Cool, Deep Rest - Cloud Soft, Silky Smooth, Ultra Durable, Easy Care, Hidden Zipper (White)</t>
        </is>
      </c>
      <c r="E29" s="32" t="inlineStr">
        <is>
          <t>Standard</t>
        </is>
      </c>
      <c r="F29" s="32" t="inlineStr">
        <is>
          <t>White</t>
        </is>
      </c>
      <c r="G29" s="60" t="n">
        <v>16.99</v>
      </c>
      <c r="H29" s="32" t="inlineStr">
        <is>
          <t>SellerBoard listing price, 2026-10-14</t>
        </is>
      </c>
      <c r="I29" s="61" t="n">
        <v>23.99</v>
      </c>
      <c r="J29" s="62" t="inlineStr">
        <is>
          <t>2026-03-30</t>
        </is>
      </c>
      <c r="K29" s="33" t="n">
        <v>8.539999999999997</v>
      </c>
      <c r="L29" s="63" t="n">
        <v>0.3559816590245935</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9910.98</v>
      </c>
      <c r="E38" s="73" t="n">
        <v>606</v>
      </c>
      <c r="F38" s="73" t="n">
        <v>474</v>
      </c>
      <c r="G38" s="73" t="n">
        <v>132</v>
      </c>
      <c r="H38" s="71" t="n">
        <v>4509.02</v>
      </c>
      <c r="J38" s="75" t="n">
        <v>0.4549519825486481</v>
      </c>
      <c r="K38" s="73" t="n">
        <v>4670</v>
      </c>
      <c r="L38" s="75" t="n">
        <v>0.1297644539614561</v>
      </c>
      <c r="M38" s="76" t="n">
        <v>16.35475247524752</v>
      </c>
      <c r="N38" s="73" t="n">
        <v>27</v>
      </c>
    </row>
    <row r="39">
      <c r="A39" s="70" t="inlineStr">
        <is>
          <t>BFCM week Nov 20 - Dec 1, 2025 (12d)</t>
        </is>
      </c>
      <c r="B39" s="68" t="n"/>
      <c r="C39" s="69" t="n"/>
      <c r="D39" s="71" t="n">
        <v>3042.11</v>
      </c>
      <c r="E39" s="73" t="n">
        <v>191</v>
      </c>
      <c r="F39" s="73" t="n">
        <v>148</v>
      </c>
      <c r="G39" s="73" t="n">
        <v>43</v>
      </c>
      <c r="H39" s="71" t="n">
        <v>1304.91</v>
      </c>
      <c r="J39" s="75" t="n">
        <v>0.4289489860655926</v>
      </c>
      <c r="K39" s="73" t="n">
        <v>1534</v>
      </c>
      <c r="L39" s="75" t="n">
        <v>0.1245110821382008</v>
      </c>
      <c r="M39" s="76" t="n">
        <v>15.927277486911</v>
      </c>
      <c r="N39" s="73" t="n">
        <v>12</v>
      </c>
    </row>
    <row r="40">
      <c r="A40" s="70" t="inlineStr">
        <is>
          <t>December 2 - 31, 2025 (30d)</t>
        </is>
      </c>
      <c r="B40" s="68" t="n"/>
      <c r="C40" s="69" t="n"/>
      <c r="D40" s="71" t="n">
        <v>6361.99</v>
      </c>
      <c r="E40" s="73" t="n">
        <v>402</v>
      </c>
      <c r="F40" s="73" t="n">
        <v>315</v>
      </c>
      <c r="G40" s="73" t="n">
        <v>87</v>
      </c>
      <c r="H40" s="71" t="n">
        <v>2147.29</v>
      </c>
      <c r="J40" s="75" t="n">
        <v>0.3375186065995074</v>
      </c>
      <c r="K40" s="73" t="n">
        <v>3313</v>
      </c>
      <c r="L40" s="75" t="n">
        <v>0.1213401750679143</v>
      </c>
      <c r="M40" s="76" t="n">
        <v>15.82584577114428</v>
      </c>
      <c r="N40" s="73" t="n">
        <v>24</v>
      </c>
    </row>
    <row r="41">
      <c r="A41" s="59" t="inlineStr">
        <is>
          <t>SellerBoard, Ecotero account, Amazon parent B0FTSVDG77 plus any of this product's child ASINs SellerBoard lists on their own, UTC days. Lift above uses these actual sales.</t>
        </is>
      </c>
    </row>
    <row r="42">
      <c r="A42" s="59" t="inlineStr">
        <is>
          <t>No Command Center visibility history for our best child ASIN.</t>
        </is>
      </c>
    </row>
    <row r="43">
      <c r="A43" s="107" t="inlineStr">
        <is>
          <t>No BFCM 2025 PPC data for this product (not advertised or launched after BFCM 2025).</t>
        </is>
      </c>
    </row>
    <row r="45" ht="20" customHeight="1">
      <c r="A45" s="54" t="inlineStr">
        <is>
          <t>4 · COMPETITOR LANDSCAPE (21 mapped)</t>
        </is>
      </c>
    </row>
    <row r="46">
      <c r="A46" s="59" t="inlineStr">
        <is>
          <t>Sorted by tier, then estimated weekly units. Green = Command Center price/sales; blue = Data Dive listing; purple = Command Center search strategy (ASINsight); yellow = fill from Keepa / page check.</t>
        </is>
      </c>
    </row>
    <row r="47">
      <c r="A47" s="78" t="inlineStr">
        <is>
          <t>COMPETITOR</t>
        </is>
      </c>
      <c r="I47" s="79" t="inlineStr">
        <is>
          <t>LISTING - Data Dive</t>
        </is>
      </c>
      <c r="J47" s="80" t="inlineStr">
        <is>
          <t>SEARCH STRATEGY - Command Center ASINsight</t>
        </is>
      </c>
      <c r="K47" s="81" t="inlineStr">
        <is>
          <t>PRICE &amp; SALES - Command Center snapshot (date per row)</t>
        </is>
      </c>
      <c r="X47" s="79" t="inlineStr">
        <is>
          <t>LISTING - Data Dive</t>
        </is>
      </c>
      <c r="AA47" s="80" t="inlineStr">
        <is>
          <t>SEARCH STRATEGY - Command Center ASINsight</t>
        </is>
      </c>
      <c r="AR47" s="82" t="inlineStr">
        <is>
          <t>STR NOW - Amazon page check (Oct 13, P1 + P2)</t>
        </is>
      </c>
      <c r="AY47" s="83" t="inlineStr">
        <is>
          <t>BFCM 2025 - Keepa (P1 filled; yellow = not pulled yet)</t>
        </is>
      </c>
    </row>
    <row r="48" ht="48" customHeight="1">
      <c r="A48" s="22" t="inlineStr">
        <is>
          <t>Image</t>
        </is>
      </c>
      <c r="B48" s="22" t="inlineStr">
        <is>
          <t>Brand</t>
        </is>
      </c>
      <c r="C48" s="22" t="inlineStr">
        <is>
          <t>Product title</t>
        </is>
      </c>
      <c r="D48" s="22" t="inlineStr">
        <is>
          <t>Tier</t>
        </is>
      </c>
      <c r="E48" s="22" t="inlineStr">
        <is>
          <t>Parent ASIN</t>
        </is>
      </c>
      <c r="F48" s="22" t="inlineStr">
        <is>
          <t>Tracked child ASIN</t>
        </is>
      </c>
      <c r="G48" s="22" t="inlineStr">
        <is>
          <t>Size (title)</t>
        </is>
      </c>
      <c r="H48" s="22" t="inlineStr">
        <is>
          <t>Colour (title)</t>
        </is>
      </c>
      <c r="I48" s="22" t="inlineStr">
        <is>
          <t>Variations</t>
        </is>
      </c>
      <c r="J48" s="22" t="inlineStr">
        <is>
          <t>Hero child ASINs (share of their visibility)</t>
        </is>
      </c>
      <c r="K48" s="22" t="inlineStr">
        <is>
          <t>Price ($)</t>
        </is>
      </c>
      <c r="L48" s="22" t="inlineStr">
        <is>
          <t>List Price ($)</t>
        </is>
      </c>
      <c r="M48" s="22" t="inlineStr">
        <is>
          <t>List Price % over</t>
        </is>
      </c>
      <c r="N48" s="22" t="inlineStr">
        <is>
          <t>STR band</t>
        </is>
      </c>
      <c r="O48" s="22" t="inlineStr">
        <is>
          <t>Our price, same size ($)</t>
        </is>
      </c>
      <c r="P48" s="22" t="inlineStr">
        <is>
          <t>Their price vs ours</t>
        </is>
      </c>
      <c r="Q48" s="22" t="inlineStr">
        <is>
          <t>Comparison basis</t>
        </is>
      </c>
      <c r="R48" s="22" t="inlineStr">
        <is>
          <t>BSR</t>
        </is>
      </c>
      <c r="S48" s="22" t="inlineStr">
        <is>
          <t>Est weekly units</t>
        </is>
      </c>
      <c r="T48" s="22" t="inlineStr">
        <is>
          <t>Est monthly revenue ($)</t>
        </is>
      </c>
      <c r="U48" s="22" t="inlineStr">
        <is>
          <t>Rating</t>
        </is>
      </c>
      <c r="V48" s="22" t="inlineStr">
        <is>
          <t>Reviews</t>
        </is>
      </c>
      <c r="W48" s="22" t="inlineStr">
        <is>
          <t>Snapshot date</t>
        </is>
      </c>
      <c r="X48" s="22" t="inlineStr">
        <is>
          <t>Listed</t>
        </is>
      </c>
      <c r="Y48" s="22" t="inlineStr">
        <is>
          <t>Fulfil.</t>
        </is>
      </c>
      <c r="Z48" s="22" t="inlineStr">
        <is>
          <t>Seller country</t>
        </is>
      </c>
      <c r="AA48" s="22" t="inlineStr">
        <is>
          <t>ASINsight 7d traffic</t>
        </is>
      </c>
      <c r="AB48" s="22" t="inlineStr">
        <is>
          <t>Keywords ranked</t>
        </is>
      </c>
      <c r="AC48" s="22" t="inlineStr">
        <is>
          <t>Organic share of traffic</t>
        </is>
      </c>
      <c r="AD48" s="22" t="inlineStr">
        <is>
          <t>Ad share of traffic</t>
        </is>
      </c>
      <c r="AE48" s="22" t="inlineStr">
        <is>
          <t>Top keyword</t>
        </is>
      </c>
      <c r="AF48" s="22" t="inlineStr">
        <is>
          <t>SP reach</t>
        </is>
      </c>
      <c r="AG48" s="22" t="inlineStr">
        <is>
          <t>SB reach</t>
        </is>
      </c>
      <c r="AH48" s="22" t="inlineStr">
        <is>
          <t>SB video reach</t>
        </is>
      </c>
      <c r="AI48" s="22" t="inlineStr">
        <is>
          <t>Amazon's Choice reach</t>
        </is>
      </c>
      <c r="AJ48" s="22" t="inlineStr">
        <is>
          <t>Shared keywords</t>
        </is>
      </c>
      <c r="AK48" s="22" t="inlineStr">
        <is>
          <t>We win</t>
        </is>
      </c>
      <c r="AL48" s="22" t="inlineStr">
        <is>
          <t>We lose</t>
        </is>
      </c>
      <c r="AM48" s="22" t="inlineStr">
        <is>
          <t>Their keywords we miss</t>
        </is>
      </c>
      <c r="AN48" s="22" t="inlineStr">
        <is>
          <t>KWs they advertise, we don't</t>
        </is>
      </c>
      <c r="AO48" s="22" t="inlineStr">
        <is>
          <t>KWs they out-advertise us</t>
        </is>
      </c>
      <c r="AP48" s="22" t="inlineStr">
        <is>
          <t>Prime Day 2026 organic vis lift</t>
        </is>
      </c>
      <c r="AQ48" s="22" t="inlineStr">
        <is>
          <t>Organic trend (Aug-Sep vs Q2)</t>
        </is>
      </c>
      <c r="AR48" s="22" t="inlineStr">
        <is>
          <t>STR showing now? (Y/N)</t>
        </is>
      </c>
      <c r="AS48" s="22" t="inlineStr">
        <is>
          <t>STR label</t>
        </is>
      </c>
      <c r="AT48" s="22" t="inlineStr">
        <is>
          <t>Strikethrough price ($)</t>
        </is>
      </c>
      <c r="AU48" s="22" t="inlineStr">
        <is>
          <t>Page price at check ($)</t>
        </is>
      </c>
      <c r="AV48" s="22" t="inlineStr">
        <is>
          <t>Deal / coupon now</t>
        </is>
      </c>
      <c r="AW48" s="22" t="inlineStr">
        <is>
          <t>Orderable now (Y/N)</t>
        </is>
      </c>
      <c r="AX48" s="22" t="inlineStr">
        <is>
          <t>Checked (ET)</t>
        </is>
      </c>
      <c r="AY48" s="22" t="inlineStr">
        <is>
          <t>BFCM 2025 deal type</t>
        </is>
      </c>
      <c r="AZ48" s="22" t="inlineStr">
        <is>
          <t>BFCM 2025 deal dates</t>
        </is>
      </c>
      <c r="BA48" s="22" t="inlineStr">
        <is>
          <t>Pre-event price ($)</t>
        </is>
      </c>
      <c r="BB48" s="22" t="inlineStr">
        <is>
          <t>BFCM 2025 low ($)</t>
        </is>
      </c>
      <c r="BC48" s="22" t="inlineStr">
        <is>
          <t>BFCM 2025 discount</t>
        </is>
      </c>
      <c r="BD48" s="22" t="inlineStr">
        <is>
          <t>BSR pre-event</t>
        </is>
      </c>
      <c r="BE48" s="22" t="inlineStr">
        <is>
          <t>BSR BFCM wk</t>
        </is>
      </c>
      <c r="BF48" s="22" t="inlineStr">
        <is>
          <t>BSR lift (x)</t>
        </is>
      </c>
      <c r="BG48" s="22" t="inlineStr">
        <is>
          <t>OOS in BFCM? (Y/N)</t>
        </is>
      </c>
      <c r="BH48" s="22" t="inlineStr">
        <is>
          <t>Notes</t>
        </is>
      </c>
    </row>
    <row r="49" ht="62" customHeight="1">
      <c r="A49" s="10">
        <f>_xlfn.IMAGE("https://images-na.ssl-images-amazon.com/images/I/81Y85wfagkL.jpg")</f>
        <v/>
      </c>
      <c r="B49" s="84" t="inlineStr">
        <is>
          <t>Serta</t>
        </is>
      </c>
      <c r="C49" s="32" t="inlineStr">
        <is>
          <t>Serta Power Chill Cooling Pillow Protectors, Standard/Queen (2 Pack)</t>
        </is>
      </c>
      <c r="D49" s="84" t="inlineStr">
        <is>
          <t>Aspirational</t>
        </is>
      </c>
      <c r="E49" s="84" t="inlineStr">
        <is>
          <t>B0D15BSQCT</t>
        </is>
      </c>
      <c r="F49" s="84" t="inlineStr">
        <is>
          <t>B098TRFLHZ</t>
        </is>
      </c>
      <c r="G49" s="84" t="inlineStr">
        <is>
          <t>Standard</t>
        </is>
      </c>
      <c r="H49" s="84" t="n"/>
      <c r="I49" s="85" t="n">
        <v>4</v>
      </c>
      <c r="J49" s="32" t="inlineStr">
        <is>
          <t>B098TRFLHZ (82%)</t>
        </is>
      </c>
      <c r="K49" s="86" t="n">
        <v>19.1</v>
      </c>
      <c r="L49" s="86" t="n"/>
      <c r="M49" s="87">
        <f>IF(AND(ISNUMBER(L49),ISNUMBER(K49),N(K49)&gt;0),L49/K49-1,"")</f>
        <v/>
      </c>
      <c r="N49" s="88">
        <f>IF(M49="","No List Price",IF(M49&lt;=0,"At/below price",IF(M49&lt;=0.12,"&lt;=12% STR zone",IF(M49&lt;=0.25,"12-25%","&gt;25% over"))))</f>
        <v/>
      </c>
      <c r="O49" s="86" t="n">
        <v>17.99</v>
      </c>
      <c r="P49" s="89">
        <f>IF(AND(ISNUMBER(K49),ISNUMBER(O49),N(O49)&gt;0),K49/O49-1,"")</f>
        <v/>
      </c>
      <c r="Q49" s="32" t="inlineStr">
        <is>
          <t>Same size (Standard). Ours live: SellerBoard listing price, 2026-10-14; 4 children</t>
        </is>
      </c>
      <c r="R49" s="85" t="n">
        <v>4285</v>
      </c>
      <c r="S49" s="85" t="n">
        <v>1040</v>
      </c>
      <c r="T49" s="90">
        <f>IF(AND(ISNUMBER(K49),ISNUMBER(S49)),K49*S49*52/12,"")</f>
        <v/>
      </c>
      <c r="U49" s="91" t="n">
        <v>4.3</v>
      </c>
      <c r="V49" s="85" t="n">
        <v>3545</v>
      </c>
      <c r="W49" s="92" t="n">
        <v>46307</v>
      </c>
      <c r="X49" s="92" t="n">
        <v>44384</v>
      </c>
      <c r="Y49" s="84" t="inlineStr">
        <is>
          <t>AMZ</t>
        </is>
      </c>
      <c r="Z49" s="84" t="inlineStr">
        <is>
          <t>(Amazon)</t>
        </is>
      </c>
      <c r="AA49" s="85" t="n">
        <v>290958</v>
      </c>
      <c r="AB49" s="85" t="n">
        <v>2057</v>
      </c>
      <c r="AC49" s="93" t="n">
        <v>0.6924335141154392</v>
      </c>
      <c r="AD49" s="93" t="n">
        <v>0.3075665298771642</v>
      </c>
      <c r="AE49" s="32" t="inlineStr">
        <is>
          <t>pillows queen size set of 2</t>
        </is>
      </c>
      <c r="AF49" s="93" t="n">
        <v>0.9424418644615374</v>
      </c>
      <c r="AG49" s="93" t="n"/>
      <c r="AH49" s="93" t="n">
        <v>0.6023034252366321</v>
      </c>
      <c r="AI49" s="93" t="n"/>
      <c r="AJ49" s="85" t="n">
        <v>42</v>
      </c>
      <c r="AK49" s="85" t="n">
        <v>2</v>
      </c>
      <c r="AL49" s="85" t="n">
        <v>38</v>
      </c>
      <c r="AM49" s="85" t="n">
        <v>2015</v>
      </c>
      <c r="AN49" s="85" t="n">
        <v>699</v>
      </c>
      <c r="AO49" s="85" t="n">
        <v>2</v>
      </c>
      <c r="AP49" s="94" t="n">
        <v>2.020360867406059</v>
      </c>
      <c r="AQ49" s="89" t="n">
        <v>0.5071875000000001</v>
      </c>
      <c r="AR49" s="95" t="inlineStr">
        <is>
          <t>N</t>
        </is>
      </c>
      <c r="AS49" s="95" t="inlineStr">
        <is>
          <t>none</t>
        </is>
      </c>
      <c r="AT49" s="101" t="n"/>
      <c r="AU49" s="96" t="n">
        <v>19.09</v>
      </c>
      <c r="AV49" s="95" t="inlineStr">
        <is>
          <t>none</t>
        </is>
      </c>
      <c r="AW49" s="95" t="inlineStr">
        <is>
          <t>Y</t>
        </is>
      </c>
      <c r="AX49" s="95" t="inlineStr">
        <is>
          <t>2026-10-13 23:39:14</t>
        </is>
      </c>
      <c r="AY49" s="102" t="n"/>
      <c r="AZ49" s="102" t="n"/>
      <c r="BA49" s="101" t="n"/>
      <c r="BB49" s="101" t="n"/>
      <c r="BC49" s="87">
        <f>IF(AND(ISNUMBER(BA49),ISNUMBER(BB49),N(BA49)&gt;0),1-BB49/BA49,"")</f>
        <v/>
      </c>
      <c r="BD49" s="103" t="n"/>
      <c r="BE49" s="103" t="n"/>
      <c r="BF49" s="100">
        <f>IF(AND(ISNUMBER(BD49),ISNUMBER(BE49),N(BE49)&gt;0),BD49/BE49,"")</f>
        <v/>
      </c>
      <c r="BG49" s="102" t="n"/>
      <c r="BH49" s="102" t="n"/>
    </row>
    <row r="50" ht="62" customHeight="1">
      <c r="A50" s="39" t="inlineStr">
        <is>
          <t>IMAGE MISSING</t>
        </is>
      </c>
      <c r="B50" s="84" t="inlineStr">
        <is>
          <t>WISHSMILE</t>
        </is>
      </c>
      <c r="C50" s="32" t="inlineStr">
        <is>
          <t>WishSmile Cooling Queen Pillowcases Set of 2 Breathable Cool Silky Soft Rayon De</t>
        </is>
      </c>
      <c r="D50" s="84" t="inlineStr">
        <is>
          <t>Aspirational</t>
        </is>
      </c>
      <c r="E50" s="84" t="inlineStr">
        <is>
          <t>B09BKQK7RZ</t>
        </is>
      </c>
      <c r="F50" s="84" t="inlineStr">
        <is>
          <t>B09BL2SMVG</t>
        </is>
      </c>
      <c r="G50" s="84" t="inlineStr">
        <is>
          <t>Queen</t>
        </is>
      </c>
      <c r="H50" s="84" t="n"/>
      <c r="I50" s="85" t="n">
        <v>41</v>
      </c>
      <c r="J50" s="32" t="inlineStr">
        <is>
          <t>B09BL2SMVG (51%), B09BKY53J5 (20%), B09BKXKF1P (6%), B09BKV27TP (4%)</t>
        </is>
      </c>
      <c r="K50" s="86" t="n">
        <v>12.99</v>
      </c>
      <c r="L50" s="86" t="n"/>
      <c r="M50" s="87">
        <f>IF(AND(ISNUMBER(L50),ISNUMBER(K50),N(K50)&gt;0),L50/K50-1,"")</f>
        <v/>
      </c>
      <c r="N50" s="88">
        <f>IF(M50="","No List Price",IF(M50&lt;=0,"At/below price",IF(M50&lt;=0.12,"&lt;=12% STR zone",IF(M50&lt;=0.25,"12-25%","&gt;25% over"))))</f>
        <v/>
      </c>
      <c r="O50" s="86" t="n">
        <v>21.99</v>
      </c>
      <c r="P50" s="89">
        <f>IF(AND(ISNUMBER(K50),ISNUMBER(O50),N(O50)&gt;0),K50/O50-1,"")</f>
        <v/>
      </c>
      <c r="Q50" s="32" t="inlineStr">
        <is>
          <t>Same size (Queen). Ours live: Helium 10 Xray, 2026-10-13; 4 children</t>
        </is>
      </c>
      <c r="R50" s="85" t="n">
        <v>2467</v>
      </c>
      <c r="S50" s="85" t="n">
        <v>809</v>
      </c>
      <c r="T50" s="90">
        <f>IF(AND(ISNUMBER(K50),ISNUMBER(S50)),K50*S50*52/12,"")</f>
        <v/>
      </c>
      <c r="U50" s="91" t="n">
        <v>4.4</v>
      </c>
      <c r="V50" s="85" t="n">
        <v>7225</v>
      </c>
      <c r="W50" s="92" t="n">
        <v>46307</v>
      </c>
      <c r="X50" s="92" t="n"/>
      <c r="Y50" s="84" t="n"/>
      <c r="Z50" s="84" t="n"/>
      <c r="AA50" s="85" t="n">
        <v>151964</v>
      </c>
      <c r="AB50" s="85" t="n">
        <v>1980</v>
      </c>
      <c r="AC50" s="93" t="n">
        <v>0.8020060705167013</v>
      </c>
      <c r="AD50" s="93" t="n">
        <v>0.1979940979442499</v>
      </c>
      <c r="AE50" s="32" t="inlineStr">
        <is>
          <t>body pillow pillowcase</t>
        </is>
      </c>
      <c r="AF50" s="93" t="n">
        <v>0.8215695822694848</v>
      </c>
      <c r="AG50" s="93" t="n">
        <v>0.5012437156168567</v>
      </c>
      <c r="AH50" s="93" t="n">
        <v>0.8610986812666158</v>
      </c>
      <c r="AI50" s="93" t="n">
        <v>0.02574951962306862</v>
      </c>
      <c r="AJ50" s="85" t="n">
        <v>42</v>
      </c>
      <c r="AK50" s="85" t="n">
        <v>2</v>
      </c>
      <c r="AL50" s="85" t="n">
        <v>37</v>
      </c>
      <c r="AM50" s="85" t="n">
        <v>1938</v>
      </c>
      <c r="AN50" s="85" t="n">
        <v>526</v>
      </c>
      <c r="AO50" s="85" t="n">
        <v>2</v>
      </c>
      <c r="AP50" s="94" t="n">
        <v>1.226522481502561</v>
      </c>
      <c r="AQ50" s="89" t="n">
        <v>1.045692883895131</v>
      </c>
      <c r="AR50" s="95" t="inlineStr">
        <is>
          <t>N</t>
        </is>
      </c>
      <c r="AS50" s="95" t="inlineStr">
        <is>
          <t>none</t>
        </is>
      </c>
      <c r="AT50" s="101" t="n"/>
      <c r="AU50" s="96" t="n">
        <v>12.99</v>
      </c>
      <c r="AV50" s="95" t="inlineStr">
        <is>
          <t>none</t>
        </is>
      </c>
      <c r="AW50" s="95" t="inlineStr">
        <is>
          <t>Y</t>
        </is>
      </c>
      <c r="AX50" s="95" t="inlineStr">
        <is>
          <t>2026-10-13 23:37:09</t>
        </is>
      </c>
      <c r="AY50" s="97" t="inlineStr">
        <is>
          <t>Prime Exclusive Discount</t>
        </is>
      </c>
      <c r="AZ50" s="97" t="inlineStr">
        <is>
          <t>11-20 to 12-01</t>
        </is>
      </c>
      <c r="BA50" s="98" t="n">
        <v>11.99</v>
      </c>
      <c r="BB50" s="98" t="n">
        <v>10.19</v>
      </c>
      <c r="BC50" s="87">
        <f>IF(AND(ISNUMBER(BA50),ISNUMBER(BB50),N(BA50)&gt;0),1-BB50/BA50,"")</f>
        <v/>
      </c>
      <c r="BD50" s="99" t="n">
        <v>4924</v>
      </c>
      <c r="BE50" s="99" t="n">
        <v>4617</v>
      </c>
      <c r="BF50" s="100">
        <f>IF(AND(ISNUMBER(BD50),ISNUMBER(BE50),N(BE50)&gt;0),BD50/BE50,"")</f>
        <v/>
      </c>
      <c r="BG50" s="97" t="inlineStr">
        <is>
          <t>N</t>
        </is>
      </c>
      <c r="BH50" s="97" t="inlineStr">
        <is>
          <t>Buy Box RAISED in BFCM week (median $13.99 vs $11.99 before); List Price $17.99</t>
        </is>
      </c>
    </row>
    <row r="51" ht="62" customHeight="1">
      <c r="A51" s="10">
        <f>_xlfn.IMAGE("https://images-na.ssl-images-amazon.com/images/I/71xbyEBZ5WL.jpg")</f>
        <v/>
      </c>
      <c r="B51" s="84" t="inlineStr">
        <is>
          <t>Avolare</t>
        </is>
      </c>
      <c r="C51" s="32" t="inlineStr">
        <is>
          <t>Avolare Cooling Pillow Cases for Hot Sleepers Queen Size 2 Pack, Grey</t>
        </is>
      </c>
      <c r="D51" s="84" t="inlineStr">
        <is>
          <t>Aspirational</t>
        </is>
      </c>
      <c r="E51" s="84" t="inlineStr">
        <is>
          <t>B0H3PX4VQC</t>
        </is>
      </c>
      <c r="F51" s="84" t="inlineStr">
        <is>
          <t>B08TBL21VT</t>
        </is>
      </c>
      <c r="G51" s="84" t="inlineStr">
        <is>
          <t>Queen</t>
        </is>
      </c>
      <c r="H51" s="84" t="inlineStr">
        <is>
          <t>Grey</t>
        </is>
      </c>
      <c r="I51" s="85" t="n">
        <v>25</v>
      </c>
      <c r="J51" s="32" t="inlineStr">
        <is>
          <t>B08TBL21VT (29%), B0GC5S5J7H (21%), B08TBGP8R5 (20%), B0GC61D32V (6%), B0DZHRG54P (5%)</t>
        </is>
      </c>
      <c r="K51" s="86" t="n">
        <v>15.99</v>
      </c>
      <c r="L51" s="86" t="n">
        <v>19.99</v>
      </c>
      <c r="M51" s="87">
        <f>IF(AND(ISNUMBER(L51),ISNUMBER(K51),N(K51)&gt;0),L51/K51-1,"")</f>
        <v/>
      </c>
      <c r="N51" s="88">
        <f>IF(M51="","No List Price",IF(M51&lt;=0,"At/below price",IF(M51&lt;=0.12,"&lt;=12% STR zone",IF(M51&lt;=0.25,"12-25%","&gt;25% over"))))</f>
        <v/>
      </c>
      <c r="O51" s="86" t="n">
        <v>21.99</v>
      </c>
      <c r="P51" s="89">
        <f>IF(AND(ISNUMBER(K51),ISNUMBER(O51),N(O51)&gt;0),K51/O51-1,"")</f>
        <v/>
      </c>
      <c r="Q51" s="32" t="inlineStr">
        <is>
          <t>Same size (Queen). Ours live: Helium 10 Xray, 2026-10-13; 4 children</t>
        </is>
      </c>
      <c r="R51" s="85" t="n">
        <v>18613</v>
      </c>
      <c r="S51" s="85" t="n">
        <v>92</v>
      </c>
      <c r="T51" s="90">
        <f>IF(AND(ISNUMBER(K51),ISNUMBER(S51)),K51*S51*52/12,"")</f>
        <v/>
      </c>
      <c r="U51" s="91" t="n">
        <v>4.4</v>
      </c>
      <c r="V51" s="85" t="n">
        <v>3872</v>
      </c>
      <c r="W51" s="92" t="n">
        <v>46307</v>
      </c>
      <c r="X51" s="92" t="n"/>
      <c r="Y51" s="84" t="n"/>
      <c r="Z51" s="84" t="n"/>
      <c r="AA51" s="85" t="n">
        <v>53763</v>
      </c>
      <c r="AB51" s="85" t="n">
        <v>1432</v>
      </c>
      <c r="AC51" s="93" t="n">
        <v>0.6823409073154402</v>
      </c>
      <c r="AD51" s="93" t="n">
        <v>0.3176590926845601</v>
      </c>
      <c r="AE51" s="32" t="inlineStr">
        <is>
          <t>cooling pillow cases</t>
        </is>
      </c>
      <c r="AF51" s="93" t="n">
        <v>0.6772687536037796</v>
      </c>
      <c r="AG51" s="93" t="n">
        <v>0.6927812808065026</v>
      </c>
      <c r="AH51" s="93" t="n"/>
      <c r="AI51" s="93" t="n"/>
      <c r="AJ51" s="85" t="n">
        <v>43</v>
      </c>
      <c r="AK51" s="85" t="n">
        <v>3</v>
      </c>
      <c r="AL51" s="85" t="n">
        <v>38</v>
      </c>
      <c r="AM51" s="85" t="n">
        <v>1389</v>
      </c>
      <c r="AN51" s="85" t="n">
        <v>191</v>
      </c>
      <c r="AO51" s="85" t="n">
        <v>2</v>
      </c>
      <c r="AP51" s="94" t="n">
        <v>1.099737532808399</v>
      </c>
      <c r="AQ51" s="89" t="n">
        <v>-0.3423336547733847</v>
      </c>
      <c r="AR51" s="95" t="inlineStr">
        <is>
          <t>N</t>
        </is>
      </c>
      <c r="AS51" s="95" t="inlineStr">
        <is>
          <t>none</t>
        </is>
      </c>
      <c r="AT51" s="101" t="n"/>
      <c r="AU51" s="96" t="n">
        <v>17.52</v>
      </c>
      <c r="AV51" s="95" t="inlineStr">
        <is>
          <t>none</t>
        </is>
      </c>
      <c r="AW51" s="95" t="inlineStr">
        <is>
          <t>Y</t>
        </is>
      </c>
      <c r="AX51" s="95" t="inlineStr">
        <is>
          <t>2026-10-13 23:37:15</t>
        </is>
      </c>
      <c r="AY51" s="97" t="inlineStr">
        <is>
          <t>Prime Exclusive Discount</t>
        </is>
      </c>
      <c r="AZ51" s="97" t="inlineStr">
        <is>
          <t>11-21 to 12-01</t>
        </is>
      </c>
      <c r="BA51" s="98" t="n">
        <v>15.99</v>
      </c>
      <c r="BB51" s="98" t="n">
        <v>13.67</v>
      </c>
      <c r="BC51" s="87">
        <f>IF(AND(ISNUMBER(BA51),ISNUMBER(BB51),N(BA51)&gt;0),1-BB51/BA51,"")</f>
        <v/>
      </c>
      <c r="BD51" s="99" t="n">
        <v>24834</v>
      </c>
      <c r="BE51" s="99" t="n">
        <v>30930</v>
      </c>
      <c r="BF51" s="100">
        <f>IF(AND(ISNUMBER(BD51),ISNUMBER(BE51),N(BE51)&gt;0),BD51/BE51,"")</f>
        <v/>
      </c>
      <c r="BG51" s="97" t="inlineStr">
        <is>
          <t>N</t>
        </is>
      </c>
      <c r="BH51" s="97" t="inlineStr">
        <is>
          <t>Coupon 10%, 15% (11-01 to 12-05); List Price $19.99</t>
        </is>
      </c>
    </row>
    <row r="52" ht="62" customHeight="1">
      <c r="A52" s="39" t="inlineStr">
        <is>
          <t>IMAGE MISSING</t>
        </is>
      </c>
      <c r="B52" s="84" t="inlineStr">
        <is>
          <t>Elegear</t>
        </is>
      </c>
      <c r="C52" s="32" t="inlineStr">
        <is>
          <t>Elegear Cooling Pillow Cases for Hot Sleepers, Set of 2, Queen 20'' x 30''</t>
        </is>
      </c>
      <c r="D52" s="84" t="inlineStr">
        <is>
          <t>Aspirational</t>
        </is>
      </c>
      <c r="E52" s="84" t="inlineStr">
        <is>
          <t>B0HFSJ3HLW</t>
        </is>
      </c>
      <c r="F52" s="84" t="inlineStr">
        <is>
          <t>B07TMF54XC</t>
        </is>
      </c>
      <c r="G52" s="84" t="inlineStr">
        <is>
          <t>Queen</t>
        </is>
      </c>
      <c r="H52" s="84" t="n"/>
      <c r="I52" s="85" t="n">
        <v>19</v>
      </c>
      <c r="J52" s="32" t="inlineStr">
        <is>
          <t>B086V7TPDQ (46%), B086V2N4QX (35%)</t>
        </is>
      </c>
      <c r="K52" s="86" t="n">
        <v>16.88</v>
      </c>
      <c r="L52" s="86" t="n"/>
      <c r="M52" s="87">
        <f>IF(AND(ISNUMBER(L52),ISNUMBER(K52),N(K52)&gt;0),L52/K52-1,"")</f>
        <v/>
      </c>
      <c r="N52" s="88">
        <f>IF(M52="","No List Price",IF(M52&lt;=0,"At/below price",IF(M52&lt;=0.12,"&lt;=12% STR zone",IF(M52&lt;=0.25,"12-25%","&gt;25% over"))))</f>
        <v/>
      </c>
      <c r="O52" s="86" t="n">
        <v>21.99</v>
      </c>
      <c r="P52" s="89">
        <f>IF(AND(ISNUMBER(K52),ISNUMBER(O52),N(O52)&gt;0),K52/O52-1,"")</f>
        <v/>
      </c>
      <c r="Q52" s="32" t="inlineStr">
        <is>
          <t>Same size (Queen). Ours live: Helium 10 Xray, 2026-10-13; 4 children</t>
        </is>
      </c>
      <c r="R52" s="85" t="n">
        <v>29862</v>
      </c>
      <c r="S52" s="85" t="n">
        <v>35</v>
      </c>
      <c r="T52" s="90">
        <f>IF(AND(ISNUMBER(K52),ISNUMBER(S52)),K52*S52*52/12,"")</f>
        <v/>
      </c>
      <c r="U52" s="91" t="n">
        <v>4.3</v>
      </c>
      <c r="V52" s="85" t="n">
        <v>8391</v>
      </c>
      <c r="W52" s="92" t="n">
        <v>46307</v>
      </c>
      <c r="X52" s="92" t="n"/>
      <c r="Y52" s="84" t="n"/>
      <c r="Z52" s="84" t="n"/>
      <c r="AA52" s="85" t="n">
        <v>12595</v>
      </c>
      <c r="AB52" s="85" t="n">
        <v>546</v>
      </c>
      <c r="AC52" s="93" t="n">
        <v>0.8238290353314806</v>
      </c>
      <c r="AD52" s="93" t="n">
        <v>0.1761709646685192</v>
      </c>
      <c r="AE52" s="32" t="inlineStr">
        <is>
          <t>cooling pillow cases</t>
        </is>
      </c>
      <c r="AF52" s="93" t="n">
        <v>0.7178245335450576</v>
      </c>
      <c r="AG52" s="93" t="n">
        <v>0.04525605398967844</v>
      </c>
      <c r="AH52" s="93" t="n">
        <v>0.07185391028185788</v>
      </c>
      <c r="AI52" s="93" t="n"/>
      <c r="AJ52" s="85" t="n">
        <v>41</v>
      </c>
      <c r="AK52" s="85" t="n">
        <v>4</v>
      </c>
      <c r="AL52" s="85" t="n">
        <v>34</v>
      </c>
      <c r="AM52" s="85" t="n">
        <v>505</v>
      </c>
      <c r="AN52" s="85" t="n">
        <v>31</v>
      </c>
      <c r="AO52" s="85" t="n">
        <v>1</v>
      </c>
      <c r="AP52" s="94" t="n"/>
      <c r="AQ52" s="89" t="n"/>
      <c r="AR52" s="95" t="inlineStr">
        <is>
          <t>Y</t>
        </is>
      </c>
      <c r="AS52" s="95" t="inlineStr">
        <is>
          <t>List Price</t>
        </is>
      </c>
      <c r="AT52" s="96" t="n">
        <v>18.75</v>
      </c>
      <c r="AU52" s="96" t="n">
        <v>16.88</v>
      </c>
      <c r="AV52" s="95" t="inlineStr">
        <is>
          <t>none</t>
        </is>
      </c>
      <c r="AW52" s="95" t="inlineStr">
        <is>
          <t>Y</t>
        </is>
      </c>
      <c r="AX52" s="95" t="inlineStr">
        <is>
          <t>2026-10-13 23:38:28</t>
        </is>
      </c>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10">
        <f>_xlfn.IMAGE("https://images-na.ssl-images-amazon.com/images/I/71eYQFtuPxL.jpg")</f>
        <v/>
      </c>
      <c r="B53" s="84" t="inlineStr">
        <is>
          <t>REST</t>
        </is>
      </c>
      <c r="C53" s="32" t="inlineStr">
        <is>
          <t>REST® Evercool®+ Cooling Pillowcases for Hot Sleepers, Standard, 2PCS</t>
        </is>
      </c>
      <c r="D53" s="84" t="inlineStr">
        <is>
          <t>Beatable</t>
        </is>
      </c>
      <c r="E53" s="84" t="inlineStr">
        <is>
          <t>B0C13Y18JW</t>
        </is>
      </c>
      <c r="F53" s="84" t="inlineStr">
        <is>
          <t>B0C141VGM6</t>
        </is>
      </c>
      <c r="G53" s="84" t="inlineStr">
        <is>
          <t>Standard</t>
        </is>
      </c>
      <c r="H53" s="84" t="n"/>
      <c r="I53" s="85" t="n">
        <v>12</v>
      </c>
      <c r="J53" s="32" t="inlineStr">
        <is>
          <t>B0C141VGM6 (29%), B0C144NQ87 (22%), B0C144HZHL (11%), B0D4YFNCW6 (9%), B0D4YCZSLY (7%)</t>
        </is>
      </c>
      <c r="K53" s="86" t="n">
        <v>59.25</v>
      </c>
      <c r="L53" s="86" t="n">
        <v>79</v>
      </c>
      <c r="M53" s="87">
        <f>IF(AND(ISNUMBER(L53),ISNUMBER(K53),N(K53)&gt;0),L53/K53-1,"")</f>
        <v/>
      </c>
      <c r="N53" s="88">
        <f>IF(M53="","No List Price",IF(M53&lt;=0,"At/below price",IF(M53&lt;=0.12,"&lt;=12% STR zone",IF(M53&lt;=0.25,"12-25%","&gt;25% over"))))</f>
        <v/>
      </c>
      <c r="O53" s="86" t="n">
        <v>17.99</v>
      </c>
      <c r="P53" s="89">
        <f>IF(AND(ISNUMBER(K53),ISNUMBER(O53),N(O53)&gt;0),K53/O53-1,"")</f>
        <v/>
      </c>
      <c r="Q53" s="32" t="inlineStr">
        <is>
          <t>Same size (Standard). Ours live: SellerBoard listing price, 2026-10-14; 4 children</t>
        </is>
      </c>
      <c r="R53" s="85" t="n">
        <v>4369</v>
      </c>
      <c r="S53" s="85" t="n">
        <v>208</v>
      </c>
      <c r="T53" s="90">
        <f>IF(AND(ISNUMBER(K53),ISNUMBER(S53)),K53*S53*52/12,"")</f>
        <v/>
      </c>
      <c r="U53" s="91" t="n">
        <v>4.4</v>
      </c>
      <c r="V53" s="85" t="n">
        <v>1226</v>
      </c>
      <c r="W53" s="92" t="n">
        <v>46307</v>
      </c>
      <c r="X53" s="92" t="n">
        <v>45016</v>
      </c>
      <c r="Y53" s="84" t="inlineStr">
        <is>
          <t>FBA</t>
        </is>
      </c>
      <c r="Z53" s="84" t="inlineStr">
        <is>
          <t>HK</t>
        </is>
      </c>
      <c r="AA53" s="85" t="n">
        <v>345367</v>
      </c>
      <c r="AB53" s="85" t="n">
        <v>4235</v>
      </c>
      <c r="AC53" s="93" t="n">
        <v>0.2641106081356929</v>
      </c>
      <c r="AD53" s="93" t="n">
        <v>0.7358896698294859</v>
      </c>
      <c r="AE53" s="32" t="inlineStr">
        <is>
          <t>cooling pillow cases</t>
        </is>
      </c>
      <c r="AF53" s="93" t="n">
        <v>0.8527276780931589</v>
      </c>
      <c r="AG53" s="93" t="n">
        <v>0.9219902306821439</v>
      </c>
      <c r="AH53" s="93" t="n">
        <v>0.6144159690995376</v>
      </c>
      <c r="AI53" s="93" t="n">
        <v>0.01558921379286382</v>
      </c>
      <c r="AJ53" s="85" t="n">
        <v>44</v>
      </c>
      <c r="AK53" s="85" t="n">
        <v>2</v>
      </c>
      <c r="AL53" s="85" t="n">
        <v>40</v>
      </c>
      <c r="AM53" s="85" t="n">
        <v>4191</v>
      </c>
      <c r="AN53" s="85" t="n">
        <v>1942</v>
      </c>
      <c r="AO53" s="85" t="n">
        <v>2</v>
      </c>
      <c r="AP53" s="94" t="n">
        <v>2.252856054836253</v>
      </c>
      <c r="AQ53" s="89" t="n">
        <v>0.8507734303912649</v>
      </c>
      <c r="AR53" s="95" t="inlineStr">
        <is>
          <t>Y</t>
        </is>
      </c>
      <c r="AS53" s="95" t="inlineStr">
        <is>
          <t>List Price</t>
        </is>
      </c>
      <c r="AT53" s="96" t="n">
        <v>79</v>
      </c>
      <c r="AU53" s="96" t="n">
        <v>59.25</v>
      </c>
      <c r="AV53" s="95" t="inlineStr">
        <is>
          <t>none</t>
        </is>
      </c>
      <c r="AW53" s="95" t="inlineStr">
        <is>
          <t>Y</t>
        </is>
      </c>
      <c r="AX53" s="95" t="inlineStr">
        <is>
          <t>2026-10-13 23:39:04</t>
        </is>
      </c>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39" t="inlineStr">
        <is>
          <t>IMAGE MISSING</t>
        </is>
      </c>
      <c r="B54" s="84" t="inlineStr">
        <is>
          <t>Avolare</t>
        </is>
      </c>
      <c r="C54" s="32" t="inlineStr">
        <is>
          <t>Avolare Cooling Pillow Cases Queen Size Set of 2,Arc-Chill 3.0 Cool Pillowcases</t>
        </is>
      </c>
      <c r="D54" s="84" t="inlineStr">
        <is>
          <t>Beatable</t>
        </is>
      </c>
      <c r="E54" s="84" t="inlineStr">
        <is>
          <t>B0GRV9GZ9L</t>
        </is>
      </c>
      <c r="F54" s="84" t="inlineStr">
        <is>
          <t>B08TBL21VT</t>
        </is>
      </c>
      <c r="G54" s="84" t="inlineStr">
        <is>
          <t>Queen</t>
        </is>
      </c>
      <c r="H54" s="84" t="n"/>
      <c r="I54" s="85" t="n"/>
      <c r="J54" s="32" t="inlineStr"/>
      <c r="K54" s="86" t="n">
        <v>15.99</v>
      </c>
      <c r="L54" s="86" t="n">
        <v>19.99</v>
      </c>
      <c r="M54" s="87">
        <f>IF(AND(ISNUMBER(L54),ISNUMBER(K54),N(K54)&gt;0),L54/K54-1,"")</f>
        <v/>
      </c>
      <c r="N54" s="88">
        <f>IF(M54="","No List Price",IF(M54&lt;=0,"At/below price",IF(M54&lt;=0.12,"&lt;=12% STR zone",IF(M54&lt;=0.25,"12-25%","&gt;25% over"))))</f>
        <v/>
      </c>
      <c r="O54" s="86" t="n">
        <v>21.99</v>
      </c>
      <c r="P54" s="89">
        <f>IF(AND(ISNUMBER(K54),ISNUMBER(O54),N(O54)&gt;0),K54/O54-1,"")</f>
        <v/>
      </c>
      <c r="Q54" s="32" t="inlineStr">
        <is>
          <t>Same size (Queen). Ours live: Helium 10 Xray, 2026-10-13; 4 children</t>
        </is>
      </c>
      <c r="R54" s="85" t="n">
        <v>14178</v>
      </c>
      <c r="S54" s="85" t="n">
        <v>173</v>
      </c>
      <c r="T54" s="90">
        <f>IF(AND(ISNUMBER(K54),ISNUMBER(S54)),K54*S54*52/12,"")</f>
        <v/>
      </c>
      <c r="U54" s="91" t="n">
        <v>4.4</v>
      </c>
      <c r="V54" s="85" t="n">
        <v>3832</v>
      </c>
      <c r="W54" s="92" t="n">
        <v>46272</v>
      </c>
      <c r="X54" s="92" t="n"/>
      <c r="Y54" s="84" t="n"/>
      <c r="Z54" s="84" t="n"/>
      <c r="AA54" s="85" t="n"/>
      <c r="AB54" s="85" t="n"/>
      <c r="AC54" s="93" t="n"/>
      <c r="AD54" s="93" t="n"/>
      <c r="AE54" s="32" t="n"/>
      <c r="AF54" s="93" t="n"/>
      <c r="AG54" s="93" t="n"/>
      <c r="AH54" s="93" t="n"/>
      <c r="AI54" s="93" t="n"/>
      <c r="AJ54" s="85" t="n"/>
      <c r="AK54" s="85" t="n"/>
      <c r="AL54" s="85" t="n"/>
      <c r="AM54" s="85" t="n"/>
      <c r="AN54" s="85" t="n"/>
      <c r="AO54" s="85" t="n"/>
      <c r="AP54" s="94" t="n">
        <v>1.099737532808399</v>
      </c>
      <c r="AQ54" s="89" t="n">
        <v>-0.3423336547733847</v>
      </c>
      <c r="AR54" s="95" t="inlineStr">
        <is>
          <t>N</t>
        </is>
      </c>
      <c r="AS54" s="95" t="inlineStr">
        <is>
          <t>none</t>
        </is>
      </c>
      <c r="AT54" s="101" t="n"/>
      <c r="AU54" s="96" t="n">
        <v>17.52</v>
      </c>
      <c r="AV54" s="95" t="inlineStr">
        <is>
          <t>none</t>
        </is>
      </c>
      <c r="AW54" s="95" t="inlineStr">
        <is>
          <t>Y</t>
        </is>
      </c>
      <c r="AX54" s="95" t="inlineStr">
        <is>
          <t>2026-10-13 23:37:15</t>
        </is>
      </c>
      <c r="AY54" s="97" t="inlineStr">
        <is>
          <t>Prime Exclusive Discount</t>
        </is>
      </c>
      <c r="AZ54" s="97" t="inlineStr">
        <is>
          <t>11-21 to 12-01</t>
        </is>
      </c>
      <c r="BA54" s="98" t="n">
        <v>15.99</v>
      </c>
      <c r="BB54" s="98" t="n">
        <v>13.67</v>
      </c>
      <c r="BC54" s="87">
        <f>IF(AND(ISNUMBER(BA54),ISNUMBER(BB54),N(BA54)&gt;0),1-BB54/BA54,"")</f>
        <v/>
      </c>
      <c r="BD54" s="99" t="n">
        <v>24834</v>
      </c>
      <c r="BE54" s="99" t="n">
        <v>30930</v>
      </c>
      <c r="BF54" s="100">
        <f>IF(AND(ISNUMBER(BD54),ISNUMBER(BE54),N(BE54)&gt;0),BD54/BE54,"")</f>
        <v/>
      </c>
      <c r="BG54" s="97" t="inlineStr">
        <is>
          <t>N</t>
        </is>
      </c>
      <c r="BH54" s="97" t="inlineStr">
        <is>
          <t>Coupon 10%, 15% (11-01 to 12-05); List Price $19.99</t>
        </is>
      </c>
    </row>
    <row r="55" ht="62" customHeight="1">
      <c r="A55" s="10">
        <f>_xlfn.IMAGE("https://images-na.ssl-images-amazon.com/images/I/81mbqqKQImL.jpg")</f>
        <v/>
      </c>
      <c r="B55" s="84" t="inlineStr">
        <is>
          <t>CHOSHOME</t>
        </is>
      </c>
      <c r="C55" s="32" t="inlineStr">
        <is>
          <t>CHOSHOME Cooling Pillow Cases Zipper Pillow Covers Q-Max &gt; 0.45 Zippered Pillowcases for Hot Sleepers, Soft, Breathable, Skin-Friendly, 2 Pack (Standard, 20" x 26", Grey)</t>
        </is>
      </c>
      <c r="D55" s="84" t="inlineStr">
        <is>
          <t>Beatable</t>
        </is>
      </c>
      <c r="E55" s="84" t="inlineStr">
        <is>
          <t>B0B75178W1</t>
        </is>
      </c>
      <c r="F55" s="84" t="inlineStr">
        <is>
          <t>B08X2KBD67</t>
        </is>
      </c>
      <c r="G55" s="84" t="inlineStr">
        <is>
          <t>Standard</t>
        </is>
      </c>
      <c r="H55" s="84" t="inlineStr">
        <is>
          <t>Grey</t>
        </is>
      </c>
      <c r="I55" s="85" t="n">
        <v>54</v>
      </c>
      <c r="J55" s="32" t="inlineStr">
        <is>
          <t>B08X2KBD67 (85%)</t>
        </is>
      </c>
      <c r="K55" s="86" t="n">
        <v>14.6</v>
      </c>
      <c r="L55" s="86" t="n"/>
      <c r="M55" s="87">
        <f>IF(AND(ISNUMBER(L55),ISNUMBER(K55),N(K55)&gt;0),L55/K55-1,"")</f>
        <v/>
      </c>
      <c r="N55" s="88">
        <f>IF(M55="","No List Price",IF(M55&lt;=0,"At/below price",IF(M55&lt;=0.12,"&lt;=12% STR zone",IF(M55&lt;=0.25,"12-25%","&gt;25% over"))))</f>
        <v/>
      </c>
      <c r="O55" s="86" t="n">
        <v>17.99</v>
      </c>
      <c r="P55" s="89">
        <f>IF(AND(ISNUMBER(K55),ISNUMBER(O55),N(O55)&gt;0),K55/O55-1,"")</f>
        <v/>
      </c>
      <c r="Q55" s="32" t="inlineStr">
        <is>
          <t>Same size (Standard). Ours live: SellerBoard listing price, 2026-10-14; 4 children</t>
        </is>
      </c>
      <c r="R55" s="85" t="n">
        <v>28988</v>
      </c>
      <c r="S55" s="85" t="n">
        <v>104</v>
      </c>
      <c r="T55" s="90">
        <f>IF(AND(ISNUMBER(K55),ISNUMBER(S55)),K55*S55*52/12,"")</f>
        <v/>
      </c>
      <c r="U55" s="91" t="n">
        <v>4.4</v>
      </c>
      <c r="V55" s="85" t="n">
        <v>1768</v>
      </c>
      <c r="W55" s="92" t="n">
        <v>46307</v>
      </c>
      <c r="X55" s="92" t="n">
        <v>44247</v>
      </c>
      <c r="Y55" s="84" t="inlineStr">
        <is>
          <t>FBA</t>
        </is>
      </c>
      <c r="Z55" s="84" t="inlineStr">
        <is>
          <t>CN</t>
        </is>
      </c>
      <c r="AA55" s="85" t="n">
        <v>17999</v>
      </c>
      <c r="AB55" s="85" t="n">
        <v>499</v>
      </c>
      <c r="AC55" s="93" t="n">
        <v>0.8252617812100672</v>
      </c>
      <c r="AD55" s="93" t="n">
        <v>0.1747382187899328</v>
      </c>
      <c r="AE55" s="32" t="inlineStr">
        <is>
          <t>cooling pillow cases</t>
        </is>
      </c>
      <c r="AF55" s="93" t="n">
        <v>0.5976443135729763</v>
      </c>
      <c r="AG55" s="93" t="n"/>
      <c r="AH55" s="93" t="n">
        <v>0.4869714984165787</v>
      </c>
      <c r="AI55" s="93" t="n">
        <v>0.01083393521862326</v>
      </c>
      <c r="AJ55" s="85" t="n">
        <v>38</v>
      </c>
      <c r="AK55" s="85" t="n">
        <v>2</v>
      </c>
      <c r="AL55" s="85" t="n">
        <v>34</v>
      </c>
      <c r="AM55" s="85" t="n">
        <v>461</v>
      </c>
      <c r="AN55" s="85" t="n">
        <v>43</v>
      </c>
      <c r="AO55" s="85" t="n">
        <v>1</v>
      </c>
      <c r="AP55" s="94" t="n">
        <v>1.111111111111111</v>
      </c>
      <c r="AQ55" s="89" t="n">
        <v>0.1746031746031744</v>
      </c>
      <c r="AR55" s="95" t="inlineStr">
        <is>
          <t>N</t>
        </is>
      </c>
      <c r="AS55" s="95" t="inlineStr">
        <is>
          <t>none</t>
        </is>
      </c>
      <c r="AT55" s="101" t="n"/>
      <c r="AU55" s="96" t="n">
        <v>14.6</v>
      </c>
      <c r="AV55" s="95" t="inlineStr">
        <is>
          <t>none</t>
        </is>
      </c>
      <c r="AW55" s="95" t="inlineStr">
        <is>
          <t>Y</t>
        </is>
      </c>
      <c r="AX55" s="95" t="inlineStr">
        <is>
          <t>2026-10-13 23:37:56</t>
        </is>
      </c>
      <c r="AY55" s="97" t="inlineStr">
        <is>
          <t>Prime Exclusive Discount</t>
        </is>
      </c>
      <c r="AZ55" s="97" t="inlineStr">
        <is>
          <t>11-24 to 12-01</t>
        </is>
      </c>
      <c r="BA55" s="98" t="n">
        <v>15.56</v>
      </c>
      <c r="BB55" s="98" t="n">
        <v>13.13</v>
      </c>
      <c r="BC55" s="87">
        <f>IF(AND(ISNUMBER(BA55),ISNUMBER(BB55),N(BA55)&gt;0),1-BB55/BA55,"")</f>
        <v/>
      </c>
      <c r="BD55" s="99" t="n">
        <v>42613</v>
      </c>
      <c r="BE55" s="99" t="n">
        <v>41326</v>
      </c>
      <c r="BF55" s="100">
        <f>IF(AND(ISNUMBER(BD55),ISNUMBER(BE55),N(BE55)&gt;0),BD55/BE55,"")</f>
        <v/>
      </c>
      <c r="BG55" s="97" t="inlineStr">
        <is>
          <t>N</t>
        </is>
      </c>
      <c r="BH55" s="97" t="inlineStr">
        <is>
          <t>List Price $19.99</t>
        </is>
      </c>
    </row>
    <row r="56" ht="62" customHeight="1">
      <c r="A56" s="39" t="inlineStr">
        <is>
          <t>IMAGE MISSING</t>
        </is>
      </c>
      <c r="B56" s="84" t="inlineStr">
        <is>
          <t>Coop Home Goods</t>
        </is>
      </c>
      <c r="C56" s="32" t="inlineStr">
        <is>
          <t>Coop Home Goods Cool+ Cooling Pillow Case Set of 2, Dove Grey Queen Size Pillow</t>
        </is>
      </c>
      <c r="D56" s="84" t="inlineStr">
        <is>
          <t>Beatable</t>
        </is>
      </c>
      <c r="E56" s="84" t="inlineStr">
        <is>
          <t>B0D4BZDBY7</t>
        </is>
      </c>
      <c r="F56" s="84" t="inlineStr">
        <is>
          <t>B0GKDH5DJ9</t>
        </is>
      </c>
      <c r="G56" s="84" t="inlineStr">
        <is>
          <t>Queen</t>
        </is>
      </c>
      <c r="H56" s="84" t="inlineStr">
        <is>
          <t>Grey</t>
        </is>
      </c>
      <c r="I56" s="85" t="n">
        <v>14</v>
      </c>
      <c r="J56" s="32" t="inlineStr">
        <is>
          <t>B0CL1243GJ (24%), B0CMG59TLG (20%), B0CMG11PJV (15%), B0CL12S4V3 (14%), B0GKCPSXNG (13%)</t>
        </is>
      </c>
      <c r="K56" s="86" t="n">
        <v>33.15</v>
      </c>
      <c r="L56" s="86" t="n">
        <v>39</v>
      </c>
      <c r="M56" s="87">
        <f>IF(AND(ISNUMBER(L56),ISNUMBER(K56),N(K56)&gt;0),L56/K56-1,"")</f>
        <v/>
      </c>
      <c r="N56" s="88">
        <f>IF(M56="","No List Price",IF(M56&lt;=0,"At/below price",IF(M56&lt;=0.12,"&lt;=12% STR zone",IF(M56&lt;=0.25,"12-25%","&gt;25% over"))))</f>
        <v/>
      </c>
      <c r="O56" s="86" t="n">
        <v>21.99</v>
      </c>
      <c r="P56" s="89">
        <f>IF(AND(ISNUMBER(K56),ISNUMBER(O56),N(O56)&gt;0),K56/O56-1,"")</f>
        <v/>
      </c>
      <c r="Q56" s="32" t="inlineStr">
        <is>
          <t>Same size (Queen). Ours live: Helium 10 Xray, 2026-10-13; 4 children</t>
        </is>
      </c>
      <c r="R56" s="85" t="n">
        <v>16917</v>
      </c>
      <c r="S56" s="85" t="n">
        <v>104</v>
      </c>
      <c r="T56" s="90">
        <f>IF(AND(ISNUMBER(K56),ISNUMBER(S56)),K56*S56*52/12,"")</f>
        <v/>
      </c>
      <c r="U56" s="91" t="n">
        <v>4.5</v>
      </c>
      <c r="V56" s="85" t="n">
        <v>507</v>
      </c>
      <c r="W56" s="92" t="n">
        <v>46307</v>
      </c>
      <c r="X56" s="92" t="n"/>
      <c r="Y56" s="84" t="n"/>
      <c r="Z56" s="84" t="n"/>
      <c r="AA56" s="85" t="n">
        <v>80590</v>
      </c>
      <c r="AB56" s="85" t="n">
        <v>1312</v>
      </c>
      <c r="AC56" s="93" t="n">
        <v>0.4567044707780124</v>
      </c>
      <c r="AD56" s="93" t="n">
        <v>0.5432956880506267</v>
      </c>
      <c r="AE56" s="32" t="inlineStr">
        <is>
          <t>coop pillow</t>
        </is>
      </c>
      <c r="AF56" s="93" t="n">
        <v>0.6335773669189726</v>
      </c>
      <c r="AG56" s="93" t="n"/>
      <c r="AH56" s="93" t="n"/>
      <c r="AI56" s="93" t="n">
        <v>0.075877900483931</v>
      </c>
      <c r="AJ56" s="85" t="n">
        <v>42</v>
      </c>
      <c r="AK56" s="85" t="n">
        <v>5</v>
      </c>
      <c r="AL56" s="85" t="n">
        <v>32</v>
      </c>
      <c r="AM56" s="85" t="n">
        <v>1270</v>
      </c>
      <c r="AN56" s="85" t="n">
        <v>710</v>
      </c>
      <c r="AO56" s="85" t="n">
        <v>0</v>
      </c>
      <c r="AP56" s="94" t="n"/>
      <c r="AQ56" s="89" t="n"/>
      <c r="AR56" s="95" t="inlineStr">
        <is>
          <t>Y</t>
        </is>
      </c>
      <c r="AS56" s="95" t="inlineStr">
        <is>
          <t>Typical price</t>
        </is>
      </c>
      <c r="AT56" s="96" t="n">
        <v>39</v>
      </c>
      <c r="AU56" s="96" t="n">
        <v>33.15</v>
      </c>
      <c r="AV56" s="95" t="inlineStr">
        <is>
          <t>Limited time deal</t>
        </is>
      </c>
      <c r="AW56" s="95" t="inlineStr">
        <is>
          <t>Y</t>
        </is>
      </c>
      <c r="AX56" s="95" t="inlineStr">
        <is>
          <t>2026-10-13 23:38:05</t>
        </is>
      </c>
      <c r="AY56" s="97" t="inlineStr">
        <is>
          <t>Not live in 2025</t>
        </is>
      </c>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39" t="inlineStr">
        <is>
          <t>IMAGE MISSING</t>
        </is>
      </c>
      <c r="B57" s="84" t="inlineStr">
        <is>
          <t>ELIBABA</t>
        </is>
      </c>
      <c r="C57" s="32" t="inlineStr">
        <is>
          <t>Cooling Side Sleeper Pillow Cases - Curved Rayon Derived from Bamboo Pillowcase</t>
        </is>
      </c>
      <c r="D57" s="84" t="inlineStr">
        <is>
          <t>Beatable</t>
        </is>
      </c>
      <c r="E57" s="84" t="inlineStr">
        <is>
          <t>B0HGLD1P8V</t>
        </is>
      </c>
      <c r="F57" s="84" t="inlineStr">
        <is>
          <t>B0CQK3KHHH</t>
        </is>
      </c>
      <c r="G57" s="84" t="n"/>
      <c r="H57" s="84" t="n"/>
      <c r="I57" s="85" t="n">
        <v>25</v>
      </c>
      <c r="J57" s="32" t="inlineStr">
        <is>
          <t>B0CQK3KHHH (38%), B0B8Y484FV (19%), B0BJ6PPDL4 (12%), B0DSSYCX22 (9%), B0DSVP4PKM (5%)</t>
        </is>
      </c>
      <c r="K57" s="86" t="n">
        <v>17.99</v>
      </c>
      <c r="L57" s="86" t="n"/>
      <c r="M57" s="87">
        <f>IF(AND(ISNUMBER(L57),ISNUMBER(K57),N(K57)&gt;0),L57/K57-1,"")</f>
        <v/>
      </c>
      <c r="N57" s="88">
        <f>IF(M57="","No List Price",IF(M57&lt;=0,"At/below price",IF(M57&lt;=0.12,"&lt;=12% STR zone",IF(M57&lt;=0.25,"12-25%","&gt;25% over"))))</f>
        <v/>
      </c>
      <c r="O57" s="86" t="n">
        <v>21.99</v>
      </c>
      <c r="P57" s="89">
        <f>IF(AND(ISNUMBER(K57),ISNUMBER(O57),N(O57)&gt;0),K57/O57-1,"")</f>
        <v/>
      </c>
      <c r="Q57" s="32" t="inlineStr">
        <is>
          <t>Size not stated - vs our Queen. Ours live: Helium 10 Xray, 2026-10-13; 4 children</t>
        </is>
      </c>
      <c r="R57" s="85" t="n">
        <v>12744</v>
      </c>
      <c r="S57" s="85" t="n">
        <v>92</v>
      </c>
      <c r="T57" s="90">
        <f>IF(AND(ISNUMBER(K57),ISNUMBER(S57)),K57*S57*52/12,"")</f>
        <v/>
      </c>
      <c r="U57" s="91" t="n">
        <v>4.2</v>
      </c>
      <c r="V57" s="85" t="n">
        <v>1630</v>
      </c>
      <c r="W57" s="92" t="n">
        <v>46307</v>
      </c>
      <c r="X57" s="92" t="n"/>
      <c r="Y57" s="84" t="n"/>
      <c r="Z57" s="84" t="n"/>
      <c r="AA57" s="85" t="n">
        <v>15537</v>
      </c>
      <c r="AB57" s="85" t="n">
        <v>438</v>
      </c>
      <c r="AC57" s="93" t="n">
        <v>0.770486258608483</v>
      </c>
      <c r="AD57" s="93" t="n">
        <v>0.229513741391517</v>
      </c>
      <c r="AE57" s="32" t="inlineStr">
        <is>
          <t>curved pillow case</t>
        </is>
      </c>
      <c r="AF57" s="93" t="n">
        <v>0.7482783034047757</v>
      </c>
      <c r="AG57" s="93" t="n">
        <v>0.4866447834202227</v>
      </c>
      <c r="AH57" s="93" t="n">
        <v>0.2338289245027998</v>
      </c>
      <c r="AI57" s="93" t="n">
        <v>0.3666087404260797</v>
      </c>
      <c r="AJ57" s="85" t="n">
        <v>34</v>
      </c>
      <c r="AK57" s="85" t="n">
        <v>5</v>
      </c>
      <c r="AL57" s="85" t="n">
        <v>25</v>
      </c>
      <c r="AM57" s="85" t="n">
        <v>404</v>
      </c>
      <c r="AN57" s="85" t="n">
        <v>34</v>
      </c>
      <c r="AO57" s="85" t="n">
        <v>0</v>
      </c>
      <c r="AP57" s="94" t="n">
        <v>0.8564593301435407</v>
      </c>
      <c r="AQ57" s="89" t="n">
        <v>-0.2191358024691358</v>
      </c>
      <c r="AR57" s="95" t="inlineStr">
        <is>
          <t>N</t>
        </is>
      </c>
      <c r="AS57" s="95" t="inlineStr">
        <is>
          <t>none</t>
        </is>
      </c>
      <c r="AT57" s="101" t="n"/>
      <c r="AU57" s="96" t="n">
        <v>17.99</v>
      </c>
      <c r="AV57" s="95" t="inlineStr">
        <is>
          <t>none</t>
        </is>
      </c>
      <c r="AW57" s="95" t="inlineStr">
        <is>
          <t>Y</t>
        </is>
      </c>
      <c r="AX57" s="95" t="inlineStr">
        <is>
          <t>2026-10-13 23:36:15</t>
        </is>
      </c>
      <c r="AY57" s="97" t="inlineStr">
        <is>
          <t>Prime Exclusive Discount</t>
        </is>
      </c>
      <c r="AZ57" s="97" t="inlineStr">
        <is>
          <t>11-26 to 12-01</t>
        </is>
      </c>
      <c r="BA57" s="98" t="n">
        <v>18.99</v>
      </c>
      <c r="BB57" s="98" t="n">
        <v>15.19</v>
      </c>
      <c r="BC57" s="87">
        <f>IF(AND(ISNUMBER(BA57),ISNUMBER(BB57),N(BA57)&gt;0),1-BB57/BA57,"")</f>
        <v/>
      </c>
      <c r="BD57" s="99" t="n">
        <v>14286</v>
      </c>
      <c r="BE57" s="99" t="n">
        <v>13324</v>
      </c>
      <c r="BF57" s="100">
        <f>IF(AND(ISNUMBER(BD57),ISNUMBER(BE57),N(BE57)&gt;0),BD57/BE57,"")</f>
        <v/>
      </c>
      <c r="BG57" s="97" t="inlineStr">
        <is>
          <t>N</t>
        </is>
      </c>
      <c r="BH57" s="97" t="inlineStr">
        <is>
          <t>List Price $22.99</t>
        </is>
      </c>
    </row>
    <row r="58" ht="62" customHeight="1">
      <c r="A58" s="10">
        <f>_xlfn.IMAGE("https://images-na.ssl-images-amazon.com/images/I/818UAaS5dSL.jpg")</f>
        <v/>
      </c>
      <c r="B58" s="84" t="inlineStr">
        <is>
          <t>HOMFINE</t>
        </is>
      </c>
      <c r="C58" s="32" t="inlineStr">
        <is>
          <t>HOMFINE Cooling Pillowcases for Hot Sleepers King Size Set of 2, Grey</t>
        </is>
      </c>
      <c r="D58" s="84" t="inlineStr">
        <is>
          <t>Beatable</t>
        </is>
      </c>
      <c r="E58" s="84" t="inlineStr">
        <is>
          <t>B0CN6YFBVJ</t>
        </is>
      </c>
      <c r="F58" s="84" t="inlineStr">
        <is>
          <t>B0BLT2MCT6</t>
        </is>
      </c>
      <c r="G58" s="84" t="inlineStr">
        <is>
          <t>King</t>
        </is>
      </c>
      <c r="H58" s="84" t="inlineStr">
        <is>
          <t>Grey</t>
        </is>
      </c>
      <c r="I58" s="85" t="n">
        <v>22</v>
      </c>
      <c r="J58" s="32" t="inlineStr">
        <is>
          <t>B0BLT2MCT6 (55%), B0DJ7B3X2K (15%), B0FRLJV2B3 (15%)</t>
        </is>
      </c>
      <c r="K58" s="86" t="n">
        <v>11.99</v>
      </c>
      <c r="L58" s="86" t="n"/>
      <c r="M58" s="87">
        <f>IF(AND(ISNUMBER(L58),ISNUMBER(K58),N(K58)&gt;0),L58/K58-1,"")</f>
        <v/>
      </c>
      <c r="N58" s="88">
        <f>IF(M58="","No List Price",IF(M58&lt;=0,"At/below price",IF(M58&lt;=0.12,"&lt;=12% STR zone",IF(M58&lt;=0.25,"12-25%","&gt;25% over"))))</f>
        <v/>
      </c>
      <c r="O58" s="86" t="n">
        <v>23.99</v>
      </c>
      <c r="P58" s="89">
        <f>IF(AND(ISNUMBER(K58),ISNUMBER(O58),N(O58)&gt;0),K58/O58-1,"")</f>
        <v/>
      </c>
      <c r="Q58" s="32" t="inlineStr">
        <is>
          <t>Same size (King). Ours live: Helium 10 Xray, 2026-10-13; 4 children</t>
        </is>
      </c>
      <c r="R58" s="85" t="n">
        <v>31417</v>
      </c>
      <c r="S58" s="85" t="n">
        <v>81</v>
      </c>
      <c r="T58" s="90">
        <f>IF(AND(ISNUMBER(K58),ISNUMBER(S58)),K58*S58*52/12,"")</f>
        <v/>
      </c>
      <c r="U58" s="91" t="n">
        <v>4.3</v>
      </c>
      <c r="V58" s="85" t="n">
        <v>1309</v>
      </c>
      <c r="W58" s="92" t="n">
        <v>46307</v>
      </c>
      <c r="X58" s="92" t="n"/>
      <c r="Y58" s="84" t="n"/>
      <c r="Z58" s="84" t="n"/>
      <c r="AA58" s="85" t="n">
        <v>17008</v>
      </c>
      <c r="AB58" s="85" t="n">
        <v>741</v>
      </c>
      <c r="AC58" s="93" t="n">
        <v>0.9595514640169331</v>
      </c>
      <c r="AD58" s="93" t="n">
        <v>0.04045323965192851</v>
      </c>
      <c r="AE58" s="32" t="inlineStr">
        <is>
          <t>cooling pillow cases</t>
        </is>
      </c>
      <c r="AF58" s="93" t="n">
        <v>0.2387699905926623</v>
      </c>
      <c r="AG58" s="93" t="n">
        <v>0.2089604891815616</v>
      </c>
      <c r="AH58" s="93" t="n">
        <v>0.1087135465663217</v>
      </c>
      <c r="AI58" s="93" t="n">
        <v>0.001528692380056444</v>
      </c>
      <c r="AJ58" s="85" t="n">
        <v>42</v>
      </c>
      <c r="AK58" s="85" t="n">
        <v>2</v>
      </c>
      <c r="AL58" s="85" t="n">
        <v>37</v>
      </c>
      <c r="AM58" s="85" t="n">
        <v>699</v>
      </c>
      <c r="AN58" s="85" t="n">
        <v>26</v>
      </c>
      <c r="AO58" s="85" t="n">
        <v>0</v>
      </c>
      <c r="AP58" s="94" t="n">
        <v>0.8495145631067961</v>
      </c>
      <c r="AQ58" s="89" t="n">
        <v>0.4323144104803494</v>
      </c>
      <c r="AR58" s="95" t="inlineStr">
        <is>
          <t>Y</t>
        </is>
      </c>
      <c r="AS58" s="95" t="inlineStr">
        <is>
          <t>Typical price</t>
        </is>
      </c>
      <c r="AT58" s="96" t="n">
        <v>12.99</v>
      </c>
      <c r="AU58" s="96" t="n">
        <v>9.99</v>
      </c>
      <c r="AV58" s="95" t="inlineStr">
        <is>
          <t>none</t>
        </is>
      </c>
      <c r="AW58" s="95" t="inlineStr">
        <is>
          <t>Y</t>
        </is>
      </c>
      <c r="AX58" s="95" t="inlineStr">
        <is>
          <t>2026-10-13 23:38:40</t>
        </is>
      </c>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39" t="inlineStr">
        <is>
          <t>IMAGE MISSING</t>
        </is>
      </c>
      <c r="B59" s="84" t="inlineStr">
        <is>
          <t>Cozy Bliss</t>
        </is>
      </c>
      <c r="C59" s="32" t="inlineStr">
        <is>
          <t>Cozy Bliss 2 Pack Cooling Pillow Cases, Queen 20" x 30", Dark Gray</t>
        </is>
      </c>
      <c r="D59" s="84" t="inlineStr">
        <is>
          <t>Beatable</t>
        </is>
      </c>
      <c r="E59" s="84" t="inlineStr">
        <is>
          <t>B0CP7J6RB8</t>
        </is>
      </c>
      <c r="F59" s="84" t="inlineStr">
        <is>
          <t>B0CH8B5HZB</t>
        </is>
      </c>
      <c r="G59" s="84" t="inlineStr">
        <is>
          <t>Queen</t>
        </is>
      </c>
      <c r="H59" s="84" t="inlineStr">
        <is>
          <t>Gray</t>
        </is>
      </c>
      <c r="I59" s="85" t="n">
        <v>18</v>
      </c>
      <c r="J59" s="32" t="inlineStr">
        <is>
          <t>B0CH8B5HZB (59%), B0CH87Q3JX (31%)</t>
        </is>
      </c>
      <c r="K59" s="86" t="n">
        <v>18.99</v>
      </c>
      <c r="L59" s="86" t="n"/>
      <c r="M59" s="87">
        <f>IF(AND(ISNUMBER(L59),ISNUMBER(K59),N(K59)&gt;0),L59/K59-1,"")</f>
        <v/>
      </c>
      <c r="N59" s="88">
        <f>IF(M59="","No List Price",IF(M59&lt;=0,"At/below price",IF(M59&lt;=0.12,"&lt;=12% STR zone",IF(M59&lt;=0.25,"12-25%","&gt;25% over"))))</f>
        <v/>
      </c>
      <c r="O59" s="86" t="n">
        <v>21.99</v>
      </c>
      <c r="P59" s="89">
        <f>IF(AND(ISNUMBER(K59),ISNUMBER(O59),N(O59)&gt;0),K59/O59-1,"")</f>
        <v/>
      </c>
      <c r="Q59" s="32" t="inlineStr">
        <is>
          <t>Same size (Queen). Ours live: Helium 10 Xray, 2026-10-13; 4 children</t>
        </is>
      </c>
      <c r="R59" s="85" t="n">
        <v>54776</v>
      </c>
      <c r="S59" s="85" t="n">
        <v>35</v>
      </c>
      <c r="T59" s="90">
        <f>IF(AND(ISNUMBER(K59),ISNUMBER(S59)),K59*S59*52/12,"")</f>
        <v/>
      </c>
      <c r="U59" s="91" t="n">
        <v>4.5</v>
      </c>
      <c r="V59" s="85" t="n">
        <v>707</v>
      </c>
      <c r="W59" s="92" t="n">
        <v>46307</v>
      </c>
      <c r="X59" s="92" t="n"/>
      <c r="Y59" s="84" t="n"/>
      <c r="Z59" s="84" t="n"/>
      <c r="AA59" s="85" t="n">
        <v>19441</v>
      </c>
      <c r="AB59" s="85" t="n">
        <v>911</v>
      </c>
      <c r="AC59" s="93" t="n">
        <v>0.4621178951700017</v>
      </c>
      <c r="AD59" s="93" t="n">
        <v>0.5378821048299984</v>
      </c>
      <c r="AE59" s="32" t="inlineStr">
        <is>
          <t>cooling pillow cases</t>
        </is>
      </c>
      <c r="AF59" s="93" t="n">
        <v>0.7438403374312021</v>
      </c>
      <c r="AG59" s="93" t="n"/>
      <c r="AH59" s="93" t="n">
        <v>0.8985648886374158</v>
      </c>
      <c r="AI59" s="93" t="n">
        <v>0.0180031891363613</v>
      </c>
      <c r="AJ59" s="85" t="n">
        <v>33</v>
      </c>
      <c r="AK59" s="85" t="n">
        <v>6</v>
      </c>
      <c r="AL59" s="85" t="n">
        <v>24</v>
      </c>
      <c r="AM59" s="85" t="n">
        <v>878</v>
      </c>
      <c r="AN59" s="85" t="n">
        <v>301</v>
      </c>
      <c r="AO59" s="85" t="n">
        <v>1</v>
      </c>
      <c r="AP59" s="94" t="n">
        <v>0.5581395348837209</v>
      </c>
      <c r="AQ59" s="89" t="n">
        <v>-0.140495867768595</v>
      </c>
      <c r="AR59" s="95" t="inlineStr">
        <is>
          <t>N</t>
        </is>
      </c>
      <c r="AS59" s="95" t="inlineStr">
        <is>
          <t>none</t>
        </is>
      </c>
      <c r="AT59" s="101" t="n"/>
      <c r="AU59" s="96" t="n">
        <v>18.99</v>
      </c>
      <c r="AV59" s="95" t="inlineStr">
        <is>
          <t>none</t>
        </is>
      </c>
      <c r="AW59" s="95" t="inlineStr">
        <is>
          <t>Y</t>
        </is>
      </c>
      <c r="AX59" s="95" t="inlineStr">
        <is>
          <t>2026-10-13 23:38:09</t>
        </is>
      </c>
      <c r="AY59" s="97" t="inlineStr">
        <is>
          <t>Prime Exclusive Discount</t>
        </is>
      </c>
      <c r="AZ59" s="97" t="inlineStr">
        <is>
          <t>11-23 to 12-05</t>
        </is>
      </c>
      <c r="BA59" s="98" t="n">
        <v>23.99</v>
      </c>
      <c r="BB59" s="98" t="n">
        <v>18.99</v>
      </c>
      <c r="BC59" s="87">
        <f>IF(AND(ISNUMBER(BA59),ISNUMBER(BB59),N(BA59)&gt;0),1-BB59/BA59,"")</f>
        <v/>
      </c>
      <c r="BD59" s="99" t="n">
        <v>75226</v>
      </c>
      <c r="BE59" s="99" t="n">
        <v>76542</v>
      </c>
      <c r="BF59" s="100">
        <f>IF(AND(ISNUMBER(BD59),ISNUMBER(BE59),N(BE59)&gt;0),BD59/BE59,"")</f>
        <v/>
      </c>
      <c r="BG59" s="97" t="inlineStr">
        <is>
          <t>N</t>
        </is>
      </c>
      <c r="BH59" s="97" t="inlineStr">
        <is>
          <t>Lightning Deal 11-16 to 11-16; List Price $36.99</t>
        </is>
      </c>
    </row>
    <row r="60" ht="62" customHeight="1">
      <c r="A60" s="10">
        <f>_xlfn.IMAGE("https://images-na.ssl-images-amazon.com/images/I/61xlOGglCHL.jpg")</f>
        <v/>
      </c>
      <c r="B60" s="84" t="inlineStr">
        <is>
          <t>QUTOOL</t>
        </is>
      </c>
      <c r="C60" s="32" t="inlineStr">
        <is>
          <t>Luxury Cooling Pillowcases Queen Size 2 Pack, Q-Max&gt;0.4 Cool Touch for Hot Sleepers&amp;Night Sweats Beauty Sleep Anti-Frizz, Softer Than Silk Pillowcover Oeko-TEX Certified Light Gray</t>
        </is>
      </c>
      <c r="D60" s="84" t="inlineStr">
        <is>
          <t>Beatable</t>
        </is>
      </c>
      <c r="E60" s="84" t="inlineStr">
        <is>
          <t>B0DL5R7SSB</t>
        </is>
      </c>
      <c r="F60" s="84" t="inlineStr">
        <is>
          <t>B0DLB4PQS8</t>
        </is>
      </c>
      <c r="G60" s="84" t="inlineStr">
        <is>
          <t>Queen</t>
        </is>
      </c>
      <c r="H60" s="84" t="inlineStr">
        <is>
          <t>Gray</t>
        </is>
      </c>
      <c r="I60" s="85" t="n">
        <v>22</v>
      </c>
      <c r="J60" s="32" t="inlineStr">
        <is>
          <t>B0DLB4PQS8 (41%), B0FXWZM587 (16%), B0DL9Y3JVW (13%), B0DL9ZXKXM (12%)</t>
        </is>
      </c>
      <c r="K60" s="86" t="n">
        <v>16.99</v>
      </c>
      <c r="L60" s="86" t="n"/>
      <c r="M60" s="87">
        <f>IF(AND(ISNUMBER(L60),ISNUMBER(K60),N(K60)&gt;0),L60/K60-1,"")</f>
        <v/>
      </c>
      <c r="N60" s="88">
        <f>IF(M60="","No List Price",IF(M60&lt;=0,"At/below price",IF(M60&lt;=0.12,"&lt;=12% STR zone",IF(M60&lt;=0.25,"12-25%","&gt;25% over"))))</f>
        <v/>
      </c>
      <c r="O60" s="86" t="n">
        <v>21.99</v>
      </c>
      <c r="P60" s="89">
        <f>IF(AND(ISNUMBER(K60),ISNUMBER(O60),N(O60)&gt;0),K60/O60-1,"")</f>
        <v/>
      </c>
      <c r="Q60" s="32" t="inlineStr">
        <is>
          <t>Same size (Queen). Ours live: Helium 10 Xray, 2026-10-13; 4 children</t>
        </is>
      </c>
      <c r="R60" s="85" t="n">
        <v>39446</v>
      </c>
      <c r="S60" s="85" t="n">
        <v>35</v>
      </c>
      <c r="T60" s="90">
        <f>IF(AND(ISNUMBER(K60),ISNUMBER(S60)),K60*S60*52/12,"")</f>
        <v/>
      </c>
      <c r="U60" s="91" t="n">
        <v>4.4</v>
      </c>
      <c r="V60" s="85" t="n">
        <v>769</v>
      </c>
      <c r="W60" s="92" t="n">
        <v>46307</v>
      </c>
      <c r="X60" s="92" t="n">
        <v>45695</v>
      </c>
      <c r="Y60" s="84" t="inlineStr">
        <is>
          <t>FBA</t>
        </is>
      </c>
      <c r="Z60" s="84" t="inlineStr">
        <is>
          <t>CN</t>
        </is>
      </c>
      <c r="AA60" s="85" t="n">
        <v>15503</v>
      </c>
      <c r="AB60" s="85" t="n">
        <v>408</v>
      </c>
      <c r="AC60" s="93" t="n">
        <v>0.6025155131264917</v>
      </c>
      <c r="AD60" s="93" t="n">
        <v>0.3974844868735083</v>
      </c>
      <c r="AE60" s="32" t="inlineStr">
        <is>
          <t>cooling pillow cases</t>
        </is>
      </c>
      <c r="AF60" s="93" t="n">
        <v>0.7854608785396375</v>
      </c>
      <c r="AG60" s="93" t="n">
        <v>0.05508611236534864</v>
      </c>
      <c r="AH60" s="93" t="n"/>
      <c r="AI60" s="93" t="n"/>
      <c r="AJ60" s="85" t="n">
        <v>38</v>
      </c>
      <c r="AK60" s="85" t="n">
        <v>3</v>
      </c>
      <c r="AL60" s="85" t="n">
        <v>31</v>
      </c>
      <c r="AM60" s="85" t="n">
        <v>370</v>
      </c>
      <c r="AN60" s="85" t="n">
        <v>71</v>
      </c>
      <c r="AO60" s="85" t="n">
        <v>2</v>
      </c>
      <c r="AP60" s="94" t="n"/>
      <c r="AQ60" s="89" t="n">
        <v>3.611111111111112</v>
      </c>
      <c r="AR60" s="95" t="inlineStr">
        <is>
          <t>N</t>
        </is>
      </c>
      <c r="AS60" s="95" t="inlineStr">
        <is>
          <t>none</t>
        </is>
      </c>
      <c r="AT60" s="101" t="n"/>
      <c r="AU60" s="96" t="n">
        <v>16.99</v>
      </c>
      <c r="AV60" s="95" t="inlineStr">
        <is>
          <t>none</t>
        </is>
      </c>
      <c r="AW60" s="95" t="inlineStr">
        <is>
          <t>Y</t>
        </is>
      </c>
      <c r="AX60" s="95" t="inlineStr">
        <is>
          <t>2026-10-13 23:39:01</t>
        </is>
      </c>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39" t="inlineStr">
        <is>
          <t>IMAGE MISSING</t>
        </is>
      </c>
      <c r="B61" s="84" t="inlineStr">
        <is>
          <t>Breescape</t>
        </is>
      </c>
      <c r="C61" s="32" t="inlineStr">
        <is>
          <t>Breescape Cooling Pillow Cases Queen Size Set of 2, BlendTek™ Cooling Technology</t>
        </is>
      </c>
      <c r="D61" s="84" t="inlineStr">
        <is>
          <t>Beatable</t>
        </is>
      </c>
      <c r="E61" s="84" t="inlineStr">
        <is>
          <t>B0F53TNFSX</t>
        </is>
      </c>
      <c r="F61" s="84" t="inlineStr">
        <is>
          <t>B0DSQ12L6F</t>
        </is>
      </c>
      <c r="G61" s="84" t="inlineStr">
        <is>
          <t>Queen</t>
        </is>
      </c>
      <c r="H61" s="84" t="n"/>
      <c r="I61" s="85" t="n">
        <v>13</v>
      </c>
      <c r="J61" s="32" t="inlineStr">
        <is>
          <t>B0DSQ112N7 (57%), B0DSQ178L4 (15%), B0DSQ1KYQ8 (5%), B0DSQ26ZYC (5%)</t>
        </is>
      </c>
      <c r="K61" s="86" t="n">
        <v>54.99</v>
      </c>
      <c r="L61" s="86" t="n"/>
      <c r="M61" s="87">
        <f>IF(AND(ISNUMBER(L61),ISNUMBER(K61),N(K61)&gt;0),L61/K61-1,"")</f>
        <v/>
      </c>
      <c r="N61" s="88">
        <f>IF(M61="","No List Price",IF(M61&lt;=0,"At/below price",IF(M61&lt;=0.12,"&lt;=12% STR zone",IF(M61&lt;=0.25,"12-25%","&gt;25% over"))))</f>
        <v/>
      </c>
      <c r="O61" s="86" t="n">
        <v>21.99</v>
      </c>
      <c r="P61" s="89">
        <f>IF(AND(ISNUMBER(K61),ISNUMBER(O61),N(O61)&gt;0),K61/O61-1,"")</f>
        <v/>
      </c>
      <c r="Q61" s="32" t="inlineStr">
        <is>
          <t>Same size (Queen). Ours live: Helium 10 Xray, 2026-10-13; 4 children</t>
        </is>
      </c>
      <c r="R61" s="85" t="n">
        <v>132996</v>
      </c>
      <c r="S61" s="85" t="n">
        <v>18</v>
      </c>
      <c r="T61" s="90">
        <f>IF(AND(ISNUMBER(K61),ISNUMBER(S61)),K61*S61*52/12,"")</f>
        <v/>
      </c>
      <c r="U61" s="91" t="n">
        <v>4.4</v>
      </c>
      <c r="V61" s="85" t="n">
        <v>305</v>
      </c>
      <c r="W61" s="92" t="n">
        <v>46307</v>
      </c>
      <c r="X61" s="92" t="n"/>
      <c r="Y61" s="84" t="n"/>
      <c r="Z61" s="84" t="n"/>
      <c r="AA61" s="85" t="n">
        <v>25040</v>
      </c>
      <c r="AB61" s="85" t="n">
        <v>1207</v>
      </c>
      <c r="AC61" s="93" t="n">
        <v>0.3706715455271565</v>
      </c>
      <c r="AD61" s="93" t="n">
        <v>0.6293284544728435</v>
      </c>
      <c r="AE61" s="32" t="inlineStr">
        <is>
          <t>cooling pillow cases</t>
        </is>
      </c>
      <c r="AF61" s="93" t="n">
        <v>0.9612220447284345</v>
      </c>
      <c r="AG61" s="93" t="n">
        <v>0.6791932907348243</v>
      </c>
      <c r="AH61" s="93" t="n">
        <v>0.6243610223642172</v>
      </c>
      <c r="AI61" s="93" t="n">
        <v>0.006869009584664537</v>
      </c>
      <c r="AJ61" s="85" t="n">
        <v>36</v>
      </c>
      <c r="AK61" s="85" t="n">
        <v>1</v>
      </c>
      <c r="AL61" s="85" t="n">
        <v>32</v>
      </c>
      <c r="AM61" s="85" t="n">
        <v>1171</v>
      </c>
      <c r="AN61" s="85" t="n">
        <v>467</v>
      </c>
      <c r="AO61" s="85" t="n">
        <v>2</v>
      </c>
      <c r="AP61" s="94" t="n"/>
      <c r="AQ61" s="89" t="n"/>
      <c r="AR61" s="95" t="inlineStr">
        <is>
          <t>N</t>
        </is>
      </c>
      <c r="AS61" s="95" t="inlineStr">
        <is>
          <t>none</t>
        </is>
      </c>
      <c r="AT61" s="101" t="n"/>
      <c r="AU61" s="96" t="n">
        <v>54.99</v>
      </c>
      <c r="AV61" s="95" t="inlineStr">
        <is>
          <t>none</t>
        </is>
      </c>
      <c r="AW61" s="95" t="inlineStr">
        <is>
          <t>Y</t>
        </is>
      </c>
      <c r="AX61" s="95" t="inlineStr">
        <is>
          <t>2026-10-13 23:37:43</t>
        </is>
      </c>
      <c r="AY61" s="97" t="inlineStr">
        <is>
          <t>Prime Exclusive Discount</t>
        </is>
      </c>
      <c r="AZ61" s="97" t="inlineStr">
        <is>
          <t>11-23 to 12-01</t>
        </is>
      </c>
      <c r="BA61" s="98" t="n">
        <v>38.49</v>
      </c>
      <c r="BB61" s="98" t="n">
        <v>36.56</v>
      </c>
      <c r="BC61" s="87">
        <f>IF(AND(ISNUMBER(BA61),ISNUMBER(BB61),N(BA61)&gt;0),1-BB61/BA61,"")</f>
        <v/>
      </c>
      <c r="BD61" s="99" t="n">
        <v>193609</v>
      </c>
      <c r="BE61" s="99" t="n">
        <v>143502</v>
      </c>
      <c r="BF61" s="100">
        <f>IF(AND(ISNUMBER(BD61),ISNUMBER(BE61),N(BE61)&gt;0),BD61/BE61,"")</f>
        <v/>
      </c>
      <c r="BG61" s="97" t="inlineStr">
        <is>
          <t>N</t>
        </is>
      </c>
      <c r="BH61" s="97" t="inlineStr">
        <is>
          <t>Buy Box RAISED in BFCM week (median $54.99 vs $38.49 before); List Price $54.99</t>
        </is>
      </c>
    </row>
    <row r="62" ht="62" customHeight="1">
      <c r="A62" s="10">
        <f>_xlfn.IMAGE("https://images-na.ssl-images-amazon.com/images/I/71dsthjuVUL.jpg")</f>
        <v/>
      </c>
      <c r="B62" s="84" t="inlineStr">
        <is>
          <t>Fittia</t>
        </is>
      </c>
      <c r="C62" s="32" t="inlineStr">
        <is>
          <t>FITTIA Cooling Pillow Cases with Zipper, 2 Pack, Standard Size 20"x26"</t>
        </is>
      </c>
      <c r="D62" s="84" t="inlineStr">
        <is>
          <t>Beatable</t>
        </is>
      </c>
      <c r="E62" s="84" t="inlineStr">
        <is>
          <t>B099JMGRBY</t>
        </is>
      </c>
      <c r="F62" s="84" t="inlineStr">
        <is>
          <t>B099J7KMK5</t>
        </is>
      </c>
      <c r="G62" s="84" t="inlineStr">
        <is>
          <t>Standard</t>
        </is>
      </c>
      <c r="H62" s="84" t="n"/>
      <c r="I62" s="85" t="n">
        <v>16</v>
      </c>
      <c r="J62" s="32" t="inlineStr">
        <is>
          <t>B09DJY94HD (47%), B099J7KMK5 (30%), B099HV3SX9 (13%)</t>
        </is>
      </c>
      <c r="K62" s="86" t="n">
        <v>19.99</v>
      </c>
      <c r="L62" s="86" t="n"/>
      <c r="M62" s="87">
        <f>IF(AND(ISNUMBER(L62),ISNUMBER(K62),N(K62)&gt;0),L62/K62-1,"")</f>
        <v/>
      </c>
      <c r="N62" s="88">
        <f>IF(M62="","No List Price",IF(M62&lt;=0,"At/below price",IF(M62&lt;=0.12,"&lt;=12% STR zone",IF(M62&lt;=0.25,"12-25%","&gt;25% over"))))</f>
        <v/>
      </c>
      <c r="O62" s="86" t="n">
        <v>17.99</v>
      </c>
      <c r="P62" s="89">
        <f>IF(AND(ISNUMBER(K62),ISNUMBER(O62),N(O62)&gt;0),K62/O62-1,"")</f>
        <v/>
      </c>
      <c r="Q62" s="32" t="inlineStr">
        <is>
          <t>Same size (Standard). Ours live: SellerBoard listing price, 2026-10-14; 4 children</t>
        </is>
      </c>
      <c r="R62" s="85" t="n">
        <v>156607</v>
      </c>
      <c r="S62" s="85" t="n">
        <v>18</v>
      </c>
      <c r="T62" s="90">
        <f>IF(AND(ISNUMBER(K62),ISNUMBER(S62)),K62*S62*52/12,"")</f>
        <v/>
      </c>
      <c r="U62" s="91" t="n">
        <v>4.3</v>
      </c>
      <c r="V62" s="85" t="n">
        <v>1335</v>
      </c>
      <c r="W62" s="92" t="n">
        <v>46307</v>
      </c>
      <c r="X62" s="92" t="n">
        <v>44392</v>
      </c>
      <c r="Y62" s="84" t="inlineStr">
        <is>
          <t>FBA</t>
        </is>
      </c>
      <c r="Z62" s="84" t="inlineStr">
        <is>
          <t>CN</t>
        </is>
      </c>
      <c r="AA62" s="85" t="n">
        <v>16144</v>
      </c>
      <c r="AB62" s="85" t="n">
        <v>429</v>
      </c>
      <c r="AC62" s="93" t="n">
        <v>0.8876912784935578</v>
      </c>
      <c r="AD62" s="93" t="n">
        <v>0.112308721506442</v>
      </c>
      <c r="AE62" s="32" t="inlineStr">
        <is>
          <t>cooling pillow cases</t>
        </is>
      </c>
      <c r="AF62" s="93" t="n">
        <v>0.6258052527254707</v>
      </c>
      <c r="AG62" s="93" t="n">
        <v>0.5755698711595639</v>
      </c>
      <c r="AH62" s="93" t="n"/>
      <c r="AI62" s="93" t="n"/>
      <c r="AJ62" s="85" t="n">
        <v>33</v>
      </c>
      <c r="AK62" s="85" t="n">
        <v>5</v>
      </c>
      <c r="AL62" s="85" t="n">
        <v>25</v>
      </c>
      <c r="AM62" s="85" t="n">
        <v>396</v>
      </c>
      <c r="AN62" s="85" t="n">
        <v>24</v>
      </c>
      <c r="AO62" s="85" t="n">
        <v>0</v>
      </c>
      <c r="AP62" s="94" t="n">
        <v>1.175373134328358</v>
      </c>
      <c r="AQ62" s="89" t="n">
        <v>0.5863636363636362</v>
      </c>
      <c r="AR62" s="95" t="inlineStr">
        <is>
          <t>N</t>
        </is>
      </c>
      <c r="AS62" s="95" t="inlineStr">
        <is>
          <t>none</t>
        </is>
      </c>
      <c r="AT62" s="101" t="n"/>
      <c r="AU62" s="96" t="n">
        <v>19.99</v>
      </c>
      <c r="AV62" s="95" t="inlineStr">
        <is>
          <t>none</t>
        </is>
      </c>
      <c r="AW62" s="95" t="inlineStr">
        <is>
          <t>Y</t>
        </is>
      </c>
      <c r="AX62" s="95" t="inlineStr">
        <is>
          <t>2026-10-13 23:38:34</t>
        </is>
      </c>
      <c r="AY62" s="102" t="n"/>
      <c r="AZ62" s="102" t="n"/>
      <c r="BA62" s="101" t="n"/>
      <c r="BB62" s="101" t="n"/>
      <c r="BC62" s="87">
        <f>IF(AND(ISNUMBER(BA62),ISNUMBER(BB62),N(BA62)&gt;0),1-BB62/BA62,"")</f>
        <v/>
      </c>
      <c r="BD62" s="103" t="n"/>
      <c r="BE62" s="103" t="n"/>
      <c r="BF62" s="100">
        <f>IF(AND(ISNUMBER(BD62),ISNUMBER(BE62),N(BE62)&gt;0),BD62/BE62,"")</f>
        <v/>
      </c>
      <c r="BG62" s="102" t="n"/>
      <c r="BH62" s="102" t="n"/>
    </row>
    <row r="63" ht="62" customHeight="1">
      <c r="A63" s="10">
        <f>_xlfn.IMAGE("https://images-na.ssl-images-amazon.com/images/I/81lPRf0QezL.jpg")</f>
        <v/>
      </c>
      <c r="B63" s="84" t="inlineStr">
        <is>
          <t>Bedsure</t>
        </is>
      </c>
      <c r="C63" s="32" t="inlineStr">
        <is>
          <t>Bedsure Cooling Pillow Cases Queen Size Set of 2 for Hot Sleepers, Grey</t>
        </is>
      </c>
      <c r="D63" s="84" t="inlineStr">
        <is>
          <t>Beatable</t>
        </is>
      </c>
      <c r="E63" s="84" t="inlineStr">
        <is>
          <t>B0GS2D7MBT</t>
        </is>
      </c>
      <c r="F63" s="84" t="inlineStr">
        <is>
          <t>B0CP3NX181</t>
        </is>
      </c>
      <c r="G63" s="84" t="inlineStr">
        <is>
          <t>Queen</t>
        </is>
      </c>
      <c r="H63" s="84" t="inlineStr">
        <is>
          <t>Grey</t>
        </is>
      </c>
      <c r="I63" s="85" t="n">
        <v>7</v>
      </c>
      <c r="J63" s="32" t="inlineStr">
        <is>
          <t>B0CP3NQSTG (62%), B0CP3P1HRF (34%)</t>
        </is>
      </c>
      <c r="K63" s="86" t="n">
        <v>18.99</v>
      </c>
      <c r="L63" s="86" t="n">
        <v>24.99</v>
      </c>
      <c r="M63" s="87">
        <f>IF(AND(ISNUMBER(L63),ISNUMBER(K63),N(K63)&gt;0),L63/K63-1,"")</f>
        <v/>
      </c>
      <c r="N63" s="88">
        <f>IF(M63="","No List Price",IF(M63&lt;=0,"At/below price",IF(M63&lt;=0.12,"&lt;=12% STR zone",IF(M63&lt;=0.25,"12-25%","&gt;25% over"))))</f>
        <v/>
      </c>
      <c r="O63" s="86" t="n">
        <v>21.99</v>
      </c>
      <c r="P63" s="89">
        <f>IF(AND(ISNUMBER(K63),ISNUMBER(O63),N(O63)&gt;0),K63/O63-1,"")</f>
        <v/>
      </c>
      <c r="Q63" s="32" t="inlineStr">
        <is>
          <t>Same size (Queen). Ours live: Helium 10 Xray, 2026-10-13; 4 children</t>
        </is>
      </c>
      <c r="R63" s="85" t="n">
        <v>156798</v>
      </c>
      <c r="S63" s="85" t="n">
        <v>5</v>
      </c>
      <c r="T63" s="90">
        <f>IF(AND(ISNUMBER(K63),ISNUMBER(S63)),K63*S63*52/12,"")</f>
        <v/>
      </c>
      <c r="U63" s="91" t="n">
        <v>4.5</v>
      </c>
      <c r="V63" s="85" t="n">
        <v>676</v>
      </c>
      <c r="W63" s="92" t="n">
        <v>46307</v>
      </c>
      <c r="X63" s="92" t="n"/>
      <c r="Y63" s="84" t="n"/>
      <c r="Z63" s="84" t="n"/>
      <c r="AA63" s="85" t="n">
        <v>38313</v>
      </c>
      <c r="AB63" s="85" t="n">
        <v>2045</v>
      </c>
      <c r="AC63" s="93" t="n">
        <v>0.4058418317542347</v>
      </c>
      <c r="AD63" s="93" t="n">
        <v>0.5941581682457653</v>
      </c>
      <c r="AE63" s="32" t="inlineStr">
        <is>
          <t>cooling pillow cases</t>
        </is>
      </c>
      <c r="AF63" s="93" t="n">
        <v>0.2079450839140762</v>
      </c>
      <c r="AG63" s="93" t="n">
        <v>0.6478218881319656</v>
      </c>
      <c r="AH63" s="93" t="n"/>
      <c r="AI63" s="93" t="n"/>
      <c r="AJ63" s="85" t="n">
        <v>41</v>
      </c>
      <c r="AK63" s="85" t="n">
        <v>2</v>
      </c>
      <c r="AL63" s="85" t="n">
        <v>36</v>
      </c>
      <c r="AM63" s="85" t="n">
        <v>2004</v>
      </c>
      <c r="AN63" s="85" t="n">
        <v>785</v>
      </c>
      <c r="AO63" s="85" t="n">
        <v>0</v>
      </c>
      <c r="AP63" s="94" t="n"/>
      <c r="AQ63" s="89" t="n"/>
      <c r="AR63" s="95" t="inlineStr">
        <is>
          <t>unknown</t>
        </is>
      </c>
      <c r="AS63" s="102" t="n"/>
      <c r="AT63" s="101" t="n"/>
      <c r="AU63" s="101" t="n"/>
      <c r="AV63" s="102" t="n"/>
      <c r="AW63" s="102" t="n"/>
      <c r="AX63" s="95" t="inlineStr">
        <is>
          <t>2026-10-13 23:37:18</t>
        </is>
      </c>
      <c r="AY63" s="97" t="inlineStr">
        <is>
          <t>None</t>
        </is>
      </c>
      <c r="AZ63" s="102" t="n"/>
      <c r="BA63" s="101" t="n"/>
      <c r="BB63" s="98" t="n">
        <v>24.99</v>
      </c>
      <c r="BC63" s="87">
        <f>IF(AND(ISNUMBER(BA63),ISNUMBER(BB63),N(BA63)&gt;0),1-BB63/BA63,"")</f>
        <v/>
      </c>
      <c r="BD63" s="99" t="n">
        <v>71196</v>
      </c>
      <c r="BE63" s="99" t="n">
        <v>84389</v>
      </c>
      <c r="BF63" s="100">
        <f>IF(AND(ISNUMBER(BD63),ISNUMBER(BE63),N(BE63)&gt;0),BD63/BE63,"")</f>
        <v/>
      </c>
      <c r="BG63" s="97" t="inlineStr">
        <is>
          <t>Y</t>
        </is>
      </c>
      <c r="BH63" s="97" t="inlineStr">
        <is>
          <t>List Price $32.99</t>
        </is>
      </c>
    </row>
    <row r="64" ht="62" customHeight="1">
      <c r="A64" s="39" t="inlineStr">
        <is>
          <t>IMAGE MISSING</t>
        </is>
      </c>
      <c r="B64" s="84" t="inlineStr">
        <is>
          <t>Coop Home Goods</t>
        </is>
      </c>
      <c r="C64" s="32" t="inlineStr">
        <is>
          <t>Coop Home Goods Cool Side Pillowcase, Queen Size Cooling Pillow Case for Hot Sle</t>
        </is>
      </c>
      <c r="D64" s="84" t="inlineStr">
        <is>
          <t>Beatable</t>
        </is>
      </c>
      <c r="E64" s="84" t="inlineStr">
        <is>
          <t>B0DGH3JKZ5</t>
        </is>
      </c>
      <c r="F64" s="84" t="inlineStr">
        <is>
          <t>B08B448344</t>
        </is>
      </c>
      <c r="G64" s="84" t="inlineStr">
        <is>
          <t>Queen</t>
        </is>
      </c>
      <c r="H64" s="84" t="n"/>
      <c r="I64" s="85" t="n">
        <v>7</v>
      </c>
      <c r="J64" s="32" t="inlineStr">
        <is>
          <t>B0CQBCS63N (34%), B08B448344 (27%), B0CQB8LNYY (15%), B0CQB3P54Y (11%)</t>
        </is>
      </c>
      <c r="K64" s="86" t="n">
        <v>25.5</v>
      </c>
      <c r="L64" s="86" t="n"/>
      <c r="M64" s="87">
        <f>IF(AND(ISNUMBER(L64),ISNUMBER(K64),N(K64)&gt;0),L64/K64-1,"")</f>
        <v/>
      </c>
      <c r="N64" s="88">
        <f>IF(M64="","No List Price",IF(M64&lt;=0,"At/below price",IF(M64&lt;=0.12,"&lt;=12% STR zone",IF(M64&lt;=0.25,"12-25%","&gt;25% over"))))</f>
        <v/>
      </c>
      <c r="O64" s="86" t="n">
        <v>21.99</v>
      </c>
      <c r="P64" s="89">
        <f>IF(AND(ISNUMBER(K64),ISNUMBER(O64),N(O64)&gt;0),K64/O64-1,"")</f>
        <v/>
      </c>
      <c r="Q64" s="32" t="inlineStr">
        <is>
          <t>Same size (Queen). Ours live: Helium 10 Xray, 2026-10-13; 4 children</t>
        </is>
      </c>
      <c r="R64" s="85" t="n">
        <v>66369</v>
      </c>
      <c r="S64" s="85" t="n">
        <v>5</v>
      </c>
      <c r="T64" s="90">
        <f>IF(AND(ISNUMBER(K64),ISNUMBER(S64)),K64*S64*52/12,"")</f>
        <v/>
      </c>
      <c r="U64" s="91" t="n">
        <v>4.3</v>
      </c>
      <c r="V64" s="85" t="n">
        <v>1158</v>
      </c>
      <c r="W64" s="92" t="n">
        <v>46307</v>
      </c>
      <c r="X64" s="92" t="n"/>
      <c r="Y64" s="84" t="n"/>
      <c r="Z64" s="84" t="n"/>
      <c r="AA64" s="85" t="n">
        <v>26180</v>
      </c>
      <c r="AB64" s="85" t="n">
        <v>214</v>
      </c>
      <c r="AC64" s="93" t="n">
        <v>0.9925127425515661</v>
      </c>
      <c r="AD64" s="93" t="n">
        <v>0.00748725744843392</v>
      </c>
      <c r="AE64" s="32" t="inlineStr">
        <is>
          <t>coop pillow</t>
        </is>
      </c>
      <c r="AF64" s="93" t="n">
        <v>0.00385790679908327</v>
      </c>
      <c r="AG64" s="93" t="n"/>
      <c r="AH64" s="93" t="n"/>
      <c r="AI64" s="93" t="n"/>
      <c r="AJ64" s="85" t="n">
        <v>29</v>
      </c>
      <c r="AK64" s="85" t="n">
        <v>3</v>
      </c>
      <c r="AL64" s="85" t="n">
        <v>22</v>
      </c>
      <c r="AM64" s="85" t="n">
        <v>185</v>
      </c>
      <c r="AN64" s="85" t="n">
        <v>15</v>
      </c>
      <c r="AO64" s="85" t="n">
        <v>0</v>
      </c>
      <c r="AP64" s="94" t="n">
        <v>0.6264367816091955</v>
      </c>
      <c r="AQ64" s="89" t="n">
        <v>-0.07100591715976323</v>
      </c>
      <c r="AR64" s="95" t="inlineStr">
        <is>
          <t>Y</t>
        </is>
      </c>
      <c r="AS64" s="95" t="inlineStr">
        <is>
          <t>List Price</t>
        </is>
      </c>
      <c r="AT64" s="96" t="n">
        <v>30</v>
      </c>
      <c r="AU64" s="96" t="n">
        <v>25.5</v>
      </c>
      <c r="AV64" s="95" t="inlineStr">
        <is>
          <t>Limited time deal</t>
        </is>
      </c>
      <c r="AW64" s="95" t="inlineStr">
        <is>
          <t>Y</t>
        </is>
      </c>
      <c r="AX64" s="95" t="inlineStr">
        <is>
          <t>2026-10-13 23:38:02</t>
        </is>
      </c>
      <c r="AY64" s="97" t="inlineStr">
        <is>
          <t>Prime Exclusive Discount</t>
        </is>
      </c>
      <c r="AZ64" s="97" t="inlineStr">
        <is>
          <t>11-22 to 12-01</t>
        </is>
      </c>
      <c r="BA64" s="98" t="n">
        <v>30</v>
      </c>
      <c r="BB64" s="98" t="n">
        <v>24</v>
      </c>
      <c r="BC64" s="87">
        <f>IF(AND(ISNUMBER(BA64),ISNUMBER(BB64),N(BA64)&gt;0),1-BB64/BA64,"")</f>
        <v/>
      </c>
      <c r="BD64" s="99" t="n">
        <v>50852</v>
      </c>
      <c r="BE64" s="99" t="n">
        <v>45892</v>
      </c>
      <c r="BF64" s="100">
        <f>IF(AND(ISNUMBER(BD64),ISNUMBER(BE64),N(BE64)&gt;0),BD64/BE64,"")</f>
        <v/>
      </c>
      <c r="BG64" s="97" t="inlineStr">
        <is>
          <t>N</t>
        </is>
      </c>
      <c r="BH64" s="97" t="inlineStr">
        <is>
          <t>Lightning Deal 11-01 to 11-07; List Price $30.00</t>
        </is>
      </c>
    </row>
    <row r="65" ht="62" customHeight="1">
      <c r="A65" s="39" t="inlineStr">
        <is>
          <t>IMAGE MISSING</t>
        </is>
      </c>
      <c r="B65" s="84" t="inlineStr">
        <is>
          <t>Marchpower</t>
        </is>
      </c>
      <c r="C65" s="32" t="inlineStr">
        <is>
          <t>Marchpower Cooling Pillow Cases for Hot Sleepers, Japanese Arc Chill Cooling Pil</t>
        </is>
      </c>
      <c r="D65" s="84" t="inlineStr">
        <is>
          <t>Beatable</t>
        </is>
      </c>
      <c r="E65" s="84" t="inlineStr">
        <is>
          <t>B0CFY7SVV7</t>
        </is>
      </c>
      <c r="F65" s="84" t="inlineStr">
        <is>
          <t>B095GTMX4Y</t>
        </is>
      </c>
      <c r="G65" s="84" t="n"/>
      <c r="H65" s="84" t="n"/>
      <c r="I65" s="85" t="n">
        <v>9</v>
      </c>
      <c r="J65" s="32" t="inlineStr">
        <is>
          <t>B0BVB4W16P (75%), B08B7VPPND (24%)</t>
        </is>
      </c>
      <c r="K65" s="86" t="n">
        <v>19.99</v>
      </c>
      <c r="L65" s="86" t="n"/>
      <c r="M65" s="87">
        <f>IF(AND(ISNUMBER(L65),ISNUMBER(K65),N(K65)&gt;0),L65/K65-1,"")</f>
        <v/>
      </c>
      <c r="N65" s="88">
        <f>IF(M65="","No List Price",IF(M65&lt;=0,"At/below price",IF(M65&lt;=0.12,"&lt;=12% STR zone",IF(M65&lt;=0.25,"12-25%","&gt;25% over"))))</f>
        <v/>
      </c>
      <c r="O65" s="86" t="n">
        <v>21.99</v>
      </c>
      <c r="P65" s="89">
        <f>IF(AND(ISNUMBER(K65),ISNUMBER(O65),N(O65)&gt;0),K65/O65-1,"")</f>
        <v/>
      </c>
      <c r="Q65" s="32" t="inlineStr">
        <is>
          <t>Size not stated - vs our Queen. Ours live: Helium 10 Xray, 2026-10-13; 4 children</t>
        </is>
      </c>
      <c r="R65" s="85" t="n">
        <v>265537</v>
      </c>
      <c r="S65" s="85" t="n">
        <v>5</v>
      </c>
      <c r="T65" s="90">
        <f>IF(AND(ISNUMBER(K65),ISNUMBER(S65)),K65*S65*52/12,"")</f>
        <v/>
      </c>
      <c r="U65" s="91" t="n">
        <v>4.3</v>
      </c>
      <c r="V65" s="85" t="n">
        <v>1247</v>
      </c>
      <c r="W65" s="92" t="n">
        <v>46307</v>
      </c>
      <c r="X65" s="92" t="n"/>
      <c r="Y65" s="84" t="n"/>
      <c r="Z65" s="84" t="n"/>
      <c r="AA65" s="85" t="n">
        <v>5423</v>
      </c>
      <c r="AB65" s="85" t="n">
        <v>205</v>
      </c>
      <c r="AC65" s="93" t="n">
        <v>0.9321121519454174</v>
      </c>
      <c r="AD65" s="93" t="n">
        <v>0.06788784805458234</v>
      </c>
      <c r="AE65" s="32" t="inlineStr">
        <is>
          <t>cooling pillow cases</t>
        </is>
      </c>
      <c r="AF65" s="93" t="n">
        <v>0.7855430573483312</v>
      </c>
      <c r="AG65" s="93" t="n"/>
      <c r="AH65" s="93" t="n"/>
      <c r="AI65" s="93" t="n"/>
      <c r="AJ65" s="85" t="n">
        <v>36</v>
      </c>
      <c r="AK65" s="85" t="n">
        <v>4</v>
      </c>
      <c r="AL65" s="85" t="n">
        <v>26</v>
      </c>
      <c r="AM65" s="85" t="n">
        <v>169</v>
      </c>
      <c r="AN65" s="85" t="n">
        <v>42</v>
      </c>
      <c r="AO65" s="85" t="n">
        <v>1</v>
      </c>
      <c r="AP65" s="94" t="n"/>
      <c r="AQ65" s="89" t="n"/>
      <c r="AR65" s="95" t="inlineStr">
        <is>
          <t>N</t>
        </is>
      </c>
      <c r="AS65" s="95" t="inlineStr">
        <is>
          <t>none</t>
        </is>
      </c>
      <c r="AT65" s="101" t="n"/>
      <c r="AU65" s="96" t="n">
        <v>19.99</v>
      </c>
      <c r="AV65" s="95" t="inlineStr">
        <is>
          <t>none</t>
        </is>
      </c>
      <c r="AW65" s="95" t="inlineStr">
        <is>
          <t>Y</t>
        </is>
      </c>
      <c r="AX65" s="95" t="inlineStr">
        <is>
          <t>2026-10-13 23:38:52</t>
        </is>
      </c>
      <c r="AY65" s="102" t="n"/>
      <c r="AZ65" s="102" t="n"/>
      <c r="BA65" s="101" t="n"/>
      <c r="BB65" s="101" t="n"/>
      <c r="BC65" s="87">
        <f>IF(AND(ISNUMBER(BA65),ISNUMBER(BB65),N(BA65)&gt;0),1-BB65/BA65,"")</f>
        <v/>
      </c>
      <c r="BD65" s="103" t="n"/>
      <c r="BE65" s="103" t="n"/>
      <c r="BF65" s="100">
        <f>IF(AND(ISNUMBER(BD65),ISNUMBER(BE65),N(BE65)&gt;0),BD65/BE65,"")</f>
        <v/>
      </c>
      <c r="BG65" s="102" t="n"/>
      <c r="BH65" s="102" t="n"/>
    </row>
    <row r="66" ht="62" customHeight="1">
      <c r="A66" s="10">
        <f>_xlfn.IMAGE("https://images-na.ssl-images-amazon.com/images/I/81fWRYUTfVL.jpg")</f>
        <v/>
      </c>
      <c r="B66" s="84" t="inlineStr">
        <is>
          <t>Niagara Sleep Solution</t>
        </is>
      </c>
      <c r="C66" s="32" t="inlineStr">
        <is>
          <t>Niagara Set of 2 Cooling Pillow Cases Standard Size, CoolSpan™ Technology Q-Max 0.4 Cooling Pillowcases for Hot Sleepers, Hidden Zipper Pillow Covers, Soft, Anti-Static (20x26'') - Light Grey</t>
        </is>
      </c>
      <c r="D66" s="84" t="inlineStr">
        <is>
          <t>Beatable</t>
        </is>
      </c>
      <c r="E66" s="84" t="inlineStr">
        <is>
          <t>B0CZB5B67X</t>
        </is>
      </c>
      <c r="F66" s="84" t="inlineStr">
        <is>
          <t>B0CZB5B67X</t>
        </is>
      </c>
      <c r="G66" s="84" t="inlineStr">
        <is>
          <t>Standard</t>
        </is>
      </c>
      <c r="H66" s="84" t="inlineStr">
        <is>
          <t>Grey</t>
        </is>
      </c>
      <c r="I66" s="85" t="n">
        <v>1</v>
      </c>
      <c r="J66" s="32" t="inlineStr"/>
      <c r="K66" s="86" t="n">
        <v>14.6</v>
      </c>
      <c r="L66" s="86" t="n"/>
      <c r="M66" s="87">
        <f>IF(AND(ISNUMBER(L66),ISNUMBER(K66),N(K66)&gt;0),L66/K66-1,"")</f>
        <v/>
      </c>
      <c r="N66" s="88">
        <f>IF(M66="","No List Price",IF(M66&lt;=0,"At/below price",IF(M66&lt;=0.12,"&lt;=12% STR zone",IF(M66&lt;=0.25,"12-25%","&gt;25% over"))))</f>
        <v/>
      </c>
      <c r="O66" s="86" t="n">
        <v>17.99</v>
      </c>
      <c r="P66" s="89">
        <f>IF(AND(ISNUMBER(K66),ISNUMBER(O66),N(O66)&gt;0),K66/O66-1,"")</f>
        <v/>
      </c>
      <c r="Q66" s="32" t="inlineStr">
        <is>
          <t>Same size (Standard). Ours live: SellerBoard listing price, 2026-10-14; 4 children</t>
        </is>
      </c>
      <c r="R66" s="85" t="n">
        <v>1393717</v>
      </c>
      <c r="S66" s="85" t="n">
        <v>5</v>
      </c>
      <c r="T66" s="90">
        <f>IF(AND(ISNUMBER(K66),ISNUMBER(S66)),K66*S66*52/12,"")</f>
        <v/>
      </c>
      <c r="U66" s="91" t="n">
        <v>4.4</v>
      </c>
      <c r="V66" s="85" t="n">
        <v>109</v>
      </c>
      <c r="W66" s="92" t="n">
        <v>46307</v>
      </c>
      <c r="X66" s="92" t="n">
        <v>45379</v>
      </c>
      <c r="Y66" s="84" t="inlineStr">
        <is>
          <t>FBM</t>
        </is>
      </c>
      <c r="Z66" s="84" t="inlineStr">
        <is>
          <t>N/A</t>
        </is>
      </c>
      <c r="AA66" s="85" t="n"/>
      <c r="AB66" s="85" t="n"/>
      <c r="AC66" s="93" t="n"/>
      <c r="AD66" s="93" t="n"/>
      <c r="AE66" s="32" t="n"/>
      <c r="AF66" s="93" t="n"/>
      <c r="AG66" s="93" t="n"/>
      <c r="AH66" s="93" t="n"/>
      <c r="AI66" s="93" t="n"/>
      <c r="AJ66" s="85" t="n"/>
      <c r="AK66" s="85" t="n"/>
      <c r="AL66" s="85" t="n"/>
      <c r="AM66" s="85" t="n"/>
      <c r="AN66" s="85" t="n"/>
      <c r="AO66" s="85" t="n"/>
      <c r="AP66" s="94" t="n"/>
      <c r="AQ66" s="89" t="n"/>
      <c r="AR66" s="95" t="inlineStr">
        <is>
          <t>N</t>
        </is>
      </c>
      <c r="AS66" s="95" t="inlineStr">
        <is>
          <t>none</t>
        </is>
      </c>
      <c r="AT66" s="101" t="n"/>
      <c r="AU66" s="101" t="n"/>
      <c r="AV66" s="95" t="inlineStr">
        <is>
          <t>none</t>
        </is>
      </c>
      <c r="AW66" s="95" t="inlineStr">
        <is>
          <t>N</t>
        </is>
      </c>
      <c r="AX66" s="95" t="inlineStr">
        <is>
          <t>2026-10-13 23:38:55</t>
        </is>
      </c>
      <c r="AY66" s="102" t="n"/>
      <c r="AZ66" s="102" t="n"/>
      <c r="BA66" s="101" t="n"/>
      <c r="BB66" s="101" t="n"/>
      <c r="BC66" s="87">
        <f>IF(AND(ISNUMBER(BA66),ISNUMBER(BB66),N(BA66)&gt;0),1-BB66/BA66,"")</f>
        <v/>
      </c>
      <c r="BD66" s="103" t="n"/>
      <c r="BE66" s="103" t="n"/>
      <c r="BF66" s="100">
        <f>IF(AND(ISNUMBER(BD66),ISNUMBER(BE66),N(BE66)&gt;0),BD66/BE66,"")</f>
        <v/>
      </c>
      <c r="BG66" s="102" t="n"/>
      <c r="BH66" s="102" t="n"/>
    </row>
    <row r="67" ht="62" customHeight="1">
      <c r="A67" s="10">
        <f>_xlfn.IMAGE("https://images-na.ssl-images-amazon.com/images/I/71JIe-f4CUL.jpg")</f>
        <v/>
      </c>
      <c r="B67" s="84" t="inlineStr">
        <is>
          <t>Rifens</t>
        </is>
      </c>
      <c r="C67" s="32" t="inlineStr">
        <is>
          <t>Ice Cooling Pillowcase for Hot Sleepers, Instantly Cool, Stay Cold All Night, Softer Than Silk Pillow Cases, Pillow Covers with Invisible Zipper, Gift for Men &amp; Women - Standard, Light Gray (1 Pack)</t>
        </is>
      </c>
      <c r="D67" s="84" t="inlineStr">
        <is>
          <t>Beatable</t>
        </is>
      </c>
      <c r="E67" s="84" t="inlineStr">
        <is>
          <t>B0DJ933TY2</t>
        </is>
      </c>
      <c r="F67" s="84" t="inlineStr">
        <is>
          <t>B0DJ933TY2</t>
        </is>
      </c>
      <c r="G67" s="84" t="inlineStr">
        <is>
          <t>Standard</t>
        </is>
      </c>
      <c r="H67" s="84" t="inlineStr">
        <is>
          <t>Gray</t>
        </is>
      </c>
      <c r="I67" s="85" t="n">
        <v>1</v>
      </c>
      <c r="J67" s="32" t="inlineStr">
        <is>
          <t>B0DJ933TY2 (100%)</t>
        </is>
      </c>
      <c r="K67" s="86" t="n">
        <v>18.99</v>
      </c>
      <c r="L67" s="86" t="n"/>
      <c r="M67" s="87">
        <f>IF(AND(ISNUMBER(L67),ISNUMBER(K67),N(K67)&gt;0),L67/K67-1,"")</f>
        <v/>
      </c>
      <c r="N67" s="88">
        <f>IF(M67="","No List Price",IF(M67&lt;=0,"At/below price",IF(M67&lt;=0.12,"&lt;=12% STR zone",IF(M67&lt;=0.25,"12-25%","&gt;25% over"))))</f>
        <v/>
      </c>
      <c r="O67" s="86" t="n">
        <v>17.99</v>
      </c>
      <c r="P67" s="89">
        <f>IF(AND(ISNUMBER(K67),ISNUMBER(O67),N(O67)&gt;0),K67/O67-1,"")</f>
        <v/>
      </c>
      <c r="Q67" s="32" t="inlineStr">
        <is>
          <t>Same size (Standard). Ours live: SellerBoard listing price, 2026-10-14; 4 children</t>
        </is>
      </c>
      <c r="R67" s="85" t="n">
        <v>519777</v>
      </c>
      <c r="S67" s="85" t="n">
        <v>5</v>
      </c>
      <c r="T67" s="90">
        <f>IF(AND(ISNUMBER(K67),ISNUMBER(S67)),K67*S67*52/12,"")</f>
        <v/>
      </c>
      <c r="U67" s="91" t="n">
        <v>4.6</v>
      </c>
      <c r="V67" s="85" t="n">
        <v>219</v>
      </c>
      <c r="W67" s="92" t="n">
        <v>46307</v>
      </c>
      <c r="X67" s="92" t="n">
        <v>45565</v>
      </c>
      <c r="Y67" s="84" t="inlineStr">
        <is>
          <t>FBM</t>
        </is>
      </c>
      <c r="Z67" s="84" t="inlineStr">
        <is>
          <t>N/A</t>
        </is>
      </c>
      <c r="AA67" s="85" t="n">
        <v>8663</v>
      </c>
      <c r="AB67" s="85" t="n">
        <v>164</v>
      </c>
      <c r="AC67" s="93" t="n">
        <v>1</v>
      </c>
      <c r="AD67" s="93" t="n">
        <v>0</v>
      </c>
      <c r="AE67" s="32" t="inlineStr">
        <is>
          <t>cooling pillow cases</t>
        </is>
      </c>
      <c r="AF67" s="93" t="n"/>
      <c r="AG67" s="93" t="n"/>
      <c r="AH67" s="93" t="n"/>
      <c r="AI67" s="93" t="n">
        <v>0.02297125707029897</v>
      </c>
      <c r="AJ67" s="85" t="n">
        <v>29</v>
      </c>
      <c r="AK67" s="85" t="n">
        <v>4</v>
      </c>
      <c r="AL67" s="85" t="n">
        <v>23</v>
      </c>
      <c r="AM67" s="85" t="n">
        <v>135</v>
      </c>
      <c r="AN67" s="85" t="n">
        <v>0</v>
      </c>
      <c r="AO67" s="85" t="n">
        <v>0</v>
      </c>
      <c r="AP67" s="94" t="n"/>
      <c r="AQ67" s="89" t="n"/>
      <c r="AR67" s="95" t="inlineStr">
        <is>
          <t>N</t>
        </is>
      </c>
      <c r="AS67" s="95" t="inlineStr">
        <is>
          <t>none</t>
        </is>
      </c>
      <c r="AT67" s="101" t="n"/>
      <c r="AU67" s="101" t="n"/>
      <c r="AV67" s="95" t="inlineStr">
        <is>
          <t>none</t>
        </is>
      </c>
      <c r="AW67" s="95" t="inlineStr">
        <is>
          <t>N</t>
        </is>
      </c>
      <c r="AX67" s="95" t="inlineStr">
        <is>
          <t>2026-10-13 23:39:10</t>
        </is>
      </c>
      <c r="AY67" s="102" t="n"/>
      <c r="AZ67" s="102" t="n"/>
      <c r="BA67" s="101" t="n"/>
      <c r="BB67" s="101" t="n"/>
      <c r="BC67" s="87">
        <f>IF(AND(ISNUMBER(BA67),ISNUMBER(BB67),N(BA67)&gt;0),1-BB67/BA67,"")</f>
        <v/>
      </c>
      <c r="BD67" s="103" t="n"/>
      <c r="BE67" s="103" t="n"/>
      <c r="BF67" s="100">
        <f>IF(AND(ISNUMBER(BD67),ISNUMBER(BE67),N(BE67)&gt;0),BD67/BE67,"")</f>
        <v/>
      </c>
      <c r="BG67" s="102" t="n"/>
      <c r="BH67" s="102" t="n"/>
    </row>
    <row r="68" ht="62" customHeight="1">
      <c r="A68" s="39" t="inlineStr">
        <is>
          <t>IMAGE MISSING</t>
        </is>
      </c>
      <c r="B68" s="84" t="inlineStr">
        <is>
          <t>Topcee</t>
        </is>
      </c>
      <c r="C68" s="32" t="inlineStr">
        <is>
          <t>Topcee Cooling Pillowcases, 2 Packs Queen Size Arc-Chill Q-Max&gt;0.5 Ultra Soft Co</t>
        </is>
      </c>
      <c r="D68" s="84" t="inlineStr">
        <is>
          <t>Beatable</t>
        </is>
      </c>
      <c r="E68" s="84" t="inlineStr">
        <is>
          <t>B0BR9J5DGW</t>
        </is>
      </c>
      <c r="F68" s="84" t="inlineStr">
        <is>
          <t>B0BR9J5DGW</t>
        </is>
      </c>
      <c r="G68" s="84" t="inlineStr">
        <is>
          <t>Queen</t>
        </is>
      </c>
      <c r="H68" s="84" t="n"/>
      <c r="I68" s="85" t="n"/>
      <c r="J68" s="32" t="inlineStr"/>
      <c r="K68" s="86" t="n">
        <v>18.95</v>
      </c>
      <c r="L68" s="86" t="n"/>
      <c r="M68" s="87">
        <f>IF(AND(ISNUMBER(L68),ISNUMBER(K68),N(K68)&gt;0),L68/K68-1,"")</f>
        <v/>
      </c>
      <c r="N68" s="88">
        <f>IF(M68="","No List Price",IF(M68&lt;=0,"At/below price",IF(M68&lt;=0.12,"&lt;=12% STR zone",IF(M68&lt;=0.25,"12-25%","&gt;25% over"))))</f>
        <v/>
      </c>
      <c r="O68" s="86" t="n">
        <v>21.99</v>
      </c>
      <c r="P68" s="89">
        <f>IF(AND(ISNUMBER(K68),ISNUMBER(O68),N(O68)&gt;0),K68/O68-1,"")</f>
        <v/>
      </c>
      <c r="Q68" s="32" t="inlineStr">
        <is>
          <t>Same size (Queen). Ours live: Helium 10 Xray, 2026-10-13; 4 children</t>
        </is>
      </c>
      <c r="R68" s="85" t="n">
        <v>1292801</v>
      </c>
      <c r="S68" s="85" t="n">
        <v>5</v>
      </c>
      <c r="T68" s="90">
        <f>IF(AND(ISNUMBER(K68),ISNUMBER(S68)),K68*S68*52/12,"")</f>
        <v/>
      </c>
      <c r="U68" s="91" t="n">
        <v>4.2</v>
      </c>
      <c r="V68" s="85" t="n">
        <v>227</v>
      </c>
      <c r="W68" s="92" t="n">
        <v>46307</v>
      </c>
      <c r="X68" s="92" t="n"/>
      <c r="Y68" s="84" t="n"/>
      <c r="Z68" s="84" t="n"/>
      <c r="AA68" s="85" t="n"/>
      <c r="AB68" s="85" t="n"/>
      <c r="AC68" s="93" t="n"/>
      <c r="AD68" s="93" t="n"/>
      <c r="AE68" s="32" t="n"/>
      <c r="AF68" s="93" t="n"/>
      <c r="AG68" s="93" t="n"/>
      <c r="AH68" s="93" t="n"/>
      <c r="AI68" s="93" t="n"/>
      <c r="AJ68" s="85" t="n"/>
      <c r="AK68" s="85" t="n"/>
      <c r="AL68" s="85" t="n"/>
      <c r="AM68" s="85" t="n"/>
      <c r="AN68" s="85" t="n"/>
      <c r="AO68" s="85" t="n"/>
      <c r="AP68" s="94" t="n"/>
      <c r="AQ68" s="89" t="n"/>
      <c r="AR68" s="95" t="inlineStr">
        <is>
          <t>N</t>
        </is>
      </c>
      <c r="AS68" s="95" t="inlineStr">
        <is>
          <t>none</t>
        </is>
      </c>
      <c r="AT68" s="101" t="n"/>
      <c r="AU68" s="101" t="n"/>
      <c r="AV68" s="95" t="inlineStr">
        <is>
          <t>none</t>
        </is>
      </c>
      <c r="AW68" s="95" t="inlineStr">
        <is>
          <t>N</t>
        </is>
      </c>
      <c r="AX68" s="95" t="inlineStr">
        <is>
          <t>2026-10-13 23:39:16</t>
        </is>
      </c>
      <c r="AY68" s="102" t="n"/>
      <c r="AZ68" s="102" t="n"/>
      <c r="BA68" s="101" t="n"/>
      <c r="BB68" s="101" t="n"/>
      <c r="BC68" s="87">
        <f>IF(AND(ISNUMBER(BA68),ISNUMBER(BB68),N(BA68)&gt;0),1-BB68/BA68,"")</f>
        <v/>
      </c>
      <c r="BD68" s="103" t="n"/>
      <c r="BE68" s="103" t="n"/>
      <c r="BF68" s="100">
        <f>IF(AND(ISNUMBER(BD68),ISNUMBER(BE68),N(BE68)&gt;0),BD68/BE68,"")</f>
        <v/>
      </c>
      <c r="BG68" s="102" t="n"/>
      <c r="BH68" s="102" t="n"/>
    </row>
    <row r="69" ht="62" customHeight="1">
      <c r="A69" s="39" t="inlineStr">
        <is>
          <t>IMAGE MISSING</t>
        </is>
      </c>
      <c r="B69" s="84" t="inlineStr">
        <is>
          <t>LUXEAR</t>
        </is>
      </c>
      <c r="C69" s="32" t="inlineStr">
        <is>
          <t>LUXEAR 2 Pack Cooling Pillow Cases for Hot Sleepers, Arc-Chill Q-Max &gt; 0.5 Cool</t>
        </is>
      </c>
      <c r="D69" s="84" t="inlineStr">
        <is>
          <t>Untiered</t>
        </is>
      </c>
      <c r="E69" s="84" t="inlineStr">
        <is>
          <t>B0FRGBT861</t>
        </is>
      </c>
      <c r="F69" s="84" t="inlineStr">
        <is>
          <t>B07V6SKZ7V</t>
        </is>
      </c>
      <c r="G69" s="84" t="n"/>
      <c r="H69" s="84" t="n"/>
      <c r="I69" s="85" t="n"/>
      <c r="J69" s="32" t="inlineStr"/>
      <c r="K69" s="86" t="n">
        <v>15.95</v>
      </c>
      <c r="L69" s="86" t="n"/>
      <c r="M69" s="87">
        <f>IF(AND(ISNUMBER(L69),ISNUMBER(K69),N(K69)&gt;0),L69/K69-1,"")</f>
        <v/>
      </c>
      <c r="N69" s="88">
        <f>IF(M69="","No List Price",IF(M69&lt;=0,"At/below price",IF(M69&lt;=0.12,"&lt;=12% STR zone",IF(M69&lt;=0.25,"12-25%","&gt;25% over"))))</f>
        <v/>
      </c>
      <c r="O69" s="86" t="n">
        <v>21.99</v>
      </c>
      <c r="P69" s="89">
        <f>IF(AND(ISNUMBER(K69),ISNUMBER(O69),N(O69)&gt;0),K69/O69-1,"")</f>
        <v/>
      </c>
      <c r="Q69" s="32" t="inlineStr">
        <is>
          <t>Size not stated - vs our Queen. Ours live: Helium 10 Xray, 2026-10-13; 4 children</t>
        </is>
      </c>
      <c r="R69" s="85" t="n">
        <v>50724</v>
      </c>
      <c r="S69" s="85" t="n">
        <v>35</v>
      </c>
      <c r="T69" s="90">
        <f>IF(AND(ISNUMBER(K69),ISNUMBER(S69)),K69*S69*52/12,"")</f>
        <v/>
      </c>
      <c r="U69" s="91" t="n">
        <v>4.2</v>
      </c>
      <c r="V69" s="85" t="n">
        <v>6718</v>
      </c>
      <c r="W69" s="92" t="n">
        <v>46307</v>
      </c>
      <c r="X69" s="92" t="n"/>
      <c r="Y69" s="84" t="n"/>
      <c r="Z69" s="84" t="n"/>
      <c r="AA69" s="85" t="n"/>
      <c r="AB69" s="85" t="n"/>
      <c r="AC69" s="93" t="n"/>
      <c r="AD69" s="93" t="n"/>
      <c r="AE69" s="32" t="n"/>
      <c r="AF69" s="93" t="n"/>
      <c r="AG69" s="93" t="n"/>
      <c r="AH69" s="93" t="n"/>
      <c r="AI69" s="93" t="n"/>
      <c r="AJ69" s="85" t="n"/>
      <c r="AK69" s="85" t="n"/>
      <c r="AL69" s="85" t="n"/>
      <c r="AM69" s="85" t="n"/>
      <c r="AN69" s="85" t="n"/>
      <c r="AO69" s="85" t="n"/>
      <c r="AP69" s="94" t="n"/>
      <c r="AQ69" s="89" t="n"/>
      <c r="AR69" s="95" t="inlineStr">
        <is>
          <t>N</t>
        </is>
      </c>
      <c r="AS69" s="95" t="inlineStr">
        <is>
          <t>none</t>
        </is>
      </c>
      <c r="AT69" s="101" t="n"/>
      <c r="AU69" s="96" t="n">
        <v>15.95</v>
      </c>
      <c r="AV69" s="95" t="inlineStr">
        <is>
          <t>none</t>
        </is>
      </c>
      <c r="AW69" s="95" t="inlineStr">
        <is>
          <t>Y</t>
        </is>
      </c>
      <c r="AX69" s="95" t="inlineStr">
        <is>
          <t>2026-10-13 23:38:46</t>
        </is>
      </c>
      <c r="AY69" s="102" t="n"/>
      <c r="AZ69" s="102" t="n"/>
      <c r="BA69" s="101" t="n"/>
      <c r="BB69" s="101" t="n"/>
      <c r="BC69" s="87">
        <f>IF(AND(ISNUMBER(BA69),ISNUMBER(BB69),N(BA69)&gt;0),1-BB69/BA69,"")</f>
        <v/>
      </c>
      <c r="BD69" s="103" t="n"/>
      <c r="BE69" s="103" t="n"/>
      <c r="BF69" s="100">
        <f>IF(AND(ISNUMBER(BD69),ISNUMBER(BE69),N(BE69)&gt;0),BD69/BE69,"")</f>
        <v/>
      </c>
      <c r="BG69" s="102" t="n"/>
      <c r="BH69" s="102" t="n"/>
    </row>
    <row r="71" ht="20" customHeight="1">
      <c r="A71" s="54" t="inlineStr">
        <is>
          <t>5 · WHAT THIS MEANS FOR BFCM</t>
        </is>
      </c>
    </row>
    <row r="72" ht="30" customHeight="1">
      <c r="A72" s="104" t="inlineStr">
        <is>
          <t>•  Who sells most: Serta ~1,040/wk at $19.10; WISHSMILE ~809/wk at $12.99; REST ~208/wk at $59.25 (List $79.00, +33%); Avolare ~173/wk at $15.99 (List $19.99, +25%); CHOSHOME ~104/wk at $14.60. Tracked rivals ~2,909 units/wk; we sell ~14/wk (0.5% of the tracked set).</t>
        </is>
      </c>
    </row>
    <row r="73" ht="18" customHeight="1">
      <c r="A73" s="104" t="inlineStr">
        <is>
          <t>•  Strikethrough: 5 of 21 rivals set a List Price above price; 0 within 12%.</t>
        </is>
      </c>
    </row>
    <row r="74" ht="30" customHeight="1">
      <c r="A74" s="104" t="inlineStr">
        <is>
          <t>•  Price: 14 of 21 rivals sit below our price today (same size where the title states one). Cheapest strong rivals: HOMFINE $11.99, WISHSMILE $12.99, CHOSHOME $14.60, Niagara Sleep Solution $14.60.</t>
        </is>
      </c>
    </row>
    <row r="75" ht="30" customHeight="1">
      <c r="A75" s="104" t="inlineStr">
        <is>
          <t>•  Strikethrough on the page today (Oct 13 check): 5 of 20 checked rivals show one: Elegear List Price $18.75 vs $16.88 (+11%), REST List Price $79.00 vs $59.25 (+33%), Coop Home Goods Typical price $39.00 vs $33.15 (+18%) with deal, HOMFINE Typical price $12.99 vs $9.99 (+30%), Coop Home Goods List Price $30.00 vs $25.50 (+18%) with deal.</t>
        </is>
      </c>
    </row>
    <row r="76" ht="30" customHeight="1">
      <c r="A76" s="104" t="inlineStr">
        <is>
          <t>•  Search: we lose most shared keywords to REST (we win 2, lose 40), Serta (we win 2, lose 38), Avolare (we win 3, lose 38). Biggest ad gaps (they advertise where we don't or harder): REST 1,942 + 2 KWs, Serta 699 + 2 KWs, Coop Home Goods 710 + 0 KWs.</t>
        </is>
      </c>
    </row>
    <row r="77" ht="30" customHeight="1">
      <c r="A77" s="104" t="inlineStr">
        <is>
          <t>•  Brand ads: Serta (SB 0%, SBV 60%), WISHSMILE (SB 50%, SBV 86%), Avolare (SB 69%, SBV 0%), REST (SB 92%, SBV 61%), Cozy Bliss (SB 0%, SBV 90%) hold Sponsored Brands / video on most of their traffic - the plan has our SB, SBV and display live by Nov 1.</t>
        </is>
      </c>
    </row>
    <row r="78" ht="18" customHeight="1">
      <c r="A78" s="104" t="inlineStr">
        <is>
          <t>•  Our BFCM 2025: 0.77x.</t>
        </is>
      </c>
    </row>
    <row r="79" ht="30" customHeight="1">
      <c r="A79" s="104" t="inlineStr">
        <is>
          <t>•  BFCM 2025, 9 rivals with Keepa history: Prime Exclusive Discount 8, None 1. Median depth vs their Nov 1-19 price 15%; median BSR lift 1.03x. 2 raised their Buy Box in BFCM week, so their deal looked deeper than it was.</t>
        </is>
      </c>
    </row>
    <row r="80" ht="18" customHeight="1">
      <c r="A80" s="104" t="inlineStr">
        <is>
          <t>•  11 rivals not in the Keepa pulls yet (yellow BFCM 2025 columns) - remaining P2 batches, AGENT_PROMPTS Prompt 2.</t>
        </is>
      </c>
    </row>
  </sheetData>
  <autoFilter ref="B48:BH69"/>
  <mergeCells count="69">
    <mergeCell ref="A15:BH15"/>
    <mergeCell ref="A73:BH73"/>
    <mergeCell ref="A37:C37"/>
    <mergeCell ref="L5:Q5"/>
    <mergeCell ref="X47:Z47"/>
    <mergeCell ref="A1:BH1"/>
    <mergeCell ref="A45:BH45"/>
    <mergeCell ref="Q11:T11"/>
    <mergeCell ref="A79:BH79"/>
    <mergeCell ref="L8:Q8"/>
    <mergeCell ref="L4:Q4"/>
    <mergeCell ref="D7:I7"/>
    <mergeCell ref="A13:D13"/>
    <mergeCell ref="AR47:AX47"/>
    <mergeCell ref="A78:BH78"/>
    <mergeCell ref="I13:L13"/>
    <mergeCell ref="A33:C33"/>
    <mergeCell ref="A16:BH16"/>
    <mergeCell ref="D4:I4"/>
    <mergeCell ref="L10:Q10"/>
    <mergeCell ref="E12:H12"/>
    <mergeCell ref="Q13:T13"/>
    <mergeCell ref="A32:C32"/>
    <mergeCell ref="A41:BH41"/>
    <mergeCell ref="D9:I9"/>
    <mergeCell ref="A80:BH80"/>
    <mergeCell ref="A46:BH46"/>
    <mergeCell ref="U12:X12"/>
    <mergeCell ref="L9:Q9"/>
    <mergeCell ref="Q12:T12"/>
    <mergeCell ref="A75:BH75"/>
    <mergeCell ref="A11:D11"/>
    <mergeCell ref="A35:C35"/>
    <mergeCell ref="A74:BH74"/>
    <mergeCell ref="I11:L11"/>
    <mergeCell ref="A38:C38"/>
    <mergeCell ref="A3:BH3"/>
    <mergeCell ref="L6:Q6"/>
    <mergeCell ref="D8:I8"/>
    <mergeCell ref="A4:B9"/>
    <mergeCell ref="T6:Y6"/>
    <mergeCell ref="A42:BH42"/>
    <mergeCell ref="D5:I5"/>
    <mergeCell ref="A76:BH76"/>
    <mergeCell ref="A71:BH71"/>
    <mergeCell ref="A40:C40"/>
    <mergeCell ref="M11:P11"/>
    <mergeCell ref="U11:X11"/>
    <mergeCell ref="A34:C34"/>
    <mergeCell ref="A39:C39"/>
    <mergeCell ref="A47:H47"/>
    <mergeCell ref="AY47:BH47"/>
    <mergeCell ref="E13:H13"/>
    <mergeCell ref="K47:W47"/>
    <mergeCell ref="D10:I10"/>
    <mergeCell ref="L7:Q7"/>
    <mergeCell ref="T5:Y5"/>
    <mergeCell ref="A72:BH72"/>
    <mergeCell ref="A12:D12"/>
    <mergeCell ref="M13:P13"/>
    <mergeCell ref="I12:L12"/>
    <mergeCell ref="U13:X13"/>
    <mergeCell ref="M12:P12"/>
    <mergeCell ref="T4:Y4"/>
    <mergeCell ref="A31:BH31"/>
    <mergeCell ref="D6:I6"/>
    <mergeCell ref="E11:H11"/>
    <mergeCell ref="AA47:AQ47"/>
    <mergeCell ref="A77:BH77"/>
  </mergeCells>
  <conditionalFormatting sqref="N49:N69">
    <cfRule type="expression" priority="1" dxfId="1">
      <formula>N49="&lt;=12% STR zone"</formula>
    </cfRule>
  </conditionalFormatting>
  <conditionalFormatting sqref="W49:W69">
    <cfRule type="expression" priority="2" dxfId="0">
      <formula>AND(ISNUMBER(W49),W49&lt;DATE(2026,10,6))</formula>
    </cfRule>
  </conditionalFormatting>
  <conditionalFormatting sqref="Q49:Q69">
    <cfRule type="expression" priority="3" dxfId="0">
      <formula>ISNUMBER(SEARCH("STALE",Q49))</formula>
    </cfRule>
  </conditionalFormatting>
  <conditionalFormatting sqref="P49:P69">
    <cfRule type="expression" priority="4" dxfId="0">
      <formula>AND(ISNUMBER(P49),P49&lt;0)</formula>
    </cfRule>
  </conditionalFormatting>
  <dataValidations count="3">
    <dataValidation sqref="AR49:AR69 BG49:BG69" showDropDown="0" showInputMessage="0" showErrorMessage="0" allowBlank="1" type="list">
      <formula1>"Y,N"</formula1>
    </dataValidation>
    <dataValidation sqref="AS49:AS69" showDropDown="0" showInputMessage="0" showErrorMessage="0" allowBlank="1" type="list">
      <formula1>"List Price,Typical price,Was price,None"</formula1>
    </dataValidation>
    <dataValidation sqref="AY49:AY69"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1.xml><?xml version="1.0" encoding="utf-8"?>
<worksheet xmlns="http://schemas.openxmlformats.org/spreadsheetml/2006/main">
  <sheetPr>
    <outlinePr summaryBelow="1" summaryRight="1"/>
    <pageSetUpPr/>
  </sheetPr>
  <dimension ref="A1:BH88"/>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Comforter  ·  Amazon.com (US)  ·  Cooling  ·  BFCM role: Off-season (lost $2.4K at BFCM 2025)  ·  Scope: Core</t>
        </is>
      </c>
    </row>
    <row r="2">
      <c r="A2" s="53" t="inlineStr">
        <is>
          <t>← Dashboard</t>
        </is>
      </c>
    </row>
    <row r="3" ht="20" customHeight="1">
      <c r="A3" s="54" t="inlineStr">
        <is>
          <t>1 · OUR PRODUCT</t>
        </is>
      </c>
    </row>
    <row r="4" ht="34" customHeight="1">
      <c r="A4" s="10">
        <f>_xlfn.IMAGE("https://images-na.ssl-images-amazon.com/images/I/81srgWQ0iXL.jpg")</f>
        <v/>
      </c>
      <c r="C4" s="11" t="inlineStr">
        <is>
          <t>Title</t>
        </is>
      </c>
      <c r="D4" s="12" t="inlineStr">
        <is>
          <t>SLEEPHORIA Cooling Comforter - BreezeWeave Cooling Blanket King Size for Hot Sleepers &amp; Deep Rest - Cloud Soft, Breathable, Ultra Durable, Easy Care, Reversible - 108 x 90 in (Light Grey &amp; Dark Grey)</t>
        </is>
      </c>
      <c r="K4" s="11" t="inlineStr">
        <is>
          <t>Sizes</t>
        </is>
      </c>
      <c r="L4" s="55" t="inlineStr">
        <is>
          <t>Full, King, Queen, Twin</t>
        </is>
      </c>
      <c r="S4" s="11" t="inlineStr">
        <is>
          <t>Break-even ACoS</t>
        </is>
      </c>
      <c r="T4" s="55" t="inlineStr">
        <is>
          <t>22%</t>
        </is>
      </c>
    </row>
    <row r="5" ht="22" customHeight="1">
      <c r="C5" s="11" t="inlineStr">
        <is>
          <t>Brand</t>
        </is>
      </c>
      <c r="D5" s="55" t="inlineStr">
        <is>
          <t>Sleephoria</t>
        </is>
      </c>
      <c r="K5" s="11" t="inlineStr">
        <is>
          <t>Colours</t>
        </is>
      </c>
      <c r="L5" s="55" t="inlineStr">
        <is>
          <t>Blue &amp; Dark Grey, Blue &amp; Light Grey, Light Grey &amp; Dark Grey, Mint Green &amp; Dark Grey, Pink &amp; Beige</t>
        </is>
      </c>
      <c r="S5" s="11" t="inlineStr">
        <is>
          <t>Units last 28 days</t>
        </is>
      </c>
      <c r="T5" s="55" t="inlineStr">
        <is>
          <t>78</t>
        </is>
      </c>
    </row>
    <row r="6" ht="22" customHeight="1">
      <c r="C6" s="11" t="inlineStr">
        <is>
          <t>Marketplace</t>
        </is>
      </c>
      <c r="D6" s="55" t="inlineStr">
        <is>
          <t>Amazon.com (US)</t>
        </is>
      </c>
      <c r="K6" s="11" t="inlineStr">
        <is>
          <t>Price now, best child</t>
        </is>
      </c>
      <c r="L6" s="55" t="inlineStr">
        <is>
          <t>$79.99 (SellerBoard listing price, 2026-10-14)</t>
        </is>
      </c>
      <c r="S6" s="11" t="inlineStr">
        <is>
          <t>Command Center product ASIN</t>
        </is>
      </c>
      <c r="T6" s="55" t="inlineStr">
        <is>
          <t>B0GHSH1BJK (one of our child ASINs, not the Amazon parent)</t>
        </is>
      </c>
    </row>
    <row r="7" ht="22" customHeight="1">
      <c r="C7" s="11" t="inlineStr">
        <is>
          <t>Parent ASIN (Amazon)</t>
        </is>
      </c>
      <c r="D7" s="55" t="inlineStr">
        <is>
          <t>B0FTG1NNKG</t>
        </is>
      </c>
      <c r="K7" s="11" t="inlineStr">
        <is>
          <t>Rating / reviews now</t>
        </is>
      </c>
      <c r="L7" s="55" t="inlineStr">
        <is>
          <t>Not checked yet</t>
        </is>
      </c>
    </row>
    <row r="8" ht="22" customHeight="1">
      <c r="C8" s="11" t="inlineStr">
        <is>
          <t>Best-selling child ASIN</t>
        </is>
      </c>
      <c r="D8" s="55" t="inlineStr">
        <is>
          <t>B0F7M4Q2HQ</t>
        </is>
      </c>
      <c r="K8" s="11" t="inlineStr">
        <is>
          <t>Live prices held</t>
        </is>
      </c>
      <c r="L8" s="55" t="inlineStr">
        <is>
          <t>20 of 20 variations</t>
        </is>
      </c>
    </row>
    <row r="9" ht="22" customHeight="1">
      <c r="C9" s="11" t="inlineStr">
        <is>
          <t>Stage</t>
        </is>
      </c>
      <c r="D9" s="55" t="inlineStr">
        <is>
          <t>Re-Launch</t>
        </is>
      </c>
      <c r="K9" s="11" t="inlineStr">
        <is>
          <t>Blended price (Command Center)</t>
        </is>
      </c>
      <c r="L9" s="55" t="inlineStr">
        <is>
          <t>$67.68 - fee feed as of 2026-03-30, STALE</t>
        </is>
      </c>
    </row>
    <row r="10">
      <c r="C10" s="11" t="inlineStr">
        <is>
          <t>Total variations (SKUs)</t>
        </is>
      </c>
      <c r="D10" s="55" t="n">
        <v>20</v>
      </c>
      <c r="K10" s="11" t="inlineStr">
        <is>
          <t>Contribution / unit</t>
        </is>
      </c>
      <c r="L10" s="55" t="inlineStr">
        <is>
          <t>$15.06</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3.39x</t>
        </is>
      </c>
      <c r="E12" s="57" t="inlineStr">
        <is>
          <t>12.3%</t>
        </is>
      </c>
      <c r="I12" s="57" t="inlineStr">
        <is>
          <t>4.21x</t>
        </is>
      </c>
      <c r="M12" s="57" t="inlineStr">
        <is>
          <t>18</t>
        </is>
      </c>
      <c r="Q12" s="57" t="inlineStr">
        <is>
          <t>16</t>
        </is>
      </c>
      <c r="U12" s="57" t="inlineStr">
        <is>
          <t>0</t>
        </is>
      </c>
    </row>
    <row r="13">
      <c r="A13" s="58" t="inlineStr">
        <is>
          <t>daily sales, BFCM wk vs 30 days before (SellerBoard actual)</t>
        </is>
      </c>
      <c r="E13" s="58" t="inlineStr">
        <is>
          <t>vs 27.0%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(20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_xlfn.IMAGE("https://m.media-amazon.com/images/I/813fNrG6DwL.jpg")</f>
        <v/>
      </c>
      <c r="B18" s="32" t="inlineStr">
        <is>
          <t>B0F7M4Q2HQ</t>
        </is>
      </c>
      <c r="C18" s="32" t="inlineStr">
        <is>
          <t>SL-CLG-COMF-LIGHT-GREY/DARK-GREY-KING</t>
        </is>
      </c>
      <c r="D18" s="32" t="inlineStr">
        <is>
          <t>SLEEPHORIA Cooling Comforter - BreezeWeave Cooling Blanket King Size for Hot Sleepers &amp; Deep Rest - Cloud Soft, Breathable, Ultra Durable, Easy Care, Reversible - 108 x 90 in (Light Grey &amp; Dark Grey)</t>
        </is>
      </c>
      <c r="E18" s="32" t="inlineStr">
        <is>
          <t>King</t>
        </is>
      </c>
      <c r="F18" s="32" t="inlineStr">
        <is>
          <t>Light Grey &amp; Dark Grey</t>
        </is>
      </c>
      <c r="G18" s="60" t="n">
        <v>79.98999999999999</v>
      </c>
      <c r="H18" s="32" t="inlineStr">
        <is>
          <t>SellerBoard listing price, 2026-10-14</t>
        </is>
      </c>
      <c r="I18" s="61" t="n">
        <v>69.98999999999999</v>
      </c>
      <c r="J18" s="62" t="inlineStr">
        <is>
          <t>2026-03-18</t>
        </is>
      </c>
      <c r="K18" s="33" t="n">
        <v>13.29</v>
      </c>
      <c r="L18" s="63" t="n">
        <v>0.1898842691813116</v>
      </c>
      <c r="M18" s="64" t="n">
        <v>34</v>
      </c>
      <c r="N18" s="32" t="inlineStr">
        <is>
          <t>Active</t>
        </is>
      </c>
      <c r="O18" s="32" t="inlineStr">
        <is>
          <t>Yes (55%)</t>
        </is>
      </c>
      <c r="P18" s="65" t="n"/>
      <c r="Q18" s="64" t="n"/>
      <c r="R18" s="64" t="n"/>
      <c r="S18" s="64" t="n"/>
      <c r="T18" s="32" t="n"/>
    </row>
    <row r="19" ht="62" customHeight="1">
      <c r="A19" s="10">
        <f>_xlfn.IMAGE("https://m.media-amazon.com/images/I/813fNrG6DwL.jpg")</f>
        <v/>
      </c>
      <c r="B19" s="32" t="inlineStr">
        <is>
          <t>B0F7M5T8FH</t>
        </is>
      </c>
      <c r="C19" s="32" t="inlineStr">
        <is>
          <t>SL-CLG-COMF-LIGHT-GREY/DARK-GREY-QUEEN</t>
        </is>
      </c>
      <c r="D19" s="32" t="inlineStr">
        <is>
          <t>SLEEPHORIA Cooling Comforter - BreezeWeave Cooling Blanket Queen Size for Hot Sleepers &amp; Deep Rest - Cloud Soft, Breathable, Ultra Durable, Easy Care, Reversible - 90 x 90 in (Light Grey &amp; Dark Grey)</t>
        </is>
      </c>
      <c r="E19" s="32" t="inlineStr">
        <is>
          <t>Queen</t>
        </is>
      </c>
      <c r="F19" s="32" t="inlineStr">
        <is>
          <t>Light Grey &amp; Dark Grey</t>
        </is>
      </c>
      <c r="G19" s="60" t="n">
        <v>69.98999999999999</v>
      </c>
      <c r="H19" s="32" t="inlineStr">
        <is>
          <t>Helium 10 Xray, 2026-10-13</t>
        </is>
      </c>
      <c r="I19" s="61" t="n">
        <v>74.98999999999999</v>
      </c>
      <c r="J19" s="62" t="inlineStr">
        <is>
          <t>2026-03-30</t>
        </is>
      </c>
      <c r="K19" s="33" t="n">
        <v>24.44999999999999</v>
      </c>
      <c r="L19" s="63" t="n">
        <v>0.326043472462995</v>
      </c>
      <c r="M19" s="64" t="n">
        <v>12</v>
      </c>
      <c r="N19" s="32" t="inlineStr">
        <is>
          <t>Active</t>
        </is>
      </c>
      <c r="O19" s="32" t="inlineStr">
        <is>
          <t>Yes (23%)</t>
        </is>
      </c>
      <c r="P19" s="65" t="n">
        <v>4.5</v>
      </c>
      <c r="Q19" s="64" t="n">
        <v>661</v>
      </c>
      <c r="R19" s="64" t="n">
        <v>372957</v>
      </c>
      <c r="S19" s="64" t="n">
        <v>0.9996</v>
      </c>
      <c r="T19" s="32" t="n"/>
    </row>
    <row r="20" ht="62" customHeight="1">
      <c r="A20" s="10">
        <f>_xlfn.IMAGE("https://m.media-amazon.com/images/I/813fNrG6DwL.jpg")</f>
        <v/>
      </c>
      <c r="B20" s="32" t="inlineStr">
        <is>
          <t>B0GHSG5G12</t>
        </is>
      </c>
      <c r="C20" s="32" t="inlineStr">
        <is>
          <t>SL-CLG-COMF-LIGHT-GREY/DARK-GREY-FULL</t>
        </is>
      </c>
      <c r="D20" s="32" t="inlineStr">
        <is>
          <t>SLEEPHORIA Cooling Comforter - BreezeWeave Cooling Blanket Full Size for Hot Sleepers &amp; Deep Rest - Cloud Soft, Breathable, Ultra Durable, Easy Care, Reversible - 86 x 82 in (Light Grey &amp; Dark Grey)</t>
        </is>
      </c>
      <c r="E20" s="32" t="inlineStr">
        <is>
          <t>Full</t>
        </is>
      </c>
      <c r="F20" s="32" t="inlineStr">
        <is>
          <t>Light Grey &amp; Dark Grey</t>
        </is>
      </c>
      <c r="G20" s="60" t="n">
        <v>64.98999999999999</v>
      </c>
      <c r="H20" s="32" t="inlineStr">
        <is>
          <t>Helium 10 Xray, 2026-10-13</t>
        </is>
      </c>
      <c r="I20" s="33" t="n"/>
      <c r="J20" s="32" t="n"/>
      <c r="K20" s="33" t="n"/>
      <c r="L20" s="63" t="n"/>
      <c r="M20" s="64" t="n">
        <v>5</v>
      </c>
      <c r="N20" s="32" t="inlineStr">
        <is>
          <t>Active</t>
        </is>
      </c>
      <c r="O20" s="32" t="inlineStr">
        <is>
          <t>Yes (6%)</t>
        </is>
      </c>
      <c r="P20" s="65" t="n">
        <v>4.5</v>
      </c>
      <c r="Q20" s="64" t="n">
        <v>661</v>
      </c>
      <c r="R20" s="64" t="n">
        <v>372957</v>
      </c>
      <c r="S20" s="64" t="n">
        <v>4</v>
      </c>
      <c r="T20" s="32" t="n"/>
    </row>
    <row r="21" ht="62" customHeight="1">
      <c r="A21" s="10">
        <f>_xlfn.IMAGE("https://m.media-amazon.com/images/I/81d0MVyOz-L.jpg")</f>
        <v/>
      </c>
      <c r="B21" s="32" t="inlineStr">
        <is>
          <t>B0F7M56896</t>
        </is>
      </c>
      <c r="C21" s="32" t="inlineStr">
        <is>
          <t>SL-CLG-COMF-BLUE/DARK-GREY-QUEEN</t>
        </is>
      </c>
      <c r="D21" s="32" t="inlineStr">
        <is>
          <t>SLEEPHORIA Cooling Comforter - BreezeWeave Cooling Blanket Queen Size for Hot Sleepers &amp; Deep Rest - Cloud Soft, Breathable, Ultra Durable, Easy Care, Reversible - 90 x 90 in (Blue &amp; Dark Grey)</t>
        </is>
      </c>
      <c r="E21" s="32" t="inlineStr">
        <is>
          <t>Queen</t>
        </is>
      </c>
      <c r="F21" s="32" t="inlineStr">
        <is>
          <t>Blue &amp; Dark Grey</t>
        </is>
      </c>
      <c r="G21" s="60" t="n">
        <v>69.98999999999999</v>
      </c>
      <c r="H21" s="32" t="inlineStr">
        <is>
          <t>Helium 10 Xray, 2026-10-13</t>
        </is>
      </c>
      <c r="I21" s="61" t="n">
        <v>59.99</v>
      </c>
      <c r="J21" s="62" t="inlineStr">
        <is>
          <t>2026-03-12</t>
        </is>
      </c>
      <c r="K21" s="33" t="n">
        <v>11.71</v>
      </c>
      <c r="L21" s="63" t="n">
        <v>0.1951991998666445</v>
      </c>
      <c r="M21" s="64" t="n">
        <v>5</v>
      </c>
      <c r="N21" s="32" t="inlineStr">
        <is>
          <t>Active</t>
        </is>
      </c>
      <c r="O21" s="32" t="n"/>
      <c r="P21" s="65" t="n">
        <v>4.5</v>
      </c>
      <c r="Q21" s="64" t="n">
        <v>661</v>
      </c>
      <c r="R21" s="64" t="n">
        <v>372944</v>
      </c>
      <c r="S21" s="64" t="n">
        <v>1</v>
      </c>
      <c r="T21" s="32" t="n"/>
    </row>
    <row r="22" ht="62" customHeight="1">
      <c r="A22" s="10">
        <f>_xlfn.IMAGE("https://m.media-amazon.com/images/I/81OsrLXSJgL.jpg")</f>
        <v/>
      </c>
      <c r="B22" s="32" t="inlineStr">
        <is>
          <t>B0F7M5KWRR</t>
        </is>
      </c>
      <c r="C22" s="32" t="inlineStr">
        <is>
          <t>SL-CLG-COMF-PINK/BEIGE-QUEEN</t>
        </is>
      </c>
      <c r="D22" s="32" t="inlineStr">
        <is>
          <t>SLEEPHORIA Cooling Comforter - BreezeWeave Cooling Blanket Queen Size for Hot Sleepers &amp; Deep Rest - Cloud Soft, Breathable, Ultra Durable, Easy Care, Reversible - 90 x 90 in (Pink &amp; Beige)</t>
        </is>
      </c>
      <c r="E22" s="32" t="inlineStr">
        <is>
          <t>Queen</t>
        </is>
      </c>
      <c r="F22" s="32" t="inlineStr">
        <is>
          <t>Pink &amp; Beige</t>
        </is>
      </c>
      <c r="G22" s="60" t="n">
        <v>69.98999999999999</v>
      </c>
      <c r="H22" s="32" t="inlineStr">
        <is>
          <t>Helium 10 Xray, 2026-10-13</t>
        </is>
      </c>
      <c r="I22" s="61" t="n">
        <v>59.99</v>
      </c>
      <c r="J22" s="62" t="inlineStr">
        <is>
          <t>2026-03-30</t>
        </is>
      </c>
      <c r="K22" s="33" t="n">
        <v>11.7</v>
      </c>
      <c r="L22" s="63" t="n">
        <v>0.1950325054175696</v>
      </c>
      <c r="M22" s="64" t="n">
        <v>5</v>
      </c>
      <c r="N22" s="32" t="inlineStr">
        <is>
          <t>Active</t>
        </is>
      </c>
      <c r="O22" s="32" t="n"/>
      <c r="P22" s="65" t="n">
        <v>4.5</v>
      </c>
      <c r="Q22" s="64" t="n">
        <v>661</v>
      </c>
      <c r="R22" s="64" t="n">
        <v>372944</v>
      </c>
      <c r="S22" s="64" t="n">
        <v>1</v>
      </c>
      <c r="T22" s="32" t="n"/>
    </row>
    <row r="23" ht="62" customHeight="1">
      <c r="A23" s="10">
        <f>_xlfn.IMAGE("https://m.media-amazon.com/images/I/81l2CcE6y7L.jpg")</f>
        <v/>
      </c>
      <c r="B23" s="32" t="inlineStr">
        <is>
          <t>B0GHSLKMHJ</t>
        </is>
      </c>
      <c r="C23" s="32" t="inlineStr">
        <is>
          <t>SL-CLG-COMF-BLUE/LIGHT-GREY-FULL</t>
        </is>
      </c>
      <c r="D23" s="32" t="inlineStr">
        <is>
          <t>SLEEPHORIA Cooling Comforter - BreezeWeave Cooling Blanket Full Size for Hot Sleepers &amp; Deep Rest - Cloud Soft, Breathable, Ultra Durable, Easy Care, Reversible - 86 x 82 in (Blue &amp; Light Grey)</t>
        </is>
      </c>
      <c r="E23" s="32" t="inlineStr">
        <is>
          <t>Full</t>
        </is>
      </c>
      <c r="F23" s="32" t="inlineStr">
        <is>
          <t>Blue &amp; Light Grey</t>
        </is>
      </c>
      <c r="G23" s="60" t="n">
        <v>64.98999999999999</v>
      </c>
      <c r="H23" s="32" t="inlineStr">
        <is>
          <t>Helium 10 Xray, 2026-10-13</t>
        </is>
      </c>
      <c r="I23" s="33" t="n"/>
      <c r="J23" s="32" t="n"/>
      <c r="K23" s="33" t="n"/>
      <c r="L23" s="63" t="n"/>
      <c r="M23" s="64" t="n">
        <v>4</v>
      </c>
      <c r="N23" s="32" t="inlineStr">
        <is>
          <t>Active</t>
        </is>
      </c>
      <c r="O23" s="32" t="n"/>
      <c r="P23" s="65" t="n">
        <v>4.5</v>
      </c>
      <c r="Q23" s="64" t="n">
        <v>661</v>
      </c>
      <c r="R23" s="64" t="n">
        <v>372944</v>
      </c>
      <c r="S23" s="64" t="n">
        <v>4</v>
      </c>
      <c r="T23" s="32" t="n"/>
    </row>
    <row r="24" ht="62" customHeight="1">
      <c r="A24" s="10">
        <f>_xlfn.IMAGE("https://m.media-amazon.com/images/I/81fhXz9G1-L.jpg")</f>
        <v/>
      </c>
      <c r="B24" s="32" t="inlineStr">
        <is>
          <t>B0GHSTYXM8</t>
        </is>
      </c>
      <c r="C24" s="32" t="inlineStr">
        <is>
          <t>SL-CLG-COMF-MINT-GREEN/DARK-GREY-FULL</t>
        </is>
      </c>
      <c r="D24" s="32" t="inlineStr">
        <is>
          <t>SLEEPHORIA Cooling Comforter - BreezeWeave Cooling Blanket Full Size for Hot Sleepers &amp; Deep Rest - Cloud Soft, Breathable, Ultra Durable, Easy Care, Reversible - 86 x 82 in (Mint Green &amp; Dark Grey)</t>
        </is>
      </c>
      <c r="E24" s="32" t="inlineStr">
        <is>
          <t>Full</t>
        </is>
      </c>
      <c r="F24" s="32" t="inlineStr">
        <is>
          <t>Mint Green &amp; Dark Grey</t>
        </is>
      </c>
      <c r="G24" s="60" t="n">
        <v>64.98999999999999</v>
      </c>
      <c r="H24" s="32" t="inlineStr">
        <is>
          <t>Helium 10 Xray, 2026-10-13</t>
        </is>
      </c>
      <c r="I24" s="33" t="n"/>
      <c r="J24" s="32" t="n"/>
      <c r="K24" s="33" t="n"/>
      <c r="L24" s="63" t="n"/>
      <c r="M24" s="64" t="n">
        <v>2</v>
      </c>
      <c r="N24" s="32" t="inlineStr">
        <is>
          <t>Active</t>
        </is>
      </c>
      <c r="O24" s="32" t="n"/>
      <c r="P24" s="65" t="n">
        <v>4.5</v>
      </c>
      <c r="Q24" s="64" t="n">
        <v>661</v>
      </c>
      <c r="R24" s="64" t="n">
        <v>372944</v>
      </c>
      <c r="S24" s="64" t="n">
        <v>4</v>
      </c>
      <c r="T24" s="32" t="n"/>
    </row>
    <row r="25" ht="62" customHeight="1">
      <c r="A25" s="10">
        <f>_xlfn.IMAGE("https://m.media-amazon.com/images/I/81OsrLXSJgL.jpg")</f>
        <v/>
      </c>
      <c r="B25" s="32" t="inlineStr">
        <is>
          <t>B0GHSDK4V9</t>
        </is>
      </c>
      <c r="C25" s="32" t="inlineStr">
        <is>
          <t>SL-CLG-COMF-PINK/BEIGE-FULL</t>
        </is>
      </c>
      <c r="D25" s="32" t="inlineStr">
        <is>
          <t>SLEEPHORIA Cooling Comforter - BreezeWeave Cooling Blanket Full Size for Hot Sleepers &amp; Deep Rest - Cloud Soft, Breathable, Ultra Durable, Easy Care, Reversible - 86 x 82 in (Pink &amp; Beige)</t>
        </is>
      </c>
      <c r="E25" s="32" t="inlineStr">
        <is>
          <t>Full</t>
        </is>
      </c>
      <c r="F25" s="32" t="inlineStr">
        <is>
          <t>Pink &amp; Beige</t>
        </is>
      </c>
      <c r="G25" s="60" t="n">
        <v>64.98999999999999</v>
      </c>
      <c r="H25" s="32" t="inlineStr">
        <is>
          <t>Helium 10 Xray, 2026-10-13</t>
        </is>
      </c>
      <c r="I25" s="33" t="n"/>
      <c r="J25" s="32" t="n"/>
      <c r="K25" s="33" t="n"/>
      <c r="L25" s="63" t="n"/>
      <c r="M25" s="64" t="n">
        <v>2</v>
      </c>
      <c r="N25" s="32" t="inlineStr">
        <is>
          <t>Active</t>
        </is>
      </c>
      <c r="O25" s="32" t="n"/>
      <c r="P25" s="65" t="n">
        <v>4.5</v>
      </c>
      <c r="Q25" s="64" t="n">
        <v>661</v>
      </c>
      <c r="R25" s="64" t="n">
        <v>372944</v>
      </c>
      <c r="S25" s="64" t="n">
        <v>4</v>
      </c>
      <c r="T25" s="32" t="n"/>
    </row>
    <row r="26" ht="62" customHeight="1">
      <c r="A26" s="10">
        <f>_xlfn.IMAGE("https://m.media-amazon.com/images/I/81fhXz9G1-L.jpg")</f>
        <v/>
      </c>
      <c r="B26" s="32" t="inlineStr">
        <is>
          <t>B0F7M61RFP</t>
        </is>
      </c>
      <c r="C26" s="32" t="inlineStr">
        <is>
          <t>SL-CLG-COMF-MINT-GREEN/DARK-GREY-QUEEN</t>
        </is>
      </c>
      <c r="D26" s="32" t="inlineStr">
        <is>
          <t>SLEEPHORIA Cooling Comforter - BreezeWeave Cooling Blanket Queen Size for Hot Sleepers &amp; Deep Rest - Cloud Soft, Breathable, Ultra Durable, Easy Care, Reversible - 90 x 90 in (Mint Green &amp; Dark Grey)</t>
        </is>
      </c>
      <c r="E26" s="32" t="inlineStr">
        <is>
          <t>Queen</t>
        </is>
      </c>
      <c r="F26" s="32" t="inlineStr">
        <is>
          <t>Mint Green &amp; Dark Grey</t>
        </is>
      </c>
      <c r="G26" s="60" t="n">
        <v>69.98999999999999</v>
      </c>
      <c r="H26" s="32" t="inlineStr">
        <is>
          <t>SellerBoard listing price, 2026-10-14</t>
        </is>
      </c>
      <c r="I26" s="61" t="n">
        <v>59.99</v>
      </c>
      <c r="J26" s="62" t="inlineStr">
        <is>
          <t>2026-03-12</t>
        </is>
      </c>
      <c r="K26" s="33" t="n">
        <v>11.69</v>
      </c>
      <c r="L26" s="63" t="n">
        <v>0.1948658109684948</v>
      </c>
      <c r="M26" s="64" t="n">
        <v>2</v>
      </c>
      <c r="N26" s="32" t="inlineStr">
        <is>
          <t>Inactive</t>
        </is>
      </c>
      <c r="O26" s="32" t="n"/>
      <c r="P26" s="65" t="n"/>
      <c r="Q26" s="64" t="n"/>
      <c r="R26" s="64" t="n"/>
      <c r="S26" s="64" t="n"/>
      <c r="T26" s="32" t="n"/>
    </row>
    <row r="27" ht="62" customHeight="1">
      <c r="A27" s="10">
        <f>_xlfn.IMAGE("https://m.media-amazon.com/images/I/813fNrG6DwL.jpg")</f>
        <v/>
      </c>
      <c r="B27" s="32" t="inlineStr">
        <is>
          <t>B0F7M4N52F</t>
        </is>
      </c>
      <c r="C27" s="32" t="inlineStr">
        <is>
          <t>SL-CLG-COMF-LIGHT-GREY/DARK-GREY-TWIN</t>
        </is>
      </c>
      <c r="D27" s="32" t="inlineStr">
        <is>
          <t>SLEEPHORIA Cooling Comforter - BreezeWeave Cooling Blanket Twin Size for Hot Sleepers &amp; Deep Rest - Cloud Soft, Breathable, Ultra Durable, Easy Care, Reversible - 68 x 90 in (Light Grey &amp; Dark Grey)</t>
        </is>
      </c>
      <c r="E27" s="32" t="inlineStr">
        <is>
          <t>Twin</t>
        </is>
      </c>
      <c r="F27" s="32" t="inlineStr">
        <is>
          <t>Light Grey &amp; Dark Grey</t>
        </is>
      </c>
      <c r="G27" s="60" t="n">
        <v>64.98999999999999</v>
      </c>
      <c r="H27" s="32" t="inlineStr">
        <is>
          <t>Helium 10 Xray, 2026-10-13</t>
        </is>
      </c>
      <c r="I27" s="61" t="n">
        <v>54.99</v>
      </c>
      <c r="J27" s="62" t="inlineStr">
        <is>
          <t>2026-03-30</t>
        </is>
      </c>
      <c r="K27" s="33" t="n">
        <v>13.25</v>
      </c>
      <c r="L27" s="63" t="n">
        <v>0.2409529005273686</v>
      </c>
      <c r="M27" s="64" t="n">
        <v>2</v>
      </c>
      <c r="N27" s="32" t="inlineStr">
        <is>
          <t>Active</t>
        </is>
      </c>
      <c r="O27" s="32" t="n"/>
      <c r="P27" s="65" t="n">
        <v>4.5</v>
      </c>
      <c r="Q27" s="64" t="n">
        <v>661</v>
      </c>
      <c r="R27" s="64" t="n">
        <v>372944</v>
      </c>
      <c r="S27" s="64" t="n">
        <v>4</v>
      </c>
      <c r="T27" s="32" t="n"/>
    </row>
    <row r="28" ht="62" customHeight="1">
      <c r="A28" s="10">
        <f>_xlfn.IMAGE("https://m.media-amazon.com/images/I/81OsrLXSJgL.jpg")</f>
        <v/>
      </c>
      <c r="B28" s="32" t="inlineStr">
        <is>
          <t>B0F7M32FVR</t>
        </is>
      </c>
      <c r="C28" s="32" t="inlineStr">
        <is>
          <t>SL-CLG-COMF-PINK/BEIGE-TWIN</t>
        </is>
      </c>
      <c r="D28" s="32" t="inlineStr">
        <is>
          <t>SLEEPHORIA Cooling Comforter - BreezeWeave Cooling Blanket Twin Size for Hot Sleepers &amp; Deep Rest - Cloud Soft, Breathable, Ultra Durable, Easy Care, Reversible - 68 x 90 in (Pink &amp; Beige)</t>
        </is>
      </c>
      <c r="E28" s="32" t="inlineStr">
        <is>
          <t>Twin</t>
        </is>
      </c>
      <c r="F28" s="32" t="inlineStr">
        <is>
          <t>Pink &amp; Beige</t>
        </is>
      </c>
      <c r="G28" s="60" t="n">
        <v>64.98999999999999</v>
      </c>
      <c r="H28" s="32" t="inlineStr">
        <is>
          <t>Helium 10 Xray, 2026-10-13</t>
        </is>
      </c>
      <c r="I28" s="61" t="n">
        <v>54.99</v>
      </c>
      <c r="J28" s="62" t="inlineStr">
        <is>
          <t>2026-03-30</t>
        </is>
      </c>
      <c r="K28" s="33" t="n">
        <v>13.19</v>
      </c>
      <c r="L28" s="63" t="n">
        <v>0.2398617930532825</v>
      </c>
      <c r="M28" s="64" t="n">
        <v>2</v>
      </c>
      <c r="N28" s="32" t="inlineStr">
        <is>
          <t>Active</t>
        </is>
      </c>
      <c r="O28" s="32" t="n"/>
      <c r="P28" s="65" t="n">
        <v>4.5</v>
      </c>
      <c r="Q28" s="64" t="n">
        <v>661</v>
      </c>
      <c r="R28" s="64" t="n">
        <v>372944</v>
      </c>
      <c r="S28" s="64" t="n">
        <v>4</v>
      </c>
      <c r="T28" s="32" t="n"/>
    </row>
    <row r="29" ht="62" customHeight="1">
      <c r="A29" s="10">
        <f>_xlfn.IMAGE("https://m.media-amazon.com/images/I/81OsrLXSJgL.jpg")</f>
        <v/>
      </c>
      <c r="B29" s="32" t="inlineStr">
        <is>
          <t>B0F7M5L5Q9</t>
        </is>
      </c>
      <c r="C29" s="32" t="inlineStr">
        <is>
          <t>SL-CLG-COMF-PINK/BEIGE-KING</t>
        </is>
      </c>
      <c r="D29" s="32" t="inlineStr">
        <is>
          <t>SLEEPHORIA Cooling Comforter - BreezeWeave Cooling Blanket King Size for Hot Sleepers &amp; Deep Rest - Cloud Soft, Breathable, Ultra Durable, Easy Care, Reversible - 108 x 90 in (Pink &amp; Beige)</t>
        </is>
      </c>
      <c r="E29" s="32" t="inlineStr">
        <is>
          <t>King</t>
        </is>
      </c>
      <c r="F29" s="32" t="inlineStr">
        <is>
          <t>Pink &amp; Beige</t>
        </is>
      </c>
      <c r="G29" s="60" t="n">
        <v>79.98999999999999</v>
      </c>
      <c r="H29" s="32" t="inlineStr">
        <is>
          <t>Helium 10 Xray, 2026-10-13</t>
        </is>
      </c>
      <c r="I29" s="61" t="n">
        <v>69.98999999999999</v>
      </c>
      <c r="J29" s="62" t="inlineStr">
        <is>
          <t>2026-03-30</t>
        </is>
      </c>
      <c r="K29" s="33" t="n">
        <v>13.91</v>
      </c>
      <c r="L29" s="63" t="n">
        <v>0.1987426775253607</v>
      </c>
      <c r="M29" s="64" t="n">
        <v>1</v>
      </c>
      <c r="N29" s="32" t="inlineStr">
        <is>
          <t>Active</t>
        </is>
      </c>
      <c r="O29" s="32" t="n"/>
      <c r="P29" s="65" t="n">
        <v>4.5</v>
      </c>
      <c r="Q29" s="64" t="n">
        <v>661</v>
      </c>
      <c r="R29" s="64" t="n">
        <v>372944</v>
      </c>
      <c r="S29" s="64" t="n">
        <v>0.6781</v>
      </c>
      <c r="T29" s="32" t="n"/>
    </row>
    <row r="30" ht="62" customHeight="1">
      <c r="A30" s="10">
        <f>_xlfn.IMAGE("https://m.media-amazon.com/images/I/81d0MVyOz-L.jpg")</f>
        <v/>
      </c>
      <c r="B30" s="32" t="inlineStr">
        <is>
          <t>B0F7M4CNFT</t>
        </is>
      </c>
      <c r="C30" s="32" t="inlineStr">
        <is>
          <t>SL-CLG-COMF-BLUE/DARK-GREY-TWIN</t>
        </is>
      </c>
      <c r="D30" s="32" t="inlineStr">
        <is>
          <t>SLEEPHORIA Cooling Comforter - BreezeWeave Cooling Blanket Twin Size for Hot Sleepers &amp; Deep Rest - Cloud Soft, Breathable, Ultra Durable, Easy Care, Reversible - 68 x 90 in (Blue &amp; Dark Grey)</t>
        </is>
      </c>
      <c r="E30" s="32" t="inlineStr">
        <is>
          <t>Twin</t>
        </is>
      </c>
      <c r="F30" s="32" t="inlineStr">
        <is>
          <t>Blue &amp; Dark Grey</t>
        </is>
      </c>
      <c r="G30" s="60" t="n">
        <v>64.98999999999999</v>
      </c>
      <c r="H30" s="32" t="inlineStr">
        <is>
          <t>Helium 10 Xray, 2026-10-13</t>
        </is>
      </c>
      <c r="I30" s="61" t="n">
        <v>54.99</v>
      </c>
      <c r="J30" s="62" t="inlineStr">
        <is>
          <t>2026-03-30</t>
        </is>
      </c>
      <c r="K30" s="33" t="n">
        <v>13.25</v>
      </c>
      <c r="L30" s="63" t="n">
        <v>0.2409529005273686</v>
      </c>
      <c r="M30" s="64" t="n">
        <v>1</v>
      </c>
      <c r="N30" s="32" t="inlineStr">
        <is>
          <t>Active</t>
        </is>
      </c>
      <c r="O30" s="32" t="n"/>
      <c r="P30" s="65" t="n">
        <v>4.5</v>
      </c>
      <c r="Q30" s="64" t="n">
        <v>661</v>
      </c>
      <c r="R30" s="64" t="n">
        <v>372944</v>
      </c>
      <c r="S30" s="64" t="n">
        <v>4</v>
      </c>
      <c r="T30" s="32" t="n"/>
    </row>
    <row r="31" ht="62" customHeight="1">
      <c r="A31" s="10">
        <f>_xlfn.IMAGE("https://m.media-amazon.com/images/I/81fhXz9G1-L.jpg")</f>
        <v/>
      </c>
      <c r="B31" s="32" t="inlineStr">
        <is>
          <t>B0F7M7C4ZC</t>
        </is>
      </c>
      <c r="C31" s="32" t="inlineStr">
        <is>
          <t>SL-CLG-COMF-MINT-GREEN/DARK-GREY-TWIN</t>
        </is>
      </c>
      <c r="D31" s="32" t="inlineStr">
        <is>
          <t>SLEEPHORIA Cooling Comforter - BreezeWeave Cooling Blanket Twin Size for Hot Sleepers &amp; Deep Rest - Cloud Soft, Breathable, Ultra Durable, Easy Care, Reversible - 68 x 90 in (Mint Green &amp; Dark Grey)</t>
        </is>
      </c>
      <c r="E31" s="32" t="inlineStr">
        <is>
          <t>Twin</t>
        </is>
      </c>
      <c r="F31" s="32" t="inlineStr">
        <is>
          <t>Mint Green &amp; Dark Grey</t>
        </is>
      </c>
      <c r="G31" s="60" t="n">
        <v>64.98999999999999</v>
      </c>
      <c r="H31" s="32" t="inlineStr">
        <is>
          <t>Helium 10 Xray, 2026-10-13</t>
        </is>
      </c>
      <c r="I31" s="61" t="n">
        <v>54.99</v>
      </c>
      <c r="J31" s="62" t="inlineStr">
        <is>
          <t>2026-03-30</t>
        </is>
      </c>
      <c r="K31" s="33" t="n">
        <v>13.16</v>
      </c>
      <c r="L31" s="63" t="n">
        <v>0.2393162393162394</v>
      </c>
      <c r="M31" s="64" t="n">
        <v>1</v>
      </c>
      <c r="N31" s="32" t="inlineStr">
        <is>
          <t>Active</t>
        </is>
      </c>
      <c r="O31" s="32" t="n"/>
      <c r="P31" s="65" t="n">
        <v>4.5</v>
      </c>
      <c r="Q31" s="64" t="n">
        <v>661</v>
      </c>
      <c r="R31" s="64" t="n">
        <v>372944</v>
      </c>
      <c r="S31" s="64" t="n">
        <v>4</v>
      </c>
      <c r="T31" s="32" t="n"/>
    </row>
    <row r="32" ht="62" customHeight="1">
      <c r="A32" s="10">
        <f>_xlfn.IMAGE("https://m.media-amazon.com/images/I/81d0MVyOz-L.jpg")</f>
        <v/>
      </c>
      <c r="B32" s="32" t="inlineStr">
        <is>
          <t>B0GHSH1BJK</t>
        </is>
      </c>
      <c r="C32" s="32" t="inlineStr">
        <is>
          <t>SL-CLG-COMF-BLUE/DARK-GREY-FULL</t>
        </is>
      </c>
      <c r="D32" s="32" t="inlineStr">
        <is>
          <t>SLEEPHORIA Cooling Comforter - BreezeWeave Cooling Blanket Full Size for Hot Sleepers &amp; Deep Rest - Cloud Soft, Breathable, Ultra Durable, Easy Care, Reversible - 86 x 82 in (Blue &amp; Dark Grey)</t>
        </is>
      </c>
      <c r="E32" s="32" t="inlineStr">
        <is>
          <t>Full</t>
        </is>
      </c>
      <c r="F32" s="32" t="inlineStr">
        <is>
          <t>Blue &amp; Dark Grey</t>
        </is>
      </c>
      <c r="G32" s="60" t="n">
        <v>64.98999999999999</v>
      </c>
      <c r="H32" s="32" t="inlineStr">
        <is>
          <t>SellerBoard listing price, 2026-10-14</t>
        </is>
      </c>
      <c r="I32" s="33" t="n"/>
      <c r="J32" s="32" t="n"/>
      <c r="K32" s="33" t="n"/>
      <c r="L32" s="63" t="n"/>
      <c r="M32" s="64" t="n"/>
      <c r="N32" s="32" t="inlineStr">
        <is>
          <t>Inactive</t>
        </is>
      </c>
      <c r="O32" s="32" t="n"/>
      <c r="P32" s="65" t="n"/>
      <c r="Q32" s="64" t="n"/>
      <c r="R32" s="64" t="n"/>
      <c r="S32" s="64" t="n"/>
      <c r="T32" s="32" t="n"/>
    </row>
    <row r="33" ht="62" customHeight="1">
      <c r="A33" s="10">
        <f>_xlfn.IMAGE("https://m.media-amazon.com/images/I/81d0MVyOz-L.jpg")</f>
        <v/>
      </c>
      <c r="B33" s="32" t="inlineStr">
        <is>
          <t>B0F7M3JPFY</t>
        </is>
      </c>
      <c r="C33" s="32" t="inlineStr">
        <is>
          <t>SL-CLG-COMF-BLUE/DARK-GREY-KING</t>
        </is>
      </c>
      <c r="D33" s="32" t="inlineStr">
        <is>
          <t>SLEEPHORIA Cooling Comforter - BreezeWeave Cooling Blanket King Size for Hot Sleepers &amp; Deep Rest - Cloud Soft, Breathable, Ultra Durable, Easy Care, Reversible - 108 x 90 in (Blue &amp; Dark Grey)</t>
        </is>
      </c>
      <c r="E33" s="32" t="inlineStr">
        <is>
          <t>King</t>
        </is>
      </c>
      <c r="F33" s="32" t="inlineStr">
        <is>
          <t>Blue &amp; Dark Grey</t>
        </is>
      </c>
      <c r="G33" s="60" t="n">
        <v>69.98999999999999</v>
      </c>
      <c r="H33" s="32" t="inlineStr">
        <is>
          <t>SellerBoard listing price, 2026-10-14</t>
        </is>
      </c>
      <c r="I33" s="61" t="n">
        <v>69.98999999999999</v>
      </c>
      <c r="J33" s="62" t="inlineStr">
        <is>
          <t>2026-03-30</t>
        </is>
      </c>
      <c r="K33" s="33" t="n">
        <v>14.15999999999999</v>
      </c>
      <c r="L33" s="63" t="n">
        <v>0.2023146163737675</v>
      </c>
      <c r="M33" s="64" t="n"/>
      <c r="N33" s="32" t="inlineStr">
        <is>
          <t>Inactive</t>
        </is>
      </c>
      <c r="O33" s="32" t="n"/>
      <c r="P33" s="65" t="n"/>
      <c r="Q33" s="64" t="n"/>
      <c r="R33" s="64" t="n"/>
      <c r="S33" s="64" t="n"/>
      <c r="T33" s="32" t="n"/>
    </row>
    <row r="34" ht="62" customHeight="1">
      <c r="A34" s="10">
        <f>_xlfn.IMAGE("https://m.media-amazon.com/images/I/81l2CcE6y7L.jpg")</f>
        <v/>
      </c>
      <c r="B34" s="32" t="inlineStr">
        <is>
          <t>B0F7M5WGD8</t>
        </is>
      </c>
      <c r="C34" s="32" t="inlineStr">
        <is>
          <t>SL-CLG-COMF-BLUE/LIGHT-GREY-KING</t>
        </is>
      </c>
      <c r="D34" s="32" t="inlineStr">
        <is>
          <t>SLEEPHORIA Cooling Comforter - BreezeWeave Cooling Blanket King Size for Hot Sleepers &amp; Deep Rest - Cloud Soft, Breathable, Ultra Durable, Easy Care, Reversible - 108 x 90 in (Blue &amp; Light Grey)</t>
        </is>
      </c>
      <c r="E34" s="32" t="inlineStr">
        <is>
          <t>King</t>
        </is>
      </c>
      <c r="F34" s="32" t="inlineStr">
        <is>
          <t>Blue &amp; Light Grey</t>
        </is>
      </c>
      <c r="G34" s="60" t="n">
        <v>79.98999999999999</v>
      </c>
      <c r="H34" s="32" t="inlineStr">
        <is>
          <t>SellerBoard listing price, 2026-10-14</t>
        </is>
      </c>
      <c r="I34" s="61" t="n">
        <v>69.98999999999999</v>
      </c>
      <c r="J34" s="62" t="inlineStr">
        <is>
          <t>2026-03-20</t>
        </is>
      </c>
      <c r="K34" s="33" t="n">
        <v>14.15999999999999</v>
      </c>
      <c r="L34" s="63" t="n">
        <v>0.2023146163737675</v>
      </c>
      <c r="M34" s="64" t="n">
        <v>0</v>
      </c>
      <c r="N34" s="32" t="inlineStr">
        <is>
          <t>Inactive</t>
        </is>
      </c>
      <c r="O34" s="32" t="n"/>
      <c r="P34" s="65" t="n"/>
      <c r="Q34" s="64" t="n"/>
      <c r="R34" s="64" t="n"/>
      <c r="S34" s="64" t="n"/>
      <c r="T34" s="32" t="n"/>
    </row>
    <row r="35" ht="62" customHeight="1">
      <c r="A35" s="10">
        <f>_xlfn.IMAGE("https://m.media-amazon.com/images/I/81fhXz9G1-L.jpg")</f>
        <v/>
      </c>
      <c r="B35" s="32" t="inlineStr">
        <is>
          <t>B0F7M3DJGP</t>
        </is>
      </c>
      <c r="C35" s="32" t="inlineStr">
        <is>
          <t>SL-CLG-COMF-MINT-GREEN/DARK-GREY-KING</t>
        </is>
      </c>
      <c r="D35" s="32" t="inlineStr">
        <is>
          <t>SLEEPHORIA Cooling Comforter - BreezeWeave Cooling Blanket King Size for Hot Sleepers &amp; Deep Rest - Cloud Soft, Breathable, Ultra Durable, Easy Care, Reversible - 108 x 90 in (Mint Green &amp; Dark Grey)</t>
        </is>
      </c>
      <c r="E35" s="32" t="inlineStr">
        <is>
          <t>King</t>
        </is>
      </c>
      <c r="F35" s="32" t="inlineStr">
        <is>
          <t>Mint Green &amp; Dark Grey</t>
        </is>
      </c>
      <c r="G35" s="60" t="n">
        <v>79.98999999999999</v>
      </c>
      <c r="H35" s="32" t="inlineStr">
        <is>
          <t>Helium 10 Xray, 2026-10-13</t>
        </is>
      </c>
      <c r="I35" s="61" t="n">
        <v>69.98999999999999</v>
      </c>
      <c r="J35" s="62" t="inlineStr">
        <is>
          <t>2026-03-10</t>
        </is>
      </c>
      <c r="K35" s="33" t="n">
        <v>13.93999999999999</v>
      </c>
      <c r="L35" s="63" t="n">
        <v>0.1991713101871695</v>
      </c>
      <c r="M35" s="64" t="n">
        <v>0</v>
      </c>
      <c r="N35" s="32" t="inlineStr">
        <is>
          <t>Active</t>
        </is>
      </c>
      <c r="O35" s="32" t="n"/>
      <c r="P35" s="65" t="n">
        <v>4.5</v>
      </c>
      <c r="Q35" s="64" t="n">
        <v>661</v>
      </c>
      <c r="R35" s="64" t="n">
        <v>372944</v>
      </c>
      <c r="S35" s="64" t="n">
        <v>0.681</v>
      </c>
      <c r="T35" s="32" t="n"/>
    </row>
    <row r="36" ht="62" customHeight="1">
      <c r="A36" s="10">
        <f>_xlfn.IMAGE("https://m.media-amazon.com/images/I/81l2CcE6y7L.jpg")</f>
        <v/>
      </c>
      <c r="B36" s="32" t="inlineStr">
        <is>
          <t>B0F7M6XS6X</t>
        </is>
      </c>
      <c r="C36" s="32" t="inlineStr">
        <is>
          <t>SL-CLG-COMF-BLUE/LIGHT-GREY-QUEEN</t>
        </is>
      </c>
      <c r="D36" s="32" t="inlineStr">
        <is>
          <t>SLEEPHORIA Cooling Comforter - BreezeWeave Cooling Blanket Queen Size for Hot Sleepers &amp; Deep Rest - Cloud Soft, Breathable, Ultra Durable, Easy Care, Reversible - 90 x 90 in (Blue &amp; Light Grey)</t>
        </is>
      </c>
      <c r="E36" s="32" t="inlineStr">
        <is>
          <t>Queen</t>
        </is>
      </c>
      <c r="F36" s="32" t="inlineStr">
        <is>
          <t>Blue &amp; Light Grey</t>
        </is>
      </c>
      <c r="G36" s="60" t="n">
        <v>69.98999999999999</v>
      </c>
      <c r="H36" s="32" t="inlineStr">
        <is>
          <t>SellerBoard listing price, 2026-10-14</t>
        </is>
      </c>
      <c r="I36" s="61" t="n">
        <v>59.99</v>
      </c>
      <c r="J36" s="62" t="inlineStr">
        <is>
          <t>2026-03-20</t>
        </is>
      </c>
      <c r="K36" s="33" t="n">
        <v>11.65</v>
      </c>
      <c r="L36" s="63" t="n">
        <v>0.1941990331721954</v>
      </c>
      <c r="M36" s="64" t="n">
        <v>0</v>
      </c>
      <c r="N36" s="32" t="inlineStr">
        <is>
          <t>Inactive</t>
        </is>
      </c>
      <c r="O36" s="32" t="n"/>
      <c r="P36" s="65" t="n"/>
      <c r="Q36" s="64" t="n"/>
      <c r="R36" s="64" t="n"/>
      <c r="S36" s="64" t="n"/>
      <c r="T36" s="32" t="n"/>
    </row>
    <row r="37" ht="62" customHeight="1">
      <c r="A37" s="10">
        <f>_xlfn.IMAGE("https://m.media-amazon.com/images/I/81l2CcE6y7L.jpg")</f>
        <v/>
      </c>
      <c r="B37" s="32" t="inlineStr">
        <is>
          <t>B0F7M5S7FT</t>
        </is>
      </c>
      <c r="C37" s="32" t="inlineStr">
        <is>
          <t>SL-CLG-COMF-BLUE/LIGHT-GREY-TWIN</t>
        </is>
      </c>
      <c r="D37" s="32" t="inlineStr">
        <is>
          <t>SLEEPHORIA Cooling Comforter - BreezeWeave Cooling Blanket Twin Size for Hot Sleepers &amp; Deep Rest - Cloud Soft, Breathable, Ultra Durable, Easy Care, Reversible - 68 x 90 in (Blue &amp; Light Grey)</t>
        </is>
      </c>
      <c r="E37" s="32" t="inlineStr">
        <is>
          <t>Twin</t>
        </is>
      </c>
      <c r="F37" s="32" t="inlineStr">
        <is>
          <t>Blue &amp; Light Grey</t>
        </is>
      </c>
      <c r="G37" s="60" t="n">
        <v>64.98999999999999</v>
      </c>
      <c r="H37" s="32" t="inlineStr">
        <is>
          <t>Helium 10 Xray, 2026-10-13</t>
        </is>
      </c>
      <c r="I37" s="61" t="n">
        <v>54.99</v>
      </c>
      <c r="J37" s="62" t="inlineStr">
        <is>
          <t>2026-03-30</t>
        </is>
      </c>
      <c r="K37" s="33" t="n">
        <v>13.17</v>
      </c>
      <c r="L37" s="63" t="n">
        <v>0.2394980905619204</v>
      </c>
      <c r="M37" s="64" t="n">
        <v>0</v>
      </c>
      <c r="N37" s="32" t="inlineStr">
        <is>
          <t>Active</t>
        </is>
      </c>
      <c r="O37" s="32" t="n"/>
      <c r="P37" s="65" t="n">
        <v>4.5</v>
      </c>
      <c r="Q37" s="64" t="n">
        <v>661</v>
      </c>
      <c r="R37" s="64" t="n">
        <v>372944</v>
      </c>
      <c r="S37" s="64" t="n">
        <v>4</v>
      </c>
      <c r="T37" s="32" t="n"/>
    </row>
    <row r="39" ht="20" customHeight="1">
      <c r="A39" s="54" t="inlineStr">
        <is>
          <t>3 · OUR BFCM 2025 RESULT &amp; EVENT VISIBILITY</t>
        </is>
      </c>
    </row>
    <row r="40">
      <c r="A40" s="67" t="inlineStr">
        <is>
          <t>Window</t>
        </is>
      </c>
      <c r="B40" s="68" t="n"/>
      <c r="C40" s="69" t="n"/>
      <c r="D40" s="67" t="inlineStr">
        <is>
          <t>Ad spend</t>
        </is>
      </c>
      <c r="E40" s="67" t="inlineStr">
        <is>
          <t>Ad sales</t>
        </is>
      </c>
      <c r="F40" s="67" t="inlineStr">
        <is>
          <t>ACoS</t>
        </is>
      </c>
      <c r="G40" s="67" t="inlineStr">
        <is>
          <t>TACoS</t>
        </is>
      </c>
      <c r="H40" s="67" t="inlineStr">
        <is>
          <t>Total sales (derived)</t>
        </is>
      </c>
      <c r="J40" s="67" t="inlineStr">
        <is>
          <t>Ad orders</t>
        </is>
      </c>
      <c r="K40" s="67" t="inlineStr">
        <is>
          <t>CVR</t>
        </is>
      </c>
    </row>
    <row r="41">
      <c r="A41" s="70" t="inlineStr">
        <is>
          <t>Pre-event Oct 21 - Nov 19, 2025 (30d)</t>
        </is>
      </c>
      <c r="B41" s="68" t="n"/>
      <c r="C41" s="69" t="n"/>
      <c r="D41" s="71" t="n">
        <v>4436.54</v>
      </c>
      <c r="E41" s="71" t="n">
        <v>8307.099999999999</v>
      </c>
      <c r="F41" s="72" t="n">
        <v>53.4</v>
      </c>
      <c r="G41" s="72" t="n">
        <v>26.95627975705845</v>
      </c>
      <c r="H41" s="71" t="n">
        <v>16458.28</v>
      </c>
      <c r="J41" s="73" t="n">
        <v>143</v>
      </c>
      <c r="K41" s="74" t="n">
        <v>10.14</v>
      </c>
    </row>
    <row r="42">
      <c r="A42" s="70" t="inlineStr">
        <is>
          <t>BFCM week Nov 20 - Dec 1, 2025 (12d)</t>
        </is>
      </c>
      <c r="B42" s="68" t="n"/>
      <c r="C42" s="69" t="n"/>
      <c r="D42" s="71" t="n">
        <v>2744.45</v>
      </c>
      <c r="E42" s="71" t="n">
        <v>5895.059999999999</v>
      </c>
      <c r="F42" s="72" t="n">
        <v>46.6</v>
      </c>
      <c r="G42" s="72" t="n">
        <v>12.28370527521909</v>
      </c>
      <c r="H42" s="71" t="n">
        <v>22342.2</v>
      </c>
      <c r="J42" s="73" t="n">
        <v>121</v>
      </c>
      <c r="K42" s="74" t="n">
        <v>11.97</v>
      </c>
    </row>
    <row r="43">
      <c r="A43" s="70" t="inlineStr">
        <is>
          <t>December 2 - 31, 2025 (30d)</t>
        </is>
      </c>
      <c r="B43" s="68" t="n"/>
      <c r="C43" s="69" t="n"/>
      <c r="D43" s="71" t="n">
        <v>8916.02</v>
      </c>
      <c r="E43" s="71" t="n">
        <v>27042.28000000001</v>
      </c>
      <c r="F43" s="72" t="n">
        <v>33</v>
      </c>
      <c r="G43" s="72" t="n">
        <v>12.86234037519403</v>
      </c>
      <c r="H43" s="71" t="n">
        <v>69318.8</v>
      </c>
      <c r="J43" s="73" t="n">
        <v>437</v>
      </c>
      <c r="K43" s="74" t="n">
        <v>8.66</v>
      </c>
    </row>
    <row r="45">
      <c r="A45" s="67" t="inlineStr">
        <is>
          <t>Actual sales (SellerBoard)</t>
        </is>
      </c>
      <c r="B45" s="68" t="n"/>
      <c r="C45" s="69" t="n"/>
      <c r="D45" s="67" t="inlineStr">
        <is>
          <t>Sales</t>
        </is>
      </c>
      <c r="E45" s="67" t="inlineStr">
        <is>
          <t>Units</t>
        </is>
      </c>
      <c r="F45" s="67" t="inlineStr">
        <is>
          <t>Organic units</t>
        </is>
      </c>
      <c r="G45" s="67" t="inlineStr">
        <is>
          <t>Ad units</t>
        </is>
      </c>
      <c r="H45" s="67" t="inlineStr">
        <is>
          <t>Ad cost</t>
        </is>
      </c>
      <c r="J45" s="67" t="inlineStr">
        <is>
          <t>TACoS (actual)</t>
        </is>
      </c>
      <c r="K45" s="67" t="inlineStr">
        <is>
          <t>Sessions</t>
        </is>
      </c>
      <c r="L45" s="67" t="inlineStr">
        <is>
          <t>Unit session %</t>
        </is>
      </c>
      <c r="M45" s="67" t="inlineStr">
        <is>
          <t>Avg price</t>
        </is>
      </c>
      <c r="N45" s="67" t="inlineStr">
        <is>
          <t>Refunds</t>
        </is>
      </c>
    </row>
    <row r="46">
      <c r="A46" s="70" t="inlineStr">
        <is>
          <t>Pre-event Oct 21 - Nov 19, 2025 (30d)</t>
        </is>
      </c>
      <c r="B46" s="68" t="n"/>
      <c r="C46" s="69" t="n"/>
      <c r="D46" s="71" t="n">
        <v>16458.28</v>
      </c>
      <c r="E46" s="73" t="n">
        <v>274</v>
      </c>
      <c r="F46" s="73" t="n">
        <v>222</v>
      </c>
      <c r="G46" s="73" t="n">
        <v>52</v>
      </c>
      <c r="H46" s="71" t="n">
        <v>4436.54</v>
      </c>
      <c r="J46" s="75" t="n">
        <v>0.2695627975705845</v>
      </c>
      <c r="K46" s="73" t="n">
        <v>6705</v>
      </c>
      <c r="L46" s="75" t="n">
        <v>0.04086502609992543</v>
      </c>
      <c r="M46" s="76" t="n">
        <v>60.06671532846715</v>
      </c>
      <c r="N46" s="73" t="n">
        <v>13</v>
      </c>
    </row>
    <row r="47">
      <c r="A47" s="70" t="inlineStr">
        <is>
          <t>BFCM week Nov 20 - Dec 1, 2025 (12d)</t>
        </is>
      </c>
      <c r="B47" s="68" t="n"/>
      <c r="C47" s="69" t="n"/>
      <c r="D47" s="71" t="n">
        <v>22342.2</v>
      </c>
      <c r="E47" s="73" t="n">
        <v>459</v>
      </c>
      <c r="F47" s="73" t="n">
        <v>411</v>
      </c>
      <c r="G47" s="73" t="n">
        <v>48</v>
      </c>
      <c r="H47" s="71" t="n">
        <v>2744.45</v>
      </c>
      <c r="J47" s="75" t="n">
        <v>0.1228370527521909</v>
      </c>
      <c r="K47" s="73" t="n">
        <v>7753</v>
      </c>
      <c r="L47" s="75" t="n">
        <v>0.05920288920417903</v>
      </c>
      <c r="M47" s="76" t="n">
        <v>48.67581699346405</v>
      </c>
      <c r="N47" s="73" t="n">
        <v>3</v>
      </c>
    </row>
    <row r="48">
      <c r="A48" s="70" t="inlineStr">
        <is>
          <t>December 2 - 31, 2025 (30d)</t>
        </is>
      </c>
      <c r="B48" s="68" t="n"/>
      <c r="C48" s="69" t="n"/>
      <c r="D48" s="71" t="n">
        <v>69318.8</v>
      </c>
      <c r="E48" s="73" t="n">
        <v>1125</v>
      </c>
      <c r="F48" s="73" t="n">
        <v>984</v>
      </c>
      <c r="G48" s="73" t="n">
        <v>141</v>
      </c>
      <c r="H48" s="71" t="n">
        <v>8916.02</v>
      </c>
      <c r="J48" s="75" t="n">
        <v>0.1286234037519403</v>
      </c>
      <c r="K48" s="73" t="n">
        <v>23974</v>
      </c>
      <c r="L48" s="75" t="n">
        <v>0.04692583632268291</v>
      </c>
      <c r="M48" s="76" t="n">
        <v>61.61671111111112</v>
      </c>
      <c r="N48" s="73" t="n">
        <v>38</v>
      </c>
    </row>
    <row r="49">
      <c r="A49" s="59" t="inlineStr">
        <is>
          <t>SellerBoard, Ecotero account, Amazon parent B0FTG1NNKG plus any of this product's child ASINs SellerBoard lists on their own, UTC days. Lift above uses these actual sales (3.39x; the ad-spend estimate was 3.39x).</t>
        </is>
      </c>
    </row>
    <row r="50" ht="18" customHeight="1">
      <c r="A50" s="77" t="inlineStr">
        <is>
          <t>Deals Nov 1 - Dec 5, 2025: no record returned by the DataHub promotions feed. Unknown, not proof that no deal ran.</t>
        </is>
      </c>
    </row>
    <row r="51" ht="30" customHeight="1">
      <c r="A51" s="105" t="inlineStr">
        <is>
          <t>Prime Exclusive Discount seen in Keepa, BFCM 2025 (not in the DataHub deal feed): B0F7M4Q2HQ $51.99 11-22 to 12-02 (5 separate spells). Keepa observation only - campaign, scheduled dates and discount depth not confirmed.</t>
        </is>
      </c>
    </row>
    <row r="52" ht="26" customHeight="1">
      <c r="A52" s="77" t="inlineStr">
        <is>
          <t>Stock in BFCM week 2025 (FBA inventory snapshots, child-ASIN level, revision 2): 0 of 15 variations hit zero FBA stock on at least one observed day; weighted by today's sales mix that is ~0.0% of variation-days lost. Snapshots missing: US Nov 26-27 and Dec 1 (Cyber Monday); CA Nov 24, 29-30.</t>
        </is>
      </c>
    </row>
    <row r="53">
      <c r="A53" s="59" t="inlineStr">
        <is>
          <t>Command Center visibility for our best child B0F7M4Q2HQ: organic score 15.4 before BFCM 2025 → 30.2 in BFCM week; Prime Day 2026 6.7 → 21.8; Aug-Sep 2026 37.8.</t>
        </is>
      </c>
    </row>
    <row r="55" ht="20" customHeight="1">
      <c r="A55" s="54" t="inlineStr">
        <is>
          <t>4 · COMPETITOR LANDSCAPE (18 mapped)</t>
        </is>
      </c>
    </row>
    <row r="56">
      <c r="A56" s="59" t="inlineStr">
        <is>
          <t>Sorted by tier, then estimated weekly units. Green = Command Center price/sales; blue = Data Dive listing; purple = Command Center search strategy (ASINsight); yellow = fill from Keepa / page check.</t>
        </is>
      </c>
    </row>
    <row r="57">
      <c r="A57" s="78" t="inlineStr">
        <is>
          <t>COMPETITOR</t>
        </is>
      </c>
      <c r="I57" s="79" t="inlineStr">
        <is>
          <t>LISTING - Data Dive</t>
        </is>
      </c>
      <c r="J57" s="80" t="inlineStr">
        <is>
          <t>SEARCH STRATEGY - Command Center ASINsight</t>
        </is>
      </c>
      <c r="K57" s="81" t="inlineStr">
        <is>
          <t>PRICE &amp; SALES - Command Center snapshot (date per row)</t>
        </is>
      </c>
      <c r="X57" s="79" t="inlineStr">
        <is>
          <t>LISTING - Data Dive</t>
        </is>
      </c>
      <c r="AA57" s="80" t="inlineStr">
        <is>
          <t>SEARCH STRATEGY - Command Center ASINsight</t>
        </is>
      </c>
      <c r="AR57" s="82" t="inlineStr">
        <is>
          <t>STR NOW - Amazon page check (Oct 13, P1 + P2)</t>
        </is>
      </c>
      <c r="AY57" s="83" t="inlineStr">
        <is>
          <t>BFCM 2025 - Keepa (P1 filled; yellow = not pulled yet)</t>
        </is>
      </c>
    </row>
    <row r="58" ht="48" customHeight="1">
      <c r="A58" s="22" t="inlineStr">
        <is>
          <t>Image</t>
        </is>
      </c>
      <c r="B58" s="22" t="inlineStr">
        <is>
          <t>Brand</t>
        </is>
      </c>
      <c r="C58" s="22" t="inlineStr">
        <is>
          <t>Product title</t>
        </is>
      </c>
      <c r="D58" s="22" t="inlineStr">
        <is>
          <t>Tier</t>
        </is>
      </c>
      <c r="E58" s="22" t="inlineStr">
        <is>
          <t>Parent ASIN</t>
        </is>
      </c>
      <c r="F58" s="22" t="inlineStr">
        <is>
          <t>Tracked child ASIN</t>
        </is>
      </c>
      <c r="G58" s="22" t="inlineStr">
        <is>
          <t>Size (title)</t>
        </is>
      </c>
      <c r="H58" s="22" t="inlineStr">
        <is>
          <t>Colour (title)</t>
        </is>
      </c>
      <c r="I58" s="22" t="inlineStr">
        <is>
          <t>Variations</t>
        </is>
      </c>
      <c r="J58" s="22" t="inlineStr">
        <is>
          <t>Hero child ASINs (share of their visibility)</t>
        </is>
      </c>
      <c r="K58" s="22" t="inlineStr">
        <is>
          <t>Price ($)</t>
        </is>
      </c>
      <c r="L58" s="22" t="inlineStr">
        <is>
          <t>List Price ($)</t>
        </is>
      </c>
      <c r="M58" s="22" t="inlineStr">
        <is>
          <t>List Price % over</t>
        </is>
      </c>
      <c r="N58" s="22" t="inlineStr">
        <is>
          <t>STR band</t>
        </is>
      </c>
      <c r="O58" s="22" t="inlineStr">
        <is>
          <t>Our price, same size ($)</t>
        </is>
      </c>
      <c r="P58" s="22" t="inlineStr">
        <is>
          <t>Their price vs ours</t>
        </is>
      </c>
      <c r="Q58" s="22" t="inlineStr">
        <is>
          <t>Comparison basis</t>
        </is>
      </c>
      <c r="R58" s="22" t="inlineStr">
        <is>
          <t>BSR</t>
        </is>
      </c>
      <c r="S58" s="22" t="inlineStr">
        <is>
          <t>Est weekly units</t>
        </is>
      </c>
      <c r="T58" s="22" t="inlineStr">
        <is>
          <t>Est monthly revenue ($)</t>
        </is>
      </c>
      <c r="U58" s="22" t="inlineStr">
        <is>
          <t>Rating</t>
        </is>
      </c>
      <c r="V58" s="22" t="inlineStr">
        <is>
          <t>Reviews</t>
        </is>
      </c>
      <c r="W58" s="22" t="inlineStr">
        <is>
          <t>Snapshot date</t>
        </is>
      </c>
      <c r="X58" s="22" t="inlineStr">
        <is>
          <t>Listed</t>
        </is>
      </c>
      <c r="Y58" s="22" t="inlineStr">
        <is>
          <t>Fulfil.</t>
        </is>
      </c>
      <c r="Z58" s="22" t="inlineStr">
        <is>
          <t>Seller country</t>
        </is>
      </c>
      <c r="AA58" s="22" t="inlineStr">
        <is>
          <t>ASINsight 7d traffic</t>
        </is>
      </c>
      <c r="AB58" s="22" t="inlineStr">
        <is>
          <t>Keywords ranked</t>
        </is>
      </c>
      <c r="AC58" s="22" t="inlineStr">
        <is>
          <t>Organic share of traffic</t>
        </is>
      </c>
      <c r="AD58" s="22" t="inlineStr">
        <is>
          <t>Ad share of traffic</t>
        </is>
      </c>
      <c r="AE58" s="22" t="inlineStr">
        <is>
          <t>Top keyword</t>
        </is>
      </c>
      <c r="AF58" s="22" t="inlineStr">
        <is>
          <t>SP reach</t>
        </is>
      </c>
      <c r="AG58" s="22" t="inlineStr">
        <is>
          <t>SB reach</t>
        </is>
      </c>
      <c r="AH58" s="22" t="inlineStr">
        <is>
          <t>SB video reach</t>
        </is>
      </c>
      <c r="AI58" s="22" t="inlineStr">
        <is>
          <t>Amazon's Choice reach</t>
        </is>
      </c>
      <c r="AJ58" s="22" t="inlineStr">
        <is>
          <t>Shared keywords</t>
        </is>
      </c>
      <c r="AK58" s="22" t="inlineStr">
        <is>
          <t>We win</t>
        </is>
      </c>
      <c r="AL58" s="22" t="inlineStr">
        <is>
          <t>We lose</t>
        </is>
      </c>
      <c r="AM58" s="22" t="inlineStr">
        <is>
          <t>Their keywords we miss</t>
        </is>
      </c>
      <c r="AN58" s="22" t="inlineStr">
        <is>
          <t>KWs they advertise, we don't</t>
        </is>
      </c>
      <c r="AO58" s="22" t="inlineStr">
        <is>
          <t>KWs they out-advertise us</t>
        </is>
      </c>
      <c r="AP58" s="22" t="inlineStr">
        <is>
          <t>Prime Day 2026 organic vis lift</t>
        </is>
      </c>
      <c r="AQ58" s="22" t="inlineStr">
        <is>
          <t>Organic trend (Aug-Sep vs Q2)</t>
        </is>
      </c>
      <c r="AR58" s="22" t="inlineStr">
        <is>
          <t>STR showing now? (Y/N)</t>
        </is>
      </c>
      <c r="AS58" s="22" t="inlineStr">
        <is>
          <t>STR label</t>
        </is>
      </c>
      <c r="AT58" s="22" t="inlineStr">
        <is>
          <t>Strikethrough price ($)</t>
        </is>
      </c>
      <c r="AU58" s="22" t="inlineStr">
        <is>
          <t>Page price at check ($)</t>
        </is>
      </c>
      <c r="AV58" s="22" t="inlineStr">
        <is>
          <t>Deal / coupon now</t>
        </is>
      </c>
      <c r="AW58" s="22" t="inlineStr">
        <is>
          <t>Orderable now (Y/N)</t>
        </is>
      </c>
      <c r="AX58" s="22" t="inlineStr">
        <is>
          <t>Checked (ET)</t>
        </is>
      </c>
      <c r="AY58" s="22" t="inlineStr">
        <is>
          <t>BFCM 2025 deal type</t>
        </is>
      </c>
      <c r="AZ58" s="22" t="inlineStr">
        <is>
          <t>BFCM 2025 deal dates</t>
        </is>
      </c>
      <c r="BA58" s="22" t="inlineStr">
        <is>
          <t>Pre-event price ($)</t>
        </is>
      </c>
      <c r="BB58" s="22" t="inlineStr">
        <is>
          <t>BFCM 2025 low ($)</t>
        </is>
      </c>
      <c r="BC58" s="22" t="inlineStr">
        <is>
          <t>BFCM 2025 discount</t>
        </is>
      </c>
      <c r="BD58" s="22" t="inlineStr">
        <is>
          <t>BSR pre-event</t>
        </is>
      </c>
      <c r="BE58" s="22" t="inlineStr">
        <is>
          <t>BSR BFCM wk</t>
        </is>
      </c>
      <c r="BF58" s="22" t="inlineStr">
        <is>
          <t>BSR lift (x)</t>
        </is>
      </c>
      <c r="BG58" s="22" t="inlineStr">
        <is>
          <t>OOS in BFCM? (Y/N)</t>
        </is>
      </c>
      <c r="BH58" s="22" t="inlineStr">
        <is>
          <t>Notes</t>
        </is>
      </c>
    </row>
    <row r="59" ht="62" customHeight="1">
      <c r="A59" s="39" t="inlineStr">
        <is>
          <t>IMAGE MISSING</t>
        </is>
      </c>
      <c r="B59" s="84" t="inlineStr">
        <is>
          <t>Cozy Bliss</t>
        </is>
      </c>
      <c r="C59" s="32" t="inlineStr">
        <is>
          <t>SL Cooling Comforter</t>
        </is>
      </c>
      <c r="D59" s="84" t="inlineStr">
        <is>
          <t>Aspirational</t>
        </is>
      </c>
      <c r="E59" s="84" t="inlineStr">
        <is>
          <t>B0BVQMYKYS</t>
        </is>
      </c>
      <c r="F59" s="84" t="inlineStr">
        <is>
          <t>B0BVQMB99W</t>
        </is>
      </c>
      <c r="G59" s="84" t="n"/>
      <c r="H59" s="84" t="n"/>
      <c r="I59" s="85" t="n">
        <v>26</v>
      </c>
      <c r="J59" s="32" t="inlineStr">
        <is>
          <t>B0CH8BK2PG (37%), B0BVQMB99W (36%), B0BVQQQQM6 (11%)</t>
        </is>
      </c>
      <c r="K59" s="86" t="n">
        <v>59.99</v>
      </c>
      <c r="L59" s="86" t="n">
        <v>79.98999999999999</v>
      </c>
      <c r="M59" s="87">
        <f>IF(AND(ISNUMBER(L59),ISNUMBER(K59),N(K59)&gt;0),L59/K59-1,"")</f>
        <v/>
      </c>
      <c r="N59" s="88">
        <f>IF(M59="","No List Price",IF(M59&lt;=0,"At/below price",IF(M59&lt;=0.12,"&lt;=12% STR zone",IF(M59&lt;=0.25,"12-25%","&gt;25% over"))))</f>
        <v/>
      </c>
      <c r="O59" s="86" t="n">
        <v>69.98999999999999</v>
      </c>
      <c r="P59" s="89">
        <f>IF(AND(ISNUMBER(K59),ISNUMBER(O59),N(O59)&gt;0),K59/O59-1,"")</f>
        <v/>
      </c>
      <c r="Q59" s="32" t="inlineStr">
        <is>
          <t>Size not stated - vs our Queen. Ours live: Helium 10 Xray, 2026-10-13; 5 children</t>
        </is>
      </c>
      <c r="R59" s="85" t="n">
        <v>7806</v>
      </c>
      <c r="S59" s="85" t="n">
        <v>104</v>
      </c>
      <c r="T59" s="90">
        <f>IF(AND(ISNUMBER(K59),ISNUMBER(S59)),K59*S59*52/12,"")</f>
        <v/>
      </c>
      <c r="U59" s="91" t="n">
        <v>4.5</v>
      </c>
      <c r="V59" s="85" t="n">
        <v>2707</v>
      </c>
      <c r="W59" s="92" t="n">
        <v>46307</v>
      </c>
      <c r="X59" s="92" t="n"/>
      <c r="Y59" s="84" t="n"/>
      <c r="Z59" s="84" t="n"/>
      <c r="AA59" s="85" t="n">
        <v>338464</v>
      </c>
      <c r="AB59" s="85" t="n">
        <v>2185</v>
      </c>
      <c r="AC59" s="93" t="n">
        <v>0.6728438451356722</v>
      </c>
      <c r="AD59" s="93" t="n">
        <v>0.3271561832277584</v>
      </c>
      <c r="AE59" s="32" t="inlineStr">
        <is>
          <t>cooling blanket</t>
        </is>
      </c>
      <c r="AF59" s="93" t="n">
        <v>0.9430485960102108</v>
      </c>
      <c r="AG59" s="93" t="n"/>
      <c r="AH59" s="93" t="n">
        <v>0.881334499385459</v>
      </c>
      <c r="AI59" s="93" t="n">
        <v>0.166005838139359</v>
      </c>
      <c r="AJ59" s="85" t="n">
        <v>252</v>
      </c>
      <c r="AK59" s="85" t="n">
        <v>13</v>
      </c>
      <c r="AL59" s="85" t="n">
        <v>225</v>
      </c>
      <c r="AM59" s="85" t="n">
        <v>1933</v>
      </c>
      <c r="AN59" s="85" t="n">
        <v>819</v>
      </c>
      <c r="AO59" s="85" t="n">
        <v>6</v>
      </c>
      <c r="AP59" s="94" t="n">
        <v>0.4224883566200932</v>
      </c>
      <c r="AQ59" s="89" t="n">
        <v>-0.3379554982263786</v>
      </c>
      <c r="AR59" s="95" t="inlineStr">
        <is>
          <t>Y</t>
        </is>
      </c>
      <c r="AS59" s="95" t="inlineStr">
        <is>
          <t>List Price</t>
        </is>
      </c>
      <c r="AT59" s="96" t="n">
        <v>79.98999999999999</v>
      </c>
      <c r="AU59" s="96" t="n">
        <v>59.99</v>
      </c>
      <c r="AV59" s="95" t="inlineStr">
        <is>
          <t>none</t>
        </is>
      </c>
      <c r="AW59" s="95" t="inlineStr">
        <is>
          <t>Y</t>
        </is>
      </c>
      <c r="AX59" s="95" t="inlineStr">
        <is>
          <t>2026-10-13 23:38:12</t>
        </is>
      </c>
      <c r="AY59" s="97" t="inlineStr">
        <is>
          <t>Prime Exclusive Discount</t>
        </is>
      </c>
      <c r="AZ59" s="97" t="inlineStr">
        <is>
          <t>11-01 to 12-05</t>
        </is>
      </c>
      <c r="BA59" s="98" t="n">
        <v>49.09</v>
      </c>
      <c r="BB59" s="98" t="n">
        <v>46.63</v>
      </c>
      <c r="BC59" s="87">
        <f>IF(AND(ISNUMBER(BA59),ISNUMBER(BB59),N(BA59)&gt;0),1-BB59/BA59,"")</f>
        <v/>
      </c>
      <c r="BD59" s="99" t="n">
        <v>7052</v>
      </c>
      <c r="BE59" s="99" t="n">
        <v>6704</v>
      </c>
      <c r="BF59" s="100">
        <f>IF(AND(ISNUMBER(BD59),ISNUMBER(BE59),N(BE59)&gt;0),BD59/BE59,"")</f>
        <v/>
      </c>
      <c r="BG59" s="97" t="inlineStr">
        <is>
          <t>N</t>
        </is>
      </c>
      <c r="BH59" s="97" t="inlineStr">
        <is>
          <t>Prime Exclusive already running before BFCM week; Buy Box RAISED in BFCM week (median $68.99 vs $49.09 before); List Price $84.99</t>
        </is>
      </c>
    </row>
    <row r="60" ht="62" customHeight="1">
      <c r="A60" s="39" t="inlineStr">
        <is>
          <t>IMAGE MISSING</t>
        </is>
      </c>
      <c r="B60" s="84" t="inlineStr">
        <is>
          <t>REST</t>
        </is>
      </c>
      <c r="C60" s="32" t="inlineStr">
        <is>
          <t>SL Cooling Comforter</t>
        </is>
      </c>
      <c r="D60" s="84" t="inlineStr">
        <is>
          <t>Beatable</t>
        </is>
      </c>
      <c r="E60" s="84" t="inlineStr">
        <is>
          <t>B0B5TLCZ4X</t>
        </is>
      </c>
      <c r="F60" s="84" t="inlineStr">
        <is>
          <t>B0B5TG8ZVW</t>
        </is>
      </c>
      <c r="G60" s="84" t="n"/>
      <c r="H60" s="84" t="n"/>
      <c r="I60" s="85" t="n">
        <v>18</v>
      </c>
      <c r="J60" s="32" t="inlineStr">
        <is>
          <t>B0B5TG8ZVW (13%), B0B5THLW19 (11%), B0CMTR1KLG (7%), B09X2WT2P7 (7%), B09X2WNLMM (7%)</t>
        </is>
      </c>
      <c r="K60" s="86" t="n">
        <v>186.75</v>
      </c>
      <c r="L60" s="86" t="n">
        <v>249</v>
      </c>
      <c r="M60" s="87">
        <f>IF(AND(ISNUMBER(L60),ISNUMBER(K60),N(K60)&gt;0),L60/K60-1,"")</f>
        <v/>
      </c>
      <c r="N60" s="88">
        <f>IF(M60="","No List Price",IF(M60&lt;=0,"At/below price",IF(M60&lt;=0.12,"&lt;=12% STR zone",IF(M60&lt;=0.25,"12-25%","&gt;25% over"))))</f>
        <v/>
      </c>
      <c r="O60" s="86" t="n">
        <v>69.98999999999999</v>
      </c>
      <c r="P60" s="89">
        <f>IF(AND(ISNUMBER(K60),ISNUMBER(O60),N(O60)&gt;0),K60/O60-1,"")</f>
        <v/>
      </c>
      <c r="Q60" s="32" t="inlineStr">
        <is>
          <t>Size not stated - vs our Queen. Ours live: Helium 10 Xray, 2026-10-13; 5 children</t>
        </is>
      </c>
      <c r="R60" s="85" t="n">
        <v>2263</v>
      </c>
      <c r="S60" s="85" t="n">
        <v>220</v>
      </c>
      <c r="T60" s="90">
        <f>IF(AND(ISNUMBER(K60),ISNUMBER(S60)),K60*S60*52/12,"")</f>
        <v/>
      </c>
      <c r="U60" s="91" t="n">
        <v>4.3</v>
      </c>
      <c r="V60" s="85" t="n">
        <v>4110</v>
      </c>
      <c r="W60" s="92" t="n">
        <v>46307</v>
      </c>
      <c r="X60" s="92" t="n"/>
      <c r="Y60" s="84" t="n"/>
      <c r="Z60" s="84" t="n"/>
      <c r="AA60" s="85" t="n">
        <v>1443297</v>
      </c>
      <c r="AB60" s="85" t="n">
        <v>7962</v>
      </c>
      <c r="AC60" s="93" t="n">
        <v>0.3077375513148022</v>
      </c>
      <c r="AD60" s="93" t="n">
        <v>0.6922624553366351</v>
      </c>
      <c r="AE60" s="32" t="inlineStr">
        <is>
          <t>cooling blanket</t>
        </is>
      </c>
      <c r="AF60" s="93" t="n">
        <v>0.861086110481765</v>
      </c>
      <c r="AG60" s="93" t="n">
        <v>0.9551367459365605</v>
      </c>
      <c r="AH60" s="93" t="n">
        <v>0.730965975817867</v>
      </c>
      <c r="AI60" s="93" t="n">
        <v>0.05441153137573209</v>
      </c>
      <c r="AJ60" s="85" t="n">
        <v>288</v>
      </c>
      <c r="AK60" s="85" t="n">
        <v>7</v>
      </c>
      <c r="AL60" s="85" t="n">
        <v>254</v>
      </c>
      <c r="AM60" s="85" t="n">
        <v>7674</v>
      </c>
      <c r="AN60" s="85" t="n">
        <v>2643</v>
      </c>
      <c r="AO60" s="85" t="n">
        <v>11</v>
      </c>
      <c r="AP60" s="94" t="n">
        <v>1.413290113452188</v>
      </c>
      <c r="AQ60" s="89" t="n">
        <v>-0.0784577018990984</v>
      </c>
      <c r="AR60" s="95" t="inlineStr">
        <is>
          <t>Y</t>
        </is>
      </c>
      <c r="AS60" s="95" t="inlineStr">
        <is>
          <t>List Price</t>
        </is>
      </c>
      <c r="AT60" s="96" t="n">
        <v>249</v>
      </c>
      <c r="AU60" s="96" t="n">
        <v>186.75</v>
      </c>
      <c r="AV60" s="95" t="inlineStr">
        <is>
          <t>none</t>
        </is>
      </c>
      <c r="AW60" s="95" t="inlineStr">
        <is>
          <t>Y</t>
        </is>
      </c>
      <c r="AX60" s="95" t="inlineStr">
        <is>
          <t>2026-10-13 23:39:07</t>
        </is>
      </c>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39" t="inlineStr">
        <is>
          <t>IMAGE MISSING</t>
        </is>
      </c>
      <c r="B61" s="84" t="inlineStr">
        <is>
          <t>Bedsure</t>
        </is>
      </c>
      <c r="C61" s="32" t="inlineStr">
        <is>
          <t>Cooling Comforter</t>
        </is>
      </c>
      <c r="D61" s="84" t="inlineStr">
        <is>
          <t>Beatable</t>
        </is>
      </c>
      <c r="E61" s="84" t="inlineStr">
        <is>
          <t>B0G3WWQ7DL</t>
        </is>
      </c>
      <c r="F61" s="84" t="inlineStr">
        <is>
          <t>B0G3W85TSH</t>
        </is>
      </c>
      <c r="G61" s="84" t="n"/>
      <c r="H61" s="84" t="n"/>
      <c r="I61" s="85" t="n">
        <v>6</v>
      </c>
      <c r="J61" s="32" t="inlineStr">
        <is>
          <t>B0G3W85TSH (89%)</t>
        </is>
      </c>
      <c r="K61" s="86" t="n">
        <v>44.99</v>
      </c>
      <c r="L61" s="86" t="n">
        <v>59.99</v>
      </c>
      <c r="M61" s="87">
        <f>IF(AND(ISNUMBER(L61),ISNUMBER(K61),N(K61)&gt;0),L61/K61-1,"")</f>
        <v/>
      </c>
      <c r="N61" s="88">
        <f>IF(M61="","No List Price",IF(M61&lt;=0,"At/below price",IF(M61&lt;=0.12,"&lt;=12% STR zone",IF(M61&lt;=0.25,"12-25%","&gt;25% over"))))</f>
        <v/>
      </c>
      <c r="O61" s="86" t="n">
        <v>69.98999999999999</v>
      </c>
      <c r="P61" s="89">
        <f>IF(AND(ISNUMBER(K61),ISNUMBER(O61),N(O61)&gt;0),K61/O61-1,"")</f>
        <v/>
      </c>
      <c r="Q61" s="32" t="inlineStr">
        <is>
          <t>Size not stated - vs our Queen. Ours live: Helium 10 Xray, 2026-10-13; 5 children</t>
        </is>
      </c>
      <c r="R61" s="85" t="n">
        <v>58503</v>
      </c>
      <c r="S61" s="85" t="n">
        <v>185</v>
      </c>
      <c r="T61" s="90">
        <f>IF(AND(ISNUMBER(K61),ISNUMBER(S61)),K61*S61*52/12,"")</f>
        <v/>
      </c>
      <c r="U61" s="91" t="n">
        <v>4.5</v>
      </c>
      <c r="V61" s="85" t="n">
        <v>142</v>
      </c>
      <c r="W61" s="92" t="n">
        <v>46307</v>
      </c>
      <c r="X61" s="92" t="n"/>
      <c r="Y61" s="84" t="n"/>
      <c r="Z61" s="84" t="n"/>
      <c r="AA61" s="85" t="n">
        <v>68067</v>
      </c>
      <c r="AB61" s="85" t="n">
        <v>948</v>
      </c>
      <c r="AC61" s="93" t="n">
        <v>0.4309867248446382</v>
      </c>
      <c r="AD61" s="93" t="n">
        <v>0.5690132751553616</v>
      </c>
      <c r="AE61" s="32" t="inlineStr">
        <is>
          <t>cooling comforter</t>
        </is>
      </c>
      <c r="AF61" s="93" t="n">
        <v>0.8533650667724448</v>
      </c>
      <c r="AG61" s="93" t="n">
        <v>0.708390262535443</v>
      </c>
      <c r="AH61" s="93" t="n">
        <v>0.6444532592886421</v>
      </c>
      <c r="AI61" s="93" t="n"/>
      <c r="AJ61" s="85" t="n">
        <v>208</v>
      </c>
      <c r="AK61" s="85" t="n">
        <v>30</v>
      </c>
      <c r="AL61" s="85" t="n">
        <v>147</v>
      </c>
      <c r="AM61" s="85" t="n">
        <v>740</v>
      </c>
      <c r="AN61" s="85" t="n">
        <v>118</v>
      </c>
      <c r="AO61" s="85" t="n">
        <v>8</v>
      </c>
      <c r="AP61" s="94" t="n">
        <v>1.660633484162896</v>
      </c>
      <c r="AQ61" s="89" t="n">
        <v>1.731751824817518</v>
      </c>
      <c r="AR61" s="95" t="inlineStr">
        <is>
          <t>Y</t>
        </is>
      </c>
      <c r="AS61" s="95" t="inlineStr">
        <is>
          <t>List Price</t>
        </is>
      </c>
      <c r="AT61" s="96" t="n">
        <v>59.99</v>
      </c>
      <c r="AU61" s="96" t="n">
        <v>44.99</v>
      </c>
      <c r="AV61" s="95" t="inlineStr">
        <is>
          <t>Limited time deal</t>
        </is>
      </c>
      <c r="AW61" s="95" t="inlineStr">
        <is>
          <t>Y</t>
        </is>
      </c>
      <c r="AX61" s="95" t="inlineStr">
        <is>
          <t>2026-10-13 23:37:22</t>
        </is>
      </c>
      <c r="AY61" s="97" t="inlineStr">
        <is>
          <t>Not live in 2025</t>
        </is>
      </c>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39" t="inlineStr">
        <is>
          <t>IMAGE MISSING</t>
        </is>
      </c>
      <c r="B62" s="84" t="inlineStr">
        <is>
          <t>HOMFINE</t>
        </is>
      </c>
      <c r="C62" s="32" t="inlineStr">
        <is>
          <t>Cooling Comforter</t>
        </is>
      </c>
      <c r="D62" s="84" t="inlineStr">
        <is>
          <t>Beatable</t>
        </is>
      </c>
      <c r="E62" s="84" t="inlineStr">
        <is>
          <t>B0BNT8CPJF</t>
        </is>
      </c>
      <c r="F62" s="84" t="inlineStr">
        <is>
          <t>B0C3RB67HV</t>
        </is>
      </c>
      <c r="G62" s="84" t="n"/>
      <c r="H62" s="84" t="n"/>
      <c r="I62" s="85" t="n">
        <v>17</v>
      </c>
      <c r="J62" s="32" t="inlineStr">
        <is>
          <t>B0C3RB67HV (69%), B0G1BFGHM2 (14%)</t>
        </is>
      </c>
      <c r="K62" s="86" t="n">
        <v>51.99</v>
      </c>
      <c r="L62" s="86" t="n"/>
      <c r="M62" s="87">
        <f>IF(AND(ISNUMBER(L62),ISNUMBER(K62),N(K62)&gt;0),L62/K62-1,"")</f>
        <v/>
      </c>
      <c r="N62" s="88">
        <f>IF(M62="","No List Price",IF(M62&lt;=0,"At/below price",IF(M62&lt;=0.12,"&lt;=12% STR zone",IF(M62&lt;=0.25,"12-25%","&gt;25% over"))))</f>
        <v/>
      </c>
      <c r="O62" s="86" t="n">
        <v>69.98999999999999</v>
      </c>
      <c r="P62" s="89">
        <f>IF(AND(ISNUMBER(K62),ISNUMBER(O62),N(O62)&gt;0),K62/O62-1,"")</f>
        <v/>
      </c>
      <c r="Q62" s="32" t="inlineStr">
        <is>
          <t>Size not stated - vs our Queen. Ours live: Helium 10 Xray, 2026-10-13; 5 children</t>
        </is>
      </c>
      <c r="R62" s="85" t="n">
        <v>15665</v>
      </c>
      <c r="S62" s="85" t="n">
        <v>185</v>
      </c>
      <c r="T62" s="90">
        <f>IF(AND(ISNUMBER(K62),ISNUMBER(S62)),K62*S62*52/12,"")</f>
        <v/>
      </c>
      <c r="U62" s="91" t="n">
        <v>4.5</v>
      </c>
      <c r="V62" s="85" t="n">
        <v>1560</v>
      </c>
      <c r="W62" s="92" t="n">
        <v>46307</v>
      </c>
      <c r="X62" s="92" t="n"/>
      <c r="Y62" s="84" t="n"/>
      <c r="Z62" s="84" t="n"/>
      <c r="AA62" s="85" t="n">
        <v>273765</v>
      </c>
      <c r="AB62" s="85" t="n">
        <v>1624</v>
      </c>
      <c r="AC62" s="93" t="n">
        <v>0.4184264584588973</v>
      </c>
      <c r="AD62" s="93" t="n">
        <v>0.5815735415411022</v>
      </c>
      <c r="AE62" s="32" t="inlineStr">
        <is>
          <t>cooling blanket</t>
        </is>
      </c>
      <c r="AF62" s="93" t="n">
        <v>0.9619783390864427</v>
      </c>
      <c r="AG62" s="93" t="n">
        <v>0.7293846912497945</v>
      </c>
      <c r="AH62" s="93" t="n">
        <v>0.6641097291472613</v>
      </c>
      <c r="AI62" s="93" t="n">
        <v>0.03137362336310339</v>
      </c>
      <c r="AJ62" s="85" t="n">
        <v>236</v>
      </c>
      <c r="AK62" s="85" t="n">
        <v>26</v>
      </c>
      <c r="AL62" s="85" t="n">
        <v>184</v>
      </c>
      <c r="AM62" s="85" t="n">
        <v>1388</v>
      </c>
      <c r="AN62" s="85" t="n">
        <v>461</v>
      </c>
      <c r="AO62" s="85" t="n">
        <v>8</v>
      </c>
      <c r="AP62" s="94" t="n">
        <v>1.540563459907661</v>
      </c>
      <c r="AQ62" s="89" t="n">
        <v>-0.1668729008308291</v>
      </c>
      <c r="AR62" s="95" t="inlineStr">
        <is>
          <t>N</t>
        </is>
      </c>
      <c r="AS62" s="95" t="inlineStr">
        <is>
          <t>none</t>
        </is>
      </c>
      <c r="AT62" s="101" t="n"/>
      <c r="AU62" s="96" t="n">
        <v>51.99</v>
      </c>
      <c r="AV62" s="95" t="inlineStr">
        <is>
          <t>none</t>
        </is>
      </c>
      <c r="AW62" s="95" t="inlineStr">
        <is>
          <t>Y</t>
        </is>
      </c>
      <c r="AX62" s="95" t="inlineStr">
        <is>
          <t>2026-10-13 23:38:43</t>
        </is>
      </c>
      <c r="AY62" s="102" t="n"/>
      <c r="AZ62" s="102" t="n"/>
      <c r="BA62" s="101" t="n"/>
      <c r="BB62" s="101" t="n"/>
      <c r="BC62" s="87">
        <f>IF(AND(ISNUMBER(BA62),ISNUMBER(BB62),N(BA62)&gt;0),1-BB62/BA62,"")</f>
        <v/>
      </c>
      <c r="BD62" s="103" t="n"/>
      <c r="BE62" s="103" t="n"/>
      <c r="BF62" s="100">
        <f>IF(AND(ISNUMBER(BD62),ISNUMBER(BE62),N(BE62)&gt;0),BD62/BE62,"")</f>
        <v/>
      </c>
      <c r="BG62" s="102" t="n"/>
      <c r="BH62" s="102" t="n"/>
    </row>
    <row r="63" ht="62" customHeight="1">
      <c r="A63" s="39" t="inlineStr">
        <is>
          <t>IMAGE MISSING</t>
        </is>
      </c>
      <c r="B63" s="84" t="inlineStr">
        <is>
          <t>bedsmile</t>
        </is>
      </c>
      <c r="C63" s="32" t="inlineStr">
        <is>
          <t>SL Cooling Comforter</t>
        </is>
      </c>
      <c r="D63" s="84" t="inlineStr">
        <is>
          <t>Beatable</t>
        </is>
      </c>
      <c r="E63" s="84" t="inlineStr">
        <is>
          <t>B0DWNGWXVQ</t>
        </is>
      </c>
      <c r="F63" s="84" t="inlineStr">
        <is>
          <t>B0DWNFHNXL</t>
        </is>
      </c>
      <c r="G63" s="84" t="n"/>
      <c r="H63" s="84" t="n"/>
      <c r="I63" s="85" t="n">
        <v>19</v>
      </c>
      <c r="J63" s="32" t="inlineStr">
        <is>
          <t>B0DWNFHNXL (66%), B0DWNHX37J (13%), B0DWNHXMS8 (6%)</t>
        </is>
      </c>
      <c r="K63" s="86" t="n">
        <v>44.99</v>
      </c>
      <c r="L63" s="86" t="n"/>
      <c r="M63" s="87">
        <f>IF(AND(ISNUMBER(L63),ISNUMBER(K63),N(K63)&gt;0),L63/K63-1,"")</f>
        <v/>
      </c>
      <c r="N63" s="88">
        <f>IF(M63="","No List Price",IF(M63&lt;=0,"At/below price",IF(M63&lt;=0.12,"&lt;=12% STR zone",IF(M63&lt;=0.25,"12-25%","&gt;25% over"))))</f>
        <v/>
      </c>
      <c r="O63" s="86" t="n">
        <v>69.98999999999999</v>
      </c>
      <c r="P63" s="89">
        <f>IF(AND(ISNUMBER(K63),ISNUMBER(O63),N(O63)&gt;0),K63/O63-1,"")</f>
        <v/>
      </c>
      <c r="Q63" s="32" t="inlineStr">
        <is>
          <t>Size not stated - vs our Queen. Ours live: Helium 10 Xray, 2026-10-13; 5 children</t>
        </is>
      </c>
      <c r="R63" s="85" t="n">
        <v>25690</v>
      </c>
      <c r="S63" s="85" t="n">
        <v>92</v>
      </c>
      <c r="T63" s="90">
        <f>IF(AND(ISNUMBER(K63),ISNUMBER(S63)),K63*S63*52/12,"")</f>
        <v/>
      </c>
      <c r="U63" s="91" t="n">
        <v>4.3</v>
      </c>
      <c r="V63" s="85" t="n">
        <v>741</v>
      </c>
      <c r="W63" s="92" t="n">
        <v>46307</v>
      </c>
      <c r="X63" s="92" t="n"/>
      <c r="Y63" s="84" t="n"/>
      <c r="Z63" s="84" t="n"/>
      <c r="AA63" s="85" t="n">
        <v>150494</v>
      </c>
      <c r="AB63" s="85" t="n">
        <v>1199</v>
      </c>
      <c r="AC63" s="93" t="n">
        <v>0.7684716287692533</v>
      </c>
      <c r="AD63" s="93" t="n">
        <v>0.2315283712307469</v>
      </c>
      <c r="AE63" s="32" t="inlineStr">
        <is>
          <t>cooling blanket</t>
        </is>
      </c>
      <c r="AF63" s="93" t="n">
        <v>0.9441572421491887</v>
      </c>
      <c r="AG63" s="93" t="n"/>
      <c r="AH63" s="93" t="n">
        <v>0.3917166132869084</v>
      </c>
      <c r="AI63" s="93" t="n">
        <v>0.003847329461639667</v>
      </c>
      <c r="AJ63" s="85" t="n">
        <v>215</v>
      </c>
      <c r="AK63" s="85" t="n">
        <v>15</v>
      </c>
      <c r="AL63" s="85" t="n">
        <v>190</v>
      </c>
      <c r="AM63" s="85" t="n">
        <v>984</v>
      </c>
      <c r="AN63" s="85" t="n">
        <v>309</v>
      </c>
      <c r="AO63" s="85" t="n">
        <v>3</v>
      </c>
      <c r="AP63" s="94" t="n"/>
      <c r="AQ63" s="89" t="n"/>
      <c r="AR63" s="95" t="inlineStr">
        <is>
          <t>Y</t>
        </is>
      </c>
      <c r="AS63" s="95" t="inlineStr">
        <is>
          <t>List Price</t>
        </is>
      </c>
      <c r="AT63" s="96" t="n">
        <v>59.99</v>
      </c>
      <c r="AU63" s="96" t="n">
        <v>44.99</v>
      </c>
      <c r="AV63" s="95" t="inlineStr">
        <is>
          <t>none</t>
        </is>
      </c>
      <c r="AW63" s="95" t="inlineStr">
        <is>
          <t>Y</t>
        </is>
      </c>
      <c r="AX63" s="95" t="inlineStr">
        <is>
          <t>2026-10-13 23:39:26</t>
        </is>
      </c>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39" t="inlineStr">
        <is>
          <t>IMAGE MISSING</t>
        </is>
      </c>
      <c r="B64" s="84" t="inlineStr">
        <is>
          <t>Cozy Bliss</t>
        </is>
      </c>
      <c r="C64" s="32" t="inlineStr">
        <is>
          <t>SL  Cooling Comforter</t>
        </is>
      </c>
      <c r="D64" s="84" t="inlineStr">
        <is>
          <t>Beatable</t>
        </is>
      </c>
      <c r="E64" s="84" t="inlineStr">
        <is>
          <t>B0DVSHCVND</t>
        </is>
      </c>
      <c r="F64" s="84" t="inlineStr">
        <is>
          <t>B0DMCWVMVH</t>
        </is>
      </c>
      <c r="G64" s="84" t="n"/>
      <c r="H64" s="84" t="n"/>
      <c r="I64" s="85" t="n">
        <v>14</v>
      </c>
      <c r="J64" s="32" t="inlineStr">
        <is>
          <t>B0DMCKB3Z8 (55%), B0DMCDH3N3 (18%), B0DMCWVMVH (14%)</t>
        </is>
      </c>
      <c r="K64" s="86" t="n">
        <v>49.99</v>
      </c>
      <c r="L64" s="86" t="n"/>
      <c r="M64" s="87">
        <f>IF(AND(ISNUMBER(L64),ISNUMBER(K64),N(K64)&gt;0),L64/K64-1,"")</f>
        <v/>
      </c>
      <c r="N64" s="88">
        <f>IF(M64="","No List Price",IF(M64&lt;=0,"At/below price",IF(M64&lt;=0.12,"&lt;=12% STR zone",IF(M64&lt;=0.25,"12-25%","&gt;25% over"))))</f>
        <v/>
      </c>
      <c r="O64" s="86" t="n">
        <v>69.98999999999999</v>
      </c>
      <c r="P64" s="89">
        <f>IF(AND(ISNUMBER(K64),ISNUMBER(O64),N(O64)&gt;0),K64/O64-1,"")</f>
        <v/>
      </c>
      <c r="Q64" s="32" t="inlineStr">
        <is>
          <t>Size not stated - vs our Queen. Ours live: Helium 10 Xray, 2026-10-13; 5 children</t>
        </is>
      </c>
      <c r="R64" s="85" t="n">
        <v>69052</v>
      </c>
      <c r="S64" s="85" t="n">
        <v>81</v>
      </c>
      <c r="T64" s="90">
        <f>IF(AND(ISNUMBER(K64),ISNUMBER(S64)),K64*S64*52/12,"")</f>
        <v/>
      </c>
      <c r="U64" s="91" t="n">
        <v>4.5</v>
      </c>
      <c r="V64" s="85" t="n">
        <v>442</v>
      </c>
      <c r="W64" s="92" t="n">
        <v>46307</v>
      </c>
      <c r="X64" s="92" t="n"/>
      <c r="Y64" s="84" t="n"/>
      <c r="Z64" s="84" t="n"/>
      <c r="AA64" s="85" t="n">
        <v>80120</v>
      </c>
      <c r="AB64" s="85" t="n">
        <v>895</v>
      </c>
      <c r="AC64" s="93" t="n">
        <v>0.4955746293060403</v>
      </c>
      <c r="AD64" s="93" t="n">
        <v>0.5044254106340494</v>
      </c>
      <c r="AE64" s="32" t="inlineStr">
        <is>
          <t>cooling blanket</t>
        </is>
      </c>
      <c r="AF64" s="93" t="n">
        <v>0.8833000499251124</v>
      </c>
      <c r="AG64" s="93" t="n">
        <v>0.458736894658013</v>
      </c>
      <c r="AH64" s="93" t="n">
        <v>0.7495631552670994</v>
      </c>
      <c r="AI64" s="93" t="n">
        <v>0.01394158761857214</v>
      </c>
      <c r="AJ64" s="85" t="n">
        <v>210</v>
      </c>
      <c r="AK64" s="85" t="n">
        <v>32</v>
      </c>
      <c r="AL64" s="85" t="n">
        <v>155</v>
      </c>
      <c r="AM64" s="85" t="n">
        <v>685</v>
      </c>
      <c r="AN64" s="85" t="n">
        <v>292</v>
      </c>
      <c r="AO64" s="85" t="n">
        <v>7</v>
      </c>
      <c r="AP64" s="94" t="n"/>
      <c r="AQ64" s="89" t="n">
        <v>0.08771929824561409</v>
      </c>
      <c r="AR64" s="95" t="inlineStr">
        <is>
          <t>Y</t>
        </is>
      </c>
      <c r="AS64" s="95" t="inlineStr">
        <is>
          <t>Typical price</t>
        </is>
      </c>
      <c r="AT64" s="96" t="n">
        <v>69.98999999999999</v>
      </c>
      <c r="AU64" s="96" t="n">
        <v>49.99</v>
      </c>
      <c r="AV64" s="95" t="inlineStr">
        <is>
          <t>none</t>
        </is>
      </c>
      <c r="AW64" s="95" t="inlineStr">
        <is>
          <t>Y</t>
        </is>
      </c>
      <c r="AX64" s="95" t="inlineStr">
        <is>
          <t>2026-10-13 23:38:15</t>
        </is>
      </c>
      <c r="AY64" s="97" t="inlineStr">
        <is>
          <t>Price cut only</t>
        </is>
      </c>
      <c r="AZ64" s="97" t="inlineStr">
        <is>
          <t>11-20 to 12-01</t>
        </is>
      </c>
      <c r="BA64" s="98" t="n">
        <v>49.99</v>
      </c>
      <c r="BB64" s="98" t="n">
        <v>47.49</v>
      </c>
      <c r="BC64" s="87">
        <f>IF(AND(ISNUMBER(BA64),ISNUMBER(BB64),N(BA64)&gt;0),1-BB64/BA64,"")</f>
        <v/>
      </c>
      <c r="BD64" s="99" t="n">
        <v>82174</v>
      </c>
      <c r="BE64" s="99" t="n">
        <v>30785</v>
      </c>
      <c r="BF64" s="100">
        <f>IF(AND(ISNUMBER(BD64),ISNUMBER(BE64),N(BE64)&gt;0),BD64/BE64,"")</f>
        <v/>
      </c>
      <c r="BG64" s="97" t="inlineStr">
        <is>
          <t>N</t>
        </is>
      </c>
      <c r="BH64" s="97" t="inlineStr">
        <is>
          <t>Prime Exclusive 11-01 to 11-19; Lightning Deal 11-09 to 11-15; Prime Exclusive already running before BFCM week; List Price $99.99</t>
        </is>
      </c>
    </row>
    <row r="65" ht="62" customHeight="1">
      <c r="A65" s="39" t="inlineStr">
        <is>
          <t>IMAGE MISSING</t>
        </is>
      </c>
      <c r="B65" s="84" t="inlineStr">
        <is>
          <t>EASELAND</t>
        </is>
      </c>
      <c r="C65" s="32" t="inlineStr">
        <is>
          <t>SL Cooling Comforter</t>
        </is>
      </c>
      <c r="D65" s="84" t="inlineStr">
        <is>
          <t>Beatable</t>
        </is>
      </c>
      <c r="E65" s="84" t="inlineStr">
        <is>
          <t>B0BQ6XYWKB</t>
        </is>
      </c>
      <c r="F65" s="84" t="inlineStr">
        <is>
          <t>B0BQ6YY21S</t>
        </is>
      </c>
      <c r="G65" s="84" t="n"/>
      <c r="H65" s="84" t="n"/>
      <c r="I65" s="85" t="n">
        <v>9</v>
      </c>
      <c r="J65" s="32" t="inlineStr">
        <is>
          <t>B0BQ6YY21S (53%), B0BQ6ZKNS2 (40%)</t>
        </is>
      </c>
      <c r="K65" s="86" t="n">
        <v>48.9</v>
      </c>
      <c r="L65" s="86" t="n"/>
      <c r="M65" s="87">
        <f>IF(AND(ISNUMBER(L65),ISNUMBER(K65),N(K65)&gt;0),L65/K65-1,"")</f>
        <v/>
      </c>
      <c r="N65" s="88">
        <f>IF(M65="","No List Price",IF(M65&lt;=0,"At/below price",IF(M65&lt;=0.12,"&lt;=12% STR zone",IF(M65&lt;=0.25,"12-25%","&gt;25% over"))))</f>
        <v/>
      </c>
      <c r="O65" s="86" t="n">
        <v>69.98999999999999</v>
      </c>
      <c r="P65" s="89">
        <f>IF(AND(ISNUMBER(K65),ISNUMBER(O65),N(O65)&gt;0),K65/O65-1,"")</f>
        <v/>
      </c>
      <c r="Q65" s="32" t="inlineStr">
        <is>
          <t>Size not stated - vs our Queen. Ours live: Helium 10 Xray, 2026-10-13; 5 children</t>
        </is>
      </c>
      <c r="R65" s="85" t="n">
        <v>33756</v>
      </c>
      <c r="S65" s="85" t="n">
        <v>81</v>
      </c>
      <c r="T65" s="90">
        <f>IF(AND(ISNUMBER(K65),ISNUMBER(S65)),K65*S65*52/12,"")</f>
        <v/>
      </c>
      <c r="U65" s="91" t="n">
        <v>4.4</v>
      </c>
      <c r="V65" s="85" t="n">
        <v>1093</v>
      </c>
      <c r="W65" s="92" t="n">
        <v>46307</v>
      </c>
      <c r="X65" s="92" t="n"/>
      <c r="Y65" s="84" t="n"/>
      <c r="Z65" s="84" t="n"/>
      <c r="AA65" s="85" t="n">
        <v>110161</v>
      </c>
      <c r="AB65" s="85" t="n">
        <v>1781</v>
      </c>
      <c r="AC65" s="93" t="n">
        <v>0.8081959241473839</v>
      </c>
      <c r="AD65" s="93" t="n">
        <v>0.1918040758526158</v>
      </c>
      <c r="AE65" s="32" t="inlineStr">
        <is>
          <t>cooling blanket</t>
        </is>
      </c>
      <c r="AF65" s="93" t="n">
        <v>0.9762892493713746</v>
      </c>
      <c r="AG65" s="93" t="n"/>
      <c r="AH65" s="93" t="n">
        <v>0.616906164613611</v>
      </c>
      <c r="AI65" s="93" t="n">
        <v>0.0102849465781901</v>
      </c>
      <c r="AJ65" s="85" t="n">
        <v>258</v>
      </c>
      <c r="AK65" s="85" t="n">
        <v>34</v>
      </c>
      <c r="AL65" s="85" t="n">
        <v>186</v>
      </c>
      <c r="AM65" s="85" t="n">
        <v>1523</v>
      </c>
      <c r="AN65" s="85" t="n">
        <v>401</v>
      </c>
      <c r="AO65" s="85" t="n">
        <v>3</v>
      </c>
      <c r="AP65" s="94" t="n">
        <v>0.8732339089481946</v>
      </c>
      <c r="AQ65" s="89" t="n">
        <v>0.9522502744237102</v>
      </c>
      <c r="AR65" s="95" t="inlineStr">
        <is>
          <t>N</t>
        </is>
      </c>
      <c r="AS65" s="95" t="inlineStr">
        <is>
          <t>none</t>
        </is>
      </c>
      <c r="AT65" s="101" t="n"/>
      <c r="AU65" s="96" t="n">
        <v>48.9</v>
      </c>
      <c r="AV65" s="95" t="inlineStr">
        <is>
          <t>none</t>
        </is>
      </c>
      <c r="AW65" s="95" t="inlineStr">
        <is>
          <t>Y</t>
        </is>
      </c>
      <c r="AX65" s="95" t="inlineStr">
        <is>
          <t>2026-10-13 23:38:24</t>
        </is>
      </c>
      <c r="AY65" s="102" t="n"/>
      <c r="AZ65" s="102" t="n"/>
      <c r="BA65" s="101" t="n"/>
      <c r="BB65" s="101" t="n"/>
      <c r="BC65" s="87">
        <f>IF(AND(ISNUMBER(BA65),ISNUMBER(BB65),N(BA65)&gt;0),1-BB65/BA65,"")</f>
        <v/>
      </c>
      <c r="BD65" s="103" t="n"/>
      <c r="BE65" s="103" t="n"/>
      <c r="BF65" s="100">
        <f>IF(AND(ISNUMBER(BD65),ISNUMBER(BE65),N(BE65)&gt;0),BD65/BE65,"")</f>
        <v/>
      </c>
      <c r="BG65" s="102" t="n"/>
      <c r="BH65" s="102" t="n"/>
    </row>
    <row r="66" ht="62" customHeight="1">
      <c r="A66" s="39" t="inlineStr">
        <is>
          <t>IMAGE MISSING</t>
        </is>
      </c>
      <c r="B66" s="84" t="inlineStr">
        <is>
          <t>Elegear</t>
        </is>
      </c>
      <c r="C66" s="32" t="inlineStr">
        <is>
          <t>SL Cooling Comforter</t>
        </is>
      </c>
      <c r="D66" s="84" t="inlineStr">
        <is>
          <t>Beatable</t>
        </is>
      </c>
      <c r="E66" s="84" t="inlineStr">
        <is>
          <t>B0D4J5Q1TK</t>
        </is>
      </c>
      <c r="F66" s="84" t="inlineStr">
        <is>
          <t>B094C72SZ4</t>
        </is>
      </c>
      <c r="G66" s="84" t="n"/>
      <c r="H66" s="84" t="n"/>
      <c r="I66" s="85" t="n">
        <v>14</v>
      </c>
      <c r="J66" s="32" t="inlineStr">
        <is>
          <t>B0BYDLNKXY (52%), B094C72SZ4 (35%)</t>
        </is>
      </c>
      <c r="K66" s="86" t="n">
        <v>39.98</v>
      </c>
      <c r="L66" s="86" t="n">
        <v>44.89</v>
      </c>
      <c r="M66" s="87">
        <f>IF(AND(ISNUMBER(L66),ISNUMBER(K66),N(K66)&gt;0),L66/K66-1,"")</f>
        <v/>
      </c>
      <c r="N66" s="88">
        <f>IF(M66="","No List Price",IF(M66&lt;=0,"At/below price",IF(M66&lt;=0.12,"&lt;=12% STR zone",IF(M66&lt;=0.25,"12-25%","&gt;25% over"))))</f>
        <v/>
      </c>
      <c r="O66" s="86" t="n">
        <v>69.98999999999999</v>
      </c>
      <c r="P66" s="89">
        <f>IF(AND(ISNUMBER(K66),ISNUMBER(O66),N(O66)&gt;0),K66/O66-1,"")</f>
        <v/>
      </c>
      <c r="Q66" s="32" t="inlineStr">
        <is>
          <t>Size not stated - vs our Queen. Ours live: Helium 10 Xray, 2026-10-13; 5 children</t>
        </is>
      </c>
      <c r="R66" s="85" t="n">
        <v>90652</v>
      </c>
      <c r="S66" s="85" t="n">
        <v>35</v>
      </c>
      <c r="T66" s="90">
        <f>IF(AND(ISNUMBER(K66),ISNUMBER(S66)),K66*S66*52/12,"")</f>
        <v/>
      </c>
      <c r="U66" s="91" t="n">
        <v>4.2</v>
      </c>
      <c r="V66" s="85" t="n">
        <v>1487</v>
      </c>
      <c r="W66" s="92" t="n">
        <v>46307</v>
      </c>
      <c r="X66" s="92" t="n"/>
      <c r="Y66" s="84" t="n"/>
      <c r="Z66" s="84" t="n"/>
      <c r="AA66" s="85" t="n">
        <v>25258</v>
      </c>
      <c r="AB66" s="85" t="n">
        <v>577</v>
      </c>
      <c r="AC66" s="93" t="n">
        <v>0.8588992715179345</v>
      </c>
      <c r="AD66" s="93" t="n">
        <v>0.1411007284820651</v>
      </c>
      <c r="AE66" s="32" t="inlineStr">
        <is>
          <t>cooling blanket</t>
        </is>
      </c>
      <c r="AF66" s="93" t="n">
        <v>0.7770211418164542</v>
      </c>
      <c r="AG66" s="93" t="n">
        <v>0.8134056536542877</v>
      </c>
      <c r="AH66" s="93" t="n"/>
      <c r="AI66" s="93" t="n"/>
      <c r="AJ66" s="85" t="n">
        <v>169</v>
      </c>
      <c r="AK66" s="85" t="n">
        <v>63</v>
      </c>
      <c r="AL66" s="85" t="n">
        <v>83</v>
      </c>
      <c r="AM66" s="85" t="n">
        <v>408</v>
      </c>
      <c r="AN66" s="85" t="n">
        <v>138</v>
      </c>
      <c r="AO66" s="85" t="n">
        <v>4</v>
      </c>
      <c r="AP66" s="94" t="n"/>
      <c r="AQ66" s="89" t="n"/>
      <c r="AR66" s="95" t="inlineStr">
        <is>
          <t>Y</t>
        </is>
      </c>
      <c r="AS66" s="95" t="inlineStr">
        <is>
          <t>Typical price</t>
        </is>
      </c>
      <c r="AT66" s="96" t="n">
        <v>44.89</v>
      </c>
      <c r="AU66" s="96" t="n">
        <v>39.98</v>
      </c>
      <c r="AV66" s="95" t="inlineStr">
        <is>
          <t>none</t>
        </is>
      </c>
      <c r="AW66" s="95" t="inlineStr">
        <is>
          <t>Y</t>
        </is>
      </c>
      <c r="AX66" s="95" t="inlineStr">
        <is>
          <t>2026-10-13 23:38:31</t>
        </is>
      </c>
      <c r="AY66" s="102" t="n"/>
      <c r="AZ66" s="102" t="n"/>
      <c r="BA66" s="101" t="n"/>
      <c r="BB66" s="101" t="n"/>
      <c r="BC66" s="87">
        <f>IF(AND(ISNUMBER(BA66),ISNUMBER(BB66),N(BA66)&gt;0),1-BB66/BA66,"")</f>
        <v/>
      </c>
      <c r="BD66" s="103" t="n"/>
      <c r="BE66" s="103" t="n"/>
      <c r="BF66" s="100">
        <f>IF(AND(ISNUMBER(BD66),ISNUMBER(BE66),N(BE66)&gt;0),BD66/BE66,"")</f>
        <v/>
      </c>
      <c r="BG66" s="102" t="n"/>
      <c r="BH66" s="102" t="n"/>
    </row>
    <row r="67" ht="62" customHeight="1">
      <c r="A67" s="39" t="inlineStr">
        <is>
          <t>IMAGE MISSING</t>
        </is>
      </c>
      <c r="B67" s="84" t="inlineStr">
        <is>
          <t>Gehtmnl</t>
        </is>
      </c>
      <c r="C67" s="32" t="inlineStr">
        <is>
          <t>SL Cooling Comforter</t>
        </is>
      </c>
      <c r="D67" s="84" t="inlineStr">
        <is>
          <t>Beatable</t>
        </is>
      </c>
      <c r="E67" s="84" t="inlineStr">
        <is>
          <t>B0GJTG1NBW</t>
        </is>
      </c>
      <c r="F67" s="84" t="inlineStr">
        <is>
          <t>B0GKHZKQ9W</t>
        </is>
      </c>
      <c r="G67" s="84" t="n"/>
      <c r="H67" s="84" t="n"/>
      <c r="I67" s="85" t="n">
        <v>16</v>
      </c>
      <c r="J67" s="32" t="inlineStr">
        <is>
          <t>B0GKHZKQ9W (82%)</t>
        </is>
      </c>
      <c r="K67" s="86" t="n">
        <v>59.99</v>
      </c>
      <c r="L67" s="86" t="n"/>
      <c r="M67" s="87">
        <f>IF(AND(ISNUMBER(L67),ISNUMBER(K67),N(K67)&gt;0),L67/K67-1,"")</f>
        <v/>
      </c>
      <c r="N67" s="88">
        <f>IF(M67="","No List Price",IF(M67&lt;=0,"At/below price",IF(M67&lt;=0.12,"&lt;=12% STR zone",IF(M67&lt;=0.25,"12-25%","&gt;25% over"))))</f>
        <v/>
      </c>
      <c r="O67" s="86" t="n">
        <v>69.98999999999999</v>
      </c>
      <c r="P67" s="89">
        <f>IF(AND(ISNUMBER(K67),ISNUMBER(O67),N(O67)&gt;0),K67/O67-1,"")</f>
        <v/>
      </c>
      <c r="Q67" s="32" t="inlineStr">
        <is>
          <t>Size not stated - vs our Queen. Ours live: Helium 10 Xray, 2026-10-13; 5 children</t>
        </is>
      </c>
      <c r="R67" s="85" t="n">
        <v>74902</v>
      </c>
      <c r="S67" s="85" t="n">
        <v>35</v>
      </c>
      <c r="T67" s="90">
        <f>IF(AND(ISNUMBER(K67),ISNUMBER(S67)),K67*S67*52/12,"")</f>
        <v/>
      </c>
      <c r="U67" s="91" t="n">
        <v>4.4</v>
      </c>
      <c r="V67" s="85" t="n">
        <v>655</v>
      </c>
      <c r="W67" s="92" t="n">
        <v>46307</v>
      </c>
      <c r="X67" s="92" t="n"/>
      <c r="Y67" s="84" t="n"/>
      <c r="Z67" s="84" t="n"/>
      <c r="AA67" s="85" t="n">
        <v>69715</v>
      </c>
      <c r="AB67" s="85" t="n">
        <v>1511</v>
      </c>
      <c r="AC67" s="93" t="n">
        <v>0.7072078304525564</v>
      </c>
      <c r="AD67" s="93" t="n">
        <v>0.2927921695474431</v>
      </c>
      <c r="AE67" s="32" t="inlineStr">
        <is>
          <t>cooling blanket</t>
        </is>
      </c>
      <c r="AF67" s="93" t="n">
        <v>0.9338449401133185</v>
      </c>
      <c r="AG67" s="93" t="n">
        <v>0.2034999641397117</v>
      </c>
      <c r="AH67" s="93" t="n">
        <v>0.006727390088216309</v>
      </c>
      <c r="AI67" s="93" t="n">
        <v>0.05787850534318296</v>
      </c>
      <c r="AJ67" s="85" t="n">
        <v>219</v>
      </c>
      <c r="AK67" s="85" t="n">
        <v>52</v>
      </c>
      <c r="AL67" s="85" t="n">
        <v>114</v>
      </c>
      <c r="AM67" s="85" t="n">
        <v>1292</v>
      </c>
      <c r="AN67" s="85" t="n">
        <v>256</v>
      </c>
      <c r="AO67" s="85" t="n">
        <v>8</v>
      </c>
      <c r="AP67" s="94" t="n">
        <v>1.454662104362703</v>
      </c>
      <c r="AQ67" s="89" t="n">
        <v>-0.04446742502585321</v>
      </c>
      <c r="AR67" s="95" t="inlineStr">
        <is>
          <t>N</t>
        </is>
      </c>
      <c r="AS67" s="95" t="inlineStr">
        <is>
          <t>none</t>
        </is>
      </c>
      <c r="AT67" s="101" t="n"/>
      <c r="AU67" s="96" t="n">
        <v>59.99</v>
      </c>
      <c r="AV67" s="95" t="inlineStr">
        <is>
          <t>none</t>
        </is>
      </c>
      <c r="AW67" s="95" t="inlineStr">
        <is>
          <t>Y</t>
        </is>
      </c>
      <c r="AX67" s="95" t="inlineStr">
        <is>
          <t>2026-10-13 23:38:37</t>
        </is>
      </c>
      <c r="AY67" s="102" t="n"/>
      <c r="AZ67" s="102" t="n"/>
      <c r="BA67" s="101" t="n"/>
      <c r="BB67" s="101" t="n"/>
      <c r="BC67" s="87">
        <f>IF(AND(ISNUMBER(BA67),ISNUMBER(BB67),N(BA67)&gt;0),1-BB67/BA67,"")</f>
        <v/>
      </c>
      <c r="BD67" s="103" t="n"/>
      <c r="BE67" s="103" t="n"/>
      <c r="BF67" s="100">
        <f>IF(AND(ISNUMBER(BD67),ISNUMBER(BE67),N(BE67)&gt;0),BD67/BE67,"")</f>
        <v/>
      </c>
      <c r="BG67" s="102" t="n"/>
      <c r="BH67" s="102" t="n"/>
    </row>
    <row r="68" ht="62" customHeight="1">
      <c r="A68" s="39" t="inlineStr">
        <is>
          <t>IMAGE MISSING</t>
        </is>
      </c>
      <c r="B68" s="84" t="inlineStr">
        <is>
          <t>Vine Voice</t>
        </is>
      </c>
      <c r="C68" s="32" t="inlineStr">
        <is>
          <t>SL Cooling Comforter</t>
        </is>
      </c>
      <c r="D68" s="84" t="inlineStr">
        <is>
          <t>Beatable</t>
        </is>
      </c>
      <c r="E68" s="84" t="inlineStr">
        <is>
          <t>B0GVYJX6MB</t>
        </is>
      </c>
      <c r="F68" s="84" t="inlineStr">
        <is>
          <t>B0GK9776YF</t>
        </is>
      </c>
      <c r="G68" s="84" t="n"/>
      <c r="H68" s="84" t="n"/>
      <c r="I68" s="85" t="n">
        <v>39</v>
      </c>
      <c r="J68" s="32" t="inlineStr">
        <is>
          <t>B0DX27SVYV (44%), B0GK9776YF (18%), B0GK9JCTXC (9%), B0DX26NBM3 (7%), B0DX28SGQH (6%)</t>
        </is>
      </c>
      <c r="K68" s="86" t="n">
        <v>51.43</v>
      </c>
      <c r="L68" s="86" t="n"/>
      <c r="M68" s="87">
        <f>IF(AND(ISNUMBER(L68),ISNUMBER(K68),N(K68)&gt;0),L68/K68-1,"")</f>
        <v/>
      </c>
      <c r="N68" s="88">
        <f>IF(M68="","No List Price",IF(M68&lt;=0,"At/below price",IF(M68&lt;=0.12,"&lt;=12% STR zone",IF(M68&lt;=0.25,"12-25%","&gt;25% over"))))</f>
        <v/>
      </c>
      <c r="O68" s="86" t="n">
        <v>69.98999999999999</v>
      </c>
      <c r="P68" s="89">
        <f>IF(AND(ISNUMBER(K68),ISNUMBER(O68),N(O68)&gt;0),K68/O68-1,"")</f>
        <v/>
      </c>
      <c r="Q68" s="32" t="inlineStr">
        <is>
          <t>Size not stated - vs our Queen. Ours live: Helium 10 Xray, 2026-10-13; 5 children</t>
        </is>
      </c>
      <c r="R68" s="85" t="n">
        <v>28045</v>
      </c>
      <c r="S68" s="85" t="n">
        <v>35</v>
      </c>
      <c r="T68" s="90">
        <f>IF(AND(ISNUMBER(K68),ISNUMBER(S68)),K68*S68*52/12,"")</f>
        <v/>
      </c>
      <c r="U68" s="91" t="n">
        <v>4.4</v>
      </c>
      <c r="V68" s="85" t="n">
        <v>888</v>
      </c>
      <c r="W68" s="92" t="n">
        <v>46307</v>
      </c>
      <c r="X68" s="92" t="n"/>
      <c r="Y68" s="84" t="n"/>
      <c r="Z68" s="84" t="n"/>
      <c r="AA68" s="85" t="n">
        <v>149817</v>
      </c>
      <c r="AB68" s="85" t="n">
        <v>1397</v>
      </c>
      <c r="AC68" s="93" t="n">
        <v>0.7796245933372051</v>
      </c>
      <c r="AD68" s="93" t="n">
        <v>0.2203758552100228</v>
      </c>
      <c r="AE68" s="32" t="inlineStr">
        <is>
          <t>cooling blanket</t>
        </is>
      </c>
      <c r="AF68" s="93" t="n">
        <v>0.9663389334988686</v>
      </c>
      <c r="AG68" s="93" t="n">
        <v>0.5016720398886642</v>
      </c>
      <c r="AH68" s="93" t="n">
        <v>0.006087426660525841</v>
      </c>
      <c r="AI68" s="93" t="n">
        <v>0.03079757303910771</v>
      </c>
      <c r="AJ68" s="85" t="n">
        <v>219</v>
      </c>
      <c r="AK68" s="85" t="n">
        <v>11</v>
      </c>
      <c r="AL68" s="85" t="n">
        <v>189</v>
      </c>
      <c r="AM68" s="85" t="n">
        <v>1178</v>
      </c>
      <c r="AN68" s="85" t="n">
        <v>292</v>
      </c>
      <c r="AO68" s="85" t="n">
        <v>5</v>
      </c>
      <c r="AP68" s="94" t="n"/>
      <c r="AQ68" s="89" t="n"/>
      <c r="AR68" s="95" t="inlineStr">
        <is>
          <t>Y</t>
        </is>
      </c>
      <c r="AS68" s="95" t="inlineStr">
        <is>
          <t>Typical price</t>
        </is>
      </c>
      <c r="AT68" s="96" t="n">
        <v>62.29</v>
      </c>
      <c r="AU68" s="96" t="n">
        <v>51.43</v>
      </c>
      <c r="AV68" s="95" t="inlineStr">
        <is>
          <t>none</t>
        </is>
      </c>
      <c r="AW68" s="95" t="inlineStr">
        <is>
          <t>Y</t>
        </is>
      </c>
      <c r="AX68" s="95" t="inlineStr">
        <is>
          <t>2026-10-13 23:39:20</t>
        </is>
      </c>
      <c r="AY68" s="102" t="n"/>
      <c r="AZ68" s="102" t="n"/>
      <c r="BA68" s="101" t="n"/>
      <c r="BB68" s="101" t="n"/>
      <c r="BC68" s="87">
        <f>IF(AND(ISNUMBER(BA68),ISNUMBER(BB68),N(BA68)&gt;0),1-BB68/BA68,"")</f>
        <v/>
      </c>
      <c r="BD68" s="103" t="n"/>
      <c r="BE68" s="103" t="n"/>
      <c r="BF68" s="100">
        <f>IF(AND(ISNUMBER(BD68),ISNUMBER(BE68),N(BE68)&gt;0),BD68/BE68,"")</f>
        <v/>
      </c>
      <c r="BG68" s="102" t="n"/>
      <c r="BH68" s="102" t="n"/>
    </row>
    <row r="69" ht="62" customHeight="1">
      <c r="A69" s="39" t="inlineStr">
        <is>
          <t>IMAGE MISSING</t>
        </is>
      </c>
      <c r="B69" s="84" t="inlineStr">
        <is>
          <t>Breescape</t>
        </is>
      </c>
      <c r="C69" s="32" t="inlineStr">
        <is>
          <t>SL Cooling Comforter</t>
        </is>
      </c>
      <c r="D69" s="84" t="inlineStr">
        <is>
          <t>Beatable</t>
        </is>
      </c>
      <c r="E69" s="84" t="inlineStr">
        <is>
          <t>B0F38CR981</t>
        </is>
      </c>
      <c r="F69" s="84" t="inlineStr">
        <is>
          <t>B0DSPZQ9JG</t>
        </is>
      </c>
      <c r="G69" s="84" t="n"/>
      <c r="H69" s="84" t="n"/>
      <c r="I69" s="85" t="n">
        <v>19</v>
      </c>
      <c r="J69" s="32" t="inlineStr">
        <is>
          <t>B0DSPZQ9JG (61%), B0DSPZWJ9F (23%)</t>
        </is>
      </c>
      <c r="K69" s="86" t="n">
        <v>149.99</v>
      </c>
      <c r="L69" s="86" t="n"/>
      <c r="M69" s="87">
        <f>IF(AND(ISNUMBER(L69),ISNUMBER(K69),N(K69)&gt;0),L69/K69-1,"")</f>
        <v/>
      </c>
      <c r="N69" s="88">
        <f>IF(M69="","No List Price",IF(M69&lt;=0,"At/below price",IF(M69&lt;=0.12,"&lt;=12% STR zone",IF(M69&lt;=0.25,"12-25%","&gt;25% over"))))</f>
        <v/>
      </c>
      <c r="O69" s="86" t="n">
        <v>69.98999999999999</v>
      </c>
      <c r="P69" s="89">
        <f>IF(AND(ISNUMBER(K69),ISNUMBER(O69),N(O69)&gt;0),K69/O69-1,"")</f>
        <v/>
      </c>
      <c r="Q69" s="32" t="inlineStr">
        <is>
          <t>Size not stated - vs our Queen. Ours live: Helium 10 Xray, 2026-10-13; 5 children</t>
        </is>
      </c>
      <c r="R69" s="85" t="n">
        <v>110181</v>
      </c>
      <c r="S69" s="85" t="n">
        <v>18</v>
      </c>
      <c r="T69" s="90">
        <f>IF(AND(ISNUMBER(K69),ISNUMBER(S69)),K69*S69*52/12,"")</f>
        <v/>
      </c>
      <c r="U69" s="91" t="n">
        <v>4.4</v>
      </c>
      <c r="V69" s="85" t="n">
        <v>343</v>
      </c>
      <c r="W69" s="92" t="n">
        <v>46307</v>
      </c>
      <c r="X69" s="92" t="n"/>
      <c r="Y69" s="84" t="n"/>
      <c r="Z69" s="84" t="n"/>
      <c r="AA69" s="85" t="n">
        <v>87874</v>
      </c>
      <c r="AB69" s="85" t="n">
        <v>3067</v>
      </c>
      <c r="AC69" s="93" t="n">
        <v>0.2855783553724651</v>
      </c>
      <c r="AD69" s="93" t="n">
        <v>0.7144216810433121</v>
      </c>
      <c r="AE69" s="32" t="inlineStr">
        <is>
          <t>breescape cooling comforter blanket</t>
        </is>
      </c>
      <c r="AF69" s="93" t="n">
        <v>0.8754239024057173</v>
      </c>
      <c r="AG69" s="93" t="n">
        <v>0.1968955549992034</v>
      </c>
      <c r="AH69" s="93" t="n">
        <v>0.2405148280492523</v>
      </c>
      <c r="AI69" s="93" t="n">
        <v>0.1635751189202722</v>
      </c>
      <c r="AJ69" s="85" t="n">
        <v>262</v>
      </c>
      <c r="AK69" s="85" t="n">
        <v>47</v>
      </c>
      <c r="AL69" s="85" t="n">
        <v>183</v>
      </c>
      <c r="AM69" s="85" t="n">
        <v>2805</v>
      </c>
      <c r="AN69" s="85" t="n">
        <v>1556</v>
      </c>
      <c r="AO69" s="85" t="n">
        <v>7</v>
      </c>
      <c r="AP69" s="94" t="n">
        <v>1.336633663366336</v>
      </c>
      <c r="AQ69" s="89" t="n">
        <v>-0.1874272409778813</v>
      </c>
      <c r="AR69" s="95" t="inlineStr">
        <is>
          <t>N</t>
        </is>
      </c>
      <c r="AS69" s="95" t="inlineStr">
        <is>
          <t>none</t>
        </is>
      </c>
      <c r="AT69" s="101" t="n"/>
      <c r="AU69" s="96" t="n">
        <v>149.99</v>
      </c>
      <c r="AV69" s="95" t="inlineStr">
        <is>
          <t>none</t>
        </is>
      </c>
      <c r="AW69" s="95" t="inlineStr">
        <is>
          <t>Y</t>
        </is>
      </c>
      <c r="AX69" s="95" t="inlineStr">
        <is>
          <t>2026-10-13 23:37:47</t>
        </is>
      </c>
      <c r="AY69" s="97" t="inlineStr">
        <is>
          <t>Price cut only</t>
        </is>
      </c>
      <c r="AZ69" s="97" t="inlineStr">
        <is>
          <t>11-20 to 12-01</t>
        </is>
      </c>
      <c r="BA69" s="98" t="n">
        <v>139.99</v>
      </c>
      <c r="BB69" s="98" t="n">
        <v>132.99</v>
      </c>
      <c r="BC69" s="87">
        <f>IF(AND(ISNUMBER(BA69),ISNUMBER(BB69),N(BA69)&gt;0),1-BB69/BA69,"")</f>
        <v/>
      </c>
      <c r="BD69" s="99" t="n">
        <v>127247</v>
      </c>
      <c r="BE69" s="99" t="n">
        <v>98246</v>
      </c>
      <c r="BF69" s="100">
        <f>IF(AND(ISNUMBER(BD69),ISNUMBER(BE69),N(BE69)&gt;0),BD69/BE69,"")</f>
        <v/>
      </c>
      <c r="BG69" s="97" t="inlineStr">
        <is>
          <t>N</t>
        </is>
      </c>
      <c r="BH69" s="97" t="inlineStr">
        <is>
          <t>List Price $199.99</t>
        </is>
      </c>
    </row>
    <row r="70" ht="62" customHeight="1">
      <c r="A70" s="39" t="inlineStr">
        <is>
          <t>IMAGE MISSING</t>
        </is>
      </c>
      <c r="B70" s="84" t="inlineStr">
        <is>
          <t>Bedsure</t>
        </is>
      </c>
      <c r="C70" s="32" t="inlineStr">
        <is>
          <t>SL Cooling Comforter</t>
        </is>
      </c>
      <c r="D70" s="84" t="inlineStr">
        <is>
          <t>Beatable</t>
        </is>
      </c>
      <c r="E70" s="84" t="inlineStr">
        <is>
          <t>B0DYZMVM53</t>
        </is>
      </c>
      <c r="F70" s="84" t="inlineStr">
        <is>
          <t>B0DFW11ZMW</t>
        </is>
      </c>
      <c r="G70" s="84" t="n"/>
      <c r="H70" s="84" t="n"/>
      <c r="I70" s="85" t="n">
        <v>5</v>
      </c>
      <c r="J70" s="32" t="inlineStr">
        <is>
          <t>B0DFQ32464 (54%), B0DFW11ZMW (24%), B0DFXWHG34 (11%)</t>
        </is>
      </c>
      <c r="K70" s="86" t="n">
        <v>59.99</v>
      </c>
      <c r="L70" s="86" t="n"/>
      <c r="M70" s="87">
        <f>IF(AND(ISNUMBER(L70),ISNUMBER(K70),N(K70)&gt;0),L70/K70-1,"")</f>
        <v/>
      </c>
      <c r="N70" s="88">
        <f>IF(M70="","No List Price",IF(M70&lt;=0,"At/below price",IF(M70&lt;=0.12,"&lt;=12% STR zone",IF(M70&lt;=0.25,"12-25%","&gt;25% over"))))</f>
        <v/>
      </c>
      <c r="O70" s="86" t="n">
        <v>69.98999999999999</v>
      </c>
      <c r="P70" s="89">
        <f>IF(AND(ISNUMBER(K70),ISNUMBER(O70),N(O70)&gt;0),K70/O70-1,"")</f>
        <v/>
      </c>
      <c r="Q70" s="32" t="inlineStr">
        <is>
          <t>Size not stated - vs our Queen. Ours live: Helium 10 Xray, 2026-10-13; 5 children</t>
        </is>
      </c>
      <c r="R70" s="85" t="n">
        <v>225567</v>
      </c>
      <c r="S70" s="85" t="n">
        <v>5</v>
      </c>
      <c r="T70" s="90">
        <f>IF(AND(ISNUMBER(K70),ISNUMBER(S70)),K70*S70*52/12,"")</f>
        <v/>
      </c>
      <c r="U70" s="91" t="n">
        <v>4.4</v>
      </c>
      <c r="V70" s="85" t="n">
        <v>282</v>
      </c>
      <c r="W70" s="92" t="n">
        <v>46307</v>
      </c>
      <c r="X70" s="92" t="n"/>
      <c r="Y70" s="84" t="n"/>
      <c r="Z70" s="84" t="n"/>
      <c r="AA70" s="85" t="n">
        <v>18504</v>
      </c>
      <c r="AB70" s="85" t="n">
        <v>357</v>
      </c>
      <c r="AC70" s="93" t="n">
        <v>0.9711953307392996</v>
      </c>
      <c r="AD70" s="93" t="n">
        <v>0.02880466926070039</v>
      </c>
      <c r="AE70" s="32" t="inlineStr">
        <is>
          <t>marshmallow comforter</t>
        </is>
      </c>
      <c r="AF70" s="93" t="n"/>
      <c r="AG70" s="93" t="n">
        <v>0.064526588845655</v>
      </c>
      <c r="AH70" s="93" t="n">
        <v>0.064526588845655</v>
      </c>
      <c r="AI70" s="93" t="n"/>
      <c r="AJ70" s="85" t="n">
        <v>105</v>
      </c>
      <c r="AK70" s="85" t="n">
        <v>41</v>
      </c>
      <c r="AL70" s="85" t="n">
        <v>52</v>
      </c>
      <c r="AM70" s="85" t="n">
        <v>252</v>
      </c>
      <c r="AN70" s="85" t="n">
        <v>1</v>
      </c>
      <c r="AO70" s="85" t="n">
        <v>0</v>
      </c>
      <c r="AP70" s="94" t="n"/>
      <c r="AQ70" s="89" t="n"/>
      <c r="AR70" s="95" t="inlineStr">
        <is>
          <t>N</t>
        </is>
      </c>
      <c r="AS70" s="95" t="inlineStr">
        <is>
          <t>none</t>
        </is>
      </c>
      <c r="AT70" s="101" t="n"/>
      <c r="AU70" s="96" t="n">
        <v>41.85</v>
      </c>
      <c r="AV70" s="95" t="inlineStr">
        <is>
          <t>none</t>
        </is>
      </c>
      <c r="AW70" s="95" t="inlineStr">
        <is>
          <t>Y</t>
        </is>
      </c>
      <c r="AX70" s="95" t="inlineStr">
        <is>
          <t>2026-10-13 23:37:25</t>
        </is>
      </c>
      <c r="AY70" s="102" t="n"/>
      <c r="AZ70" s="102" t="n"/>
      <c r="BA70" s="98" t="n">
        <v>75.98999999999999</v>
      </c>
      <c r="BB70" s="101" t="n"/>
      <c r="BC70" s="87">
        <f>IF(AND(ISNUMBER(BA70),ISNUMBER(BB70),N(BA70)&gt;0),1-BB70/BA70,"")</f>
        <v/>
      </c>
      <c r="BD70" s="99" t="n">
        <v>487334</v>
      </c>
      <c r="BE70" s="99" t="n">
        <v>583186</v>
      </c>
      <c r="BF70" s="100">
        <f>IF(AND(ISNUMBER(BD70),ISNUMBER(BE70),N(BE70)&gt;0),BD70/BE70,"")</f>
        <v/>
      </c>
      <c r="BG70" s="97" t="inlineStr">
        <is>
          <t>Y</t>
        </is>
      </c>
      <c r="BH70" s="97" t="inlineStr">
        <is>
          <t>No Buy Box history in Keepa for BFCM 2025; List Price $82.99</t>
        </is>
      </c>
    </row>
    <row r="71" ht="62" customHeight="1">
      <c r="A71" s="39" t="inlineStr">
        <is>
          <t>IMAGE MISSING</t>
        </is>
      </c>
      <c r="B71" s="84" t="inlineStr">
        <is>
          <t>Bedtter</t>
        </is>
      </c>
      <c r="C71" s="32" t="inlineStr">
        <is>
          <t>Cooling Comforter</t>
        </is>
      </c>
      <c r="D71" s="84" t="inlineStr">
        <is>
          <t>Beatable</t>
        </is>
      </c>
      <c r="E71" s="84" t="inlineStr">
        <is>
          <t>B0FKTNLQHJ</t>
        </is>
      </c>
      <c r="F71" s="84" t="inlineStr">
        <is>
          <t>B0F7GKNYTQ</t>
        </is>
      </c>
      <c r="G71" s="84" t="n"/>
      <c r="H71" s="84" t="n"/>
      <c r="I71" s="85" t="n">
        <v>17</v>
      </c>
      <c r="J71" s="32" t="inlineStr">
        <is>
          <t>B0CZ7BR3C1 (21%), B0CZ7BTVWW (18%), B0CZ7BHMW2 (16%), B0CZ78MKHK (16%), B0CZ7BG45B (6%)</t>
        </is>
      </c>
      <c r="K71" s="86" t="n">
        <v>44.99</v>
      </c>
      <c r="L71" s="86" t="n"/>
      <c r="M71" s="87">
        <f>IF(AND(ISNUMBER(L71),ISNUMBER(K71),N(K71)&gt;0),L71/K71-1,"")</f>
        <v/>
      </c>
      <c r="N71" s="88">
        <f>IF(M71="","No List Price",IF(M71&lt;=0,"At/below price",IF(M71&lt;=0.12,"&lt;=12% STR zone",IF(M71&lt;=0.25,"12-25%","&gt;25% over"))))</f>
        <v/>
      </c>
      <c r="O71" s="86" t="n">
        <v>69.98999999999999</v>
      </c>
      <c r="P71" s="89">
        <f>IF(AND(ISNUMBER(K71),ISNUMBER(O71),N(O71)&gt;0),K71/O71-1,"")</f>
        <v/>
      </c>
      <c r="Q71" s="32" t="inlineStr">
        <is>
          <t>Size not stated - vs our Queen. Ours live: Helium 10 Xray, 2026-10-13; 5 children</t>
        </is>
      </c>
      <c r="R71" s="85" t="n">
        <v>2319142</v>
      </c>
      <c r="S71" s="85" t="n">
        <v>5</v>
      </c>
      <c r="T71" s="90">
        <f>IF(AND(ISNUMBER(K71),ISNUMBER(S71)),K71*S71*52/12,"")</f>
        <v/>
      </c>
      <c r="U71" s="91" t="n">
        <v>4.5</v>
      </c>
      <c r="V71" s="85" t="n">
        <v>12</v>
      </c>
      <c r="W71" s="92" t="n">
        <v>46307</v>
      </c>
      <c r="X71" s="92" t="n"/>
      <c r="Y71" s="84" t="n"/>
      <c r="Z71" s="84" t="n"/>
      <c r="AA71" s="85" t="n">
        <v>178117</v>
      </c>
      <c r="AB71" s="85" t="n">
        <v>2017</v>
      </c>
      <c r="AC71" s="93" t="n">
        <v>0.2390197437639301</v>
      </c>
      <c r="AD71" s="93" t="n">
        <v>0.7609802562360694</v>
      </c>
      <c r="AE71" s="32" t="inlineStr">
        <is>
          <t>cooling blanket</t>
        </is>
      </c>
      <c r="AF71" s="93" t="n">
        <v>0.9566015596489947</v>
      </c>
      <c r="AG71" s="93" t="n">
        <v>0.4590297388795005</v>
      </c>
      <c r="AH71" s="93" t="n">
        <v>0.4395425478758344</v>
      </c>
      <c r="AI71" s="93" t="n">
        <v>0.02501164964601919</v>
      </c>
      <c r="AJ71" s="85" t="n">
        <v>252</v>
      </c>
      <c r="AK71" s="85" t="n">
        <v>38</v>
      </c>
      <c r="AL71" s="85" t="n">
        <v>181</v>
      </c>
      <c r="AM71" s="85" t="n">
        <v>1765</v>
      </c>
      <c r="AN71" s="85" t="n">
        <v>1057</v>
      </c>
      <c r="AO71" s="85" t="n">
        <v>10</v>
      </c>
      <c r="AP71" s="94" t="n"/>
      <c r="AQ71" s="89" t="n"/>
      <c r="AR71" s="95" t="inlineStr">
        <is>
          <t>N</t>
        </is>
      </c>
      <c r="AS71" s="95" t="inlineStr">
        <is>
          <t>none</t>
        </is>
      </c>
      <c r="AT71" s="101" t="n"/>
      <c r="AU71" s="101" t="n"/>
      <c r="AV71" s="95" t="inlineStr">
        <is>
          <t>none</t>
        </is>
      </c>
      <c r="AW71" s="95" t="inlineStr">
        <is>
          <t>N</t>
        </is>
      </c>
      <c r="AX71" s="95" t="inlineStr">
        <is>
          <t>2026-10-13 23:37:34</t>
        </is>
      </c>
      <c r="AY71" s="97" t="inlineStr">
        <is>
          <t>Prime Exclusive Discount</t>
        </is>
      </c>
      <c r="AZ71" s="97" t="inlineStr">
        <is>
          <t>11-21 to 12-01</t>
        </is>
      </c>
      <c r="BA71" s="98" t="n">
        <v>209</v>
      </c>
      <c r="BB71" s="98" t="n">
        <v>87.90000000000001</v>
      </c>
      <c r="BC71" s="87">
        <f>IF(AND(ISNUMBER(BA71),ISNUMBER(BB71),N(BA71)&gt;0),1-BB71/BA71,"")</f>
        <v/>
      </c>
      <c r="BD71" s="99" t="n">
        <v>2332342</v>
      </c>
      <c r="BE71" s="99" t="n">
        <v>617553</v>
      </c>
      <c r="BF71" s="100">
        <f>IF(AND(ISNUMBER(BD71),ISNUMBER(BE71),N(BE71)&gt;0),BD71/BE71,"")</f>
        <v/>
      </c>
      <c r="BG71" s="97" t="inlineStr">
        <is>
          <t>N</t>
        </is>
      </c>
      <c r="BH71" s="97" t="inlineStr">
        <is>
          <t>Coupon 80.00 USD (11-01 to 11-17); List Price $140.00</t>
        </is>
      </c>
    </row>
    <row r="72" ht="62" customHeight="1">
      <c r="A72" s="39" t="inlineStr">
        <is>
          <t>IMAGE MISSING</t>
        </is>
      </c>
      <c r="B72" s="84" t="inlineStr">
        <is>
          <t>Bedsure</t>
        </is>
      </c>
      <c r="C72" s="32" t="inlineStr">
        <is>
          <t>SL Cooling Comforter</t>
        </is>
      </c>
      <c r="D72" s="84" t="inlineStr">
        <is>
          <t>Untiered</t>
        </is>
      </c>
      <c r="E72" s="84" t="inlineStr">
        <is>
          <t>B099J44BKW</t>
        </is>
      </c>
      <c r="F72" s="84" t="inlineStr">
        <is>
          <t>B0BN5TKJ8D</t>
        </is>
      </c>
      <c r="G72" s="84" t="n"/>
      <c r="H72" s="84" t="n"/>
      <c r="I72" s="85" t="n">
        <v>18</v>
      </c>
      <c r="J72" s="32" t="inlineStr">
        <is>
          <t>B0BN5TKJ8D (64%), B0BN5XYC3T (31%)</t>
        </is>
      </c>
      <c r="K72" s="86" t="n">
        <v>39.99</v>
      </c>
      <c r="L72" s="86" t="n"/>
      <c r="M72" s="87">
        <f>IF(AND(ISNUMBER(L72),ISNUMBER(K72),N(K72)&gt;0),L72/K72-1,"")</f>
        <v/>
      </c>
      <c r="N72" s="88">
        <f>IF(M72="","No List Price",IF(M72&lt;=0,"At/below price",IF(M72&lt;=0.12,"&lt;=12% STR zone",IF(M72&lt;=0.25,"12-25%","&gt;25% over"))))</f>
        <v/>
      </c>
      <c r="O72" s="86" t="n">
        <v>69.98999999999999</v>
      </c>
      <c r="P72" s="89">
        <f>IF(AND(ISNUMBER(K72),ISNUMBER(O72),N(O72)&gt;0),K72/O72-1,"")</f>
        <v/>
      </c>
      <c r="Q72" s="32" t="inlineStr">
        <is>
          <t>Size not stated - vs our Queen. Ours live: Helium 10 Xray, 2026-10-13; 5 children</t>
        </is>
      </c>
      <c r="R72" s="85" t="n">
        <v>12115</v>
      </c>
      <c r="S72" s="85" t="n">
        <v>347</v>
      </c>
      <c r="T72" s="90">
        <f>IF(AND(ISNUMBER(K72),ISNUMBER(S72)),K72*S72*52/12,"")</f>
        <v/>
      </c>
      <c r="U72" s="91" t="n">
        <v>4.4</v>
      </c>
      <c r="V72" s="85" t="n">
        <v>3538</v>
      </c>
      <c r="W72" s="92" t="n">
        <v>46307</v>
      </c>
      <c r="X72" s="92" t="n"/>
      <c r="Y72" s="84" t="n"/>
      <c r="Z72" s="84" t="n"/>
      <c r="AA72" s="85" t="n">
        <v>643949</v>
      </c>
      <c r="AB72" s="85" t="n">
        <v>5481</v>
      </c>
      <c r="AC72" s="93" t="n">
        <v>0.7308647324555207</v>
      </c>
      <c r="AD72" s="93" t="n">
        <v>0.2691352725138173</v>
      </c>
      <c r="AE72" s="32" t="inlineStr">
        <is>
          <t>queen comforter set</t>
        </is>
      </c>
      <c r="AF72" s="93" t="n">
        <v>0.7493295276489287</v>
      </c>
      <c r="AG72" s="93" t="n">
        <v>0.8924138402264775</v>
      </c>
      <c r="AH72" s="93" t="n"/>
      <c r="AI72" s="93" t="n">
        <v>0.1016819654972676</v>
      </c>
      <c r="AJ72" s="85" t="n">
        <v>232</v>
      </c>
      <c r="AK72" s="85" t="n">
        <v>17</v>
      </c>
      <c r="AL72" s="85" t="n">
        <v>176</v>
      </c>
      <c r="AM72" s="85" t="n">
        <v>5249</v>
      </c>
      <c r="AN72" s="85" t="n">
        <v>1401</v>
      </c>
      <c r="AO72" s="85" t="n">
        <v>0</v>
      </c>
      <c r="AP72" s="94" t="n">
        <v>1.066945606694561</v>
      </c>
      <c r="AQ72" s="89" t="n">
        <v>0.3142331022530329</v>
      </c>
      <c r="AR72" s="95" t="inlineStr">
        <is>
          <t>Y</t>
        </is>
      </c>
      <c r="AS72" s="95" t="inlineStr">
        <is>
          <t>List Price</t>
        </is>
      </c>
      <c r="AT72" s="96" t="n">
        <v>89.98999999999999</v>
      </c>
      <c r="AU72" s="96" t="n">
        <v>55.79</v>
      </c>
      <c r="AV72" s="95" t="inlineStr">
        <is>
          <t>Limited time deal</t>
        </is>
      </c>
      <c r="AW72" s="95" t="inlineStr">
        <is>
          <t>Y</t>
        </is>
      </c>
      <c r="AX72" s="95" t="inlineStr">
        <is>
          <t>2026-10-13 23:37:28</t>
        </is>
      </c>
      <c r="AY72" s="97" t="inlineStr">
        <is>
          <t>Price cut only</t>
        </is>
      </c>
      <c r="AZ72" s="97" t="inlineStr">
        <is>
          <t>11-20 to 12-01</t>
        </is>
      </c>
      <c r="BA72" s="98" t="n">
        <v>59.99</v>
      </c>
      <c r="BB72" s="98" t="n">
        <v>44.99</v>
      </c>
      <c r="BC72" s="87">
        <f>IF(AND(ISNUMBER(BA72),ISNUMBER(BB72),N(BA72)&gt;0),1-BB72/BA72,"")</f>
        <v/>
      </c>
      <c r="BD72" s="99" t="n">
        <v>431</v>
      </c>
      <c r="BE72" s="99" t="n">
        <v>375</v>
      </c>
      <c r="BF72" s="100">
        <f>IF(AND(ISNUMBER(BD72),ISNUMBER(BE72),N(BE72)&gt;0),BD72/BE72,"")</f>
        <v/>
      </c>
      <c r="BG72" s="97" t="inlineStr">
        <is>
          <t>N</t>
        </is>
      </c>
      <c r="BH72" s="97" t="inlineStr">
        <is>
          <t>Lightning Deal 11-05 to 11-12; List Price $58.99</t>
        </is>
      </c>
    </row>
    <row r="73" ht="62" customHeight="1">
      <c r="A73" s="39" t="inlineStr">
        <is>
          <t>IMAGE MISSING</t>
        </is>
      </c>
      <c r="B73" s="84" t="inlineStr">
        <is>
          <t>DOWNCOOL</t>
        </is>
      </c>
      <c r="C73" s="32" t="inlineStr">
        <is>
          <t>SL Cooling Comforter</t>
        </is>
      </c>
      <c r="D73" s="84" t="inlineStr">
        <is>
          <t>Untiered</t>
        </is>
      </c>
      <c r="E73" s="84" t="inlineStr">
        <is>
          <t>B0F5WP36DB</t>
        </is>
      </c>
      <c r="F73" s="84" t="inlineStr">
        <is>
          <t>B0G7YZWPHK</t>
        </is>
      </c>
      <c r="G73" s="84" t="n"/>
      <c r="H73" s="84" t="n"/>
      <c r="I73" s="85" t="n"/>
      <c r="J73" s="32" t="inlineStr"/>
      <c r="K73" s="86" t="n">
        <v>31.99</v>
      </c>
      <c r="L73" s="86" t="n">
        <v>39.99</v>
      </c>
      <c r="M73" s="87">
        <f>IF(AND(ISNUMBER(L73),ISNUMBER(K73),N(K73)&gt;0),L73/K73-1,"")</f>
        <v/>
      </c>
      <c r="N73" s="88">
        <f>IF(M73="","No List Price",IF(M73&lt;=0,"At/below price",IF(M73&lt;=0.12,"&lt;=12% STR zone",IF(M73&lt;=0.25,"12-25%","&gt;25% over"))))</f>
        <v/>
      </c>
      <c r="O73" s="86" t="n">
        <v>69.98999999999999</v>
      </c>
      <c r="P73" s="89">
        <f>IF(AND(ISNUMBER(K73),ISNUMBER(O73),N(O73)&gt;0),K73/O73-1,"")</f>
        <v/>
      </c>
      <c r="Q73" s="32" t="inlineStr">
        <is>
          <t>Size not stated - vs our Queen. Ours live: Helium 10 Xray, 2026-10-13; 5 children</t>
        </is>
      </c>
      <c r="R73" s="85" t="n">
        <v>14419</v>
      </c>
      <c r="S73" s="85" t="n">
        <v>104</v>
      </c>
      <c r="T73" s="90">
        <f>IF(AND(ISNUMBER(K73),ISNUMBER(S73)),K73*S73*52/12,"")</f>
        <v/>
      </c>
      <c r="U73" s="91" t="n">
        <v>4.4</v>
      </c>
      <c r="V73" s="85" t="n">
        <v>904</v>
      </c>
      <c r="W73" s="92" t="n">
        <v>46307</v>
      </c>
      <c r="X73" s="92" t="n"/>
      <c r="Y73" s="84" t="n"/>
      <c r="Z73" s="84" t="n"/>
      <c r="AA73" s="85" t="n"/>
      <c r="AB73" s="85" t="n"/>
      <c r="AC73" s="93" t="n"/>
      <c r="AD73" s="93" t="n"/>
      <c r="AE73" s="32" t="n"/>
      <c r="AF73" s="93" t="n"/>
      <c r="AG73" s="93" t="n"/>
      <c r="AH73" s="93" t="n"/>
      <c r="AI73" s="93" t="n"/>
      <c r="AJ73" s="85" t="n"/>
      <c r="AK73" s="85" t="n"/>
      <c r="AL73" s="85" t="n"/>
      <c r="AM73" s="85" t="n"/>
      <c r="AN73" s="85" t="n"/>
      <c r="AO73" s="85" t="n"/>
      <c r="AP73" s="94" t="n"/>
      <c r="AQ73" s="89" t="n"/>
      <c r="AR73" s="95" t="inlineStr">
        <is>
          <t>Y</t>
        </is>
      </c>
      <c r="AS73" s="95" t="inlineStr">
        <is>
          <t>List Price</t>
        </is>
      </c>
      <c r="AT73" s="96" t="n">
        <v>39.99</v>
      </c>
      <c r="AU73" s="96" t="n">
        <v>31.99</v>
      </c>
      <c r="AV73" s="95" t="inlineStr">
        <is>
          <t>Limited time deal</t>
        </is>
      </c>
      <c r="AW73" s="95" t="inlineStr">
        <is>
          <t>Y</t>
        </is>
      </c>
      <c r="AX73" s="95" t="inlineStr">
        <is>
          <t>2026-10-13 23:38:18</t>
        </is>
      </c>
      <c r="AY73" s="97" t="inlineStr">
        <is>
          <t>Not live in 2025</t>
        </is>
      </c>
      <c r="AZ73" s="102" t="n"/>
      <c r="BA73" s="101" t="n"/>
      <c r="BB73" s="101" t="n"/>
      <c r="BC73" s="87">
        <f>IF(AND(ISNUMBER(BA73),ISNUMBER(BB73),N(BA73)&gt;0),1-BB73/BA73,"")</f>
        <v/>
      </c>
      <c r="BD73" s="103" t="n"/>
      <c r="BE73" s="103" t="n"/>
      <c r="BF73" s="100">
        <f>IF(AND(ISNUMBER(BD73),ISNUMBER(BE73),N(BE73)&gt;0),BD73/BE73,"")</f>
        <v/>
      </c>
      <c r="BG73" s="102" t="n"/>
      <c r="BH73" s="102" t="n"/>
    </row>
    <row r="74" ht="62" customHeight="1">
      <c r="A74" s="39" t="inlineStr">
        <is>
          <t>IMAGE MISSING</t>
        </is>
      </c>
      <c r="B74" s="84" t="inlineStr">
        <is>
          <t>jiaao</t>
        </is>
      </c>
      <c r="C74" s="32" t="inlineStr">
        <is>
          <t>Cooling Comforter</t>
        </is>
      </c>
      <c r="D74" s="84" t="inlineStr">
        <is>
          <t>Untiered</t>
        </is>
      </c>
      <c r="E74" s="84" t="inlineStr">
        <is>
          <t>B0GXZLZ3KB</t>
        </is>
      </c>
      <c r="F74" s="84" t="inlineStr">
        <is>
          <t>B0GR4L84HS</t>
        </is>
      </c>
      <c r="G74" s="84" t="n"/>
      <c r="H74" s="84" t="n"/>
      <c r="I74" s="85" t="n">
        <v>1</v>
      </c>
      <c r="J74" s="32" t="inlineStr">
        <is>
          <t>B0GR4L84HS (100%)</t>
        </is>
      </c>
      <c r="K74" s="86" t="n">
        <v>40</v>
      </c>
      <c r="L74" s="86" t="n"/>
      <c r="M74" s="87">
        <f>IF(AND(ISNUMBER(L74),ISNUMBER(K74),N(K74)&gt;0),L74/K74-1,"")</f>
        <v/>
      </c>
      <c r="N74" s="88">
        <f>IF(M74="","No List Price",IF(M74&lt;=0,"At/below price",IF(M74&lt;=0.12,"&lt;=12% STR zone",IF(M74&lt;=0.25,"12-25%","&gt;25% over"))))</f>
        <v/>
      </c>
      <c r="O74" s="86" t="n">
        <v>69.98999999999999</v>
      </c>
      <c r="P74" s="89">
        <f>IF(AND(ISNUMBER(K74),ISNUMBER(O74),N(O74)&gt;0),K74/O74-1,"")</f>
        <v/>
      </c>
      <c r="Q74" s="32" t="inlineStr">
        <is>
          <t>Size not stated - vs our Queen. Ours live: Helium 10 Xray, 2026-10-13; 5 children</t>
        </is>
      </c>
      <c r="R74" s="85" t="n">
        <v>764449</v>
      </c>
      <c r="S74" s="85" t="n">
        <v>5</v>
      </c>
      <c r="T74" s="90">
        <f>IF(AND(ISNUMBER(K74),ISNUMBER(S74)),K74*S74*52/12,"")</f>
        <v/>
      </c>
      <c r="U74" s="91" t="n">
        <v>4</v>
      </c>
      <c r="V74" s="85" t="n">
        <v>83</v>
      </c>
      <c r="W74" s="92" t="n">
        <v>46307</v>
      </c>
      <c r="X74" s="92" t="n"/>
      <c r="Y74" s="84" t="n"/>
      <c r="Z74" s="84" t="n"/>
      <c r="AA74" s="85" t="n">
        <v>19888</v>
      </c>
      <c r="AB74" s="85" t="n">
        <v>295</v>
      </c>
      <c r="AC74" s="93" t="n">
        <v>1</v>
      </c>
      <c r="AD74" s="93" t="n">
        <v>0</v>
      </c>
      <c r="AE74" s="32" t="inlineStr">
        <is>
          <t>cooling blanket</t>
        </is>
      </c>
      <c r="AF74" s="93" t="n">
        <v>0</v>
      </c>
      <c r="AG74" s="93" t="n"/>
      <c r="AH74" s="93" t="n"/>
      <c r="AI74" s="93" t="n"/>
      <c r="AJ74" s="85" t="n">
        <v>127</v>
      </c>
      <c r="AK74" s="85" t="n">
        <v>38</v>
      </c>
      <c r="AL74" s="85" t="n">
        <v>70</v>
      </c>
      <c r="AM74" s="85" t="n">
        <v>168</v>
      </c>
      <c r="AN74" s="85" t="n">
        <v>0</v>
      </c>
      <c r="AO74" s="85" t="n">
        <v>0</v>
      </c>
      <c r="AP74" s="94" t="n"/>
      <c r="AQ74" s="89" t="n"/>
      <c r="AR74" s="95" t="inlineStr">
        <is>
          <t>N</t>
        </is>
      </c>
      <c r="AS74" s="95" t="inlineStr">
        <is>
          <t>none</t>
        </is>
      </c>
      <c r="AT74" s="101" t="n"/>
      <c r="AU74" s="96" t="n">
        <v>40</v>
      </c>
      <c r="AV74" s="95" t="inlineStr">
        <is>
          <t>none</t>
        </is>
      </c>
      <c r="AW74" s="95" t="inlineStr">
        <is>
          <t>Y</t>
        </is>
      </c>
      <c r="AX74" s="95" t="inlineStr">
        <is>
          <t>2026-10-13 23:39:29</t>
        </is>
      </c>
      <c r="AY74" s="102" t="n"/>
      <c r="AZ74" s="102" t="n"/>
      <c r="BA74" s="101" t="n"/>
      <c r="BB74" s="101" t="n"/>
      <c r="BC74" s="87">
        <f>IF(AND(ISNUMBER(BA74),ISNUMBER(BB74),N(BA74)&gt;0),1-BB74/BA74,"")</f>
        <v/>
      </c>
      <c r="BD74" s="103" t="n"/>
      <c r="BE74" s="103" t="n"/>
      <c r="BF74" s="100">
        <f>IF(AND(ISNUMBER(BD74),ISNUMBER(BE74),N(BE74)&gt;0),BD74/BE74,"")</f>
        <v/>
      </c>
      <c r="BG74" s="102" t="n"/>
      <c r="BH74" s="102" t="n"/>
    </row>
    <row r="75" ht="62" customHeight="1">
      <c r="A75" s="39" t="inlineStr">
        <is>
          <t>IMAGE MISSING</t>
        </is>
      </c>
      <c r="B75" s="84" t="inlineStr">
        <is>
          <t>MASVIS</t>
        </is>
      </c>
      <c r="C75" s="32" t="inlineStr">
        <is>
          <t>SL Cooling Comforter</t>
        </is>
      </c>
      <c r="D75" s="84" t="inlineStr">
        <is>
          <t>Untiered</t>
        </is>
      </c>
      <c r="E75" s="84" t="inlineStr">
        <is>
          <t>B0GBWB3NSS</t>
        </is>
      </c>
      <c r="F75" s="84" t="inlineStr">
        <is>
          <t>B0GBV12MKL</t>
        </is>
      </c>
      <c r="G75" s="84" t="n"/>
      <c r="H75" s="84" t="n"/>
      <c r="I75" s="85" t="n"/>
      <c r="J75" s="32" t="inlineStr"/>
      <c r="K75" s="86" t="n">
        <v>23.99</v>
      </c>
      <c r="L75" s="86" t="n"/>
      <c r="M75" s="87">
        <f>IF(AND(ISNUMBER(L75),ISNUMBER(K75),N(K75)&gt;0),L75/K75-1,"")</f>
        <v/>
      </c>
      <c r="N75" s="88">
        <f>IF(M75="","No List Price",IF(M75&lt;=0,"At/below price",IF(M75&lt;=0.12,"&lt;=12% STR zone",IF(M75&lt;=0.25,"12-25%","&gt;25% over"))))</f>
        <v/>
      </c>
      <c r="O75" s="86" t="n">
        <v>69.98999999999999</v>
      </c>
      <c r="P75" s="89">
        <f>IF(AND(ISNUMBER(K75),ISNUMBER(O75),N(O75)&gt;0),K75/O75-1,"")</f>
        <v/>
      </c>
      <c r="Q75" s="32" t="inlineStr">
        <is>
          <t>Size not stated - vs our Queen. Ours live: Helium 10 Xray, 2026-10-13; 5 children</t>
        </is>
      </c>
      <c r="R75" s="85" t="n">
        <v>469677</v>
      </c>
      <c r="S75" s="85" t="n">
        <v>5</v>
      </c>
      <c r="T75" s="90">
        <f>IF(AND(ISNUMBER(K75),ISNUMBER(S75)),K75*S75*52/12,"")</f>
        <v/>
      </c>
      <c r="U75" s="91" t="n">
        <v>4.5</v>
      </c>
      <c r="V75" s="85" t="n">
        <v>204</v>
      </c>
      <c r="W75" s="92" t="n">
        <v>46307</v>
      </c>
      <c r="X75" s="92" t="n"/>
      <c r="Y75" s="84" t="n"/>
      <c r="Z75" s="84" t="n"/>
      <c r="AA75" s="85" t="n"/>
      <c r="AB75" s="85" t="n"/>
      <c r="AC75" s="93" t="n"/>
      <c r="AD75" s="93" t="n"/>
      <c r="AE75" s="32" t="n"/>
      <c r="AF75" s="93" t="n"/>
      <c r="AG75" s="93" t="n"/>
      <c r="AH75" s="93" t="n"/>
      <c r="AI75" s="93" t="n"/>
      <c r="AJ75" s="85" t="n"/>
      <c r="AK75" s="85" t="n"/>
      <c r="AL75" s="85" t="n"/>
      <c r="AM75" s="85" t="n"/>
      <c r="AN75" s="85" t="n"/>
      <c r="AO75" s="85" t="n"/>
      <c r="AP75" s="94" t="n"/>
      <c r="AQ75" s="89" t="n"/>
      <c r="AR75" s="95" t="inlineStr">
        <is>
          <t>N</t>
        </is>
      </c>
      <c r="AS75" s="95" t="inlineStr">
        <is>
          <t>none</t>
        </is>
      </c>
      <c r="AT75" s="101" t="n"/>
      <c r="AU75" s="96" t="n">
        <v>66.98999999999999</v>
      </c>
      <c r="AV75" s="95" t="inlineStr">
        <is>
          <t>none</t>
        </is>
      </c>
      <c r="AW75" s="95" t="inlineStr">
        <is>
          <t>Y</t>
        </is>
      </c>
      <c r="AX75" s="95" t="inlineStr">
        <is>
          <t>2026-10-13 23:48:06</t>
        </is>
      </c>
      <c r="AY75" s="102" t="n"/>
      <c r="AZ75" s="102" t="n"/>
      <c r="BA75" s="101" t="n"/>
      <c r="BB75" s="101" t="n"/>
      <c r="BC75" s="87">
        <f>IF(AND(ISNUMBER(BA75),ISNUMBER(BB75),N(BA75)&gt;0),1-BB75/BA75,"")</f>
        <v/>
      </c>
      <c r="BD75" s="103" t="n"/>
      <c r="BE75" s="103" t="n"/>
      <c r="BF75" s="100">
        <f>IF(AND(ISNUMBER(BD75),ISNUMBER(BE75),N(BE75)&gt;0),BD75/BE75,"")</f>
        <v/>
      </c>
      <c r="BG75" s="102" t="n"/>
      <c r="BH75" s="102" t="n"/>
    </row>
    <row r="76" ht="62" customHeight="1">
      <c r="A76" s="39" t="inlineStr">
        <is>
          <t>IMAGE MISSING</t>
        </is>
      </c>
      <c r="B76" s="84" t="inlineStr">
        <is>
          <t>Wolliwa</t>
        </is>
      </c>
      <c r="C76" s="32" t="inlineStr">
        <is>
          <t>SL Cooling Comforter</t>
        </is>
      </c>
      <c r="D76" s="84" t="inlineStr">
        <is>
          <t>Untiered</t>
        </is>
      </c>
      <c r="E76" s="84" t="inlineStr">
        <is>
          <t>B0FDWBSS6T</t>
        </is>
      </c>
      <c r="F76" s="84" t="inlineStr">
        <is>
          <t>B0DYNVCJG9</t>
        </is>
      </c>
      <c r="G76" s="84" t="n"/>
      <c r="H76" s="84" t="n"/>
      <c r="I76" s="85" t="n"/>
      <c r="J76" s="32" t="inlineStr"/>
      <c r="K76" s="86" t="n">
        <v>28.99</v>
      </c>
      <c r="L76" s="86" t="n"/>
      <c r="M76" s="87">
        <f>IF(AND(ISNUMBER(L76),ISNUMBER(K76),N(K76)&gt;0),L76/K76-1,"")</f>
        <v/>
      </c>
      <c r="N76" s="88">
        <f>IF(M76="","No List Price",IF(M76&lt;=0,"At/below price",IF(M76&lt;=0.12,"&lt;=12% STR zone",IF(M76&lt;=0.25,"12-25%","&gt;25% over"))))</f>
        <v/>
      </c>
      <c r="O76" s="86" t="n">
        <v>69.98999999999999</v>
      </c>
      <c r="P76" s="89">
        <f>IF(AND(ISNUMBER(K76),ISNUMBER(O76),N(O76)&gt;0),K76/O76-1,"")</f>
        <v/>
      </c>
      <c r="Q76" s="32" t="inlineStr">
        <is>
          <t>Size not stated - vs our Queen. Ours live: Helium 10 Xray, 2026-10-13; 5 children</t>
        </is>
      </c>
      <c r="R76" s="85" t="n">
        <v>587105</v>
      </c>
      <c r="S76" s="85" t="n">
        <v>5</v>
      </c>
      <c r="T76" s="90">
        <f>IF(AND(ISNUMBER(K76),ISNUMBER(S76)),K76*S76*52/12,"")</f>
        <v/>
      </c>
      <c r="U76" s="91" t="n">
        <v>4.5</v>
      </c>
      <c r="V76" s="85" t="n">
        <v>384</v>
      </c>
      <c r="W76" s="92" t="n">
        <v>46307</v>
      </c>
      <c r="X76" s="92" t="n"/>
      <c r="Y76" s="84" t="n"/>
      <c r="Z76" s="84" t="n"/>
      <c r="AA76" s="85" t="n"/>
      <c r="AB76" s="85" t="n"/>
      <c r="AC76" s="93" t="n"/>
      <c r="AD76" s="93" t="n"/>
      <c r="AE76" s="32" t="n"/>
      <c r="AF76" s="93" t="n"/>
      <c r="AG76" s="93" t="n"/>
      <c r="AH76" s="93" t="n"/>
      <c r="AI76" s="93" t="n"/>
      <c r="AJ76" s="85" t="n"/>
      <c r="AK76" s="85" t="n"/>
      <c r="AL76" s="85" t="n"/>
      <c r="AM76" s="85" t="n"/>
      <c r="AN76" s="85" t="n"/>
      <c r="AO76" s="85" t="n"/>
      <c r="AP76" s="94" t="n"/>
      <c r="AQ76" s="89" t="n"/>
      <c r="AR76" s="95" t="inlineStr">
        <is>
          <t>N</t>
        </is>
      </c>
      <c r="AS76" s="95" t="inlineStr">
        <is>
          <t>none</t>
        </is>
      </c>
      <c r="AT76" s="101" t="n"/>
      <c r="AU76" s="96" t="n">
        <v>40.37</v>
      </c>
      <c r="AV76" s="95" t="inlineStr">
        <is>
          <t>none</t>
        </is>
      </c>
      <c r="AW76" s="95" t="inlineStr">
        <is>
          <t>Y</t>
        </is>
      </c>
      <c r="AX76" s="95" t="inlineStr">
        <is>
          <t>2026-10-13 23:39:23</t>
        </is>
      </c>
      <c r="AY76" s="102" t="n"/>
      <c r="AZ76" s="102" t="n"/>
      <c r="BA76" s="101" t="n"/>
      <c r="BB76" s="101" t="n"/>
      <c r="BC76" s="87">
        <f>IF(AND(ISNUMBER(BA76),ISNUMBER(BB76),N(BA76)&gt;0),1-BB76/BA76,"")</f>
        <v/>
      </c>
      <c r="BD76" s="103" t="n"/>
      <c r="BE76" s="103" t="n"/>
      <c r="BF76" s="100">
        <f>IF(AND(ISNUMBER(BD76),ISNUMBER(BE76),N(BE76)&gt;0),BD76/BE76,"")</f>
        <v/>
      </c>
      <c r="BG76" s="102" t="n"/>
      <c r="BH76" s="102" t="n"/>
    </row>
    <row r="78" ht="20" customHeight="1">
      <c r="A78" s="54" t="inlineStr">
        <is>
          <t>5 · WHAT THIS MEANS FOR BFCM</t>
        </is>
      </c>
    </row>
    <row r="79" ht="30" customHeight="1">
      <c r="A79" s="104" t="inlineStr">
        <is>
          <t>•  Who sells most: Bedsure ~347/wk at $39.99; REST ~220/wk at $186.75 (List $249.00, +33%); Bedsure ~185/wk at $44.99 (List $59.99, +33%); HOMFINE ~185/wk at $51.99; Cozy Bliss ~104/wk at $59.99 (List $79.99, +33%). Tracked rivals ~1,547 units/wk; we sell ~20/wk (1.2% of the tracked set).</t>
        </is>
      </c>
    </row>
    <row r="80" ht="18" customHeight="1">
      <c r="A80" s="104" t="inlineStr">
        <is>
          <t>•  Strikethrough: 5 of 18 rivals set a List Price above price; 0 within 12%.</t>
        </is>
      </c>
    </row>
    <row r="81" ht="18" customHeight="1">
      <c r="A81" s="104" t="inlineStr">
        <is>
          <t>•  Price: 16 of 18 rivals sit below our price today (same size where the title states one). Cheapest strong rivals: Elegear $39.98, Bedsure $44.99, bedsmile $44.99, Bedtter $44.99.</t>
        </is>
      </c>
    </row>
    <row r="82" ht="30" customHeight="1">
      <c r="A82" s="104" t="inlineStr">
        <is>
          <t>•  Strikethrough on the page today (Oct 13 check): 9 of 18 checked rivals show one: Cozy Bliss List Price $79.99 vs $59.99 (+33%), REST List Price $249.00 vs $186.75 (+33%), Bedsure List Price $59.99 vs $44.99 (+33%) with deal, bedsmile List Price $59.99 vs $44.99 (+33%), Cozy Bliss Typical price $69.99 vs $49.99 (+40%), Elegear Typical price $44.89 vs $39.98 (+12%).</t>
        </is>
      </c>
    </row>
    <row r="83" ht="30" customHeight="1">
      <c r="A83" s="104" t="inlineStr">
        <is>
          <t>•  Search: we lose most shared keywords to REST (we win 7, lose 254), Cozy Bliss (we win 13, lose 225), bedsmile (we win 15, lose 190). Biggest ad gaps (they advertise where we don't or harder): REST 2,643 + 11 KWs, Bedsure 1,401 + 0 KWs, HOMFINE 461 + 8 KWs.</t>
        </is>
      </c>
    </row>
    <row r="84" ht="30" customHeight="1">
      <c r="A84" s="104" t="inlineStr">
        <is>
          <t>•  Brand ads: Cozy Bliss (SB 0%, SBV 88%), REST (SB 96%, SBV 73%), Bedsure (SB 71%, SBV 64%), HOMFINE (SB 73%, SBV 66%), Cozy Bliss (SB 46%, SBV 75%) hold Sponsored Brands / video on most of their traffic - the plan has our SB, SBV and display live by Nov 1.</t>
        </is>
      </c>
    </row>
    <row r="85" ht="18" customHeight="1">
      <c r="A85" s="104" t="inlineStr">
        <is>
          <t>•  Our BFCM 2025: 3.39x daily sales in BFCM week vs the 30 days before; TACoS 12.3% vs 27.0% before; December 4.21x.</t>
        </is>
      </c>
    </row>
    <row r="86" ht="18" customHeight="1">
      <c r="A86" s="104" t="inlineStr">
        <is>
          <t>•  Prime Day 2026: our organic visibility 3.25x vs rivals' median 1.37x (n=8) - we held or out-gained rivals.</t>
        </is>
      </c>
    </row>
    <row r="87" ht="30" customHeight="1">
      <c r="A87" s="104" t="inlineStr">
        <is>
          <t>•  BFCM 2025, 5 rivals with Keepa history: Price cut only 3, Prime Exclusive Discount 2. Median depth vs their Nov 1-19 price 5%; median BSR lift 1.30x. 1 raised their Buy Box in BFCM week, so their deal looked deeper than it was.</t>
        </is>
      </c>
    </row>
    <row r="88" ht="18" customHeight="1">
      <c r="A88" s="104" t="inlineStr">
        <is>
          <t>•  11 rivals not in the Keepa pulls yet (yellow BFCM 2025 columns) - remaining P2 batches, AGENT_PROMPTS Prompt 2.</t>
        </is>
      </c>
    </row>
  </sheetData>
  <autoFilter ref="B58:BH76"/>
  <mergeCells count="73">
    <mergeCell ref="A83:BH83"/>
    <mergeCell ref="A15:BH15"/>
    <mergeCell ref="A41:C41"/>
    <mergeCell ref="A51:BH51"/>
    <mergeCell ref="A46:C46"/>
    <mergeCell ref="A82:BH82"/>
    <mergeCell ref="L5:Q5"/>
    <mergeCell ref="A49:BH49"/>
    <mergeCell ref="A1:BH1"/>
    <mergeCell ref="Q11:T11"/>
    <mergeCell ref="A79:BH79"/>
    <mergeCell ref="L8:Q8"/>
    <mergeCell ref="A88:BH88"/>
    <mergeCell ref="L4:Q4"/>
    <mergeCell ref="D7:I7"/>
    <mergeCell ref="A13:D13"/>
    <mergeCell ref="A78:BH78"/>
    <mergeCell ref="I13:L13"/>
    <mergeCell ref="A42:C42"/>
    <mergeCell ref="K57:W57"/>
    <mergeCell ref="A87:BH87"/>
    <mergeCell ref="A16:BH16"/>
    <mergeCell ref="A47:C47"/>
    <mergeCell ref="D4:I4"/>
    <mergeCell ref="L10:Q10"/>
    <mergeCell ref="E12:H12"/>
    <mergeCell ref="Q13:T13"/>
    <mergeCell ref="D9:I9"/>
    <mergeCell ref="A80:BH80"/>
    <mergeCell ref="U12:X12"/>
    <mergeCell ref="L9:Q9"/>
    <mergeCell ref="Q12:T12"/>
    <mergeCell ref="A84:BH84"/>
    <mergeCell ref="A11:D11"/>
    <mergeCell ref="A50:BH50"/>
    <mergeCell ref="I11:L11"/>
    <mergeCell ref="A43:C43"/>
    <mergeCell ref="A3:BH3"/>
    <mergeCell ref="L6:Q6"/>
    <mergeCell ref="D8:I8"/>
    <mergeCell ref="A4:B9"/>
    <mergeCell ref="A55:BH55"/>
    <mergeCell ref="T6:Y6"/>
    <mergeCell ref="A56:BH56"/>
    <mergeCell ref="AA57:AQ57"/>
    <mergeCell ref="A86:BH86"/>
    <mergeCell ref="A57:H57"/>
    <mergeCell ref="D5:I5"/>
    <mergeCell ref="A40:C40"/>
    <mergeCell ref="AY57:BH57"/>
    <mergeCell ref="M11:P11"/>
    <mergeCell ref="A85:BH85"/>
    <mergeCell ref="U11:X11"/>
    <mergeCell ref="A48:C48"/>
    <mergeCell ref="E13:H13"/>
    <mergeCell ref="A53:BH53"/>
    <mergeCell ref="D10:I10"/>
    <mergeCell ref="L7:Q7"/>
    <mergeCell ref="T5:Y5"/>
    <mergeCell ref="AR57:AX57"/>
    <mergeCell ref="A81:BH81"/>
    <mergeCell ref="A45:C45"/>
    <mergeCell ref="A52:BH52"/>
    <mergeCell ref="A12:D12"/>
    <mergeCell ref="M13:P13"/>
    <mergeCell ref="I12:L12"/>
    <mergeCell ref="U13:X13"/>
    <mergeCell ref="X57:Z57"/>
    <mergeCell ref="M12:P12"/>
    <mergeCell ref="T4:Y4"/>
    <mergeCell ref="D6:I6"/>
    <mergeCell ref="E11:H11"/>
    <mergeCell ref="A39:BH39"/>
  </mergeCells>
  <conditionalFormatting sqref="N59:N76">
    <cfRule type="expression" priority="1" dxfId="1">
      <formula>N59="&lt;=12% STR zone"</formula>
    </cfRule>
  </conditionalFormatting>
  <conditionalFormatting sqref="W59:W76">
    <cfRule type="expression" priority="2" dxfId="0">
      <formula>AND(ISNUMBER(W59),W59&lt;DATE(2026,10,6))</formula>
    </cfRule>
  </conditionalFormatting>
  <conditionalFormatting sqref="Q59:Q76">
    <cfRule type="expression" priority="3" dxfId="0">
      <formula>ISNUMBER(SEARCH("STALE",Q59))</formula>
    </cfRule>
  </conditionalFormatting>
  <conditionalFormatting sqref="P59:P76">
    <cfRule type="expression" priority="4" dxfId="0">
      <formula>AND(ISNUMBER(P59),P59&lt;0)</formula>
    </cfRule>
  </conditionalFormatting>
  <dataValidations count="3">
    <dataValidation sqref="AR59:AR76 BG59:BG76" showDropDown="0" showInputMessage="0" showErrorMessage="0" allowBlank="1" type="list">
      <formula1>"Y,N"</formula1>
    </dataValidation>
    <dataValidation sqref="AS59:AS76" showDropDown="0" showInputMessage="0" showErrorMessage="0" allowBlank="1" type="list">
      <formula1>"List Price,Typical price,Was price,None"</formula1>
    </dataValidation>
    <dataValidation sqref="AY59:AY76"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2.xml><?xml version="1.0" encoding="utf-8"?>
<worksheet xmlns="http://schemas.openxmlformats.org/spreadsheetml/2006/main">
  <sheetPr>
    <outlinePr summaryBelow="1" summaryRight="1"/>
    <pageSetUpPr/>
  </sheetPr>
  <dimension ref="A1:BH12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Cooling Fitted Sheet  ·  Amazon.com (US)  ·  Cooling  ·  BFCM role: Off-season  ·  Scope: Core</t>
        </is>
      </c>
    </row>
    <row r="2">
      <c r="A2" s="53" t="inlineStr">
        <is>
          <t>← Dashboard</t>
        </is>
      </c>
    </row>
    <row r="3" ht="20" customHeight="1">
      <c r="A3" s="54" t="inlineStr">
        <is>
          <t>1 · OUR PRODUCT</t>
        </is>
      </c>
    </row>
    <row r="4" ht="34" customHeight="1">
      <c r="A4" s="10">
        <f>_xlfn.IMAGE("https://m.media-amazon.com/images/I/81G7yE5OfqL._AC_SL1500_.jpg")</f>
        <v/>
      </c>
      <c r="C4" s="11" t="inlineStr">
        <is>
          <t>Title</t>
        </is>
      </c>
      <c r="D4" s="12" t="inlineStr">
        <is>
          <t>SLEEPHORIA Cooling Fitted Sheet King Size - 1 PC BreezeWeave Cooling Sheets for Hot Sleepers &amp; Cool Rest w/ 16 in Deep Pocket - Corner Straps, Cloud Soft, Ultra Durable - 73 x 77 in (White)</t>
        </is>
      </c>
      <c r="K4" s="11" t="inlineStr">
        <is>
          <t>Sizes</t>
        </is>
      </c>
      <c r="L4" s="55" t="inlineStr">
        <is>
          <t>Cal King, Full, King, Queen, Twin</t>
        </is>
      </c>
      <c r="S4" s="11" t="inlineStr">
        <is>
          <t>Break-even ACoS</t>
        </is>
      </c>
      <c r="T4" s="55" t="inlineStr">
        <is>
          <t>25%</t>
        </is>
      </c>
    </row>
    <row r="5" ht="22" customHeight="1">
      <c r="C5" s="11" t="inlineStr">
        <is>
          <t>Brand</t>
        </is>
      </c>
      <c r="D5" s="55" t="inlineStr">
        <is>
          <t>Sleephoria</t>
        </is>
      </c>
      <c r="K5" s="11" t="inlineStr">
        <is>
          <t>Colours</t>
        </is>
      </c>
      <c r="L5" s="55" t="inlineStr">
        <is>
          <t>Beige, Cool Blue, Cool Grey, Cream, Graphite, Light Blue, Light Grey, Light Pink, Midnight Black, Navy Blue, Regal Purple, Sage Green, White</t>
        </is>
      </c>
      <c r="S5" s="11" t="inlineStr">
        <is>
          <t>Units last 28 days</t>
        </is>
      </c>
      <c r="T5" s="55" t="inlineStr">
        <is>
          <t>513</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B0F7M4DPM6 (one of our child ASINs, not the Amazon parent)</t>
        </is>
      </c>
    </row>
    <row r="7" ht="22" customHeight="1">
      <c r="C7" s="11" t="inlineStr">
        <is>
          <t>Parent ASIN (Amazon)</t>
        </is>
      </c>
      <c r="D7" s="55" t="inlineStr">
        <is>
          <t>B0GR6GBJYC</t>
        </is>
      </c>
      <c r="K7" s="11" t="inlineStr">
        <is>
          <t>Rating / reviews now</t>
        </is>
      </c>
      <c r="L7" s="55" t="inlineStr">
        <is>
          <t>4.6 / 496 (Helium 10 Xray, 2026-10-13)</t>
        </is>
      </c>
    </row>
    <row r="8" ht="22" customHeight="1">
      <c r="C8" s="11" t="inlineStr">
        <is>
          <t>Best-selling child ASIN</t>
        </is>
      </c>
      <c r="D8" s="55" t="inlineStr">
        <is>
          <t>B0F7M3YQ5R</t>
        </is>
      </c>
      <c r="K8" s="11" t="inlineStr">
        <is>
          <t>Live prices held</t>
        </is>
      </c>
      <c r="L8" s="55" t="inlineStr">
        <is>
          <t>65 of 65 variations</t>
        </is>
      </c>
    </row>
    <row r="9" ht="22" customHeight="1">
      <c r="C9" s="11" t="inlineStr">
        <is>
          <t>Stage</t>
        </is>
      </c>
      <c r="D9" s="55" t="inlineStr">
        <is>
          <t>Re-Launch</t>
        </is>
      </c>
      <c r="K9" s="11" t="inlineStr">
        <is>
          <t>Blended price (Command Center)</t>
        </is>
      </c>
      <c r="L9" s="55" t="inlineStr">
        <is>
          <t>$33.23 - fee feed as of 2026-03-30, STALE</t>
        </is>
      </c>
    </row>
    <row r="10">
      <c r="C10" s="11" t="inlineStr">
        <is>
          <t>Total variations (SKUs)</t>
        </is>
      </c>
      <c r="D10" s="55" t="n">
        <v>65</v>
      </c>
      <c r="K10" s="11" t="inlineStr">
        <is>
          <t>Contribution / unit</t>
        </is>
      </c>
      <c r="L10" s="55" t="inlineStr">
        <is>
          <t>$8.37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0.98x</t>
        </is>
      </c>
      <c r="E12" s="57" t="inlineStr">
        <is>
          <t>0.0%</t>
        </is>
      </c>
      <c r="I12" s="57" t="inlineStr">
        <is>
          <t>1.43x</t>
        </is>
      </c>
      <c r="M12" s="57" t="inlineStr">
        <is>
          <t>11</t>
        </is>
      </c>
      <c r="Q12" s="57" t="inlineStr">
        <is>
          <t>2</t>
        </is>
      </c>
      <c r="U12" s="57" t="inlineStr">
        <is>
          <t>1</t>
        </is>
      </c>
    </row>
    <row r="13">
      <c r="A13" s="58" t="inlineStr">
        <is>
          <t>daily sales, BFCM wk vs 30 days before (SellerBoard actual)</t>
        </is>
      </c>
      <c r="E13" s="58" t="inlineStr">
        <is>
          <t>vs 0.0% before</t>
        </is>
      </c>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(65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_xlfn.IMAGE("https://m.media-amazon.com/images/I/81G7yE5OfqL.jpg")</f>
        <v/>
      </c>
      <c r="B18" s="32" t="inlineStr">
        <is>
          <t>B0F7M3YQ5R</t>
        </is>
      </c>
      <c r="C18" s="32" t="inlineStr">
        <is>
          <t>SL-COOLING-FITTED-KING-WHITE</t>
        </is>
      </c>
      <c r="D18" s="32" t="inlineStr">
        <is>
          <t>SLEEPHORIA Cooling Fitted Sheet King Size - 1 PC BreezeWeave Cooling Sheets for Hot Sleepers &amp; Cool Rest w/ 16 in Deep Pocket - Corner Straps, Cloud Soft, Ultra Durable - 73 x 77 in (White)</t>
        </is>
      </c>
      <c r="E18" s="32" t="inlineStr">
        <is>
          <t>King</t>
        </is>
      </c>
      <c r="F18" s="32" t="inlineStr">
        <is>
          <t>White</t>
        </is>
      </c>
      <c r="G18" s="60" t="n">
        <v>39.99</v>
      </c>
      <c r="H18" s="32" t="inlineStr">
        <is>
          <t>Helium 10 Xray, 2026-10-13</t>
        </is>
      </c>
      <c r="I18" s="61" t="n">
        <v>34.99</v>
      </c>
      <c r="J18" s="62" t="inlineStr">
        <is>
          <t>2026-03-30</t>
        </is>
      </c>
      <c r="K18" s="33" t="n">
        <v>9.180000000000001</v>
      </c>
      <c r="L18" s="63" t="n">
        <v>0.2623606744784224</v>
      </c>
      <c r="M18" s="64" t="n">
        <v>67</v>
      </c>
      <c r="N18" s="32" t="inlineStr">
        <is>
          <t>Active</t>
        </is>
      </c>
      <c r="O18" s="32" t="inlineStr">
        <is>
          <t>Yes (34%)</t>
        </is>
      </c>
      <c r="P18" s="65" t="n">
        <v>4.6</v>
      </c>
      <c r="Q18" s="64" t="n">
        <v>496</v>
      </c>
      <c r="R18" s="64" t="n">
        <v>49030</v>
      </c>
      <c r="S18" s="64" t="n">
        <v>138</v>
      </c>
      <c r="T18" s="32" t="n"/>
    </row>
    <row r="19" ht="62" customHeight="1">
      <c r="A19" s="10">
        <f>_xlfn.IMAGE("https://m.media-amazon.com/images/I/81G7yE5OfqL.jpg")</f>
        <v/>
      </c>
      <c r="B19" s="32" t="inlineStr">
        <is>
          <t>B0F7M5PNCT</t>
        </is>
      </c>
      <c r="C19" s="32" t="inlineStr">
        <is>
          <t>SL-COOLING-FITTED-QUEEN-WHITE</t>
        </is>
      </c>
      <c r="D19" s="32" t="inlineStr">
        <is>
          <t>SLEEPHORIA Cooling Fitted Sheet Queen Size - 1 PC BreezeWeave Cooling Sheets for Hot Sleepers &amp; Cool Rest w/ 16 in Deep Pocket - Corner Straps, Cloud Soft, Ultra Durable - 57 x 77 in (White)</t>
        </is>
      </c>
      <c r="E19" s="32" t="inlineStr">
        <is>
          <t>Queen</t>
        </is>
      </c>
      <c r="F19" s="32" t="inlineStr">
        <is>
          <t>White</t>
        </is>
      </c>
      <c r="G19" s="60" t="n">
        <v>37.99</v>
      </c>
      <c r="H19" s="32" t="inlineStr">
        <is>
          <t>Helium 10 Xray, 2026-10-13</t>
        </is>
      </c>
      <c r="I19" s="61" t="n">
        <v>31.99</v>
      </c>
      <c r="J19" s="62" t="inlineStr">
        <is>
          <t>2026-03-30</t>
        </is>
      </c>
      <c r="K19" s="33" t="n">
        <v>8.309999999999995</v>
      </c>
      <c r="L19" s="63" t="n">
        <v>0.2597686777117848</v>
      </c>
      <c r="M19" s="64" t="n">
        <v>49</v>
      </c>
      <c r="N19" s="32" t="inlineStr">
        <is>
          <t>Active</t>
        </is>
      </c>
      <c r="O19" s="32" t="inlineStr">
        <is>
          <t>Yes (27%)</t>
        </is>
      </c>
      <c r="P19" s="65" t="n">
        <v>4.6</v>
      </c>
      <c r="Q19" s="64" t="n">
        <v>496</v>
      </c>
      <c r="R19" s="64" t="n">
        <v>49030</v>
      </c>
      <c r="S19" s="64" t="n">
        <v>87</v>
      </c>
      <c r="T19" s="32" t="n"/>
    </row>
    <row r="20" ht="62" customHeight="1">
      <c r="A20" s="10">
        <f>_xlfn.IMAGE("https://m.media-amazon.com/images/I/81AUUOONndL.jpg")</f>
        <v/>
      </c>
      <c r="B20" s="32" t="inlineStr">
        <is>
          <t>B0F7M6BF7C</t>
        </is>
      </c>
      <c r="C20" s="32" t="inlineStr">
        <is>
          <t>SL-COOLING-FITTED-KING-LIGHT-GREY</t>
        </is>
      </c>
      <c r="D20" s="32" t="inlineStr">
        <is>
          <t>SLEEPHORIA Cooling Fitted Sheet King Size - 1 PC BreezeWeave Cooling Sheets for Hot Sleepers &amp; Cool Rest w/ 16 in Deep Pocket - Corner Straps, Cloud Soft, Ultra Durable - 73 x 77 in (Light Grey)</t>
        </is>
      </c>
      <c r="E20" s="32" t="inlineStr">
        <is>
          <t>King</t>
        </is>
      </c>
      <c r="F20" s="32" t="inlineStr">
        <is>
          <t>Light Grey</t>
        </is>
      </c>
      <c r="G20" s="60" t="n">
        <v>39.99</v>
      </c>
      <c r="H20" s="32" t="inlineStr">
        <is>
          <t>SellerBoard listing price, 2026-10-14</t>
        </is>
      </c>
      <c r="I20" s="61" t="n">
        <v>34.99</v>
      </c>
      <c r="J20" s="62" t="inlineStr">
        <is>
          <t>2026-03-30</t>
        </is>
      </c>
      <c r="K20" s="33" t="n">
        <v>8.870000000000003</v>
      </c>
      <c r="L20" s="63" t="n">
        <v>0.253501000285796</v>
      </c>
      <c r="M20" s="64" t="n">
        <v>37</v>
      </c>
      <c r="N20" s="32" t="inlineStr">
        <is>
          <t>Active</t>
        </is>
      </c>
      <c r="O20" s="32" t="n"/>
      <c r="P20" s="65" t="n"/>
      <c r="Q20" s="64" t="n"/>
      <c r="R20" s="64" t="n"/>
      <c r="S20" s="64" t="n"/>
      <c r="T20" s="32" t="n"/>
    </row>
    <row r="21" ht="62" customHeight="1">
      <c r="A21" s="10">
        <f>_xlfn.IMAGE("https://m.media-amazon.com/images/I/81r690HkxWL.jpg")</f>
        <v/>
      </c>
      <c r="B21" s="32" t="inlineStr">
        <is>
          <t>B0F7M5SD7Q</t>
        </is>
      </c>
      <c r="C21" s="32" t="inlineStr">
        <is>
          <t>SL-COOLING-FITTED-KING-COOL-GREY</t>
        </is>
      </c>
      <c r="D21" s="32" t="inlineStr">
        <is>
          <t>SLEEPHORIA Cooling Fitted Sheet King Size - 1 PC BreezeWeave Cooling Sheets for Hot Sleepers &amp; Cool Rest w/ 16 in Deep Pocket - Corner Straps, Cloud Soft, Ultra Durable - 73 x 77 in (Cool Grey)</t>
        </is>
      </c>
      <c r="E21" s="32" t="inlineStr">
        <is>
          <t>King</t>
        </is>
      </c>
      <c r="F21" s="32" t="inlineStr">
        <is>
          <t>Cool Grey</t>
        </is>
      </c>
      <c r="G21" s="60" t="n">
        <v>39.99</v>
      </c>
      <c r="H21" s="32" t="inlineStr">
        <is>
          <t>Helium 10 Xray, 2026-10-13</t>
        </is>
      </c>
      <c r="I21" s="61" t="n">
        <v>32.99</v>
      </c>
      <c r="J21" s="62" t="inlineStr">
        <is>
          <t>2026-03-22</t>
        </is>
      </c>
      <c r="K21" s="33" t="n">
        <v>7.250000000000002</v>
      </c>
      <c r="L21" s="63" t="n">
        <v>0.2197635647165808</v>
      </c>
      <c r="M21" s="64" t="n">
        <v>32</v>
      </c>
      <c r="N21" s="32" t="inlineStr">
        <is>
          <t>Active</t>
        </is>
      </c>
      <c r="O21" s="32" t="inlineStr">
        <is>
          <t>Yes (9%)</t>
        </is>
      </c>
      <c r="P21" s="65" t="n">
        <v>4.6</v>
      </c>
      <c r="Q21" s="64" t="n">
        <v>496</v>
      </c>
      <c r="R21" s="64" t="n">
        <v>49030</v>
      </c>
      <c r="S21" s="64" t="n">
        <v>87</v>
      </c>
      <c r="T21" s="32" t="n"/>
    </row>
    <row r="22" ht="62" customHeight="1">
      <c r="A22" s="10">
        <f>_xlfn.IMAGE("https://m.media-amazon.com/images/I/815Zr2bHyBL.jpg")</f>
        <v/>
      </c>
      <c r="B22" s="32" t="inlineStr">
        <is>
          <t>B0F7M8SJ5Q</t>
        </is>
      </c>
      <c r="C22" s="32" t="inlineStr">
        <is>
          <t>SL-COOLING-FITTED-KING-BEIGE</t>
        </is>
      </c>
      <c r="D22" s="32" t="inlineStr">
        <is>
          <t>SLEEPHORIA Cooling Fitted Sheet King Size - 1 PC BreezeWeave Cooling Sheets for Hot Sleepers &amp; Cool Rest w/ 16 in Deep Pocket - Corner Straps, Cloud Soft, Ultra Durable - 73 x 77 in (Beige)</t>
        </is>
      </c>
      <c r="E22" s="32" t="inlineStr">
        <is>
          <t>King</t>
        </is>
      </c>
      <c r="F22" s="32" t="inlineStr">
        <is>
          <t>Beige</t>
        </is>
      </c>
      <c r="G22" s="60" t="n">
        <v>39.99</v>
      </c>
      <c r="H22" s="32" t="inlineStr">
        <is>
          <t>Helium 10 Xray, 2026-10-13</t>
        </is>
      </c>
      <c r="I22" s="61" t="n">
        <v>34.99</v>
      </c>
      <c r="J22" s="62" t="inlineStr">
        <is>
          <t>2026-03-30</t>
        </is>
      </c>
      <c r="K22" s="33" t="n">
        <v>8.870000000000003</v>
      </c>
      <c r="L22" s="63" t="n">
        <v>0.253501000285796</v>
      </c>
      <c r="M22" s="64" t="n">
        <v>31</v>
      </c>
      <c r="N22" s="32" t="inlineStr">
        <is>
          <t>Active</t>
        </is>
      </c>
      <c r="O22" s="32" t="n"/>
      <c r="P22" s="65" t="n">
        <v>4.6</v>
      </c>
      <c r="Q22" s="64" t="n">
        <v>496</v>
      </c>
      <c r="R22" s="64" t="n">
        <v>49030</v>
      </c>
      <c r="S22" s="64" t="n">
        <v>85</v>
      </c>
      <c r="T22" s="32" t="n"/>
    </row>
    <row r="23" ht="62" customHeight="1">
      <c r="A23" s="10">
        <f>_xlfn.IMAGE("https://m.media-amazon.com/images/I/81hT0qOPgZL.jpg")</f>
        <v/>
      </c>
      <c r="B23" s="32" t="inlineStr">
        <is>
          <t>B0F7M35CHR</t>
        </is>
      </c>
      <c r="C23" s="32" t="inlineStr">
        <is>
          <t>SL-COOLING-FITTED-QUEEN-MIDNIGHT-BLACK</t>
        </is>
      </c>
      <c r="D23" s="32" t="inlineStr">
        <is>
          <t>SLEEPHORIA Cooling Fitted Sheet Queen Size - 1 PC BreezeWeave Cooling Sheets for Hot Sleepers &amp; Cool Rest w/ 16 in Deep Pocket - Corner Straps, Cloud Soft, Ultra Durable - 57 x 77 in (Midnight Black)</t>
        </is>
      </c>
      <c r="E23" s="32" t="inlineStr">
        <is>
          <t>Queen</t>
        </is>
      </c>
      <c r="F23" s="32" t="inlineStr">
        <is>
          <t>Midnight Black</t>
        </is>
      </c>
      <c r="G23" s="60" t="n">
        <v>37.99</v>
      </c>
      <c r="H23" s="32" t="inlineStr">
        <is>
          <t>Helium 10 Xray, 2026-10-13</t>
        </is>
      </c>
      <c r="I23" s="61" t="n">
        <v>31.99</v>
      </c>
      <c r="J23" s="62" t="inlineStr">
        <is>
          <t>2026-03-30</t>
        </is>
      </c>
      <c r="K23" s="33" t="n">
        <v>8.309999999999995</v>
      </c>
      <c r="L23" s="63" t="n">
        <v>0.2597686777117848</v>
      </c>
      <c r="M23" s="64" t="n">
        <v>27</v>
      </c>
      <c r="N23" s="32" t="inlineStr">
        <is>
          <t>Active</t>
        </is>
      </c>
      <c r="O23" s="32" t="n"/>
      <c r="P23" s="65" t="n">
        <v>4.6</v>
      </c>
      <c r="Q23" s="64" t="n">
        <v>496</v>
      </c>
      <c r="R23" s="64" t="n">
        <v>49030</v>
      </c>
      <c r="S23" s="64" t="n">
        <v>71</v>
      </c>
      <c r="T23" s="32" t="n"/>
    </row>
    <row r="24" ht="62" customHeight="1">
      <c r="A24" s="10">
        <f>_xlfn.IMAGE("https://m.media-amazon.com/images/I/81hT0qOPgZL.jpg")</f>
        <v/>
      </c>
      <c r="B24" s="32" t="inlineStr">
        <is>
          <t>B0F7M3CF1Q</t>
        </is>
      </c>
      <c r="C24" s="32" t="inlineStr">
        <is>
          <t>SL-COOLING-FITTED-KING-MIDNIGHT-BLACK</t>
        </is>
      </c>
      <c r="D24" s="32" t="inlineStr">
        <is>
          <t>SLEEPHORIA Cooling Fitted Sheet King Size - 1 PC BreezeWeave Cooling Sheets for Hot Sleepers &amp; Cool Rest w/ 16 in Deep Pocket - Corner Straps, Cloud Soft, Ultra Durable - 73 x 77 in (Midnight Black)</t>
        </is>
      </c>
      <c r="E24" s="32" t="inlineStr">
        <is>
          <t>King</t>
        </is>
      </c>
      <c r="F24" s="32" t="inlineStr">
        <is>
          <t>Midnight Black</t>
        </is>
      </c>
      <c r="G24" s="60" t="n">
        <v>39.99</v>
      </c>
      <c r="H24" s="32" t="inlineStr">
        <is>
          <t>Helium 10 Xray, 2026-10-13</t>
        </is>
      </c>
      <c r="I24" s="61" t="n">
        <v>34.99</v>
      </c>
      <c r="J24" s="62" t="inlineStr">
        <is>
          <t>2026-03-30</t>
        </is>
      </c>
      <c r="K24" s="33" t="n">
        <v>9.100000000000003</v>
      </c>
      <c r="L24" s="63" t="n">
        <v>0.2600743069448415</v>
      </c>
      <c r="M24" s="64" t="n">
        <v>25</v>
      </c>
      <c r="N24" s="32" t="inlineStr">
        <is>
          <t>Active</t>
        </is>
      </c>
      <c r="O24" s="32" t="inlineStr">
        <is>
          <t>Yes (7%)</t>
        </is>
      </c>
      <c r="P24" s="65" t="n">
        <v>4.6</v>
      </c>
      <c r="Q24" s="64" t="n">
        <v>496</v>
      </c>
      <c r="R24" s="64" t="n">
        <v>49029</v>
      </c>
      <c r="S24" s="64" t="n">
        <v>83</v>
      </c>
      <c r="T24" s="32" t="n"/>
    </row>
    <row r="25" ht="62" customHeight="1">
      <c r="A25" s="10">
        <f>_xlfn.IMAGE("https://m.media-amazon.com/images/I/81-LAAiOPsL.jpg")</f>
        <v/>
      </c>
      <c r="B25" s="32" t="inlineStr">
        <is>
          <t>B0F7M87QYF</t>
        </is>
      </c>
      <c r="C25" s="32" t="inlineStr">
        <is>
          <t>SL-COOLING-FITTED-QUEEN-GRAPHITE</t>
        </is>
      </c>
      <c r="D25" s="32" t="inlineStr">
        <is>
          <t>SLEEPHORIA Cooling Fitted Sheet Queen Size - 1 PC BreezeWeave Cooling Sheets for Hot Sleepers &amp; Cool Rest w/ 16 in Deep Pocket - Corner Straps, Cloud Soft, Ultra Durable - 57 x 77 in (Graphite)</t>
        </is>
      </c>
      <c r="E25" s="32" t="inlineStr">
        <is>
          <t>Queen</t>
        </is>
      </c>
      <c r="F25" s="32" t="inlineStr">
        <is>
          <t>Graphite</t>
        </is>
      </c>
      <c r="G25" s="60" t="n">
        <v>37.99</v>
      </c>
      <c r="H25" s="32" t="inlineStr">
        <is>
          <t>Helium 10 Xray, 2026-10-13</t>
        </is>
      </c>
      <c r="I25" s="61" t="n">
        <v>31.99</v>
      </c>
      <c r="J25" s="62" t="inlineStr">
        <is>
          <t>2026-03-30</t>
        </is>
      </c>
      <c r="K25" s="33" t="n">
        <v>8.449999999999996</v>
      </c>
      <c r="L25" s="63" t="n">
        <v>0.2641450453266644</v>
      </c>
      <c r="M25" s="64" t="n">
        <v>22</v>
      </c>
      <c r="N25" s="32" t="inlineStr">
        <is>
          <t>Active</t>
        </is>
      </c>
      <c r="O25" s="32" t="n"/>
      <c r="P25" s="65" t="n">
        <v>4.6</v>
      </c>
      <c r="Q25" s="64" t="n">
        <v>496</v>
      </c>
      <c r="R25" s="64" t="n">
        <v>49029</v>
      </c>
      <c r="S25" s="64" t="n">
        <v>11</v>
      </c>
      <c r="T25" s="32" t="n"/>
    </row>
    <row r="26" ht="62" customHeight="1">
      <c r="A26" s="10">
        <f>_xlfn.IMAGE("https://m.media-amazon.com/images/I/81Tr9Bh8YxL.jpg")</f>
        <v/>
      </c>
      <c r="B26" s="32" t="inlineStr">
        <is>
          <t>B0F7M6Q6G8</t>
        </is>
      </c>
      <c r="C26" s="32" t="inlineStr">
        <is>
          <t>SL-COOLING-FITTED-QUEEN-SAGE-GREEN</t>
        </is>
      </c>
      <c r="D26" s="32" t="inlineStr">
        <is>
          <t>SLEEPHORIA Cooling Fitted Sheet Queen Size - 1 PC BreezeWeave Cooling Sheets for Hot Sleepers &amp; Cool Rest w/ 16 in Deep Pocket - Corner Straps, Cloud Soft, Ultra Durable - 57 x 77 in (Sage Green)</t>
        </is>
      </c>
      <c r="E26" s="32" t="inlineStr">
        <is>
          <t>Queen</t>
        </is>
      </c>
      <c r="F26" s="32" t="inlineStr">
        <is>
          <t>Sage Green</t>
        </is>
      </c>
      <c r="G26" s="60" t="n">
        <v>37.99</v>
      </c>
      <c r="H26" s="32" t="inlineStr">
        <is>
          <t>Helium 10 Xray, 2026-10-13</t>
        </is>
      </c>
      <c r="I26" s="61" t="n">
        <v>31.99</v>
      </c>
      <c r="J26" s="62" t="inlineStr">
        <is>
          <t>2026-03-30</t>
        </is>
      </c>
      <c r="K26" s="33" t="n">
        <v>8.449999999999996</v>
      </c>
      <c r="L26" s="63" t="n">
        <v>0.2641450453266644</v>
      </c>
      <c r="M26" s="64" t="n">
        <v>20</v>
      </c>
      <c r="N26" s="32" t="inlineStr">
        <is>
          <t>Active</t>
        </is>
      </c>
      <c r="O26" s="32" t="n"/>
      <c r="P26" s="65" t="n">
        <v>4.6</v>
      </c>
      <c r="Q26" s="64" t="n">
        <v>496</v>
      </c>
      <c r="R26" s="64" t="n">
        <v>49030</v>
      </c>
      <c r="S26" s="64" t="n">
        <v>9</v>
      </c>
      <c r="T26" s="32" t="n"/>
    </row>
    <row r="27" ht="62" customHeight="1">
      <c r="A27" s="10">
        <f>_xlfn.IMAGE("https://m.media-amazon.com/images/I/81Tr9Bh8YxL.jpg")</f>
        <v/>
      </c>
      <c r="B27" s="32" t="inlineStr">
        <is>
          <t>B0F7M6Q25P</t>
        </is>
      </c>
      <c r="C27" s="32" t="inlineStr">
        <is>
          <t>SL-COOLING-FITTED-KING-SAGE-GREEN</t>
        </is>
      </c>
      <c r="D27" s="32" t="inlineStr">
        <is>
          <t>SLEEPHORIA Cooling Fitted Sheet King Size - 1 PC BreezeWeave Cooling Sheets for Hot Sleepers &amp; Cool Rest w/ 16 in Deep Pocket - Corner Straps, Cloud Soft, Ultra Durable - 73 x 77 in (Sage Green)</t>
        </is>
      </c>
      <c r="E27" s="32" t="inlineStr">
        <is>
          <t>King</t>
        </is>
      </c>
      <c r="F27" s="32" t="inlineStr">
        <is>
          <t>Sage Green</t>
        </is>
      </c>
      <c r="G27" s="60" t="n">
        <v>41.59</v>
      </c>
      <c r="H27" s="32" t="inlineStr">
        <is>
          <t>Helium 10 Xray, 2026-10-13</t>
        </is>
      </c>
      <c r="I27" s="61" t="n">
        <v>34.99</v>
      </c>
      <c r="J27" s="62" t="inlineStr">
        <is>
          <t>2026-03-30</t>
        </is>
      </c>
      <c r="K27" s="33" t="n">
        <v>8.870000000000003</v>
      </c>
      <c r="L27" s="63" t="n">
        <v>0.253501000285796</v>
      </c>
      <c r="M27" s="64" t="n">
        <v>19</v>
      </c>
      <c r="N27" s="32" t="inlineStr">
        <is>
          <t>Active</t>
        </is>
      </c>
      <c r="O27" s="32" t="n"/>
      <c r="P27" s="65" t="n">
        <v>4.6</v>
      </c>
      <c r="Q27" s="64" t="n">
        <v>496</v>
      </c>
      <c r="R27" s="64" t="n">
        <v>49030</v>
      </c>
      <c r="S27" s="64" t="n">
        <v>22</v>
      </c>
      <c r="T27" s="32" t="n"/>
    </row>
    <row r="28" ht="62" customHeight="1">
      <c r="A28" s="10">
        <f>_xlfn.IMAGE("https://m.media-amazon.com/images/I/8101fCLlt+L.jpg")</f>
        <v/>
      </c>
      <c r="B28" s="32" t="inlineStr">
        <is>
          <t>B0F7M55274</t>
        </is>
      </c>
      <c r="C28" s="32" t="inlineStr">
        <is>
          <t>SL-COOLING-FITTED-QUEEN-CREAM</t>
        </is>
      </c>
      <c r="D28" s="32" t="inlineStr">
        <is>
          <t>SLEEPHORIA Cooling Fitted Sheet Queen Size - 1 PC BreezeWeave Cooling Sheets for Hot Sleepers &amp; Cool Rest w/ 16 in Deep Pocket - Corner Straps, Cloud Soft, Ultra Durable - 57 x 77 in (Cream)</t>
        </is>
      </c>
      <c r="E28" s="32" t="inlineStr">
        <is>
          <t>Queen</t>
        </is>
      </c>
      <c r="F28" s="32" t="inlineStr">
        <is>
          <t>Cream</t>
        </is>
      </c>
      <c r="G28" s="60" t="n">
        <v>37.99</v>
      </c>
      <c r="H28" s="32" t="inlineStr">
        <is>
          <t>Helium 10 Xray, 2026-10-13</t>
        </is>
      </c>
      <c r="I28" s="61" t="n">
        <v>31.99</v>
      </c>
      <c r="J28" s="62" t="inlineStr">
        <is>
          <t>2026-03-30</t>
        </is>
      </c>
      <c r="K28" s="33" t="n">
        <v>8.449999999999996</v>
      </c>
      <c r="L28" s="63" t="n">
        <v>0.2641450453266644</v>
      </c>
      <c r="M28" s="64" t="n">
        <v>19</v>
      </c>
      <c r="N28" s="32" t="inlineStr">
        <is>
          <t>Active</t>
        </is>
      </c>
      <c r="O28" s="32" t="n"/>
      <c r="P28" s="65" t="n">
        <v>4.6</v>
      </c>
      <c r="Q28" s="64" t="n">
        <v>496</v>
      </c>
      <c r="R28" s="64" t="n">
        <v>49030</v>
      </c>
      <c r="S28" s="64" t="n">
        <v>10</v>
      </c>
      <c r="T28" s="32" t="n"/>
    </row>
    <row r="29" ht="62" customHeight="1">
      <c r="A29" s="10">
        <f>_xlfn.IMAGE("https://m.media-amazon.com/images/I/81pizSJLziL.jpg")</f>
        <v/>
      </c>
      <c r="B29" s="32" t="inlineStr">
        <is>
          <t>B0F7M5V4JC</t>
        </is>
      </c>
      <c r="C29" s="32" t="inlineStr">
        <is>
          <t>SL-COOLING-FITTED-QUEEN-REGAL-PURPLE</t>
        </is>
      </c>
      <c r="D29" s="32" t="inlineStr">
        <is>
          <t>SLEEPHORIA Cooling Fitted Sheet Queen Size - 1 PC BreezeWeave Cooling Sheets for Hot Sleepers &amp; Cool Rest w/ 16 in Deep Pocket - Corner Straps, Cloud Soft, Ultra Durable - 57 x 77 in (Regal Purple)</t>
        </is>
      </c>
      <c r="E29" s="32" t="inlineStr">
        <is>
          <t>Queen</t>
        </is>
      </c>
      <c r="F29" s="32" t="inlineStr">
        <is>
          <t>Regal Purple</t>
        </is>
      </c>
      <c r="G29" s="60" t="n">
        <v>37.99</v>
      </c>
      <c r="H29" s="32" t="inlineStr">
        <is>
          <t>Helium 10 Xray, 2026-10-13</t>
        </is>
      </c>
      <c r="I29" s="61" t="n">
        <v>31.99</v>
      </c>
      <c r="J29" s="62" t="inlineStr">
        <is>
          <t>2026-03-30</t>
        </is>
      </c>
      <c r="K29" s="33" t="n">
        <v>8.159999999999997</v>
      </c>
      <c r="L29" s="63" t="n">
        <v>0.2550797124101281</v>
      </c>
      <c r="M29" s="64" t="n">
        <v>15</v>
      </c>
      <c r="N29" s="32" t="inlineStr">
        <is>
          <t>Active</t>
        </is>
      </c>
      <c r="O29" s="32" t="inlineStr">
        <is>
          <t>Yes (6%)</t>
        </is>
      </c>
      <c r="P29" s="65" t="n">
        <v>4.6</v>
      </c>
      <c r="Q29" s="64" t="n">
        <v>496</v>
      </c>
      <c r="R29" s="64" t="n">
        <v>49029</v>
      </c>
      <c r="S29" s="64" t="n">
        <v>5</v>
      </c>
      <c r="T29" s="32" t="n"/>
    </row>
    <row r="30" ht="62" customHeight="1">
      <c r="A30" s="10">
        <f>_xlfn.IMAGE("https://m.media-amazon.com/images/I/81r690HkxWL.jpg")</f>
        <v/>
      </c>
      <c r="B30" s="32" t="inlineStr">
        <is>
          <t>B0F7M4H352</t>
        </is>
      </c>
      <c r="C30" s="32" t="inlineStr">
        <is>
          <t>SL-COOLING-FITTED-FULL-COOL-GREY</t>
        </is>
      </c>
      <c r="D30" s="32" t="inlineStr">
        <is>
          <t>SLEEPHORIA Cooling Fitted Sheet Full Size - 1 PC BreezeWeave Cooling Sheets for Hot Sleepers &amp; Cool Rest w/ 16 in Deep Pocket - Corner Straps, Cloud Soft, Ultra Durable - 52 x 72 in (Cool Grey)</t>
        </is>
      </c>
      <c r="E30" s="32" t="inlineStr">
        <is>
          <t>Full</t>
        </is>
      </c>
      <c r="F30" s="32" t="inlineStr">
        <is>
          <t>Cool Grey</t>
        </is>
      </c>
      <c r="G30" s="60" t="n">
        <v>35.99</v>
      </c>
      <c r="H30" s="32" t="inlineStr">
        <is>
          <t>Helium 10 Xray, 2026-10-13</t>
        </is>
      </c>
      <c r="I30" s="61" t="n">
        <v>29.99</v>
      </c>
      <c r="J30" s="62" t="inlineStr">
        <is>
          <t>2026-03-30</t>
        </is>
      </c>
      <c r="K30" s="33" t="n">
        <v>7.799999999999997</v>
      </c>
      <c r="L30" s="63" t="n">
        <v>0.2600866955651883</v>
      </c>
      <c r="M30" s="64" t="n">
        <v>13</v>
      </c>
      <c r="N30" s="32" t="inlineStr">
        <is>
          <t>Active</t>
        </is>
      </c>
      <c r="O30" s="32" t="n"/>
      <c r="P30" s="65" t="n">
        <v>4.6</v>
      </c>
      <c r="Q30" s="64" t="n">
        <v>496</v>
      </c>
      <c r="R30" s="64" t="n">
        <v>49030</v>
      </c>
      <c r="S30" s="64" t="n">
        <v>14</v>
      </c>
      <c r="T30" s="32" t="n"/>
    </row>
    <row r="31" ht="62" customHeight="1">
      <c r="A31" s="10">
        <f>_xlfn.IMAGE("https://m.media-amazon.com/images/I/815Zr2bHyBL.jpg")</f>
        <v/>
      </c>
      <c r="B31" s="32" t="inlineStr">
        <is>
          <t>B0F7M4HC5F</t>
        </is>
      </c>
      <c r="C31" s="32" t="inlineStr">
        <is>
          <t>SL-COOLING-FITTED-QUEEN-BEIGE</t>
        </is>
      </c>
      <c r="D31" s="32" t="inlineStr">
        <is>
          <t>SLEEPHORIA Cooling Fitted Sheet Queen Size - 1 PC BreezeWeave Cooling Sheets for Hot Sleepers &amp; Cool Rest w/ 16 in Deep Pocket - Corner Straps, Cloud Soft, Ultra Durable - 57 x 77 in (Beige)</t>
        </is>
      </c>
      <c r="E31" s="32" t="inlineStr">
        <is>
          <t>Queen</t>
        </is>
      </c>
      <c r="F31" s="32" t="inlineStr">
        <is>
          <t>Beige</t>
        </is>
      </c>
      <c r="G31" s="60" t="n">
        <v>37.99</v>
      </c>
      <c r="H31" s="32" t="inlineStr">
        <is>
          <t>Helium 10 Xray, 2026-10-13</t>
        </is>
      </c>
      <c r="I31" s="61" t="n">
        <v>31.99</v>
      </c>
      <c r="J31" s="62" t="inlineStr">
        <is>
          <t>2026-03-30</t>
        </is>
      </c>
      <c r="K31" s="33" t="n">
        <v>8.449999999999996</v>
      </c>
      <c r="L31" s="63" t="n">
        <v>0.2641450453266644</v>
      </c>
      <c r="M31" s="64" t="n">
        <v>13</v>
      </c>
      <c r="N31" s="32" t="inlineStr">
        <is>
          <t>Active</t>
        </is>
      </c>
      <c r="O31" s="32" t="n"/>
      <c r="P31" s="65" t="n">
        <v>4.6</v>
      </c>
      <c r="Q31" s="64" t="n">
        <v>496</v>
      </c>
      <c r="R31" s="64" t="n">
        <v>49030</v>
      </c>
      <c r="S31" s="64" t="n">
        <v>43</v>
      </c>
      <c r="T31" s="32" t="n"/>
    </row>
    <row r="32" ht="62" customHeight="1">
      <c r="A32" s="10">
        <f>_xlfn.IMAGE("https://m.media-amazon.com/images/I/81qB8822yoL.jpg")</f>
        <v/>
      </c>
      <c r="B32" s="32" t="inlineStr">
        <is>
          <t>B0F7M4WBKD</t>
        </is>
      </c>
      <c r="C32" s="32" t="inlineStr">
        <is>
          <t>SL-COOLING-FITTED-KING-LIGHT-BLUE</t>
        </is>
      </c>
      <c r="D32" s="32" t="inlineStr">
        <is>
          <t>SLEEPHORIA Cooling Fitted Sheet King Size - 1 PC BreezeWeave Cooling Sheets for Hot Sleepers &amp; Cool Rest w/ 16 in Deep Pocket - Corner Straps, Cloud Soft, Ultra Durable - 73 x 77 in (Light Blue)</t>
        </is>
      </c>
      <c r="E32" s="32" t="inlineStr">
        <is>
          <t>King</t>
        </is>
      </c>
      <c r="F32" s="32" t="inlineStr">
        <is>
          <t>Light Blue</t>
        </is>
      </c>
      <c r="G32" s="60" t="n">
        <v>39.99</v>
      </c>
      <c r="H32" s="32" t="inlineStr">
        <is>
          <t>Helium 10 Xray, 2026-10-13</t>
        </is>
      </c>
      <c r="I32" s="61" t="n">
        <v>34.99</v>
      </c>
      <c r="J32" s="62" t="inlineStr">
        <is>
          <t>2026-03-30</t>
        </is>
      </c>
      <c r="K32" s="33" t="n">
        <v>8.870000000000003</v>
      </c>
      <c r="L32" s="63" t="n">
        <v>0.253501000285796</v>
      </c>
      <c r="M32" s="64" t="n">
        <v>12</v>
      </c>
      <c r="N32" s="32" t="inlineStr">
        <is>
          <t>Active</t>
        </is>
      </c>
      <c r="O32" s="32" t="n"/>
      <c r="P32" s="65" t="n">
        <v>4.6</v>
      </c>
      <c r="Q32" s="64" t="n">
        <v>496</v>
      </c>
      <c r="R32" s="64" t="n">
        <v>49030</v>
      </c>
      <c r="S32" s="64" t="n">
        <v>3</v>
      </c>
      <c r="T32" s="32" t="n"/>
    </row>
    <row r="33" ht="62" customHeight="1">
      <c r="A33" s="10">
        <f>_xlfn.IMAGE("https://m.media-amazon.com/images/I/81r690HkxWL.jpg")</f>
        <v/>
      </c>
      <c r="B33" s="32" t="inlineStr">
        <is>
          <t>B0F7M5TVQF</t>
        </is>
      </c>
      <c r="C33" s="32" t="inlineStr">
        <is>
          <t>SL-COOLING-FITTED-QUEEN-COOL-GREY</t>
        </is>
      </c>
      <c r="D33" s="32" t="inlineStr">
        <is>
          <t>SLEEPHORIA Cooling Fitted Sheet Queen Size - 1 PC BreezeWeave Cooling Sheets for Hot Sleepers &amp; Cool Rest w/ 16 in Deep Pocket - Corner Straps, Cloud Soft, Ultra Durable - 57 x 77 in (Cool Grey)</t>
        </is>
      </c>
      <c r="E33" s="32" t="inlineStr">
        <is>
          <t>Queen</t>
        </is>
      </c>
      <c r="F33" s="32" t="inlineStr">
        <is>
          <t>Cool Grey</t>
        </is>
      </c>
      <c r="G33" s="60" t="n">
        <v>37.99</v>
      </c>
      <c r="H33" s="32" t="inlineStr">
        <is>
          <t>Helium 10 Xray, 2026-10-13</t>
        </is>
      </c>
      <c r="I33" s="61" t="n">
        <v>29.99</v>
      </c>
      <c r="J33" s="62" t="inlineStr">
        <is>
          <t>2026-03-24</t>
        </is>
      </c>
      <c r="K33" s="33" t="n">
        <v>6.749999999999996</v>
      </c>
      <c r="L33" s="63" t="n">
        <v>0.225075025008336</v>
      </c>
      <c r="M33" s="64" t="n">
        <v>12</v>
      </c>
      <c r="N33" s="32" t="inlineStr">
        <is>
          <t>Active</t>
        </is>
      </c>
      <c r="O33" s="32" t="n"/>
      <c r="P33" s="65" t="n">
        <v>4.6</v>
      </c>
      <c r="Q33" s="64" t="n">
        <v>496</v>
      </c>
      <c r="R33" s="64" t="n">
        <v>49030</v>
      </c>
      <c r="S33" s="64" t="n">
        <v>23</v>
      </c>
      <c r="T33" s="32" t="n"/>
    </row>
    <row r="34" ht="62" customHeight="1">
      <c r="A34" s="10">
        <f>_xlfn.IMAGE("https://m.media-amazon.com/images/I/81pizSJLziL.jpg")</f>
        <v/>
      </c>
      <c r="B34" s="32" t="inlineStr">
        <is>
          <t>B0F7M4DRJN</t>
        </is>
      </c>
      <c r="C34" s="32" t="inlineStr">
        <is>
          <t>SL-COOLING-FITTED-KING-REGAL-PURPLE</t>
        </is>
      </c>
      <c r="D34" s="32" t="inlineStr">
        <is>
          <t>SLEEPHORIA Cooling Fitted Sheet King Size - 1 PC BreezeWeave Cooling Sheets for Hot Sleepers &amp; Cool Rest w/ 16 in Deep Pocket - Corner Straps, Cloud Soft, Ultra Durable - 73 x 77 in (Regal Purple)</t>
        </is>
      </c>
      <c r="E34" s="32" t="inlineStr">
        <is>
          <t>King</t>
        </is>
      </c>
      <c r="F34" s="32" t="inlineStr">
        <is>
          <t>Regal Purple</t>
        </is>
      </c>
      <c r="G34" s="60" t="n">
        <v>39.99</v>
      </c>
      <c r="H34" s="32" t="inlineStr">
        <is>
          <t>Helium 10 Xray, 2026-10-13</t>
        </is>
      </c>
      <c r="I34" s="61" t="n">
        <v>34.99</v>
      </c>
      <c r="J34" s="62" t="inlineStr">
        <is>
          <t>2026-03-30</t>
        </is>
      </c>
      <c r="K34" s="33" t="n">
        <v>9.100000000000003</v>
      </c>
      <c r="L34" s="63" t="n">
        <v>0.2600743069448415</v>
      </c>
      <c r="M34" s="64" t="n">
        <v>10</v>
      </c>
      <c r="N34" s="32" t="inlineStr">
        <is>
          <t>Active</t>
        </is>
      </c>
      <c r="O34" s="32" t="n"/>
      <c r="P34" s="65" t="n">
        <v>4.6</v>
      </c>
      <c r="Q34" s="64" t="n">
        <v>496</v>
      </c>
      <c r="R34" s="64" t="n">
        <v>49030</v>
      </c>
      <c r="S34" s="64" t="n">
        <v>6</v>
      </c>
      <c r="T34" s="32" t="n"/>
    </row>
    <row r="35" ht="62" customHeight="1">
      <c r="A35" s="10">
        <f>_xlfn.IMAGE("https://m.media-amazon.com/images/I/814rCVRR52L.jpg")</f>
        <v/>
      </c>
      <c r="B35" s="32" t="inlineStr">
        <is>
          <t>B0F7M3184Y</t>
        </is>
      </c>
      <c r="C35" s="32" t="inlineStr">
        <is>
          <t>SL-COOLING-FITTED-QUEEN-NAVY-BLUE</t>
        </is>
      </c>
      <c r="D35" s="32" t="inlineStr">
        <is>
          <t>SLEEPHORIA Cooling Fitted Sheet Queen Size - 1 PC BreezeWeave Cooling Sheets for Hot Sleepers &amp; Cool Rest w/ 16 in Deep Pocket - Corner Straps, Cloud Soft, Ultra Durable - 57 x 77 in (Navy Blue)</t>
        </is>
      </c>
      <c r="E35" s="32" t="inlineStr">
        <is>
          <t>Queen</t>
        </is>
      </c>
      <c r="F35" s="32" t="inlineStr">
        <is>
          <t>Navy Blue</t>
        </is>
      </c>
      <c r="G35" s="60" t="n">
        <v>37.99</v>
      </c>
      <c r="H35" s="32" t="inlineStr">
        <is>
          <t>Helium 10 Xray, 2026-10-13</t>
        </is>
      </c>
      <c r="I35" s="61" t="n">
        <v>31.99</v>
      </c>
      <c r="J35" s="62" t="inlineStr">
        <is>
          <t>2026-03-30</t>
        </is>
      </c>
      <c r="K35" s="33" t="n">
        <v>8.449999999999996</v>
      </c>
      <c r="L35" s="63" t="n">
        <v>0.2641450453266644</v>
      </c>
      <c r="M35" s="64" t="n">
        <v>10</v>
      </c>
      <c r="N35" s="32" t="inlineStr">
        <is>
          <t>Active</t>
        </is>
      </c>
      <c r="O35" s="32" t="n"/>
      <c r="P35" s="65" t="n">
        <v>4.6</v>
      </c>
      <c r="Q35" s="64" t="n">
        <v>496</v>
      </c>
      <c r="R35" s="64" t="n">
        <v>49030</v>
      </c>
      <c r="S35" s="64" t="n">
        <v>16</v>
      </c>
      <c r="T35" s="32" t="n"/>
    </row>
    <row r="36" ht="62" customHeight="1">
      <c r="A36" s="10">
        <f>_xlfn.IMAGE("https://m.media-amazon.com/images/I/8101fCLlt+L.jpg")</f>
        <v/>
      </c>
      <c r="B36" s="32" t="inlineStr">
        <is>
          <t>B0F7M6BCNH</t>
        </is>
      </c>
      <c r="C36" s="32" t="inlineStr">
        <is>
          <t>SL-COOLING-FITTED-KING-CREAM</t>
        </is>
      </c>
      <c r="D36" s="32" t="inlineStr">
        <is>
          <t>SLEEPHORIA Cooling Fitted Sheet King Size - 1 PC BreezeWeave Cooling Sheets for Hot Sleepers &amp; Cool Rest w/ 16 in Deep Pocket - Corner Straps, Cloud Soft, Ultra Durable - 73 x 77 in (Cream)</t>
        </is>
      </c>
      <c r="E36" s="32" t="inlineStr">
        <is>
          <t>King</t>
        </is>
      </c>
      <c r="F36" s="32" t="inlineStr">
        <is>
          <t>Cream</t>
        </is>
      </c>
      <c r="G36" s="60" t="n">
        <v>39.99</v>
      </c>
      <c r="H36" s="32" t="inlineStr">
        <is>
          <t>Helium 10 Xray, 2026-10-13</t>
        </is>
      </c>
      <c r="I36" s="61" t="n">
        <v>34.99</v>
      </c>
      <c r="J36" s="62" t="inlineStr">
        <is>
          <t>2026-03-30</t>
        </is>
      </c>
      <c r="K36" s="33" t="n">
        <v>8.950000000000001</v>
      </c>
      <c r="L36" s="63" t="n">
        <v>0.255787367819377</v>
      </c>
      <c r="M36" s="64" t="n">
        <v>9</v>
      </c>
      <c r="N36" s="32" t="inlineStr">
        <is>
          <t>Active</t>
        </is>
      </c>
      <c r="O36" s="32" t="n"/>
      <c r="P36" s="65" t="n">
        <v>4.6</v>
      </c>
      <c r="Q36" s="64" t="n">
        <v>496</v>
      </c>
      <c r="R36" s="64" t="n">
        <v>49030</v>
      </c>
      <c r="S36" s="64" t="n">
        <v>5</v>
      </c>
      <c r="T36" s="32" t="n"/>
    </row>
    <row r="37" ht="62" customHeight="1">
      <c r="A37" s="10">
        <f>_xlfn.IMAGE("https://m.media-amazon.com/images/I/81AUUOONndL.jpg")</f>
        <v/>
      </c>
      <c r="B37" s="32" t="inlineStr">
        <is>
          <t>B0F7M8GRL4</t>
        </is>
      </c>
      <c r="C37" s="32" t="inlineStr">
        <is>
          <t>SL-COOLING-FITTED-QUEEN-LIGHT-GREY</t>
        </is>
      </c>
      <c r="D37" s="32" t="inlineStr">
        <is>
          <t>SLEEPHORIA Cooling Fitted Sheet Queen Size - 1 PC BreezeWeave Cooling Sheets for Hot Sleepers &amp; Cool Rest w/ 16 in Deep Pocket - Corner Straps, Cloud Soft, Ultra Durable - 57 x 77 in (Light Grey)</t>
        </is>
      </c>
      <c r="E37" s="32" t="inlineStr">
        <is>
          <t>Queen</t>
        </is>
      </c>
      <c r="F37" s="32" t="inlineStr">
        <is>
          <t>Light Grey</t>
        </is>
      </c>
      <c r="G37" s="60" t="n">
        <v>37.99</v>
      </c>
      <c r="H37" s="32" t="inlineStr">
        <is>
          <t>Helium 10 Xray, 2026-10-13</t>
        </is>
      </c>
      <c r="I37" s="61" t="n">
        <v>31.99</v>
      </c>
      <c r="J37" s="62" t="inlineStr">
        <is>
          <t>2026-03-30</t>
        </is>
      </c>
      <c r="K37" s="33" t="n">
        <v>8.449999999999996</v>
      </c>
      <c r="L37" s="63" t="n">
        <v>0.2641450453266644</v>
      </c>
      <c r="M37" s="64" t="n">
        <v>9</v>
      </c>
      <c r="N37" s="32" t="inlineStr">
        <is>
          <t>Active</t>
        </is>
      </c>
      <c r="O37" s="32" t="n"/>
      <c r="P37" s="65" t="n">
        <v>4.6</v>
      </c>
      <c r="Q37" s="64" t="n">
        <v>496</v>
      </c>
      <c r="R37" s="64" t="n">
        <v>49030</v>
      </c>
      <c r="S37" s="64" t="n">
        <v>9</v>
      </c>
      <c r="T37" s="32" t="n"/>
    </row>
    <row r="38" ht="62" customHeight="1">
      <c r="A38" s="10">
        <f>_xlfn.IMAGE("https://m.media-amazon.com/images/I/81AUUOONndL.jpg")</f>
        <v/>
      </c>
      <c r="B38" s="32" t="inlineStr">
        <is>
          <t>B0F7M4XKZ3</t>
        </is>
      </c>
      <c r="C38" s="32" t="inlineStr">
        <is>
          <t>SL-COOLING-FITTED-FULL-LIGHT-GREY</t>
        </is>
      </c>
      <c r="D38" s="32" t="inlineStr">
        <is>
          <t>SLEEPHORIA Cooling Fitted Sheet Full Size - 1 PC BreezeWeave Cooling Sheets for Hot Sleepers &amp; Cool Rest w/ 16 in Deep Pocket - Corner Straps, Cloud Soft, Ultra Durable - 52 x 72 in (Light Grey)</t>
        </is>
      </c>
      <c r="E38" s="32" t="inlineStr">
        <is>
          <t>Full</t>
        </is>
      </c>
      <c r="F38" s="32" t="inlineStr">
        <is>
          <t>Light Grey</t>
        </is>
      </c>
      <c r="G38" s="60" t="n">
        <v>35.99</v>
      </c>
      <c r="H38" s="32" t="inlineStr">
        <is>
          <t>Helium 10 Xray, 2026-10-13</t>
        </is>
      </c>
      <c r="I38" s="61" t="n">
        <v>29.99</v>
      </c>
      <c r="J38" s="62" t="inlineStr">
        <is>
          <t>2026-03-30</t>
        </is>
      </c>
      <c r="K38" s="33" t="n">
        <v>7.659999999999997</v>
      </c>
      <c r="L38" s="63" t="n">
        <v>0.2554184728242747</v>
      </c>
      <c r="M38" s="64" t="n">
        <v>8</v>
      </c>
      <c r="N38" s="32" t="inlineStr">
        <is>
          <t>Active</t>
        </is>
      </c>
      <c r="O38" s="32" t="n"/>
      <c r="P38" s="65" t="n">
        <v>4.6</v>
      </c>
      <c r="Q38" s="64" t="n">
        <v>496</v>
      </c>
      <c r="R38" s="64" t="n">
        <v>49030</v>
      </c>
      <c r="S38" s="64" t="n">
        <v>14</v>
      </c>
      <c r="T38" s="32" t="n"/>
    </row>
    <row r="39" ht="62" customHeight="1">
      <c r="A39" s="10">
        <f>_xlfn.IMAGE("https://m.media-amazon.com/images/I/813+K0LTJzL.jpg")</f>
        <v/>
      </c>
      <c r="B39" s="32" t="inlineStr">
        <is>
          <t>B0F7M6DPPM</t>
        </is>
      </c>
      <c r="C39" s="32" t="inlineStr">
        <is>
          <t>SL-COOLING-FITTED-FULL-COOL-BLUE</t>
        </is>
      </c>
      <c r="D39" s="32" t="inlineStr">
        <is>
          <t>SLEEPHORIA Cooling Fitted Sheet Full Size - 1 PC BreezeWeave Cooling Sheets for Hot Sleepers &amp; Cool Rest w/ 16 in Deep Pocket - Corner Straps, Cloud Soft, Ultra Durable - 52 x 72 in (Cool Blue)</t>
        </is>
      </c>
      <c r="E39" s="32" t="inlineStr">
        <is>
          <t>Full</t>
        </is>
      </c>
      <c r="F39" s="32" t="inlineStr">
        <is>
          <t>Cool Blue</t>
        </is>
      </c>
      <c r="G39" s="60" t="n">
        <v>35.99</v>
      </c>
      <c r="H39" s="32" t="inlineStr">
        <is>
          <t>Helium 10 Xray, 2026-10-13</t>
        </is>
      </c>
      <c r="I39" s="61" t="n">
        <v>29.99</v>
      </c>
      <c r="J39" s="62" t="inlineStr">
        <is>
          <t>2026-03-30</t>
        </is>
      </c>
      <c r="K39" s="33" t="n">
        <v>6.189999999999998</v>
      </c>
      <c r="L39" s="63" t="n">
        <v>0.2064021340446815</v>
      </c>
      <c r="M39" s="64" t="n">
        <v>7</v>
      </c>
      <c r="N39" s="32" t="inlineStr">
        <is>
          <t>Active</t>
        </is>
      </c>
      <c r="O39" s="32" t="n"/>
      <c r="P39" s="65" t="n">
        <v>4.6</v>
      </c>
      <c r="Q39" s="64" t="n">
        <v>496</v>
      </c>
      <c r="R39" s="64" t="n">
        <v>49030</v>
      </c>
      <c r="S39" s="64" t="n">
        <v>16</v>
      </c>
      <c r="T39" s="32" t="n"/>
    </row>
    <row r="40" ht="62" customHeight="1">
      <c r="A40" s="10">
        <f>_xlfn.IMAGE("https://m.media-amazon.com/images/I/81r690HkxWL.jpg")</f>
        <v/>
      </c>
      <c r="B40" s="32" t="inlineStr">
        <is>
          <t>B0F7M7SVHM</t>
        </is>
      </c>
      <c r="C40" s="32" t="inlineStr">
        <is>
          <t>SL-COOLING-FITTED-CAL-KING-COOL-GREY</t>
        </is>
      </c>
      <c r="D40" s="32" t="inlineStr">
        <is>
          <t>SLEEPHORIA Cooling Fitted Sheet Calfornia King Size - 1 PC BreezeWeave Cooling Sheets for Hot Sleepers &amp; Cool Rest w/ 16 in Deep Pocket - Corner Straps, Cloud Soft - 69 x 81 in (Cool Grey)</t>
        </is>
      </c>
      <c r="E40" s="32" t="inlineStr">
        <is>
          <t>Cal King</t>
        </is>
      </c>
      <c r="F40" s="32" t="inlineStr">
        <is>
          <t>Cool Grey</t>
        </is>
      </c>
      <c r="G40" s="60" t="n">
        <v>39.99</v>
      </c>
      <c r="H40" s="32" t="inlineStr">
        <is>
          <t>Helium 10 Xray, 2026-10-13</t>
        </is>
      </c>
      <c r="I40" s="61" t="n">
        <v>35.99</v>
      </c>
      <c r="J40" s="62" t="inlineStr">
        <is>
          <t>2026-03-30</t>
        </is>
      </c>
      <c r="K40" s="33" t="n">
        <v>7.790000000000003</v>
      </c>
      <c r="L40" s="63" t="n">
        <v>0.2164490136148931</v>
      </c>
      <c r="M40" s="64" t="n">
        <v>6</v>
      </c>
      <c r="N40" s="32" t="inlineStr">
        <is>
          <t>Active</t>
        </is>
      </c>
      <c r="O40" s="32" t="n"/>
      <c r="P40" s="65" t="n">
        <v>4.6</v>
      </c>
      <c r="Q40" s="64" t="n">
        <v>496</v>
      </c>
      <c r="R40" s="64" t="n">
        <v>49029</v>
      </c>
      <c r="S40" s="64" t="n">
        <v>6</v>
      </c>
      <c r="T40" s="32" t="n"/>
    </row>
    <row r="41" ht="62" customHeight="1">
      <c r="A41" s="10">
        <f>_xlfn.IMAGE("https://m.media-amazon.com/images/I/81G7yE5OfqL.jpg")</f>
        <v/>
      </c>
      <c r="B41" s="32" t="inlineStr">
        <is>
          <t>B0F7M57Q9T</t>
        </is>
      </c>
      <c r="C41" s="32" t="inlineStr">
        <is>
          <t>SL-COOLING-FITTED-CAL-KING-WHITE</t>
        </is>
      </c>
      <c r="D41" s="32" t="inlineStr">
        <is>
          <t>SLEEPHORIA Cooling Fitted Sheet Calfornia King Size - 1 PC BreezeWeave Cooling Sheets for Hot Sleepers &amp; Cool Rest w/ 16 in Deep Pocket - Corner Straps, Cloud Soft - 69 x 81 in (White)</t>
        </is>
      </c>
      <c r="E41" s="32" t="inlineStr">
        <is>
          <t>Cal King</t>
        </is>
      </c>
      <c r="F41" s="32" t="inlineStr">
        <is>
          <t>White</t>
        </is>
      </c>
      <c r="G41" s="60" t="n">
        <v>39.99</v>
      </c>
      <c r="H41" s="32" t="inlineStr">
        <is>
          <t>Helium 10 Xray, 2026-10-13</t>
        </is>
      </c>
      <c r="I41" s="61" t="n">
        <v>35.99</v>
      </c>
      <c r="J41" s="62" t="inlineStr">
        <is>
          <t>2026-03-30</t>
        </is>
      </c>
      <c r="K41" s="33" t="n">
        <v>7.560000000000002</v>
      </c>
      <c r="L41" s="63" t="n">
        <v>0.2100583495415394</v>
      </c>
      <c r="M41" s="64" t="n">
        <v>5</v>
      </c>
      <c r="N41" s="32" t="inlineStr">
        <is>
          <t>Active</t>
        </is>
      </c>
      <c r="O41" s="32" t="n"/>
      <c r="P41" s="65" t="n">
        <v>4.6</v>
      </c>
      <c r="Q41" s="64" t="n">
        <v>496</v>
      </c>
      <c r="R41" s="64" t="n">
        <v>49030</v>
      </c>
      <c r="S41" s="64" t="n">
        <v>6</v>
      </c>
      <c r="T41" s="32" t="n"/>
    </row>
    <row r="42" ht="62" customHeight="1">
      <c r="A42" s="10">
        <f>_xlfn.IMAGE("https://m.media-amazon.com/images/I/81hT0qOPgZL.jpg")</f>
        <v/>
      </c>
      <c r="B42" s="32" t="inlineStr">
        <is>
          <t>B0F7M4VHKW</t>
        </is>
      </c>
      <c r="C42" s="32" t="inlineStr">
        <is>
          <t>SL-COOLING-FITTED-TWIN-MIDNIGHT-BLACK</t>
        </is>
      </c>
      <c r="D42" s="32" t="inlineStr">
        <is>
          <t>SLEEPHORIA Cooling Fitted Sheet Twin Size - 1 PC BreezeWeave Cooling Sheets for Hot Sleepers &amp; Cool Rest w/ 16 in Deep Pocket - Corner Straps, Cloud Soft, Ultra Durable - 37 x 72 in (Midnight Black)</t>
        </is>
      </c>
      <c r="E42" s="32" t="inlineStr">
        <is>
          <t>Twin</t>
        </is>
      </c>
      <c r="F42" s="32" t="inlineStr">
        <is>
          <t>Midnight Black</t>
        </is>
      </c>
      <c r="G42" s="60" t="n">
        <v>32.99</v>
      </c>
      <c r="H42" s="32" t="inlineStr">
        <is>
          <t>Helium 10 Xray, 2026-10-13</t>
        </is>
      </c>
      <c r="I42" s="61" t="n">
        <v>26.99</v>
      </c>
      <c r="J42" s="62" t="inlineStr">
        <is>
          <t>2026-03-30</t>
        </is>
      </c>
      <c r="K42" s="33" t="n">
        <v>6.909999999999997</v>
      </c>
      <c r="L42" s="63" t="n">
        <v>0.2560207484253426</v>
      </c>
      <c r="M42" s="64" t="n">
        <v>5</v>
      </c>
      <c r="N42" s="32" t="inlineStr">
        <is>
          <t>Active</t>
        </is>
      </c>
      <c r="O42" s="32" t="n"/>
      <c r="P42" s="65" t="n">
        <v>4.6</v>
      </c>
      <c r="Q42" s="64" t="n">
        <v>496</v>
      </c>
      <c r="R42" s="64" t="n">
        <v>49030</v>
      </c>
      <c r="S42" s="64" t="n">
        <v>13</v>
      </c>
      <c r="T42" s="32" t="n"/>
    </row>
    <row r="43" ht="62" customHeight="1">
      <c r="A43" s="10">
        <f>_xlfn.IMAGE("https://m.media-amazon.com/images/I/81AUUOONndL.jpg")</f>
        <v/>
      </c>
      <c r="B43" s="32" t="inlineStr">
        <is>
          <t>B0F7M7LLTQ</t>
        </is>
      </c>
      <c r="C43" s="32" t="inlineStr">
        <is>
          <t>SL-COOLING-FITTED-CAL-KING-LIGHT-GREY</t>
        </is>
      </c>
      <c r="D43" s="32" t="inlineStr">
        <is>
          <t>SLEEPHORIA Cooling Fitted Sheet Calfornia King Size - 1 PC BreezeWeave Cooling Sheets for Hot Sleepers &amp; Cool Rest w/ 16 in Deep Pocket - Corner Straps, Cloud Soft - 69 x 81 in (Light Grey)</t>
        </is>
      </c>
      <c r="E43" s="32" t="inlineStr">
        <is>
          <t>Cal King</t>
        </is>
      </c>
      <c r="F43" s="32" t="inlineStr">
        <is>
          <t>Light Grey</t>
        </is>
      </c>
      <c r="G43" s="60" t="n">
        <v>39.99</v>
      </c>
      <c r="H43" s="32" t="inlineStr">
        <is>
          <t>Helium 10 Xray, 2026-10-13</t>
        </is>
      </c>
      <c r="I43" s="61" t="n">
        <v>35.99</v>
      </c>
      <c r="J43" s="62" t="inlineStr">
        <is>
          <t>2026-03-30</t>
        </is>
      </c>
      <c r="K43" s="33" t="n">
        <v>7.320000000000004</v>
      </c>
      <c r="L43" s="63" t="n">
        <v>0.2033898305084747</v>
      </c>
      <c r="M43" s="64" t="n">
        <v>4</v>
      </c>
      <c r="N43" s="32" t="inlineStr">
        <is>
          <t>Active</t>
        </is>
      </c>
      <c r="O43" s="32" t="n"/>
      <c r="P43" s="65" t="n">
        <v>4.6</v>
      </c>
      <c r="Q43" s="64" t="n">
        <v>496</v>
      </c>
      <c r="R43" s="64" t="n">
        <v>49030</v>
      </c>
      <c r="S43" s="64" t="n">
        <v>6</v>
      </c>
      <c r="T43" s="32" t="n"/>
    </row>
    <row r="44" ht="62" customHeight="1">
      <c r="A44" s="10">
        <f>_xlfn.IMAGE("https://m.media-amazon.com/images/I/81-LAAiOPsL.jpg")</f>
        <v/>
      </c>
      <c r="B44" s="32" t="inlineStr">
        <is>
          <t>B0F7M4BGMH</t>
        </is>
      </c>
      <c r="C44" s="32" t="inlineStr">
        <is>
          <t>SL-COOLING-FITTED-FULL-GRAPHITE</t>
        </is>
      </c>
      <c r="D44" s="32" t="inlineStr">
        <is>
          <t>SLEEPHORIA Cooling Fitted Sheet Full Size - 1 PC BreezeWeave Cooling Sheets for Hot Sleepers &amp; Cool Rest w/ 16 in Deep Pocket - Corner Straps, Cloud Soft, Ultra Durable - 52 x 72 in (Graphite)</t>
        </is>
      </c>
      <c r="E44" s="32" t="inlineStr">
        <is>
          <t>Full</t>
        </is>
      </c>
      <c r="F44" s="32" t="inlineStr">
        <is>
          <t>Graphite</t>
        </is>
      </c>
      <c r="G44" s="60" t="n">
        <v>35.99</v>
      </c>
      <c r="H44" s="32" t="inlineStr">
        <is>
          <t>Helium 10 Xray, 2026-10-13</t>
        </is>
      </c>
      <c r="I44" s="61" t="n">
        <v>29.99</v>
      </c>
      <c r="J44" s="62" t="inlineStr">
        <is>
          <t>2026-03-30</t>
        </is>
      </c>
      <c r="K44" s="33" t="n">
        <v>7.799999999999997</v>
      </c>
      <c r="L44" s="63" t="n">
        <v>0.2600866955651883</v>
      </c>
      <c r="M44" s="64" t="n">
        <v>4</v>
      </c>
      <c r="N44" s="32" t="inlineStr">
        <is>
          <t>Active</t>
        </is>
      </c>
      <c r="O44" s="32" t="n"/>
      <c r="P44" s="65" t="n">
        <v>4.6</v>
      </c>
      <c r="Q44" s="64" t="n">
        <v>496</v>
      </c>
      <c r="R44" s="64" t="n">
        <v>49030</v>
      </c>
      <c r="S44" s="64" t="n">
        <v>12</v>
      </c>
      <c r="T44" s="32" t="n"/>
    </row>
    <row r="45" ht="62" customHeight="1">
      <c r="A45" s="10">
        <f>_xlfn.IMAGE("https://m.media-amazon.com/images/I/8101fCLlt+L.jpg")</f>
        <v/>
      </c>
      <c r="B45" s="32" t="inlineStr">
        <is>
          <t>B0F7M6TPFY</t>
        </is>
      </c>
      <c r="C45" s="32" t="inlineStr">
        <is>
          <t>SL-COOLING-FITTED-CAL-KING-CREAM</t>
        </is>
      </c>
      <c r="D45" s="32" t="inlineStr">
        <is>
          <t>SLEEPHORIA Cooling Fitted Sheet Calfornia King Size - 1 PC BreezeWeave Cooling Sheets for Hot Sleepers &amp; Cool Rest w/ 16 in Deep Pocket - Corner Straps, Cloud Soft - 69 x 81 in (Cream)</t>
        </is>
      </c>
      <c r="E45" s="32" t="inlineStr">
        <is>
          <t>Cal King</t>
        </is>
      </c>
      <c r="F45" s="32" t="inlineStr">
        <is>
          <t>Cream</t>
        </is>
      </c>
      <c r="G45" s="60" t="n">
        <v>39.99</v>
      </c>
      <c r="H45" s="32" t="inlineStr">
        <is>
          <t>Helium 10 Xray, 2026-10-13</t>
        </is>
      </c>
      <c r="I45" s="61" t="n">
        <v>35.99</v>
      </c>
      <c r="J45" s="62" t="inlineStr">
        <is>
          <t>2026-03-30</t>
        </is>
      </c>
      <c r="K45" s="33" t="n">
        <v>7.320000000000004</v>
      </c>
      <c r="L45" s="63" t="n">
        <v>0.2033898305084747</v>
      </c>
      <c r="M45" s="64" t="n">
        <v>3</v>
      </c>
      <c r="N45" s="32" t="inlineStr">
        <is>
          <t>Active</t>
        </is>
      </c>
      <c r="O45" s="32" t="n"/>
      <c r="P45" s="65" t="n">
        <v>4.6</v>
      </c>
      <c r="Q45" s="64" t="n">
        <v>496</v>
      </c>
      <c r="R45" s="64" t="n">
        <v>49029</v>
      </c>
      <c r="S45" s="64" t="n">
        <v>7</v>
      </c>
      <c r="T45" s="32" t="n"/>
    </row>
    <row r="46" ht="62" customHeight="1">
      <c r="A46" s="10">
        <f>_xlfn.IMAGE("https://m.media-amazon.com/images/I/81yiInBJx6L.jpg")</f>
        <v/>
      </c>
      <c r="B46" s="32" t="inlineStr">
        <is>
          <t>B0F7M67GT2</t>
        </is>
      </c>
      <c r="C46" s="32" t="inlineStr">
        <is>
          <t>SL-COOLING-FITTED-CAL-KING-LIGHT-PINK</t>
        </is>
      </c>
      <c r="D46" s="32" t="inlineStr">
        <is>
          <t>SLEEPHORIA Cooling Fitted Sheet Calfornia King Size - 1 PC BreezeWeave Cooling Sheets for Hot Sleepers &amp; Cool Rest w/ 16 in Deep Pocket - Corner Straps, Cloud Soft - 69 x 81 in (Light Pink)</t>
        </is>
      </c>
      <c r="E46" s="32" t="inlineStr">
        <is>
          <t>Cal King</t>
        </is>
      </c>
      <c r="F46" s="32" t="inlineStr">
        <is>
          <t>Light Pink</t>
        </is>
      </c>
      <c r="G46" s="60" t="n">
        <v>39.99</v>
      </c>
      <c r="H46" s="32" t="inlineStr">
        <is>
          <t>Helium 10 Xray, 2026-10-13</t>
        </is>
      </c>
      <c r="I46" s="61" t="n">
        <v>35.99</v>
      </c>
      <c r="J46" s="62" t="inlineStr">
        <is>
          <t>2026-03-30</t>
        </is>
      </c>
      <c r="K46" s="33" t="n">
        <v>7.550000000000004</v>
      </c>
      <c r="L46" s="63" t="n">
        <v>0.2097804945818284</v>
      </c>
      <c r="M46" s="64" t="n">
        <v>3</v>
      </c>
      <c r="N46" s="32" t="inlineStr">
        <is>
          <t>Active</t>
        </is>
      </c>
      <c r="O46" s="32" t="n"/>
      <c r="P46" s="65" t="n">
        <v>4.6</v>
      </c>
      <c r="Q46" s="64" t="n">
        <v>496</v>
      </c>
      <c r="R46" s="64" t="n">
        <v>49030</v>
      </c>
      <c r="S46" s="64" t="n">
        <v>6</v>
      </c>
      <c r="T46" s="32" t="n"/>
    </row>
    <row r="47" ht="62" customHeight="1">
      <c r="A47" s="10">
        <f>_xlfn.IMAGE("https://m.media-amazon.com/images/I/814rCVRR52L.jpg")</f>
        <v/>
      </c>
      <c r="B47" s="32" t="inlineStr">
        <is>
          <t>B0F7M4FY81</t>
        </is>
      </c>
      <c r="C47" s="32" t="inlineStr">
        <is>
          <t>SL-COOLING-FITTED-CAL-KING-NAVY-BLUE</t>
        </is>
      </c>
      <c r="D47" s="32" t="inlineStr">
        <is>
          <t>SLEEPHORIA Cooling Fitted Sheet Calfornia King Size - 1 PC BreezeWeave Cooling Sheets for Hot Sleepers &amp; Cool Rest w/ 16 in Deep Pocket - Corner Straps, Cloud Soft - 69 x 81 in (Navy Blue)</t>
        </is>
      </c>
      <c r="E47" s="32" t="inlineStr">
        <is>
          <t>Cal King</t>
        </is>
      </c>
      <c r="F47" s="32" t="inlineStr">
        <is>
          <t>Navy Blue</t>
        </is>
      </c>
      <c r="G47" s="60" t="n">
        <v>39.99</v>
      </c>
      <c r="H47" s="32" t="inlineStr">
        <is>
          <t>Helium 10 Xray, 2026-10-13</t>
        </is>
      </c>
      <c r="I47" s="61" t="n">
        <v>35.99</v>
      </c>
      <c r="J47" s="62" t="inlineStr">
        <is>
          <t>2026-03-30</t>
        </is>
      </c>
      <c r="K47" s="33" t="n">
        <v>7.320000000000004</v>
      </c>
      <c r="L47" s="63" t="n">
        <v>0.2033898305084747</v>
      </c>
      <c r="M47" s="64" t="n">
        <v>3</v>
      </c>
      <c r="N47" s="32" t="inlineStr">
        <is>
          <t>Active</t>
        </is>
      </c>
      <c r="O47" s="32" t="n"/>
      <c r="P47" s="65" t="n">
        <v>4.6</v>
      </c>
      <c r="Q47" s="64" t="n">
        <v>496</v>
      </c>
      <c r="R47" s="64" t="n">
        <v>49030</v>
      </c>
      <c r="S47" s="64" t="n">
        <v>6</v>
      </c>
      <c r="T47" s="32" t="n"/>
    </row>
    <row r="48" ht="62" customHeight="1">
      <c r="A48" s="10">
        <f>_xlfn.IMAGE("https://m.media-amazon.com/images/I/8101fCLlt+L.jpg")</f>
        <v/>
      </c>
      <c r="B48" s="32" t="inlineStr">
        <is>
          <t>B0F7M664QG</t>
        </is>
      </c>
      <c r="C48" s="32" t="inlineStr">
        <is>
          <t>SL-COOLING-FITTED-FULL-CREAM</t>
        </is>
      </c>
      <c r="D48" s="32" t="inlineStr">
        <is>
          <t>SLEEPHORIA Cooling Fitted Sheet Full Size - 1 PC BreezeWeave Cooling Sheets for Hot Sleepers &amp; Cool Rest w/ 16 in Deep Pocket - Corner Straps, Cloud Soft, Ultra Durable - 52 x 72 in (Cream)</t>
        </is>
      </c>
      <c r="E48" s="32" t="inlineStr">
        <is>
          <t>Full</t>
        </is>
      </c>
      <c r="F48" s="32" t="inlineStr">
        <is>
          <t>Cream</t>
        </is>
      </c>
      <c r="G48" s="60" t="n">
        <v>35.99</v>
      </c>
      <c r="H48" s="32" t="inlineStr">
        <is>
          <t>Helium 10 Xray, 2026-10-13</t>
        </is>
      </c>
      <c r="I48" s="61" t="n">
        <v>29.99</v>
      </c>
      <c r="J48" s="62" t="inlineStr">
        <is>
          <t>2026-03-30</t>
        </is>
      </c>
      <c r="K48" s="33" t="n">
        <v>6.179999999999998</v>
      </c>
      <c r="L48" s="63" t="n">
        <v>0.2060686895631877</v>
      </c>
      <c r="M48" s="64" t="n">
        <v>3</v>
      </c>
      <c r="N48" s="32" t="inlineStr">
        <is>
          <t>Active</t>
        </is>
      </c>
      <c r="O48" s="32" t="n"/>
      <c r="P48" s="65" t="n">
        <v>4.6</v>
      </c>
      <c r="Q48" s="64" t="n">
        <v>496</v>
      </c>
      <c r="R48" s="64" t="n">
        <v>49030</v>
      </c>
      <c r="S48" s="64" t="n">
        <v>15</v>
      </c>
      <c r="T48" s="32" t="n"/>
    </row>
    <row r="49" ht="62" customHeight="1">
      <c r="A49" s="10">
        <f>_xlfn.IMAGE("https://m.media-amazon.com/images/I/813+K0LTJzL.jpg")</f>
        <v/>
      </c>
      <c r="B49" s="32" t="inlineStr">
        <is>
          <t>B0F7M7Z55J</t>
        </is>
      </c>
      <c r="C49" s="32" t="inlineStr">
        <is>
          <t>SL-COOLING-FITTED-TWIN-COOL-BLUE</t>
        </is>
      </c>
      <c r="D49" s="32" t="inlineStr">
        <is>
          <t>SLEEPHORIA Cooling Fitted Sheet Twin Size - 1 PC BreezeWeave Cooling Sheets for Hot Sleepers &amp; Cool Rest w/ 16 in Deep Pocket - Corner Straps, Cloud Soft, Ultra Durable - 37 x 72 in (Cool Blue)</t>
        </is>
      </c>
      <c r="E49" s="32" t="inlineStr">
        <is>
          <t>Twin</t>
        </is>
      </c>
      <c r="F49" s="32" t="inlineStr">
        <is>
          <t>Cool Blue</t>
        </is>
      </c>
      <c r="G49" s="60" t="n">
        <v>32.99</v>
      </c>
      <c r="H49" s="32" t="inlineStr">
        <is>
          <t>Helium 10 Xray, 2026-10-13</t>
        </is>
      </c>
      <c r="I49" s="61" t="n">
        <v>26.99</v>
      </c>
      <c r="J49" s="62" t="inlineStr">
        <is>
          <t>2026-03-30</t>
        </is>
      </c>
      <c r="K49" s="33" t="n">
        <v>6.909999999999997</v>
      </c>
      <c r="L49" s="63" t="n">
        <v>0.2560207484253426</v>
      </c>
      <c r="M49" s="64" t="n">
        <v>3</v>
      </c>
      <c r="N49" s="32" t="inlineStr">
        <is>
          <t>Active</t>
        </is>
      </c>
      <c r="O49" s="32" t="n"/>
      <c r="P49" s="65" t="n">
        <v>4.6</v>
      </c>
      <c r="Q49" s="64" t="n">
        <v>496</v>
      </c>
      <c r="R49" s="64" t="n">
        <v>49030</v>
      </c>
      <c r="S49" s="64" t="n">
        <v>5</v>
      </c>
      <c r="T49" s="32" t="n"/>
    </row>
    <row r="50" ht="62" customHeight="1">
      <c r="A50" s="10">
        <f>_xlfn.IMAGE("https://m.media-amazon.com/images/I/813+K0LTJzL.jpg")</f>
        <v/>
      </c>
      <c r="B50" s="32" t="inlineStr">
        <is>
          <t>B0F7M5PH28</t>
        </is>
      </c>
      <c r="C50" s="32" t="inlineStr">
        <is>
          <t>SL-COOLING-FITTED-CAL-KING-COOL-BLUE</t>
        </is>
      </c>
      <c r="D50" s="32" t="inlineStr">
        <is>
          <t>SLEEPHORIA Cooling Fitted Sheet Calfornia King Size - 1 PC BreezeWeave Cooling Sheets for Hot Sleepers &amp; Cool Rest w/ 16 in Deep Pocket - Corner Straps, Cloud Soft - 69 x 81 in (Cool Blue)</t>
        </is>
      </c>
      <c r="E50" s="32" t="inlineStr">
        <is>
          <t>Cal King</t>
        </is>
      </c>
      <c r="F50" s="32" t="inlineStr">
        <is>
          <t>Cool Blue</t>
        </is>
      </c>
      <c r="G50" s="60" t="n">
        <v>39.99</v>
      </c>
      <c r="H50" s="32" t="inlineStr">
        <is>
          <t>Helium 10 Xray, 2026-10-13</t>
        </is>
      </c>
      <c r="I50" s="61" t="n">
        <v>35.99</v>
      </c>
      <c r="J50" s="62" t="inlineStr">
        <is>
          <t>2026-03-30</t>
        </is>
      </c>
      <c r="K50" s="33" t="n">
        <v>7.570000000000002</v>
      </c>
      <c r="L50" s="63" t="n">
        <v>0.2103362045012504</v>
      </c>
      <c r="M50" s="64" t="n">
        <v>2</v>
      </c>
      <c r="N50" s="32" t="inlineStr">
        <is>
          <t>Active</t>
        </is>
      </c>
      <c r="O50" s="32" t="n"/>
      <c r="P50" s="65" t="n">
        <v>4.6</v>
      </c>
      <c r="Q50" s="64" t="n">
        <v>496</v>
      </c>
      <c r="R50" s="64" t="n">
        <v>49030</v>
      </c>
      <c r="S50" s="64" t="n">
        <v>9</v>
      </c>
      <c r="T50" s="32" t="n"/>
    </row>
    <row r="51" ht="62" customHeight="1">
      <c r="A51" s="10">
        <f>_xlfn.IMAGE("https://m.media-amazon.com/images/I/81pizSJLziL.jpg")</f>
        <v/>
      </c>
      <c r="B51" s="32" t="inlineStr">
        <is>
          <t>B0F7M2P88B</t>
        </is>
      </c>
      <c r="C51" s="32" t="inlineStr">
        <is>
          <t>SL-COOLING-FITTED-CAL-KING-REGAL-PURPLE</t>
        </is>
      </c>
      <c r="D51" s="32" t="inlineStr">
        <is>
          <t>SLEEPHORIA Cooling Fitted Sheet Calfornia King Size - 1 PC BreezeWeave Cooling Sheets for Hot Sleepers &amp; Cool Rest w/ 16 in Deep Pocket - Corner Straps, Cloud Soft - 69 x 81 in (Regal Purple)</t>
        </is>
      </c>
      <c r="E51" s="32" t="inlineStr">
        <is>
          <t>Cal King</t>
        </is>
      </c>
      <c r="F51" s="32" t="inlineStr">
        <is>
          <t>Regal Purple</t>
        </is>
      </c>
      <c r="G51" s="60" t="n">
        <v>39.99</v>
      </c>
      <c r="H51" s="32" t="inlineStr">
        <is>
          <t>SellerBoard listing price, 2026-10-14</t>
        </is>
      </c>
      <c r="I51" s="61" t="n">
        <v>35.99</v>
      </c>
      <c r="J51" s="62" t="inlineStr">
        <is>
          <t>2026-03-30</t>
        </is>
      </c>
      <c r="K51" s="33" t="n">
        <v>7.560000000000002</v>
      </c>
      <c r="L51" s="63" t="n">
        <v>0.2100583495415394</v>
      </c>
      <c r="M51" s="64" t="n">
        <v>1</v>
      </c>
      <c r="N51" s="32" t="inlineStr">
        <is>
          <t>Inactive</t>
        </is>
      </c>
      <c r="O51" s="32" t="n"/>
      <c r="P51" s="65" t="n"/>
      <c r="Q51" s="64" t="n"/>
      <c r="R51" s="64" t="n"/>
      <c r="S51" s="64" t="n"/>
      <c r="T51" s="32" t="n"/>
    </row>
    <row r="52" ht="62" customHeight="1">
      <c r="A52" s="10">
        <f>_xlfn.IMAGE("https://m.media-amazon.com/images/I/81Tr9Bh8YxL.jpg")</f>
        <v/>
      </c>
      <c r="B52" s="32" t="inlineStr">
        <is>
          <t>B0F7M728YB</t>
        </is>
      </c>
      <c r="C52" s="32" t="inlineStr">
        <is>
          <t>SL-COOLING-FITTED-CAL-KING-SAGE-GREEN</t>
        </is>
      </c>
      <c r="D52" s="32" t="inlineStr">
        <is>
          <t>SLEEPHORIA Cooling Fitted Sheet Calfornia King Size - 1 PC BreezeWeave Cooling Sheets for Hot Sleepers &amp; Cool Rest w/ 16 in Deep Pocket - Corner Straps, Cloud Soft - 69 x 81 in (Sage Green)</t>
        </is>
      </c>
      <c r="E52" s="32" t="inlineStr">
        <is>
          <t>Cal King</t>
        </is>
      </c>
      <c r="F52" s="32" t="inlineStr">
        <is>
          <t>Sage Green</t>
        </is>
      </c>
      <c r="G52" s="60" t="n">
        <v>39.99</v>
      </c>
      <c r="H52" s="32" t="inlineStr">
        <is>
          <t>Helium 10 Xray, 2026-10-13</t>
        </is>
      </c>
      <c r="I52" s="61" t="n">
        <v>35.99</v>
      </c>
      <c r="J52" s="62" t="inlineStr">
        <is>
          <t>2026-03-30</t>
        </is>
      </c>
      <c r="K52" s="33" t="n">
        <v>7.320000000000004</v>
      </c>
      <c r="L52" s="63" t="n">
        <v>0.2033898305084747</v>
      </c>
      <c r="M52" s="64" t="n">
        <v>1</v>
      </c>
      <c r="N52" s="32" t="inlineStr">
        <is>
          <t>Active</t>
        </is>
      </c>
      <c r="O52" s="32" t="n"/>
      <c r="P52" s="65" t="n">
        <v>4.6</v>
      </c>
      <c r="Q52" s="64" t="n">
        <v>496</v>
      </c>
      <c r="R52" s="64" t="n">
        <v>49029</v>
      </c>
      <c r="S52" s="64" t="n">
        <v>6</v>
      </c>
      <c r="T52" s="32" t="n"/>
    </row>
    <row r="53" ht="62" customHeight="1">
      <c r="A53" s="10">
        <f>_xlfn.IMAGE("https://m.media-amazon.com/images/I/81yiInBJx6L.jpg")</f>
        <v/>
      </c>
      <c r="B53" s="32" t="inlineStr">
        <is>
          <t>B0F7M26SWR</t>
        </is>
      </c>
      <c r="C53" s="32" t="inlineStr">
        <is>
          <t>SL-COOLING-FITTED-FULL-LIGHT-PINK</t>
        </is>
      </c>
      <c r="D53" s="32" t="inlineStr">
        <is>
          <t>SLEEPHORIA Cooling Fitted Sheet Full Size - 1 PC BreezeWeave Cooling Sheets for Hot Sleepers &amp; Cool Rest w/ 16 in Deep Pocket - Corner Straps, Cloud Soft, Ultra Durable - 52 x 72 in (Light Pink)</t>
        </is>
      </c>
      <c r="E53" s="32" t="inlineStr">
        <is>
          <t>Full</t>
        </is>
      </c>
      <c r="F53" s="32" t="inlineStr">
        <is>
          <t>Light Pink</t>
        </is>
      </c>
      <c r="G53" s="60" t="n">
        <v>35.99</v>
      </c>
      <c r="H53" s="32" t="inlineStr">
        <is>
          <t>SellerBoard listing price, 2026-10-14</t>
        </is>
      </c>
      <c r="I53" s="61" t="n">
        <v>29.99</v>
      </c>
      <c r="J53" s="62" t="inlineStr">
        <is>
          <t>2026-03-30</t>
        </is>
      </c>
      <c r="K53" s="33" t="n">
        <v>6.179999999999998</v>
      </c>
      <c r="L53" s="63" t="n">
        <v>0.2060686895631877</v>
      </c>
      <c r="M53" s="64" t="n">
        <v>1</v>
      </c>
      <c r="N53" s="32" t="inlineStr">
        <is>
          <t>Inactive</t>
        </is>
      </c>
      <c r="O53" s="32" t="n"/>
      <c r="P53" s="65" t="n"/>
      <c r="Q53" s="64" t="n"/>
      <c r="R53" s="64" t="n"/>
      <c r="S53" s="64" t="n"/>
      <c r="T53" s="32" t="n"/>
    </row>
    <row r="54" ht="62" customHeight="1">
      <c r="A54" s="10">
        <f>_xlfn.IMAGE("https://m.media-amazon.com/images/I/81pizSJLziL.jpg")</f>
        <v/>
      </c>
      <c r="B54" s="32" t="inlineStr">
        <is>
          <t>B0F7M4VKGL</t>
        </is>
      </c>
      <c r="C54" s="32" t="inlineStr">
        <is>
          <t>SL-COOLING-FITTED-FULL-REGAL-PURPLE</t>
        </is>
      </c>
      <c r="D54" s="32" t="inlineStr">
        <is>
          <t>SLEEPHORIA Cooling Fitted Sheet Full Size - 1 PC BreezeWeave Cooling Sheets for Hot Sleepers &amp; Cool Rest w/ 16 in Deep Pocket - Corner Straps, Cloud Soft, Ultra Durable - 52 x 72 in (Regal Purple)</t>
        </is>
      </c>
      <c r="E54" s="32" t="inlineStr">
        <is>
          <t>Full</t>
        </is>
      </c>
      <c r="F54" s="32" t="inlineStr">
        <is>
          <t>Regal Purple</t>
        </is>
      </c>
      <c r="G54" s="60" t="n">
        <v>35.99</v>
      </c>
      <c r="H54" s="32" t="inlineStr">
        <is>
          <t>SellerBoard listing price, 2026-10-14</t>
        </is>
      </c>
      <c r="I54" s="61" t="n">
        <v>29.99</v>
      </c>
      <c r="J54" s="62" t="inlineStr">
        <is>
          <t>2026-03-30</t>
        </is>
      </c>
      <c r="K54" s="33" t="n">
        <v>6.169999999999998</v>
      </c>
      <c r="L54" s="63" t="n">
        <v>0.2057352450816939</v>
      </c>
      <c r="M54" s="64" t="n">
        <v>1</v>
      </c>
      <c r="N54" s="32" t="inlineStr">
        <is>
          <t>Inactive</t>
        </is>
      </c>
      <c r="O54" s="32" t="n"/>
      <c r="P54" s="65" t="n"/>
      <c r="Q54" s="64" t="n"/>
      <c r="R54" s="64" t="n"/>
      <c r="S54" s="64" t="n"/>
      <c r="T54" s="32" t="n"/>
    </row>
    <row r="55" ht="62" customHeight="1">
      <c r="A55" s="10">
        <f>_xlfn.IMAGE("https://m.media-amazon.com/images/I/813+K0LTJzL.jpg")</f>
        <v/>
      </c>
      <c r="B55" s="32" t="inlineStr">
        <is>
          <t>B0F7M61LHQ</t>
        </is>
      </c>
      <c r="C55" s="32" t="inlineStr">
        <is>
          <t>SL-COOLING-FITTED-KING-COOL-BLUE</t>
        </is>
      </c>
      <c r="D55" s="32" t="inlineStr">
        <is>
          <t>SLEEPHORIA Cooling Fitted Sheet King Size - 1 PC BreezeWeave Cooling Sheets for Hot Sleepers &amp; Cool Rest w/ 16 in Deep Pocket - Corner Straps, Cloud Soft, Ultra Durable - 73 x 77 in (Cool Blue)</t>
        </is>
      </c>
      <c r="E55" s="32" t="inlineStr">
        <is>
          <t>King</t>
        </is>
      </c>
      <c r="F55" s="32" t="inlineStr">
        <is>
          <t>Cool Blue</t>
        </is>
      </c>
      <c r="G55" s="60" t="n">
        <v>39.99</v>
      </c>
      <c r="H55" s="32" t="inlineStr">
        <is>
          <t>Helium 10 Xray, 2026-10-13</t>
        </is>
      </c>
      <c r="I55" s="61" t="n">
        <v>34.99</v>
      </c>
      <c r="J55" s="62" t="inlineStr">
        <is>
          <t>2026-03-30</t>
        </is>
      </c>
      <c r="K55" s="33" t="n">
        <v>9.180000000000001</v>
      </c>
      <c r="L55" s="63" t="n">
        <v>0.2623606744784224</v>
      </c>
      <c r="M55" s="64" t="n">
        <v>1</v>
      </c>
      <c r="N55" s="32" t="inlineStr">
        <is>
          <t>Active</t>
        </is>
      </c>
      <c r="O55" s="32" t="n"/>
      <c r="P55" s="65" t="n">
        <v>4.6</v>
      </c>
      <c r="Q55" s="64" t="n">
        <v>496</v>
      </c>
      <c r="R55" s="64" t="n">
        <v>49030</v>
      </c>
      <c r="S55" s="64" t="n">
        <v>2</v>
      </c>
      <c r="T55" s="32" t="n"/>
    </row>
    <row r="56" ht="62" customHeight="1">
      <c r="A56" s="10">
        <f>_xlfn.IMAGE("https://m.media-amazon.com/images/I/81r690HkxWL.jpg")</f>
        <v/>
      </c>
      <c r="B56" s="32" t="inlineStr">
        <is>
          <t>B0F7M4HC57</t>
        </is>
      </c>
      <c r="C56" s="32" t="inlineStr">
        <is>
          <t>SL-COOLING-FITTED-TWIN-COOL-GREY</t>
        </is>
      </c>
      <c r="D56" s="32" t="inlineStr">
        <is>
          <t>SLEEPHORIA Cooling Fitted Sheet Twin Size - 1 PC BreezeWeave Cooling Sheets for Hot Sleepers &amp; Cool Rest w/ 16 in Deep Pocket - Corner Straps, Cloud Soft, Ultra Durable - 37 x 72 in (Cool Grey)</t>
        </is>
      </c>
      <c r="E56" s="32" t="inlineStr">
        <is>
          <t>Twin</t>
        </is>
      </c>
      <c r="F56" s="32" t="inlineStr">
        <is>
          <t>Cool Grey</t>
        </is>
      </c>
      <c r="G56" s="60" t="n">
        <v>32.99</v>
      </c>
      <c r="H56" s="32" t="inlineStr">
        <is>
          <t>SellerBoard listing price, 2026-10-14</t>
        </is>
      </c>
      <c r="I56" s="61" t="n">
        <v>26.99</v>
      </c>
      <c r="J56" s="62" t="inlineStr">
        <is>
          <t>2026-03-30</t>
        </is>
      </c>
      <c r="K56" s="33" t="n">
        <v>6.929999999999996</v>
      </c>
      <c r="L56" s="63" t="n">
        <v>0.256761763616154</v>
      </c>
      <c r="M56" s="64" t="n">
        <v>1</v>
      </c>
      <c r="N56" s="32" t="inlineStr">
        <is>
          <t>Inactive</t>
        </is>
      </c>
      <c r="O56" s="32" t="n"/>
      <c r="P56" s="65" t="n"/>
      <c r="Q56" s="64" t="n"/>
      <c r="R56" s="64" t="n"/>
      <c r="S56" s="64" t="n"/>
      <c r="T56" s="32" t="n"/>
    </row>
    <row r="57" ht="62" customHeight="1">
      <c r="A57" s="10">
        <f>_xlfn.IMAGE("https://m.media-amazon.com/images/I/815Zr2bHyBL.jpg")</f>
        <v/>
      </c>
      <c r="B57" s="32" t="inlineStr">
        <is>
          <t>B0F7M4DPM6</t>
        </is>
      </c>
      <c r="C57" s="32" t="inlineStr">
        <is>
          <t>SL-COOLING-FITTED-CAL-KING-BEIGE</t>
        </is>
      </c>
      <c r="D57" s="32" t="inlineStr">
        <is>
          <t>SLEEPHORIA Cooling Fitted Sheet Calfornia King Size - 1 PC BreezeWeave Cooling Sheets for Hot Sleepers &amp; Cool Rest w/ 16 in Deep Pocket - Corner Straps, Cloud Soft - 69 x 81 in (Beige)</t>
        </is>
      </c>
      <c r="E57" s="32" t="inlineStr">
        <is>
          <t>Cal King</t>
        </is>
      </c>
      <c r="F57" s="32" t="inlineStr">
        <is>
          <t>Beige</t>
        </is>
      </c>
      <c r="G57" s="60" t="n">
        <v>39.99</v>
      </c>
      <c r="H57" s="32" t="inlineStr">
        <is>
          <t>SellerBoard listing price, 2026-10-14</t>
        </is>
      </c>
      <c r="I57" s="61" t="n">
        <v>35.99</v>
      </c>
      <c r="J57" s="62" t="inlineStr">
        <is>
          <t>2026-03-30</t>
        </is>
      </c>
      <c r="K57" s="33" t="n">
        <v>7.320000000000004</v>
      </c>
      <c r="L57" s="63" t="n">
        <v>0.2033898305084747</v>
      </c>
      <c r="M57" s="64" t="n">
        <v>0</v>
      </c>
      <c r="N57" s="32" t="inlineStr">
        <is>
          <t>Inactive</t>
        </is>
      </c>
      <c r="O57" s="32" t="n"/>
      <c r="P57" s="65" t="n"/>
      <c r="Q57" s="64" t="n"/>
      <c r="R57" s="64" t="n"/>
      <c r="S57" s="64" t="n"/>
      <c r="T57" s="32" t="n"/>
    </row>
    <row r="58" ht="62" customHeight="1">
      <c r="A58" s="10">
        <f>_xlfn.IMAGE("https://m.media-amazon.com/images/I/81-LAAiOPsL.jpg")</f>
        <v/>
      </c>
      <c r="B58" s="32" t="inlineStr">
        <is>
          <t>B0F7M5L5TP</t>
        </is>
      </c>
      <c r="C58" s="32" t="inlineStr">
        <is>
          <t>SL-COOLING-FITTED-CAL-KING-GRAPHITE</t>
        </is>
      </c>
      <c r="D58" s="32" t="inlineStr">
        <is>
          <t>SLEEPHORIA Cooling Fitted Sheet Calfornia King Size - 1 PC BreezeWeave Cooling Sheets for Hot Sleepers &amp; Cool Rest w/ 16 in Deep Pocket - Corner Straps, Cloud Soft - 69 x 81 in (Graphite)</t>
        </is>
      </c>
      <c r="E58" s="32" t="inlineStr">
        <is>
          <t>Cal King</t>
        </is>
      </c>
      <c r="F58" s="32" t="inlineStr">
        <is>
          <t>Graphite</t>
        </is>
      </c>
      <c r="G58" s="60" t="n">
        <v>39.99</v>
      </c>
      <c r="H58" s="32" t="inlineStr">
        <is>
          <t>SellerBoard listing price, 2026-10-14</t>
        </is>
      </c>
      <c r="I58" s="61" t="n">
        <v>35.99</v>
      </c>
      <c r="J58" s="62" t="inlineStr">
        <is>
          <t>2026-03-30</t>
        </is>
      </c>
      <c r="K58" s="33" t="n">
        <v>7.550000000000002</v>
      </c>
      <c r="L58" s="63" t="n">
        <v>0.2097804945818283</v>
      </c>
      <c r="M58" s="64" t="n"/>
      <c r="N58" s="32" t="inlineStr">
        <is>
          <t>Inactive</t>
        </is>
      </c>
      <c r="O58" s="32" t="n"/>
      <c r="P58" s="65" t="n"/>
      <c r="Q58" s="64" t="n"/>
      <c r="R58" s="64" t="n"/>
      <c r="S58" s="64" t="n"/>
      <c r="T58" s="32" t="n"/>
    </row>
    <row r="59" ht="62" customHeight="1">
      <c r="A59" s="10">
        <f>_xlfn.IMAGE("https://m.media-amazon.com/images/I/81qB8822yoL.jpg")</f>
        <v/>
      </c>
      <c r="B59" s="32" t="inlineStr">
        <is>
          <t>B0F7M35WZY</t>
        </is>
      </c>
      <c r="C59" s="32" t="inlineStr">
        <is>
          <t>SL-COOLING-FITTED-CAL-KING-LIGHT-BLUE</t>
        </is>
      </c>
      <c r="D59" s="32" t="inlineStr">
        <is>
          <t>SLEEPHORIA Cooling Fitted Sheet Calfornia King Size - 1 PC BreezeWeave Cooling Sheets for Hot Sleepers &amp; Cool Rest w/ 16 in Deep Pocket - Corner Straps, Cloud Soft - 69 x 81 in (Light Blue)</t>
        </is>
      </c>
      <c r="E59" s="32" t="inlineStr">
        <is>
          <t>Cal King</t>
        </is>
      </c>
      <c r="F59" s="32" t="inlineStr">
        <is>
          <t>Light Blue</t>
        </is>
      </c>
      <c r="G59" s="60" t="n">
        <v>39.99</v>
      </c>
      <c r="H59" s="32" t="inlineStr">
        <is>
          <t>Helium 10 Xray, 2026-10-13</t>
        </is>
      </c>
      <c r="I59" s="61" t="n">
        <v>35.99</v>
      </c>
      <c r="J59" s="62" t="inlineStr">
        <is>
          <t>2026-03-30</t>
        </is>
      </c>
      <c r="K59" s="33" t="n">
        <v>7.320000000000004</v>
      </c>
      <c r="L59" s="63" t="n">
        <v>0.2033898305084747</v>
      </c>
      <c r="M59" s="64" t="n">
        <v>0</v>
      </c>
      <c r="N59" s="32" t="inlineStr">
        <is>
          <t>Active</t>
        </is>
      </c>
      <c r="O59" s="32" t="n"/>
      <c r="P59" s="65" t="n">
        <v>4.6</v>
      </c>
      <c r="Q59" s="64" t="n">
        <v>496</v>
      </c>
      <c r="R59" s="64" t="n">
        <v>49030</v>
      </c>
      <c r="S59" s="64" t="n">
        <v>6</v>
      </c>
      <c r="T59" s="32" t="n"/>
    </row>
    <row r="60" ht="62" customHeight="1">
      <c r="A60" s="10">
        <f>_xlfn.IMAGE("https://m.media-amazon.com/images/I/81hT0qOPgZL.jpg")</f>
        <v/>
      </c>
      <c r="B60" s="32" t="inlineStr">
        <is>
          <t>B0F7M5393W</t>
        </is>
      </c>
      <c r="C60" s="32" t="inlineStr">
        <is>
          <t>SL-COOLING-FITTED-CAL-KING-MIDNGHT-BLACK</t>
        </is>
      </c>
      <c r="D60" s="32" t="inlineStr">
        <is>
          <t>SLEEPHORIA Cooling Fitted Sheet Calfornia King Size - 1 PC BreezeWeave Cooling Sheets for Hot Sleepers &amp; Cool Rest w/ 16 in Deep Pocket - Corner Straps, Cloud Soft - 69 x 81 in (Midnight Black)</t>
        </is>
      </c>
      <c r="E60" s="32" t="inlineStr">
        <is>
          <t>Cal King</t>
        </is>
      </c>
      <c r="F60" s="32" t="inlineStr">
        <is>
          <t>Midnight Black</t>
        </is>
      </c>
      <c r="G60" s="60" t="n">
        <v>39.99</v>
      </c>
      <c r="H60" s="32" t="inlineStr">
        <is>
          <t>Helium 10 Xray, 2026-10-13</t>
        </is>
      </c>
      <c r="I60" s="61" t="n">
        <v>35.99</v>
      </c>
      <c r="J60" s="62" t="inlineStr">
        <is>
          <t>2026-03-30</t>
        </is>
      </c>
      <c r="K60" s="33" t="n">
        <v>7.700000000000005</v>
      </c>
      <c r="L60" s="63" t="n">
        <v>0.2139483189774939</v>
      </c>
      <c r="M60" s="64" t="n">
        <v>0</v>
      </c>
      <c r="N60" s="32" t="inlineStr">
        <is>
          <t>Active</t>
        </is>
      </c>
      <c r="O60" s="32" t="n"/>
      <c r="P60" s="65" t="n">
        <v>4.6</v>
      </c>
      <c r="Q60" s="64" t="n">
        <v>496</v>
      </c>
      <c r="R60" s="64" t="n">
        <v>49029</v>
      </c>
      <c r="S60" s="64" t="n">
        <v>6</v>
      </c>
      <c r="T60" s="32" t="n"/>
    </row>
    <row r="61" ht="62" customHeight="1">
      <c r="A61" s="10">
        <f>_xlfn.IMAGE("https://m.media-amazon.com/images/I/815Zr2bHyBL.jpg")</f>
        <v/>
      </c>
      <c r="B61" s="32" t="inlineStr">
        <is>
          <t>B0F7M5TZQ4</t>
        </is>
      </c>
      <c r="C61" s="32" t="inlineStr">
        <is>
          <t>SL-COOLING-FITTED-FULL-BEIGE</t>
        </is>
      </c>
      <c r="D61" s="32" t="inlineStr">
        <is>
          <t>SLEEPHORIA Cooling Fitted Sheet Full Size - 1 PC BreezeWeave Cooling Sheets for Hot Sleepers &amp; Cool Rest w/ 16 in Deep Pocket - Corner Straps, Cloud Soft, Ultra Durable - 52 x 72 in (Beige)</t>
        </is>
      </c>
      <c r="E61" s="32" t="inlineStr">
        <is>
          <t>Full</t>
        </is>
      </c>
      <c r="F61" s="32" t="inlineStr">
        <is>
          <t>Beige</t>
        </is>
      </c>
      <c r="G61" s="60" t="n">
        <v>35.99</v>
      </c>
      <c r="H61" s="32" t="inlineStr">
        <is>
          <t>SellerBoard listing price, 2026-10-14</t>
        </is>
      </c>
      <c r="I61" s="61" t="n">
        <v>29.99</v>
      </c>
      <c r="J61" s="62" t="inlineStr">
        <is>
          <t>2026-03-30</t>
        </is>
      </c>
      <c r="K61" s="33" t="n">
        <v>6.179999999999998</v>
      </c>
      <c r="L61" s="63" t="n">
        <v>0.2060686895631877</v>
      </c>
      <c r="M61" s="64" t="n"/>
      <c r="N61" s="32" t="inlineStr">
        <is>
          <t>Inactive</t>
        </is>
      </c>
      <c r="O61" s="32" t="n"/>
      <c r="P61" s="65" t="n"/>
      <c r="Q61" s="64" t="n"/>
      <c r="R61" s="64" t="n"/>
      <c r="S61" s="64" t="n"/>
      <c r="T61" s="32" t="n"/>
    </row>
    <row r="62" ht="62" customHeight="1">
      <c r="A62" s="10">
        <f>_xlfn.IMAGE("https://m.media-amazon.com/images/I/81qB8822yoL.jpg")</f>
        <v/>
      </c>
      <c r="B62" s="32" t="inlineStr">
        <is>
          <t>B0F7M8R9FG</t>
        </is>
      </c>
      <c r="C62" s="32" t="inlineStr">
        <is>
          <t>SL-COOLING-FITTED-FULL-LIGHT-BLUE</t>
        </is>
      </c>
      <c r="D62" s="32" t="inlineStr">
        <is>
          <t>SLEEPHORIA Cooling Fitted Sheet Full Size - 1 PC BreezeWeave Cooling Sheets for Hot Sleepers &amp; Cool Rest w/ 16 in Deep Pocket - Corner Straps, Cloud Soft, Ultra Durable - 52 x 72 in (Light Blue)</t>
        </is>
      </c>
      <c r="E62" s="32" t="inlineStr">
        <is>
          <t>Full</t>
        </is>
      </c>
      <c r="F62" s="32" t="inlineStr">
        <is>
          <t>Light Blue</t>
        </is>
      </c>
      <c r="G62" s="60" t="n">
        <v>31.99</v>
      </c>
      <c r="H62" s="32" t="inlineStr">
        <is>
          <t>SellerBoard listing price, 2026-10-14</t>
        </is>
      </c>
      <c r="I62" s="61" t="n">
        <v>29.99</v>
      </c>
      <c r="J62" s="62" t="inlineStr">
        <is>
          <t>2026-03-30</t>
        </is>
      </c>
      <c r="K62" s="33" t="n">
        <v>6.179999999999998</v>
      </c>
      <c r="L62" s="63" t="n">
        <v>0.2060686895631877</v>
      </c>
      <c r="M62" s="64" t="n"/>
      <c r="N62" s="32" t="inlineStr">
        <is>
          <t>Inactive</t>
        </is>
      </c>
      <c r="O62" s="32" t="n"/>
      <c r="P62" s="65" t="n"/>
      <c r="Q62" s="64" t="n"/>
      <c r="R62" s="64" t="n"/>
      <c r="S62" s="64" t="n"/>
      <c r="T62" s="32" t="n"/>
    </row>
    <row r="63" ht="62" customHeight="1">
      <c r="A63" s="10">
        <f>_xlfn.IMAGE("https://m.media-amazon.com/images/I/81hT0qOPgZL.jpg")</f>
        <v/>
      </c>
      <c r="B63" s="32" t="inlineStr">
        <is>
          <t>B0F7M621N6</t>
        </is>
      </c>
      <c r="C63" s="32" t="inlineStr">
        <is>
          <t>SL-COOLING-FITTED-FULL-MIDNIGHT-BLACK</t>
        </is>
      </c>
      <c r="D63" s="32" t="inlineStr">
        <is>
          <t>SLEEPHORIA Cooling Fitted Sheet Full Size - 1 PC BreezeWeave Cooling Sheets for Hot Sleepers &amp; Cool Rest w/ 16 in Deep Pocket - Corner Straps, Cloud Soft, Ultra Durable - 52 x 72 in (Midnight Black)</t>
        </is>
      </c>
      <c r="E63" s="32" t="inlineStr">
        <is>
          <t>Full</t>
        </is>
      </c>
      <c r="F63" s="32" t="inlineStr">
        <is>
          <t>Midnight Black</t>
        </is>
      </c>
      <c r="G63" s="60" t="n">
        <v>29.99</v>
      </c>
      <c r="H63" s="32" t="inlineStr">
        <is>
          <t>SellerBoard listing price, 2026-10-14</t>
        </is>
      </c>
      <c r="I63" s="61" t="n">
        <v>29.99</v>
      </c>
      <c r="J63" s="62" t="inlineStr">
        <is>
          <t>2026-03-30</t>
        </is>
      </c>
      <c r="K63" s="33" t="n">
        <v>6.199999999999998</v>
      </c>
      <c r="L63" s="63" t="n">
        <v>0.2067355785261754</v>
      </c>
      <c r="M63" s="64" t="n"/>
      <c r="N63" s="32" t="inlineStr">
        <is>
          <t>Inactive</t>
        </is>
      </c>
      <c r="O63" s="32" t="n"/>
      <c r="P63" s="65" t="n"/>
      <c r="Q63" s="64" t="n"/>
      <c r="R63" s="64" t="n"/>
      <c r="S63" s="64" t="n"/>
      <c r="T63" s="32" t="n"/>
    </row>
    <row r="64" ht="62" customHeight="1">
      <c r="A64" s="10">
        <f>_xlfn.IMAGE("https://m.media-amazon.com/images/I/814rCVRR52L.jpg")</f>
        <v/>
      </c>
      <c r="B64" s="32" t="inlineStr">
        <is>
          <t>B0F7M6N7BG</t>
        </is>
      </c>
      <c r="C64" s="32" t="inlineStr">
        <is>
          <t>SL-COOLING-FITTED-FULL-NAVY-BLUE</t>
        </is>
      </c>
      <c r="D64" s="32" t="inlineStr">
        <is>
          <t>SLEEPHORIA Cooling Fitted Sheet Full Size - 1 PC BreezeWeave Cooling Sheets for Hot Sleepers &amp; Cool Rest w/ 16 in Deep Pocket - Corner Straps, Cloud Soft, Ultra Durable - 52 x 72 in (Navy Blue)</t>
        </is>
      </c>
      <c r="E64" s="32" t="inlineStr">
        <is>
          <t>Full</t>
        </is>
      </c>
      <c r="F64" s="32" t="inlineStr">
        <is>
          <t>Navy Blue</t>
        </is>
      </c>
      <c r="G64" s="60" t="n">
        <v>27.99</v>
      </c>
      <c r="H64" s="32" t="inlineStr">
        <is>
          <t>SellerBoard listing price, 2026-10-14</t>
        </is>
      </c>
      <c r="I64" s="61" t="n">
        <v>29.99</v>
      </c>
      <c r="J64" s="62" t="inlineStr">
        <is>
          <t>2026-03-30</t>
        </is>
      </c>
      <c r="K64" s="33" t="n">
        <v>6.179999999999998</v>
      </c>
      <c r="L64" s="63" t="n">
        <v>0.2060686895631877</v>
      </c>
      <c r="M64" s="64" t="n"/>
      <c r="N64" s="32" t="inlineStr">
        <is>
          <t>Inactive</t>
        </is>
      </c>
      <c r="O64" s="32" t="n"/>
      <c r="P64" s="65" t="n"/>
      <c r="Q64" s="64" t="n"/>
      <c r="R64" s="64" t="n"/>
      <c r="S64" s="64" t="n"/>
      <c r="T64" s="32" t="n"/>
    </row>
    <row r="65" ht="62" customHeight="1">
      <c r="A65" s="10">
        <f>_xlfn.IMAGE("https://m.media-amazon.com/images/I/81Tr9Bh8YxL.jpg")</f>
        <v/>
      </c>
      <c r="B65" s="32" t="inlineStr">
        <is>
          <t>B0F7M3HDB5</t>
        </is>
      </c>
      <c r="C65" s="32" t="inlineStr">
        <is>
          <t>SL-COOLING-FITTED-FULL-SAGE-GREEN</t>
        </is>
      </c>
      <c r="D65" s="32" t="inlineStr">
        <is>
          <t>SLEEPHORIA Cooling Fitted Sheet Full Size - 1 PC BreezeWeave Cooling Sheets for Hot Sleepers &amp; Cool Rest w/ 16 in Deep Pocket - Corner Straps, Cloud Soft, Ultra Durable - 52 x 72 in (Sage Green)</t>
        </is>
      </c>
      <c r="E65" s="32" t="inlineStr">
        <is>
          <t>Full</t>
        </is>
      </c>
      <c r="F65" s="32" t="inlineStr">
        <is>
          <t>Sage Green</t>
        </is>
      </c>
      <c r="G65" s="60" t="n">
        <v>29.99</v>
      </c>
      <c r="H65" s="32" t="inlineStr">
        <is>
          <t>SellerBoard listing price, 2026-10-14</t>
        </is>
      </c>
      <c r="I65" s="61" t="n">
        <v>29.99</v>
      </c>
      <c r="J65" s="62" t="inlineStr">
        <is>
          <t>2026-03-30</t>
        </is>
      </c>
      <c r="K65" s="33" t="n">
        <v>6.179999999999998</v>
      </c>
      <c r="L65" s="63" t="n">
        <v>0.2060686895631877</v>
      </c>
      <c r="M65" s="64" t="n"/>
      <c r="N65" s="32" t="inlineStr">
        <is>
          <t>Inactive</t>
        </is>
      </c>
      <c r="O65" s="32" t="n"/>
      <c r="P65" s="65" t="n"/>
      <c r="Q65" s="64" t="n"/>
      <c r="R65" s="64" t="n"/>
      <c r="S65" s="64" t="n"/>
      <c r="T65" s="32" t="n"/>
    </row>
    <row r="66" ht="62" customHeight="1">
      <c r="A66" s="10">
        <f>_xlfn.IMAGE("https://m.media-amazon.com/images/I/81G7yE5OfqL.jpg")</f>
        <v/>
      </c>
      <c r="B66" s="32" t="inlineStr">
        <is>
          <t>B0F7M5XJFG</t>
        </is>
      </c>
      <c r="C66" s="32" t="inlineStr">
        <is>
          <t>SL-COOLING-FITTED-FULL-WHITE</t>
        </is>
      </c>
      <c r="D66" s="32" t="inlineStr">
        <is>
          <t>SLEEPHORIA Cooling Fitted Sheet Full Size - 1 PC BreezeWeave Cooling Sheets for Hot Sleepers &amp; Cool Rest w/ 16 in Deep Pocket - Corner Straps, Cloud Soft, Ultra Durable - 52 x 72 in (White)</t>
        </is>
      </c>
      <c r="E66" s="32" t="inlineStr">
        <is>
          <t>Full</t>
        </is>
      </c>
      <c r="F66" s="32" t="inlineStr">
        <is>
          <t>White</t>
        </is>
      </c>
      <c r="G66" s="60" t="n">
        <v>31.99</v>
      </c>
      <c r="H66" s="32" t="inlineStr">
        <is>
          <t>SellerBoard listing price, 2026-10-14</t>
        </is>
      </c>
      <c r="I66" s="61" t="n">
        <v>29.99</v>
      </c>
      <c r="J66" s="62" t="inlineStr">
        <is>
          <t>2026-03-30</t>
        </is>
      </c>
      <c r="K66" s="33" t="n">
        <v>6.189999999999998</v>
      </c>
      <c r="L66" s="63" t="n">
        <v>0.2064021340446815</v>
      </c>
      <c r="M66" s="64" t="n"/>
      <c r="N66" s="32" t="inlineStr">
        <is>
          <t>Inactive</t>
        </is>
      </c>
      <c r="O66" s="32" t="n"/>
      <c r="P66" s="65" t="n"/>
      <c r="Q66" s="64" t="n"/>
      <c r="R66" s="64" t="n"/>
      <c r="S66" s="64" t="n"/>
      <c r="T66" s="32" t="n"/>
    </row>
    <row r="67" ht="62" customHeight="1">
      <c r="A67" s="10">
        <f>_xlfn.IMAGE("https://m.media-amazon.com/images/I/81-LAAiOPsL.jpg")</f>
        <v/>
      </c>
      <c r="B67" s="32" t="inlineStr">
        <is>
          <t>B0F7M34BND</t>
        </is>
      </c>
      <c r="C67" s="32" t="inlineStr">
        <is>
          <t>SL-COOLING-FITTED-KING-GRAPHITE</t>
        </is>
      </c>
      <c r="D67" s="32" t="inlineStr">
        <is>
          <t>SLEEPHORIA Cooling Fitted Sheet King Size - 1 PC BreezeWeave Cooling Sheets for Hot Sleepers &amp; Cool Rest w/ 16 in Deep Pocket - Corner Straps, Cloud Soft, Ultra Durable - 73 x 77 in (Graphite)</t>
        </is>
      </c>
      <c r="E67" s="32" t="inlineStr">
        <is>
          <t>King</t>
        </is>
      </c>
      <c r="F67" s="32" t="inlineStr">
        <is>
          <t>Graphite</t>
        </is>
      </c>
      <c r="G67" s="60" t="n">
        <v>24.99</v>
      </c>
      <c r="H67" s="32" t="inlineStr">
        <is>
          <t>SellerBoard listing price, 2026-10-14</t>
        </is>
      </c>
      <c r="I67" s="33" t="n"/>
      <c r="J67" s="32" t="n"/>
      <c r="K67" s="33" t="n"/>
      <c r="L67" s="63" t="n"/>
      <c r="M67" s="64" t="n"/>
      <c r="N67" s="32" t="inlineStr">
        <is>
          <t>Inactive</t>
        </is>
      </c>
      <c r="O67" s="32" t="n"/>
      <c r="P67" s="65" t="n"/>
      <c r="Q67" s="64" t="n"/>
      <c r="R67" s="64" t="n"/>
      <c r="S67" s="64" t="n"/>
      <c r="T67" s="32" t="n"/>
    </row>
    <row r="68" ht="62" customHeight="1">
      <c r="A68" s="10">
        <f>_xlfn.IMAGE("https://m.media-amazon.com/images/I/81yiInBJx6L.jpg")</f>
        <v/>
      </c>
      <c r="B68" s="32" t="inlineStr">
        <is>
          <t>B0F7M5CDV3</t>
        </is>
      </c>
      <c r="C68" s="32" t="inlineStr">
        <is>
          <t>SL-COOLING-FITTED-KING-LIGHT-PINK</t>
        </is>
      </c>
      <c r="D68" s="32" t="inlineStr">
        <is>
          <t>SLEEPHORIA Cooling Fitted Sheet King Size - 1 PC BreezeWeave Cooling Sheets for Hot Sleepers &amp; Cool Rest w/ 16 in Deep Pocket - Corner Straps, Cloud Soft, Ultra Durable - 73 x 77 in (Light Pink)</t>
        </is>
      </c>
      <c r="E68" s="32" t="inlineStr">
        <is>
          <t>King</t>
        </is>
      </c>
      <c r="F68" s="32" t="inlineStr">
        <is>
          <t>Light Pink</t>
        </is>
      </c>
      <c r="G68" s="60" t="n">
        <v>34.99</v>
      </c>
      <c r="H68" s="32" t="inlineStr">
        <is>
          <t>SellerBoard listing price, 2026-10-14</t>
        </is>
      </c>
      <c r="I68" s="61" t="n">
        <v>34.99</v>
      </c>
      <c r="J68" s="62" t="inlineStr">
        <is>
          <t>2026-03-30</t>
        </is>
      </c>
      <c r="K68" s="33" t="n">
        <v>6.950000000000003</v>
      </c>
      <c r="L68" s="63" t="n">
        <v>0.1986281794798515</v>
      </c>
      <c r="M68" s="64" t="n"/>
      <c r="N68" s="32" t="inlineStr">
        <is>
          <t>Inactive</t>
        </is>
      </c>
      <c r="O68" s="32" t="n"/>
      <c r="P68" s="65" t="n"/>
      <c r="Q68" s="64" t="n"/>
      <c r="R68" s="64" t="n"/>
      <c r="S68" s="64" t="n"/>
      <c r="T68" s="32" t="n"/>
    </row>
    <row r="69" ht="62" customHeight="1">
      <c r="A69" s="10">
        <f>_xlfn.IMAGE("https://m.media-amazon.com/images/I/814rCVRR52L.jpg")</f>
        <v/>
      </c>
      <c r="B69" s="32" t="inlineStr">
        <is>
          <t>B0F7M5M7G1</t>
        </is>
      </c>
      <c r="C69" s="32" t="inlineStr">
        <is>
          <t>SL-COOLING-FITTED-KING-NAVY-BLUE</t>
        </is>
      </c>
      <c r="D69" s="32" t="inlineStr">
        <is>
          <t>SLEEPHORIA Cooling Fitted Sheet King Size - 1 PC BreezeWeave Cooling Sheets for Hot Sleepers &amp; Cool Rest w/ 16 in Deep Pocket - Corner Straps, Cloud Soft, Ultra Durable - 73 x 77 in (Navy Blue)</t>
        </is>
      </c>
      <c r="E69" s="32" t="inlineStr">
        <is>
          <t>King</t>
        </is>
      </c>
      <c r="F69" s="32" t="inlineStr">
        <is>
          <t>Navy Blue</t>
        </is>
      </c>
      <c r="G69" s="60" t="n">
        <v>39.99</v>
      </c>
      <c r="H69" s="32" t="inlineStr">
        <is>
          <t>Helium 10 Xray, 2026-10-13</t>
        </is>
      </c>
      <c r="I69" s="61" t="n">
        <v>34.99</v>
      </c>
      <c r="J69" s="62" t="inlineStr">
        <is>
          <t>2026-03-30</t>
        </is>
      </c>
      <c r="K69" s="33" t="n">
        <v>8.870000000000003</v>
      </c>
      <c r="L69" s="63" t="n">
        <v>0.253501000285796</v>
      </c>
      <c r="M69" s="64" t="n">
        <v>0</v>
      </c>
      <c r="N69" s="32" t="inlineStr">
        <is>
          <t>Active</t>
        </is>
      </c>
      <c r="O69" s="32" t="n"/>
      <c r="P69" s="65" t="n">
        <v>4.6</v>
      </c>
      <c r="Q69" s="64" t="n">
        <v>496</v>
      </c>
      <c r="R69" s="64" t="n">
        <v>49030</v>
      </c>
      <c r="S69" s="64" t="n">
        <v>2</v>
      </c>
      <c r="T69" s="32" t="n"/>
    </row>
    <row r="70" ht="62" customHeight="1">
      <c r="A70" s="10">
        <f>_xlfn.IMAGE("https://m.media-amazon.com/images/I/813+K0LTJzL.jpg")</f>
        <v/>
      </c>
      <c r="B70" s="32" t="inlineStr">
        <is>
          <t>B0F7M6FFVL</t>
        </is>
      </c>
      <c r="C70" s="32" t="inlineStr">
        <is>
          <t>SL-COOLING-FITTED-QUEEN-COOL-BLUE</t>
        </is>
      </c>
      <c r="D70" s="32" t="inlineStr">
        <is>
          <t>SLEEPHORIA Cooling Fitted Sheet Queen Size - 1 PC BreezeWeave Cooling Sheets for Hot Sleepers &amp; Cool Rest w/ 16 in Deep Pocket - Corner Straps, Cloud Soft, Ultra Durable - 57 x 77 in (Cool Blue)</t>
        </is>
      </c>
      <c r="E70" s="32" t="inlineStr">
        <is>
          <t>Queen</t>
        </is>
      </c>
      <c r="F70" s="32" t="inlineStr">
        <is>
          <t>Cool Blue</t>
        </is>
      </c>
      <c r="G70" s="60" t="n">
        <v>29.98</v>
      </c>
      <c r="H70" s="32" t="inlineStr">
        <is>
          <t>SellerBoard listing price, 2026-10-14</t>
        </is>
      </c>
      <c r="I70" s="61" t="n">
        <v>31.99</v>
      </c>
      <c r="J70" s="62" t="inlineStr">
        <is>
          <t>2026-03-30</t>
        </is>
      </c>
      <c r="K70" s="33" t="n">
        <v>6.659999999999997</v>
      </c>
      <c r="L70" s="63" t="n">
        <v>0.2081900593935604</v>
      </c>
      <c r="M70" s="64" t="n">
        <v>0</v>
      </c>
      <c r="N70" s="32" t="inlineStr">
        <is>
          <t>Inactive</t>
        </is>
      </c>
      <c r="O70" s="32" t="n"/>
      <c r="P70" s="65" t="n"/>
      <c r="Q70" s="64" t="n"/>
      <c r="R70" s="64" t="n"/>
      <c r="S70" s="64" t="n"/>
      <c r="T70" s="32" t="n"/>
    </row>
    <row r="71" ht="62" customHeight="1">
      <c r="A71" s="10">
        <f>_xlfn.IMAGE("https://m.media-amazon.com/images/I/81qB8822yoL.jpg")</f>
        <v/>
      </c>
      <c r="B71" s="32" t="inlineStr">
        <is>
          <t>B0F7M51ZQR</t>
        </is>
      </c>
      <c r="C71" s="32" t="inlineStr">
        <is>
          <t>SL-COOLING-FITTED-QUEEN-LIGHT-BLUE</t>
        </is>
      </c>
      <c r="D71" s="32" t="inlineStr">
        <is>
          <t>SLEEPHORIA Cooling Fitted Sheet Queen Size - 1 PC BreezeWeave Cooling Sheets for Hot Sleepers &amp; Cool Rest w/ 16 in Deep Pocket - Corner Straps, Cloud Soft, Ultra Durable - 57 x 77 in (Light Blue)</t>
        </is>
      </c>
      <c r="E71" s="32" t="inlineStr">
        <is>
          <t>Queen</t>
        </is>
      </c>
      <c r="F71" s="32" t="inlineStr">
        <is>
          <t>Light Blue</t>
        </is>
      </c>
      <c r="G71" s="60" t="n">
        <v>35.99</v>
      </c>
      <c r="H71" s="32" t="inlineStr">
        <is>
          <t>SellerBoard listing price, 2026-10-14</t>
        </is>
      </c>
      <c r="I71" s="61" t="n">
        <v>31.99</v>
      </c>
      <c r="J71" s="62" t="inlineStr">
        <is>
          <t>2026-03-30</t>
        </is>
      </c>
      <c r="K71" s="33" t="n">
        <v>6.649999999999997</v>
      </c>
      <c r="L71" s="63" t="n">
        <v>0.2078774617067833</v>
      </c>
      <c r="M71" s="64" t="n"/>
      <c r="N71" s="32" t="inlineStr">
        <is>
          <t>Inactive</t>
        </is>
      </c>
      <c r="O71" s="32" t="n"/>
      <c r="P71" s="65" t="n"/>
      <c r="Q71" s="64" t="n"/>
      <c r="R71" s="64" t="n"/>
      <c r="S71" s="64" t="n"/>
      <c r="T71" s="32" t="n"/>
    </row>
    <row r="72" ht="62" customHeight="1">
      <c r="A72" s="10">
        <f>_xlfn.IMAGE("https://m.media-amazon.com/images/I/81yiInBJx6L.jpg")</f>
        <v/>
      </c>
      <c r="B72" s="32" t="inlineStr">
        <is>
          <t>B0F7M2K6G1</t>
        </is>
      </c>
      <c r="C72" s="32" t="inlineStr">
        <is>
          <t>SL-COOLING-FITTED-QUEEN-LIGHT-PINK</t>
        </is>
      </c>
      <c r="D72" s="32" t="inlineStr">
        <is>
          <t>SLEEPHORIA Cooling Fitted Sheet Queen Size - 1 PC BreezeWeave Cooling Sheets for Hot Sleepers &amp; Cool Rest w/ 16 in Deep Pocket - Corner Straps, Cloud Soft, Ultra Durable - 57 x 77 in (Light Pink)</t>
        </is>
      </c>
      <c r="E72" s="32" t="inlineStr">
        <is>
          <t>Queen</t>
        </is>
      </c>
      <c r="F72" s="32" t="inlineStr">
        <is>
          <t>Light Pink</t>
        </is>
      </c>
      <c r="G72" s="60" t="n">
        <v>37.99</v>
      </c>
      <c r="H72" s="32" t="inlineStr">
        <is>
          <t>SellerBoard listing price, 2026-10-14</t>
        </is>
      </c>
      <c r="I72" s="61" t="n">
        <v>31.99</v>
      </c>
      <c r="J72" s="62" t="inlineStr">
        <is>
          <t>2026-03-30</t>
        </is>
      </c>
      <c r="K72" s="33" t="n">
        <v>6.649999999999997</v>
      </c>
      <c r="L72" s="63" t="n">
        <v>0.2078774617067833</v>
      </c>
      <c r="M72" s="64" t="n"/>
      <c r="N72" s="32" t="inlineStr">
        <is>
          <t>Inactive</t>
        </is>
      </c>
      <c r="O72" s="32" t="n"/>
      <c r="P72" s="65" t="n"/>
      <c r="Q72" s="64" t="n"/>
      <c r="R72" s="64" t="n"/>
      <c r="S72" s="64" t="n"/>
      <c r="T72" s="32" t="n"/>
    </row>
    <row r="73" ht="62" customHeight="1">
      <c r="A73" s="10">
        <f>_xlfn.IMAGE("https://m.media-amazon.com/images/I/815Zr2bHyBL.jpg")</f>
        <v/>
      </c>
      <c r="B73" s="32" t="inlineStr">
        <is>
          <t>B0F7M2XVCN</t>
        </is>
      </c>
      <c r="C73" s="32" t="inlineStr">
        <is>
          <t>SL-COOLING-FITTED-TWIN-BEIGE</t>
        </is>
      </c>
      <c r="D73" s="32" t="inlineStr">
        <is>
          <t>SLEEPHORIA Cooling Fitted Sheet Twin Size - 1 PC BreezeWeave Cooling Sheets for Hot Sleepers &amp; Cool Rest w/ 16 in Deep Pocket - Corner Straps, Cloud Soft, Ultra Durable - 37 x 72 in (Beige)</t>
        </is>
      </c>
      <c r="E73" s="32" t="inlineStr">
        <is>
          <t>Twin</t>
        </is>
      </c>
      <c r="F73" s="32" t="inlineStr">
        <is>
          <t>Beige</t>
        </is>
      </c>
      <c r="G73" s="60" t="n">
        <v>24.98</v>
      </c>
      <c r="H73" s="32" t="inlineStr">
        <is>
          <t>SellerBoard listing price, 2026-10-14</t>
        </is>
      </c>
      <c r="I73" s="61" t="n">
        <v>26.99</v>
      </c>
      <c r="J73" s="62" t="inlineStr">
        <is>
          <t>2026-03-30</t>
        </is>
      </c>
      <c r="K73" s="33" t="n">
        <v>5.609999999999998</v>
      </c>
      <c r="L73" s="63" t="n">
        <v>0.2078547610226009</v>
      </c>
      <c r="M73" s="64" t="n"/>
      <c r="N73" s="32" t="inlineStr">
        <is>
          <t>Inactive</t>
        </is>
      </c>
      <c r="O73" s="32" t="n"/>
      <c r="P73" s="65" t="n"/>
      <c r="Q73" s="64" t="n"/>
      <c r="R73" s="64" t="n"/>
      <c r="S73" s="64" t="n"/>
      <c r="T73" s="32" t="n"/>
    </row>
    <row r="74" ht="62" customHeight="1">
      <c r="A74" s="10">
        <f>_xlfn.IMAGE("https://m.media-amazon.com/images/I/8101fCLlt+L.jpg")</f>
        <v/>
      </c>
      <c r="B74" s="32" t="inlineStr">
        <is>
          <t>B0F7M3LR2T</t>
        </is>
      </c>
      <c r="C74" s="32" t="inlineStr">
        <is>
          <t>SL-COOLING-FITTED-TWIN-CREAM</t>
        </is>
      </c>
      <c r="D74" s="32" t="inlineStr">
        <is>
          <t>SLEEPHORIA Cooling Fitted Sheet Twin Size - 1 PC BreezeWeave Cooling Sheets for Hot Sleepers &amp; Cool Rest w/ 16 in Deep Pocket - Corner Straps, Cloud Soft, Ultra Durable - 37 x 72 in (Cream)</t>
        </is>
      </c>
      <c r="E74" s="32" t="inlineStr">
        <is>
          <t>Twin</t>
        </is>
      </c>
      <c r="F74" s="32" t="inlineStr">
        <is>
          <t>Cream</t>
        </is>
      </c>
      <c r="G74" s="60" t="n">
        <v>24.99</v>
      </c>
      <c r="H74" s="32" t="inlineStr">
        <is>
          <t>SellerBoard listing price, 2026-10-14</t>
        </is>
      </c>
      <c r="I74" s="61" t="n">
        <v>26.99</v>
      </c>
      <c r="J74" s="62" t="inlineStr">
        <is>
          <t>2026-03-30</t>
        </is>
      </c>
      <c r="K74" s="33" t="n">
        <v>5.609999999999998</v>
      </c>
      <c r="L74" s="63" t="n">
        <v>0.2078547610226009</v>
      </c>
      <c r="M74" s="64" t="n"/>
      <c r="N74" s="32" t="inlineStr">
        <is>
          <t>Inactive</t>
        </is>
      </c>
      <c r="O74" s="32" t="n"/>
      <c r="P74" s="65" t="n"/>
      <c r="Q74" s="64" t="n"/>
      <c r="R74" s="64" t="n"/>
      <c r="S74" s="64" t="n"/>
      <c r="T74" s="32" t="n"/>
    </row>
    <row r="75" ht="62" customHeight="1">
      <c r="A75" s="10">
        <f>_xlfn.IMAGE("https://m.media-amazon.com/images/I/81-LAAiOPsL.jpg")</f>
        <v/>
      </c>
      <c r="B75" s="32" t="inlineStr">
        <is>
          <t>B0F7M6WTWR</t>
        </is>
      </c>
      <c r="C75" s="32" t="inlineStr">
        <is>
          <t>SL-COOLING-FITTED-TWIN-GRAPHITE</t>
        </is>
      </c>
      <c r="D75" s="32" t="inlineStr">
        <is>
          <t>SLEEPHORIA Cooling Fitted Sheet Twin Size - 1 PC BreezeWeave Cooling Sheets for Hot Sleepers &amp; Cool Rest w/ 16 in Deep Pocket - Corner Straps, Cloud Soft, Ultra Durable - 37 x 72 in (Graphite)</t>
        </is>
      </c>
      <c r="E75" s="32" t="inlineStr">
        <is>
          <t>Twin</t>
        </is>
      </c>
      <c r="F75" s="32" t="inlineStr">
        <is>
          <t>Graphite</t>
        </is>
      </c>
      <c r="G75" s="60" t="n">
        <v>24.99</v>
      </c>
      <c r="H75" s="32" t="inlineStr">
        <is>
          <t>SellerBoard listing price, 2026-10-14</t>
        </is>
      </c>
      <c r="I75" s="61" t="n">
        <v>26.99</v>
      </c>
      <c r="J75" s="62" t="inlineStr">
        <is>
          <t>2026-03-30</t>
        </is>
      </c>
      <c r="K75" s="33" t="n">
        <v>6.909999999999997</v>
      </c>
      <c r="L75" s="63" t="n">
        <v>0.2560207484253426</v>
      </c>
      <c r="M75" s="64" t="n"/>
      <c r="N75" s="32" t="inlineStr">
        <is>
          <t>Inactive</t>
        </is>
      </c>
      <c r="O75" s="32" t="n"/>
      <c r="P75" s="65" t="n"/>
      <c r="Q75" s="64" t="n"/>
      <c r="R75" s="64" t="n"/>
      <c r="S75" s="64" t="n"/>
      <c r="T75" s="32" t="n"/>
    </row>
    <row r="76" ht="62" customHeight="1">
      <c r="A76" s="10">
        <f>_xlfn.IMAGE("https://m.media-amazon.com/images/I/81qB8822yoL.jpg")</f>
        <v/>
      </c>
      <c r="B76" s="32" t="inlineStr">
        <is>
          <t>B0F7M5CWG3</t>
        </is>
      </c>
      <c r="C76" s="32" t="inlineStr">
        <is>
          <t>SL-COOLING-FITTED-TWIN-LIGHT-BLUE</t>
        </is>
      </c>
      <c r="D76" s="32" t="inlineStr">
        <is>
          <t>SLEEPHORIA Cooling Fitted Sheet Twin Size - 1 PC BreezeWeave Cooling Sheets for Hot Sleepers &amp; Cool Rest w/ 16 in Deep Pocket - Corner Straps, Cloud Soft, Ultra Durable - 37 x 72 in (Light Blue)</t>
        </is>
      </c>
      <c r="E76" s="32" t="inlineStr">
        <is>
          <t>Twin</t>
        </is>
      </c>
      <c r="F76" s="32" t="inlineStr">
        <is>
          <t>Light Blue</t>
        </is>
      </c>
      <c r="G76" s="60" t="n">
        <v>28.99</v>
      </c>
      <c r="H76" s="32" t="inlineStr">
        <is>
          <t>SellerBoard listing price, 2026-10-14</t>
        </is>
      </c>
      <c r="I76" s="61" t="n">
        <v>26.99</v>
      </c>
      <c r="J76" s="62" t="inlineStr">
        <is>
          <t>2026-03-30</t>
        </is>
      </c>
      <c r="K76" s="33" t="n">
        <v>6.909999999999997</v>
      </c>
      <c r="L76" s="63" t="n">
        <v>0.2560207484253426</v>
      </c>
      <c r="M76" s="64" t="n"/>
      <c r="N76" s="32" t="inlineStr">
        <is>
          <t>Inactive</t>
        </is>
      </c>
      <c r="O76" s="32" t="n"/>
      <c r="P76" s="65" t="n"/>
      <c r="Q76" s="64" t="n"/>
      <c r="R76" s="64" t="n"/>
      <c r="S76" s="64" t="n"/>
      <c r="T76" s="32" t="n"/>
    </row>
    <row r="77" ht="62" customHeight="1">
      <c r="A77" s="10">
        <f>_xlfn.IMAGE("https://m.media-amazon.com/images/I/81AUUOONndL.jpg")</f>
        <v/>
      </c>
      <c r="B77" s="32" t="inlineStr">
        <is>
          <t>B0F7M3YTBN</t>
        </is>
      </c>
      <c r="C77" s="32" t="inlineStr">
        <is>
          <t>SL-COOLING-FITTED-TWIN-LIGHT-GREY</t>
        </is>
      </c>
      <c r="D77" s="32" t="inlineStr">
        <is>
          <t>SLEEPHORIA Cooling Fitted Sheet Twin Size - 1 PC BreezeWeave Cooling Sheets for Hot Sleepers &amp; Cool Rest w/ 16 in Deep Pocket - Corner Straps, Cloud Soft, Ultra Durable - 37 x 72 in (Light Grey)</t>
        </is>
      </c>
      <c r="E77" s="32" t="inlineStr">
        <is>
          <t>Twin</t>
        </is>
      </c>
      <c r="F77" s="32" t="inlineStr">
        <is>
          <t>Light Grey</t>
        </is>
      </c>
      <c r="G77" s="60" t="n">
        <v>24.99</v>
      </c>
      <c r="H77" s="32" t="inlineStr">
        <is>
          <t>SellerBoard listing price, 2026-10-14</t>
        </is>
      </c>
      <c r="I77" s="61" t="n">
        <v>26.99</v>
      </c>
      <c r="J77" s="62" t="inlineStr">
        <is>
          <t>2026-03-30</t>
        </is>
      </c>
      <c r="K77" s="33" t="n">
        <v>6.909999999999997</v>
      </c>
      <c r="L77" s="63" t="n">
        <v>0.2560207484253426</v>
      </c>
      <c r="M77" s="64" t="n"/>
      <c r="N77" s="32" t="inlineStr">
        <is>
          <t>Inactive</t>
        </is>
      </c>
      <c r="O77" s="32" t="n"/>
      <c r="P77" s="65" t="n"/>
      <c r="Q77" s="64" t="n"/>
      <c r="R77" s="64" t="n"/>
      <c r="S77" s="64" t="n"/>
      <c r="T77" s="32" t="n"/>
    </row>
    <row r="78" ht="62" customHeight="1">
      <c r="A78" s="10">
        <f>_xlfn.IMAGE("https://m.media-amazon.com/images/I/81yiInBJx6L.jpg")</f>
        <v/>
      </c>
      <c r="B78" s="32" t="inlineStr">
        <is>
          <t>B0F7M5ZRB9</t>
        </is>
      </c>
      <c r="C78" s="32" t="inlineStr">
        <is>
          <t>SL-COOLING-FITTED-TWIN-LIGHT-PINK</t>
        </is>
      </c>
      <c r="D78" s="32" t="inlineStr">
        <is>
          <t>SLEEPHORIA Cooling Fitted Sheet Twin Size - 1 PC BreezeWeave Cooling Sheets for Hot Sleepers &amp; Cool Rest w/ 16 in Deep Pocket - Corner Straps, Cloud Soft, Ultra Durable - 37 x 72 in (Light Pink)</t>
        </is>
      </c>
      <c r="E78" s="32" t="inlineStr">
        <is>
          <t>Twin</t>
        </is>
      </c>
      <c r="F78" s="32" t="inlineStr">
        <is>
          <t>Light Pink</t>
        </is>
      </c>
      <c r="G78" s="60" t="n">
        <v>32.99</v>
      </c>
      <c r="H78" s="32" t="inlineStr">
        <is>
          <t>Helium 10 Xray, 2026-10-13</t>
        </is>
      </c>
      <c r="I78" s="61" t="n">
        <v>26.99</v>
      </c>
      <c r="J78" s="62" t="inlineStr">
        <is>
          <t>2026-03-30</t>
        </is>
      </c>
      <c r="K78" s="33" t="n">
        <v>6.909999999999997</v>
      </c>
      <c r="L78" s="63" t="n">
        <v>0.2560207484253426</v>
      </c>
      <c r="M78" s="64" t="n">
        <v>0</v>
      </c>
      <c r="N78" s="32" t="inlineStr">
        <is>
          <t>Active</t>
        </is>
      </c>
      <c r="O78" s="32" t="n"/>
      <c r="P78" s="65" t="n">
        <v>4.6</v>
      </c>
      <c r="Q78" s="64" t="n">
        <v>496</v>
      </c>
      <c r="R78" s="64" t="n">
        <v>49030</v>
      </c>
      <c r="S78" s="64" t="n">
        <v>5</v>
      </c>
      <c r="T78" s="32" t="n"/>
    </row>
    <row r="79" ht="62" customHeight="1">
      <c r="A79" s="10">
        <f>_xlfn.IMAGE("https://m.media-amazon.com/images/I/814rCVRR52L.jpg")</f>
        <v/>
      </c>
      <c r="B79" s="32" t="inlineStr">
        <is>
          <t>B0F7M4R2SS</t>
        </is>
      </c>
      <c r="C79" s="32" t="inlineStr">
        <is>
          <t>SL-COOLING-FITTED-TWIN-NAVY-BLUE</t>
        </is>
      </c>
      <c r="D79" s="32" t="inlineStr">
        <is>
          <t>SLEEPHORIA Cooling Fitted Sheet Twin Size - 1 PC BreezeWeave Cooling Sheets for Hot Sleepers &amp; Cool Rest w/ 16 in Deep Pocket - Corner Straps, Cloud Soft, Ultra Durable - 37 x 72 in (Navy Blue)</t>
        </is>
      </c>
      <c r="E79" s="32" t="inlineStr">
        <is>
          <t>Twin</t>
        </is>
      </c>
      <c r="F79" s="32" t="inlineStr">
        <is>
          <t>Navy Blue</t>
        </is>
      </c>
      <c r="G79" s="60" t="n">
        <v>24.99</v>
      </c>
      <c r="H79" s="32" t="inlineStr">
        <is>
          <t>SellerBoard listing price, 2026-10-14</t>
        </is>
      </c>
      <c r="I79" s="61" t="n">
        <v>26.99</v>
      </c>
      <c r="J79" s="62" t="inlineStr">
        <is>
          <t>2026-03-30</t>
        </is>
      </c>
      <c r="K79" s="33" t="n">
        <v>6.909999999999997</v>
      </c>
      <c r="L79" s="63" t="n">
        <v>0.2560207484253426</v>
      </c>
      <c r="M79" s="64" t="n"/>
      <c r="N79" s="32" t="inlineStr">
        <is>
          <t>Inactive</t>
        </is>
      </c>
      <c r="O79" s="32" t="n"/>
      <c r="P79" s="65" t="n"/>
      <c r="Q79" s="64" t="n"/>
      <c r="R79" s="64" t="n"/>
      <c r="S79" s="64" t="n"/>
      <c r="T79" s="32" t="n"/>
    </row>
    <row r="80" ht="62" customHeight="1">
      <c r="A80" s="10">
        <f>_xlfn.IMAGE("https://m.media-amazon.com/images/I/81pizSJLziL.jpg")</f>
        <v/>
      </c>
      <c r="B80" s="32" t="inlineStr">
        <is>
          <t>B0F7M5MGSY</t>
        </is>
      </c>
      <c r="C80" s="32" t="inlineStr">
        <is>
          <t>SL-COOLING-FITTED-TWIN-REGAL-PURPLE</t>
        </is>
      </c>
      <c r="D80" s="32" t="inlineStr">
        <is>
          <t>SLEEPHORIA Cooling Fitted Sheet Twin Size - 1 PC BreezeWeave Cooling Sheets for Hot Sleepers &amp; Cool Rest w/ 16 in Deep Pocket - Corner Straps, Cloud Soft, Ultra Durable - 37 x 72 in (Regal Purple)</t>
        </is>
      </c>
      <c r="E80" s="32" t="inlineStr">
        <is>
          <t>Twin</t>
        </is>
      </c>
      <c r="F80" s="32" t="inlineStr">
        <is>
          <t>Regal Purple</t>
        </is>
      </c>
      <c r="G80" s="60" t="n">
        <v>24.99</v>
      </c>
      <c r="H80" s="32" t="inlineStr">
        <is>
          <t>SellerBoard listing price, 2026-10-14</t>
        </is>
      </c>
      <c r="I80" s="61" t="n">
        <v>26.99</v>
      </c>
      <c r="J80" s="62" t="inlineStr">
        <is>
          <t>2026-03-30</t>
        </is>
      </c>
      <c r="K80" s="33" t="n">
        <v>6.909999999999997</v>
      </c>
      <c r="L80" s="63" t="n">
        <v>0.2560207484253426</v>
      </c>
      <c r="M80" s="64" t="n"/>
      <c r="N80" s="32" t="inlineStr">
        <is>
          <t>Inactive</t>
        </is>
      </c>
      <c r="O80" s="32" t="n"/>
      <c r="P80" s="65" t="n"/>
      <c r="Q80" s="64" t="n"/>
      <c r="R80" s="64" t="n"/>
      <c r="S80" s="64" t="n"/>
      <c r="T80" s="32" t="n"/>
    </row>
    <row r="81" ht="62" customHeight="1">
      <c r="A81" s="10">
        <f>_xlfn.IMAGE("https://m.media-amazon.com/images/I/81Tr9Bh8YxL.jpg")</f>
        <v/>
      </c>
      <c r="B81" s="32" t="inlineStr">
        <is>
          <t>B0F7M5DG4X</t>
        </is>
      </c>
      <c r="C81" s="32" t="inlineStr">
        <is>
          <t>SL-COOLING-FITTED-TWIN-SAGE-GREEN</t>
        </is>
      </c>
      <c r="D81" s="32" t="inlineStr">
        <is>
          <t>SLEEPHORIA Cooling Fitted Sheet Twin Size - 1 PC BreezeWeave Cooling Sheets for Hot Sleepers &amp; Cool Rest w/ 16 in Deep Pocket - Corner Straps, Cloud Soft, Ultra Durable - 37 x 72 in (Sage Green)</t>
        </is>
      </c>
      <c r="E81" s="32" t="inlineStr">
        <is>
          <t>Twin</t>
        </is>
      </c>
      <c r="F81" s="32" t="inlineStr">
        <is>
          <t>Sage Green</t>
        </is>
      </c>
      <c r="G81" s="60" t="n">
        <v>24.99</v>
      </c>
      <c r="H81" s="32" t="inlineStr">
        <is>
          <t>SellerBoard listing price, 2026-10-14</t>
        </is>
      </c>
      <c r="I81" s="61" t="n">
        <v>26.99</v>
      </c>
      <c r="J81" s="62" t="inlineStr">
        <is>
          <t>2026-03-30</t>
        </is>
      </c>
      <c r="K81" s="33" t="n">
        <v>6.909999999999997</v>
      </c>
      <c r="L81" s="63" t="n">
        <v>0.2560207484253426</v>
      </c>
      <c r="M81" s="64" t="n"/>
      <c r="N81" s="32" t="inlineStr">
        <is>
          <t>Inactive</t>
        </is>
      </c>
      <c r="O81" s="32" t="n"/>
      <c r="P81" s="65" t="n"/>
      <c r="Q81" s="64" t="n"/>
      <c r="R81" s="64" t="n"/>
      <c r="S81" s="64" t="n"/>
      <c r="T81" s="32" t="n"/>
    </row>
    <row r="82" ht="62" customHeight="1">
      <c r="A82" s="10">
        <f>_xlfn.IMAGE("https://m.media-amazon.com/images/I/81G7yE5OfqL.jpg")</f>
        <v/>
      </c>
      <c r="B82" s="32" t="inlineStr">
        <is>
          <t>B0F7M77MRJ</t>
        </is>
      </c>
      <c r="C82" s="32" t="inlineStr">
        <is>
          <t>SL-COOLING-FITTED-TWIN-WHITE</t>
        </is>
      </c>
      <c r="D82" s="32" t="inlineStr">
        <is>
          <t>SLEEPHORIA Cooling Fitted Sheet Twin Size - 1 PC BreezeWeave Cooling Sheets for Hot Sleepers &amp; Cool Rest w/ 16 in Deep Pocket - Corner Straps, Cloud Soft, Ultra Durable - 37 x 72 in (White)</t>
        </is>
      </c>
      <c r="E82" s="32" t="inlineStr">
        <is>
          <t>Twin</t>
        </is>
      </c>
      <c r="F82" s="32" t="inlineStr">
        <is>
          <t>White</t>
        </is>
      </c>
      <c r="G82" s="60" t="n">
        <v>32.99</v>
      </c>
      <c r="H82" s="32" t="inlineStr">
        <is>
          <t>Helium 10 Xray, 2026-10-13</t>
        </is>
      </c>
      <c r="I82" s="61" t="n">
        <v>26.99</v>
      </c>
      <c r="J82" s="62" t="inlineStr">
        <is>
          <t>2026-03-30</t>
        </is>
      </c>
      <c r="K82" s="33" t="n">
        <v>6.909999999999997</v>
      </c>
      <c r="L82" s="63" t="n">
        <v>0.2560207484253426</v>
      </c>
      <c r="M82" s="64" t="n">
        <v>0</v>
      </c>
      <c r="N82" s="32" t="inlineStr">
        <is>
          <t>Active</t>
        </is>
      </c>
      <c r="O82" s="32" t="n"/>
      <c r="P82" s="65" t="n">
        <v>4.6</v>
      </c>
      <c r="Q82" s="64" t="n">
        <v>496</v>
      </c>
      <c r="R82" s="64" t="n">
        <v>49030</v>
      </c>
      <c r="S82" s="64" t="n">
        <v>27</v>
      </c>
      <c r="T82" s="32" t="n"/>
    </row>
    <row r="84" ht="20" customHeight="1">
      <c r="A84" s="54" t="inlineStr">
        <is>
          <t>3 · OUR BFCM 2025 RESULT &amp; EVENT VISIBILITY</t>
        </is>
      </c>
    </row>
    <row r="85">
      <c r="A85" s="67" t="inlineStr">
        <is>
          <t>Window</t>
        </is>
      </c>
      <c r="B85" s="68" t="n"/>
      <c r="C85" s="69" t="n"/>
      <c r="D85" s="67" t="inlineStr">
        <is>
          <t>Ad spend</t>
        </is>
      </c>
      <c r="E85" s="67" t="inlineStr">
        <is>
          <t>Ad sales</t>
        </is>
      </c>
      <c r="F85" s="67" t="inlineStr">
        <is>
          <t>ACoS</t>
        </is>
      </c>
      <c r="G85" s="67" t="inlineStr">
        <is>
          <t>TACoS</t>
        </is>
      </c>
      <c r="H85" s="67" t="inlineStr">
        <is>
          <t>Total sales (derived)</t>
        </is>
      </c>
      <c r="J85" s="67" t="inlineStr">
        <is>
          <t>Ad orders</t>
        </is>
      </c>
      <c r="K85" s="67" t="inlineStr">
        <is>
          <t>CVR</t>
        </is>
      </c>
    </row>
    <row r="86">
      <c r="A86" s="70" t="inlineStr">
        <is>
          <t>Pre-event Oct 21 - Nov 19, 2025 (30d)</t>
        </is>
      </c>
      <c r="B86" s="68" t="n"/>
      <c r="C86" s="69" t="n"/>
      <c r="D86" s="71" t="n">
        <v>0</v>
      </c>
      <c r="E86" s="71" t="n">
        <v>0</v>
      </c>
      <c r="F86" s="72" t="n"/>
      <c r="G86" s="72" t="n">
        <v>0</v>
      </c>
      <c r="H86" s="71" t="n"/>
      <c r="J86" s="73" t="n">
        <v>0</v>
      </c>
      <c r="K86" s="74" t="n"/>
    </row>
    <row r="87">
      <c r="A87" s="70" t="inlineStr">
        <is>
          <t>BFCM week Nov 20 - Dec 1, 2025 (12d)</t>
        </is>
      </c>
      <c r="B87" s="68" t="n"/>
      <c r="C87" s="69" t="n"/>
      <c r="D87" s="71" t="n">
        <v>0</v>
      </c>
      <c r="E87" s="71" t="n">
        <v>0</v>
      </c>
      <c r="F87" s="72" t="n"/>
      <c r="G87" s="72" t="n">
        <v>0</v>
      </c>
      <c r="H87" s="71" t="n"/>
      <c r="J87" s="73" t="n">
        <v>0</v>
      </c>
      <c r="K87" s="74" t="n"/>
    </row>
    <row r="88">
      <c r="A88" s="70" t="inlineStr">
        <is>
          <t>December 2 - 31, 2025 (30d)</t>
        </is>
      </c>
      <c r="B88" s="68" t="n"/>
      <c r="C88" s="69" t="n"/>
      <c r="D88" s="71" t="n">
        <v>0</v>
      </c>
      <c r="E88" s="71" t="n">
        <v>0</v>
      </c>
      <c r="F88" s="72" t="n"/>
      <c r="G88" s="72" t="n">
        <v>0</v>
      </c>
      <c r="H88" s="71" t="n"/>
      <c r="J88" s="73" t="n">
        <v>0</v>
      </c>
      <c r="K88" s="74" t="n"/>
    </row>
    <row r="90">
      <c r="A90" s="67" t="inlineStr">
        <is>
          <t>Actual sales (SellerBoard)</t>
        </is>
      </c>
      <c r="B90" s="68" t="n"/>
      <c r="C90" s="69" t="n"/>
      <c r="D90" s="67" t="inlineStr">
        <is>
          <t>Sales</t>
        </is>
      </c>
      <c r="E90" s="67" t="inlineStr">
        <is>
          <t>Units</t>
        </is>
      </c>
      <c r="F90" s="67" t="inlineStr">
        <is>
          <t>Organic units</t>
        </is>
      </c>
      <c r="G90" s="67" t="inlineStr">
        <is>
          <t>Ad units</t>
        </is>
      </c>
      <c r="H90" s="67" t="inlineStr">
        <is>
          <t>Ad cost</t>
        </is>
      </c>
      <c r="J90" s="67" t="inlineStr">
        <is>
          <t>TACoS (actual)</t>
        </is>
      </c>
      <c r="K90" s="67" t="inlineStr">
        <is>
          <t>Sessions</t>
        </is>
      </c>
      <c r="L90" s="67" t="inlineStr">
        <is>
          <t>Unit session %</t>
        </is>
      </c>
      <c r="M90" s="67" t="inlineStr">
        <is>
          <t>Avg price</t>
        </is>
      </c>
      <c r="N90" s="67" t="inlineStr">
        <is>
          <t>Refunds</t>
        </is>
      </c>
    </row>
    <row r="91">
      <c r="A91" s="70" t="inlineStr">
        <is>
          <t>Pre-event Oct 21 - Nov 19, 2025 (30d)</t>
        </is>
      </c>
      <c r="B91" s="68" t="n"/>
      <c r="C91" s="69" t="n"/>
      <c r="D91" s="71" t="n">
        <v>6199.32</v>
      </c>
      <c r="E91" s="73" t="n">
        <v>269</v>
      </c>
      <c r="F91" s="73" t="n">
        <v>269</v>
      </c>
      <c r="G91" s="73" t="n">
        <v>0</v>
      </c>
      <c r="H91" s="71" t="n">
        <v>0</v>
      </c>
      <c r="J91" s="75" t="n">
        <v>0</v>
      </c>
      <c r="K91" s="73" t="n">
        <v>3758</v>
      </c>
      <c r="L91" s="75" t="n">
        <v>0.07158062799361363</v>
      </c>
      <c r="M91" s="76" t="n">
        <v>23.04579925650557</v>
      </c>
      <c r="N91" s="73" t="n">
        <v>5</v>
      </c>
    </row>
    <row r="92">
      <c r="A92" s="70" t="inlineStr">
        <is>
          <t>BFCM week Nov 20 - Dec 1, 2025 (12d)</t>
        </is>
      </c>
      <c r="B92" s="68" t="n"/>
      <c r="C92" s="69" t="n"/>
      <c r="D92" s="71" t="n">
        <v>2436.98</v>
      </c>
      <c r="E92" s="73" t="n">
        <v>102</v>
      </c>
      <c r="F92" s="73" t="n">
        <v>102</v>
      </c>
      <c r="G92" s="73" t="n">
        <v>0</v>
      </c>
      <c r="H92" s="71" t="n">
        <v>0</v>
      </c>
      <c r="J92" s="75" t="n">
        <v>0</v>
      </c>
      <c r="K92" s="73" t="n">
        <v>753</v>
      </c>
      <c r="L92" s="75" t="n">
        <v>0.1354581673306773</v>
      </c>
      <c r="M92" s="76" t="n">
        <v>23.89196078431372</v>
      </c>
      <c r="N92" s="73" t="n">
        <v>2</v>
      </c>
    </row>
    <row r="93">
      <c r="A93" s="70" t="inlineStr">
        <is>
          <t>December 2 - 31, 2025 (30d)</t>
        </is>
      </c>
      <c r="B93" s="68" t="n"/>
      <c r="C93" s="69" t="n"/>
      <c r="D93" s="71" t="n">
        <v>8842.280000000001</v>
      </c>
      <c r="E93" s="73" t="n">
        <v>373</v>
      </c>
      <c r="F93" s="73" t="n">
        <v>373</v>
      </c>
      <c r="G93" s="73" t="n">
        <v>0</v>
      </c>
      <c r="H93" s="71" t="n">
        <v>0</v>
      </c>
      <c r="J93" s="75" t="n">
        <v>0</v>
      </c>
      <c r="K93" s="73" t="n">
        <v>2737</v>
      </c>
      <c r="L93" s="75" t="n">
        <v>0.1362805991962002</v>
      </c>
      <c r="M93" s="76" t="n">
        <v>23.70584450402145</v>
      </c>
      <c r="N93" s="73" t="n">
        <v>14</v>
      </c>
    </row>
    <row r="94">
      <c r="A94" s="59" t="inlineStr">
        <is>
          <t>SellerBoard, Ecotero account, Amazon parent B0GR6GBJYC plus any of this product's child ASINs SellerBoard lists on their own, UTC days. Lift above uses these actual sales.</t>
        </is>
      </c>
    </row>
    <row r="95" ht="26" customHeight="1">
      <c r="A95" s="77" t="inlineStr">
        <is>
          <t>Stock in BFCM week 2025 (FBA inventory snapshots, child-ASIN level, revision 2): 0 of 65 variations hit zero FBA stock on at least one observed day; weighted by today's sales mix that is ~0.0% of variation-days lost. Snapshots missing: US Nov 26-27 and Dec 1 (Cyber Monday); CA Nov 24, 29-30.</t>
        </is>
      </c>
    </row>
    <row r="96">
      <c r="A96" s="59" t="inlineStr">
        <is>
          <t>Command Center visibility for our best child B0F7M3YQ5R: organic score None before BFCM 2025 → None in BFCM week; Prime Day 2026 0.0 → 0.0; Aug-Sep 2026 30.2.</t>
        </is>
      </c>
    </row>
    <row r="98" ht="20" customHeight="1">
      <c r="A98" s="54" t="inlineStr">
        <is>
          <t>4 · COMPETITOR LANDSCAPE (11 mapped)</t>
        </is>
      </c>
    </row>
    <row r="99">
      <c r="A99" s="59" t="inlineStr">
        <is>
          <t>Sorted by tier, then estimated weekly units. Green = Command Center price/sales; blue = Data Dive listing; purple = Command Center search strategy (ASINsight); yellow = fill from Keepa / page check.</t>
        </is>
      </c>
    </row>
    <row r="100">
      <c r="A100" s="78" t="inlineStr">
        <is>
          <t>COMPETITOR</t>
        </is>
      </c>
      <c r="I100" s="79" t="inlineStr">
        <is>
          <t>LISTING - Data Dive</t>
        </is>
      </c>
      <c r="J100" s="80" t="inlineStr">
        <is>
          <t>SEARCH STRATEGY - Command Center ASINsight</t>
        </is>
      </c>
      <c r="K100" s="81" t="inlineStr">
        <is>
          <t>PRICE &amp; SALES - Command Center snapshot (date per row)</t>
        </is>
      </c>
      <c r="X100" s="79" t="inlineStr">
        <is>
          <t>LISTING - Data Dive</t>
        </is>
      </c>
      <c r="AA100" s="80" t="inlineStr">
        <is>
          <t>SEARCH STRATEGY - Command Center ASINsight</t>
        </is>
      </c>
      <c r="AR100" s="82" t="inlineStr">
        <is>
          <t>STR NOW - Amazon page check (Oct 13, P1 + P2)</t>
        </is>
      </c>
      <c r="AY100" s="83" t="inlineStr">
        <is>
          <t>BFCM 2025 - Keepa (P1 filled; yellow = not pulled yet)</t>
        </is>
      </c>
    </row>
    <row r="101" ht="48" customHeight="1">
      <c r="A101" s="22" t="inlineStr">
        <is>
          <t>Image</t>
        </is>
      </c>
      <c r="B101" s="22" t="inlineStr">
        <is>
          <t>Brand</t>
        </is>
      </c>
      <c r="C101" s="22" t="inlineStr">
        <is>
          <t>Product title</t>
        </is>
      </c>
      <c r="D101" s="22" t="inlineStr">
        <is>
          <t>Tier</t>
        </is>
      </c>
      <c r="E101" s="22" t="inlineStr">
        <is>
          <t>Parent ASIN</t>
        </is>
      </c>
      <c r="F101" s="22" t="inlineStr">
        <is>
          <t>Tracked child ASIN</t>
        </is>
      </c>
      <c r="G101" s="22" t="inlineStr">
        <is>
          <t>Size (title)</t>
        </is>
      </c>
      <c r="H101" s="22" t="inlineStr">
        <is>
          <t>Colour (title)</t>
        </is>
      </c>
      <c r="I101" s="22" t="inlineStr">
        <is>
          <t>Variations</t>
        </is>
      </c>
      <c r="J101" s="22" t="inlineStr">
        <is>
          <t>Hero child ASINs (share of their visibility)</t>
        </is>
      </c>
      <c r="K101" s="22" t="inlineStr">
        <is>
          <t>Price ($)</t>
        </is>
      </c>
      <c r="L101" s="22" t="inlineStr">
        <is>
          <t>List Price ($)</t>
        </is>
      </c>
      <c r="M101" s="22" t="inlineStr">
        <is>
          <t>List Price % over</t>
        </is>
      </c>
      <c r="N101" s="22" t="inlineStr">
        <is>
          <t>STR band</t>
        </is>
      </c>
      <c r="O101" s="22" t="inlineStr">
        <is>
          <t>Our price, same size ($)</t>
        </is>
      </c>
      <c r="P101" s="22" t="inlineStr">
        <is>
          <t>Their price vs ours</t>
        </is>
      </c>
      <c r="Q101" s="22" t="inlineStr">
        <is>
          <t>Comparison basis</t>
        </is>
      </c>
      <c r="R101" s="22" t="inlineStr">
        <is>
          <t>BSR</t>
        </is>
      </c>
      <c r="S101" s="22" t="inlineStr">
        <is>
          <t>Est weekly units</t>
        </is>
      </c>
      <c r="T101" s="22" t="inlineStr">
        <is>
          <t>Est monthly revenue ($)</t>
        </is>
      </c>
      <c r="U101" s="22" t="inlineStr">
        <is>
          <t>Rating</t>
        </is>
      </c>
      <c r="V101" s="22" t="inlineStr">
        <is>
          <t>Reviews</t>
        </is>
      </c>
      <c r="W101" s="22" t="inlineStr">
        <is>
          <t>Snapshot date</t>
        </is>
      </c>
      <c r="X101" s="22" t="inlineStr">
        <is>
          <t>Listed</t>
        </is>
      </c>
      <c r="Y101" s="22" t="inlineStr">
        <is>
          <t>Fulfil.</t>
        </is>
      </c>
      <c r="Z101" s="22" t="inlineStr">
        <is>
          <t>Seller country</t>
        </is>
      </c>
      <c r="AA101" s="22" t="inlineStr">
        <is>
          <t>ASINsight 7d traffic</t>
        </is>
      </c>
      <c r="AB101" s="22" t="inlineStr">
        <is>
          <t>Keywords ranked</t>
        </is>
      </c>
      <c r="AC101" s="22" t="inlineStr">
        <is>
          <t>Organic share of traffic</t>
        </is>
      </c>
      <c r="AD101" s="22" t="inlineStr">
        <is>
          <t>Ad share of traffic</t>
        </is>
      </c>
      <c r="AE101" s="22" t="inlineStr">
        <is>
          <t>Top keyword</t>
        </is>
      </c>
      <c r="AF101" s="22" t="inlineStr">
        <is>
          <t>SP reach</t>
        </is>
      </c>
      <c r="AG101" s="22" t="inlineStr">
        <is>
          <t>SB reach</t>
        </is>
      </c>
      <c r="AH101" s="22" t="inlineStr">
        <is>
          <t>SB video reach</t>
        </is>
      </c>
      <c r="AI101" s="22" t="inlineStr">
        <is>
          <t>Amazon's Choice reach</t>
        </is>
      </c>
      <c r="AJ101" s="22" t="inlineStr">
        <is>
          <t>Shared keywords</t>
        </is>
      </c>
      <c r="AK101" s="22" t="inlineStr">
        <is>
          <t>We win</t>
        </is>
      </c>
      <c r="AL101" s="22" t="inlineStr">
        <is>
          <t>We lose</t>
        </is>
      </c>
      <c r="AM101" s="22" t="inlineStr">
        <is>
          <t>Their keywords we miss</t>
        </is>
      </c>
      <c r="AN101" s="22" t="inlineStr">
        <is>
          <t>KWs they advertise, we don't</t>
        </is>
      </c>
      <c r="AO101" s="22" t="inlineStr">
        <is>
          <t>KWs they out-advertise us</t>
        </is>
      </c>
      <c r="AP101" s="22" t="inlineStr">
        <is>
          <t>Prime Day 2026 organic vis lift</t>
        </is>
      </c>
      <c r="AQ101" s="22" t="inlineStr">
        <is>
          <t>Organic trend (Aug-Sep vs Q2)</t>
        </is>
      </c>
      <c r="AR101" s="22" t="inlineStr">
        <is>
          <t>STR showing now? (Y/N)</t>
        </is>
      </c>
      <c r="AS101" s="22" t="inlineStr">
        <is>
          <t>STR label</t>
        </is>
      </c>
      <c r="AT101" s="22" t="inlineStr">
        <is>
          <t>Strikethrough price ($)</t>
        </is>
      </c>
      <c r="AU101" s="22" t="inlineStr">
        <is>
          <t>Page price at check ($)</t>
        </is>
      </c>
      <c r="AV101" s="22" t="inlineStr">
        <is>
          <t>Deal / coupon now</t>
        </is>
      </c>
      <c r="AW101" s="22" t="inlineStr">
        <is>
          <t>Orderable now (Y/N)</t>
        </is>
      </c>
      <c r="AX101" s="22" t="inlineStr">
        <is>
          <t>Checked (ET)</t>
        </is>
      </c>
      <c r="AY101" s="22" t="inlineStr">
        <is>
          <t>BFCM 2025 deal type</t>
        </is>
      </c>
      <c r="AZ101" s="22" t="inlineStr">
        <is>
          <t>BFCM 2025 deal dates</t>
        </is>
      </c>
      <c r="BA101" s="22" t="inlineStr">
        <is>
          <t>Pre-event price ($)</t>
        </is>
      </c>
      <c r="BB101" s="22" t="inlineStr">
        <is>
          <t>BFCM 2025 low ($)</t>
        </is>
      </c>
      <c r="BC101" s="22" t="inlineStr">
        <is>
          <t>BFCM 2025 discount</t>
        </is>
      </c>
      <c r="BD101" s="22" t="inlineStr">
        <is>
          <t>BSR pre-event</t>
        </is>
      </c>
      <c r="BE101" s="22" t="inlineStr">
        <is>
          <t>BSR BFCM wk</t>
        </is>
      </c>
      <c r="BF101" s="22" t="inlineStr">
        <is>
          <t>BSR lift (x)</t>
        </is>
      </c>
      <c r="BG101" s="22" t="inlineStr">
        <is>
          <t>OOS in BFCM? (Y/N)</t>
        </is>
      </c>
      <c r="BH101" s="22" t="inlineStr">
        <is>
          <t>Notes</t>
        </is>
      </c>
    </row>
    <row r="102" ht="62" customHeight="1">
      <c r="A102" s="10">
        <f>_xlfn.IMAGE("https://images-na.ssl-images-amazon.com/images/I/91dfner9BkL.jpg")</f>
        <v/>
      </c>
      <c r="B102" s="84" t="inlineStr">
        <is>
          <t>Pure Bamboo</t>
        </is>
      </c>
      <c r="C102" s="32" t="inlineStr">
        <is>
          <t>Pure Bamboo King Sheets, Genuine 100% Organic Viscose Derived from Bamboo Bed Sheet Set, Luxuriously Soft &amp; Cooling, Double Stitching, 2 Year Quality Promise (King, Ivory)</t>
        </is>
      </c>
      <c r="D102" s="84" t="inlineStr">
        <is>
          <t>Aspirational</t>
        </is>
      </c>
      <c r="E102" s="84" t="inlineStr">
        <is>
          <t>B0CZQ52MTQ</t>
        </is>
      </c>
      <c r="F102" s="84" t="inlineStr">
        <is>
          <t>B07DZTQ4JC</t>
        </is>
      </c>
      <c r="G102" s="84" t="inlineStr">
        <is>
          <t>King</t>
        </is>
      </c>
      <c r="H102" s="84" t="inlineStr">
        <is>
          <t>Ivory</t>
        </is>
      </c>
      <c r="I102" s="85" t="n">
        <v>181</v>
      </c>
      <c r="J102" s="32" t="inlineStr">
        <is>
          <t>B07MZ4GKZH (30%), B079RXWGSD (12%), B07DZTQ4JC (11%), B074CHDX7V (10%), B07DZMB498 (5%)</t>
        </is>
      </c>
      <c r="K102" s="86" t="n">
        <v>109.99</v>
      </c>
      <c r="L102" s="86" t="n"/>
      <c r="M102" s="87">
        <f>IF(AND(ISNUMBER(L102),ISNUMBER(K102),N(K102)&gt;0),L102/K102-1,"")</f>
        <v/>
      </c>
      <c r="N102" s="88">
        <f>IF(M102="","No List Price",IF(M102&lt;=0,"At/below price",IF(M102&lt;=0.12,"&lt;=12% STR zone",IF(M102&lt;=0.25,"12-25%","&gt;25% over"))))</f>
        <v/>
      </c>
      <c r="O102" s="86" t="n">
        <v>39.99</v>
      </c>
      <c r="P102" s="89">
        <f>IF(AND(ISNUMBER(K102),ISNUMBER(O102),N(O102)&gt;0),K102/O102-1,"")</f>
        <v/>
      </c>
      <c r="Q102" s="32" t="inlineStr">
        <is>
          <t>Same size (King). Ours live: Helium 10 Xray, 2026-10-13; 13 children</t>
        </is>
      </c>
      <c r="R102" s="85" t="n">
        <v>304</v>
      </c>
      <c r="S102" s="85" t="n">
        <v>809</v>
      </c>
      <c r="T102" s="90">
        <f>IF(AND(ISNUMBER(K102),ISNUMBER(S102)),K102*S102*52/12,"")</f>
        <v/>
      </c>
      <c r="U102" s="91" t="n">
        <v>4.5</v>
      </c>
      <c r="V102" s="85" t="n">
        <v>21927</v>
      </c>
      <c r="W102" s="92" t="n">
        <v>46307</v>
      </c>
      <c r="X102" s="92" t="n">
        <v>43281</v>
      </c>
      <c r="Y102" s="84" t="inlineStr">
        <is>
          <t>FBA</t>
        </is>
      </c>
      <c r="Z102" s="84" t="inlineStr">
        <is>
          <t>US</t>
        </is>
      </c>
      <c r="AA102" s="85" t="n">
        <v>2565055</v>
      </c>
      <c r="AB102" s="85" t="n">
        <v>8283</v>
      </c>
      <c r="AC102" s="93" t="n">
        <v>0.4648594811807159</v>
      </c>
      <c r="AD102" s="93" t="n">
        <v>0.5351407059497737</v>
      </c>
      <c r="AE102" s="32" t="inlineStr">
        <is>
          <t>bamboo sheets</t>
        </is>
      </c>
      <c r="AF102" s="93" t="n">
        <v>0.8806310196077667</v>
      </c>
      <c r="AG102" s="93" t="n">
        <v>0.8210506207469236</v>
      </c>
      <c r="AH102" s="93" t="n">
        <v>0.8831019217911507</v>
      </c>
      <c r="AI102" s="93" t="n">
        <v>0.2663467255088098</v>
      </c>
      <c r="AJ102" s="85" t="n">
        <v>372</v>
      </c>
      <c r="AK102" s="85" t="n">
        <v>56</v>
      </c>
      <c r="AL102" s="85" t="n">
        <v>287</v>
      </c>
      <c r="AM102" s="85" t="n">
        <v>7911</v>
      </c>
      <c r="AN102" s="85" t="n">
        <v>3797</v>
      </c>
      <c r="AO102" s="85" t="n">
        <v>16</v>
      </c>
      <c r="AP102" s="94" t="n">
        <v>1.180104147961932</v>
      </c>
      <c r="AQ102" s="89" t="n">
        <v>1.570823710546574</v>
      </c>
      <c r="AR102" s="95" t="inlineStr">
        <is>
          <t>N</t>
        </is>
      </c>
      <c r="AS102" s="95" t="inlineStr">
        <is>
          <t>none</t>
        </is>
      </c>
      <c r="AT102" s="101" t="n"/>
      <c r="AU102" s="96" t="n">
        <v>109.99</v>
      </c>
      <c r="AV102" s="95" t="inlineStr">
        <is>
          <t>none</t>
        </is>
      </c>
      <c r="AW102" s="95" t="inlineStr">
        <is>
          <t>Y</t>
        </is>
      </c>
      <c r="AX102" s="95" t="inlineStr">
        <is>
          <t>2026-10-13 12:11:16</t>
        </is>
      </c>
      <c r="AY102" s="97" t="inlineStr">
        <is>
          <t>None</t>
        </is>
      </c>
      <c r="AZ102" s="102" t="n"/>
      <c r="BA102" s="98" t="n">
        <v>109.99</v>
      </c>
      <c r="BB102" s="98" t="n">
        <v>109.99</v>
      </c>
      <c r="BC102" s="87">
        <f>IF(AND(ISNUMBER(BA102),ISNUMBER(BB102),N(BA102)&gt;0),1-BB102/BA102,"")</f>
        <v/>
      </c>
      <c r="BD102" s="99" t="n">
        <v>287</v>
      </c>
      <c r="BE102" s="99" t="n">
        <v>598</v>
      </c>
      <c r="BF102" s="100">
        <f>IF(AND(ISNUMBER(BD102),ISNUMBER(BE102),N(BE102)&gt;0),BD102/BE102,"")</f>
        <v/>
      </c>
      <c r="BG102" s="97" t="inlineStr">
        <is>
          <t>N</t>
        </is>
      </c>
      <c r="BH102" s="97" t="inlineStr">
        <is>
          <t>List Price $139.99/$149.99</t>
        </is>
      </c>
    </row>
    <row r="103" ht="62" customHeight="1">
      <c r="A103" s="10">
        <f>_xlfn.IMAGE("https://images-na.ssl-images-amazon.com/images/I/81suQgVR0GL.jpg")</f>
        <v/>
      </c>
      <c r="B103" s="84" t="inlineStr">
        <is>
          <t>Bedsure</t>
        </is>
      </c>
      <c r="C103" s="32" t="inlineStr">
        <is>
          <t>Bedsure PureWoven Organically Grown Bamboo Viscose Queen Sheet Set, 4PCS</t>
        </is>
      </c>
      <c r="D103" s="84" t="inlineStr">
        <is>
          <t>Beatable</t>
        </is>
      </c>
      <c r="E103" s="84" t="inlineStr">
        <is>
          <t>B0FB8XS4D1</t>
        </is>
      </c>
      <c r="F103" s="84" t="inlineStr">
        <is>
          <t>B0FB8XR43Q</t>
        </is>
      </c>
      <c r="G103" s="84" t="inlineStr">
        <is>
          <t>Queen</t>
        </is>
      </c>
      <c r="H103" s="84" t="n"/>
      <c r="I103" s="85" t="n">
        <v>39</v>
      </c>
      <c r="J103" s="32" t="inlineStr">
        <is>
          <t>B0FB8XR43Q (31%), B0FB8ZTD7M (18%), B0GLN6VP9Y (11%), B0FB8YV6C7 (10%), B0FB8Z4GGW (10%)</t>
        </is>
      </c>
      <c r="K103" s="86" t="n">
        <v>89.98999999999999</v>
      </c>
      <c r="L103" s="86" t="n">
        <v>119.99</v>
      </c>
      <c r="M103" s="87">
        <f>IF(AND(ISNUMBER(L103),ISNUMBER(K103),N(K103)&gt;0),L103/K103-1,"")</f>
        <v/>
      </c>
      <c r="N103" s="88">
        <f>IF(M103="","No List Price",IF(M103&lt;=0,"At/below price",IF(M103&lt;=0.12,"&lt;=12% STR zone",IF(M103&lt;=0.25,"12-25%","&gt;25% over"))))</f>
        <v/>
      </c>
      <c r="O103" s="86" t="n">
        <v>37.99</v>
      </c>
      <c r="P103" s="89">
        <f>IF(AND(ISNUMBER(K103),ISNUMBER(O103),N(O103)&gt;0),K103/O103-1,"")</f>
        <v/>
      </c>
      <c r="Q103" s="32" t="inlineStr">
        <is>
          <t>Same size (Queen). Ours live: Helium 10 Xray, 2026-10-13; 13 children</t>
        </is>
      </c>
      <c r="R103" s="85" t="n">
        <v>8938</v>
      </c>
      <c r="S103" s="85" t="n">
        <v>104</v>
      </c>
      <c r="T103" s="90">
        <f>IF(AND(ISNUMBER(K103),ISNUMBER(S103)),K103*S103*52/12,"")</f>
        <v/>
      </c>
      <c r="U103" s="91" t="n">
        <v>4.5</v>
      </c>
      <c r="V103" s="85" t="n">
        <v>588</v>
      </c>
      <c r="W103" s="92" t="n">
        <v>46307</v>
      </c>
      <c r="X103" s="92" t="n">
        <v>45936</v>
      </c>
      <c r="Y103" s="84" t="inlineStr">
        <is>
          <t>FBA</t>
        </is>
      </c>
      <c r="Z103" s="84" t="inlineStr">
        <is>
          <t>US</t>
        </is>
      </c>
      <c r="AA103" s="85" t="n">
        <v>840292</v>
      </c>
      <c r="AB103" s="85" t="n">
        <v>3961</v>
      </c>
      <c r="AC103" s="93" t="n">
        <v>0.1404099194089678</v>
      </c>
      <c r="AD103" s="93" t="n">
        <v>0.8595901834124341</v>
      </c>
      <c r="AE103" s="32" t="inlineStr">
        <is>
          <t>bamboo sheets</t>
        </is>
      </c>
      <c r="AF103" s="93" t="n">
        <v>0.9284082199997143</v>
      </c>
      <c r="AG103" s="93" t="n">
        <v>0.9843340172225845</v>
      </c>
      <c r="AH103" s="93" t="n">
        <v>0.5269953777972419</v>
      </c>
      <c r="AI103" s="93" t="n">
        <v>0.000478405125837209</v>
      </c>
      <c r="AJ103" s="85" t="n">
        <v>348</v>
      </c>
      <c r="AK103" s="85" t="n">
        <v>58</v>
      </c>
      <c r="AL103" s="85" t="n">
        <v>268</v>
      </c>
      <c r="AM103" s="85" t="n">
        <v>3613</v>
      </c>
      <c r="AN103" s="85" t="n">
        <v>2465</v>
      </c>
      <c r="AO103" s="85" t="n">
        <v>18</v>
      </c>
      <c r="AP103" s="94" t="n">
        <v>1.764832022873481</v>
      </c>
      <c r="AQ103" s="89" t="n">
        <v>-0.09047044632086854</v>
      </c>
      <c r="AR103" s="95" t="inlineStr">
        <is>
          <t>Y</t>
        </is>
      </c>
      <c r="AS103" s="95" t="inlineStr">
        <is>
          <t>List Price</t>
        </is>
      </c>
      <c r="AT103" s="96" t="n">
        <v>119.99</v>
      </c>
      <c r="AU103" s="96" t="n">
        <v>89.98999999999999</v>
      </c>
      <c r="AV103" s="95" t="inlineStr">
        <is>
          <t>none</t>
        </is>
      </c>
      <c r="AW103" s="95" t="inlineStr">
        <is>
          <t>Y</t>
        </is>
      </c>
      <c r="AX103" s="95" t="inlineStr">
        <is>
          <t>2026-10-13 12:10:38</t>
        </is>
      </c>
      <c r="AY103" s="97" t="inlineStr">
        <is>
          <t>Prime Exclusive Discount</t>
        </is>
      </c>
      <c r="AZ103" s="97" t="inlineStr">
        <is>
          <t>11-10 to 12-05</t>
        </is>
      </c>
      <c r="BA103" s="98" t="n">
        <v>99.98999999999999</v>
      </c>
      <c r="BB103" s="98" t="n">
        <v>72.64</v>
      </c>
      <c r="BC103" s="87">
        <f>IF(AND(ISNUMBER(BA103),ISNUMBER(BB103),N(BA103)&gt;0),1-BB103/BA103,"")</f>
        <v/>
      </c>
      <c r="BD103" s="99" t="n">
        <v>53160</v>
      </c>
      <c r="BE103" s="99" t="n">
        <v>53782</v>
      </c>
      <c r="BF103" s="100">
        <f>IF(AND(ISNUMBER(BD103),ISNUMBER(BE103),N(BE103)&gt;0),BD103/BE103,"")</f>
        <v/>
      </c>
      <c r="BG103" s="97" t="inlineStr">
        <is>
          <t>N</t>
        </is>
      </c>
      <c r="BH103" s="97" t="inlineStr">
        <is>
          <t>Prime Exclusive already running before BFCM week; List Price $114.99</t>
        </is>
      </c>
    </row>
    <row r="104" ht="62" customHeight="1">
      <c r="A104" s="10">
        <f>_xlfn.IMAGE("https://images-na.ssl-images-amazon.com/images/I/81UgXZwkGpL.jpg")</f>
        <v/>
      </c>
      <c r="B104" s="84" t="inlineStr">
        <is>
          <t>Zaizaihome</t>
        </is>
      </c>
      <c r="C104" s="32" t="inlineStr">
        <is>
          <t>Bamboo Viscose Cooling Fitted Sheet King Size Only</t>
        </is>
      </c>
      <c r="D104" s="84" t="inlineStr">
        <is>
          <t>Beatable</t>
        </is>
      </c>
      <c r="E104" s="84" t="inlineStr">
        <is>
          <t>B0CXPDKH51</t>
        </is>
      </c>
      <c r="F104" s="84" t="inlineStr">
        <is>
          <t>B0CXPKK5DD</t>
        </is>
      </c>
      <c r="G104" s="84" t="inlineStr">
        <is>
          <t>King</t>
        </is>
      </c>
      <c r="H104" s="84" t="n"/>
      <c r="I104" s="85" t="n">
        <v>79</v>
      </c>
      <c r="J104" s="32" t="inlineStr">
        <is>
          <t>B0CXPB1BGB (23%), B0CXNY88FM (22%), B0CXPKK5DD (18%), B0D9RVK2M1 (15%), B0CXPL68WG (10%)</t>
        </is>
      </c>
      <c r="K104" s="86" t="n">
        <v>29.99</v>
      </c>
      <c r="L104" s="86" t="n"/>
      <c r="M104" s="87">
        <f>IF(AND(ISNUMBER(L104),ISNUMBER(K104),N(K104)&gt;0),L104/K104-1,"")</f>
        <v/>
      </c>
      <c r="N104" s="88">
        <f>IF(M104="","No List Price",IF(M104&lt;=0,"At/below price",IF(M104&lt;=0.12,"&lt;=12% STR zone",IF(M104&lt;=0.25,"12-25%","&gt;25% over"))))</f>
        <v/>
      </c>
      <c r="O104" s="86" t="n">
        <v>39.99</v>
      </c>
      <c r="P104" s="89">
        <f>IF(AND(ISNUMBER(K104),ISNUMBER(O104),N(O104)&gt;0),K104/O104-1,"")</f>
        <v/>
      </c>
      <c r="Q104" s="32" t="inlineStr">
        <is>
          <t>Same size (King). Ours live: Helium 10 Xray, 2026-10-13; 13 children</t>
        </is>
      </c>
      <c r="R104" s="85" t="n">
        <v>9600</v>
      </c>
      <c r="S104" s="85" t="n">
        <v>81</v>
      </c>
      <c r="T104" s="90">
        <f>IF(AND(ISNUMBER(K104),ISNUMBER(S104)),K104*S104*52/12,"")</f>
        <v/>
      </c>
      <c r="U104" s="91" t="n">
        <v>4.3</v>
      </c>
      <c r="V104" s="85" t="n">
        <v>1029</v>
      </c>
      <c r="W104" s="92" t="n">
        <v>46307</v>
      </c>
      <c r="X104" s="92" t="n">
        <v>45362</v>
      </c>
      <c r="Y104" s="84" t="inlineStr">
        <is>
          <t>FBA</t>
        </is>
      </c>
      <c r="Z104" s="84" t="inlineStr">
        <is>
          <t>CN</t>
        </is>
      </c>
      <c r="AA104" s="85" t="n">
        <v>80454</v>
      </c>
      <c r="AB104" s="85" t="n">
        <v>892</v>
      </c>
      <c r="AC104" s="93" t="n">
        <v>0.9934371106470778</v>
      </c>
      <c r="AD104" s="93" t="n">
        <v>0.006562889352922167</v>
      </c>
      <c r="AE104" s="32" t="inlineStr">
        <is>
          <t>bamboo sheets</t>
        </is>
      </c>
      <c r="AF104" s="93" t="n">
        <v>0.05738682974121859</v>
      </c>
      <c r="AG104" s="93" t="n"/>
      <c r="AH104" s="93" t="n"/>
      <c r="AI104" s="93" t="n">
        <v>0.1354811445049345</v>
      </c>
      <c r="AJ104" s="85" t="n">
        <v>274</v>
      </c>
      <c r="AK104" s="85" t="n">
        <v>39</v>
      </c>
      <c r="AL104" s="85" t="n">
        <v>214</v>
      </c>
      <c r="AM104" s="85" t="n">
        <v>618</v>
      </c>
      <c r="AN104" s="85" t="n">
        <v>39</v>
      </c>
      <c r="AO104" s="85" t="n">
        <v>0</v>
      </c>
      <c r="AP104" s="94" t="n">
        <v>0.9810017271157168</v>
      </c>
      <c r="AQ104" s="89" t="n">
        <v>-0.07202680067001677</v>
      </c>
      <c r="AR104" s="95" t="inlineStr">
        <is>
          <t>N</t>
        </is>
      </c>
      <c r="AS104" s="95" t="inlineStr">
        <is>
          <t>none</t>
        </is>
      </c>
      <c r="AT104" s="101" t="n"/>
      <c r="AU104" s="96" t="n">
        <v>29.99</v>
      </c>
      <c r="AV104" s="95" t="inlineStr">
        <is>
          <t>none</t>
        </is>
      </c>
      <c r="AW104" s="95" t="inlineStr">
        <is>
          <t>Y</t>
        </is>
      </c>
      <c r="AX104" s="95" t="inlineStr">
        <is>
          <t>2026-10-13 23:37:12</t>
        </is>
      </c>
      <c r="AY104" s="97" t="inlineStr">
        <is>
          <t>Prime Exclusive Discount</t>
        </is>
      </c>
      <c r="AZ104" s="97" t="inlineStr">
        <is>
          <t>11-26 to 12-01</t>
        </is>
      </c>
      <c r="BA104" s="98" t="n">
        <v>27.59</v>
      </c>
      <c r="BB104" s="98" t="n">
        <v>23.69</v>
      </c>
      <c r="BC104" s="87">
        <f>IF(AND(ISNUMBER(BA104),ISNUMBER(BB104),N(BA104)&gt;0),1-BB104/BA104,"")</f>
        <v/>
      </c>
      <c r="BD104" s="99" t="n">
        <v>20417</v>
      </c>
      <c r="BE104" s="99" t="n">
        <v>21270</v>
      </c>
      <c r="BF104" s="100">
        <f>IF(AND(ISNUMBER(BD104),ISNUMBER(BE104),N(BE104)&gt;0),BD104/BE104,"")</f>
        <v/>
      </c>
      <c r="BG104" s="97" t="inlineStr">
        <is>
          <t>N</t>
        </is>
      </c>
      <c r="BH104" s="97" t="inlineStr">
        <is>
          <t>Buy Box RAISED in BFCM week (median $29.99 vs $27.59 before); List Price $29.99</t>
        </is>
      </c>
    </row>
    <row r="105" ht="62" customHeight="1">
      <c r="A105" s="10">
        <f>_xlfn.IMAGE("https://images-na.ssl-images-amazon.com/images/I/81OVUx9lkCL.jpg")</f>
        <v/>
      </c>
      <c r="B105" s="84" t="inlineStr"/>
      <c r="C105" s="32" t="inlineStr">
        <is>
          <t>Bedsure PureWoven Queen Fitted Sheet Qnly, 100% Rayon Derived from Bamboo</t>
        </is>
      </c>
      <c r="D105" s="84" t="inlineStr">
        <is>
          <t>Beatable</t>
        </is>
      </c>
      <c r="E105" s="84" t="inlineStr">
        <is>
          <t>B0FW3SSM8K</t>
        </is>
      </c>
      <c r="F105" s="84" t="inlineStr">
        <is>
          <t>B0FW38KM4S</t>
        </is>
      </c>
      <c r="G105" s="84" t="inlineStr">
        <is>
          <t>Queen</t>
        </is>
      </c>
      <c r="H105" s="84" t="n"/>
      <c r="I105" s="85" t="n">
        <v>24</v>
      </c>
      <c r="J105" s="32" t="inlineStr">
        <is>
          <t>B0FW38KM4S (53%), B0FVX8LSVV (17%), B0FW3WF617 (12%)</t>
        </is>
      </c>
      <c r="K105" s="86" t="n">
        <v>44.99</v>
      </c>
      <c r="L105" s="86" t="n"/>
      <c r="M105" s="87">
        <f>IF(AND(ISNUMBER(L105),ISNUMBER(K105),N(K105)&gt;0),L105/K105-1,"")</f>
        <v/>
      </c>
      <c r="N105" s="88">
        <f>IF(M105="","No List Price",IF(M105&lt;=0,"At/below price",IF(M105&lt;=0.12,"&lt;=12% STR zone",IF(M105&lt;=0.25,"12-25%","&gt;25% over"))))</f>
        <v/>
      </c>
      <c r="O105" s="86" t="n">
        <v>37.99</v>
      </c>
      <c r="P105" s="89">
        <f>IF(AND(ISNUMBER(K105),ISNUMBER(O105),N(O105)&gt;0),K105/O105-1,"")</f>
        <v/>
      </c>
      <c r="Q105" s="32" t="inlineStr">
        <is>
          <t>Same size (Queen). Ours live: Helium 10 Xray, 2026-10-13; 13 children</t>
        </is>
      </c>
      <c r="R105" s="85" t="n">
        <v>19075</v>
      </c>
      <c r="S105" s="85" t="n">
        <v>81</v>
      </c>
      <c r="T105" s="90">
        <f>IF(AND(ISNUMBER(K105),ISNUMBER(S105)),K105*S105*52/12,"")</f>
        <v/>
      </c>
      <c r="U105" s="91" t="n">
        <v>4.4</v>
      </c>
      <c r="V105" s="85" t="n">
        <v>168</v>
      </c>
      <c r="W105" s="92" t="n">
        <v>46307</v>
      </c>
      <c r="X105" s="92" t="n">
        <v>46069</v>
      </c>
      <c r="Y105" s="84" t="inlineStr">
        <is>
          <t>FBA</t>
        </is>
      </c>
      <c r="Z105" s="84" t="inlineStr">
        <is>
          <t>US</t>
        </is>
      </c>
      <c r="AA105" s="85" t="n">
        <v>95724</v>
      </c>
      <c r="AB105" s="85" t="n">
        <v>951</v>
      </c>
      <c r="AC105" s="93" t="n">
        <v>0.3728984204588193</v>
      </c>
      <c r="AD105" s="93" t="n">
        <v>0.6271016129706236</v>
      </c>
      <c r="AE105" s="32" t="inlineStr">
        <is>
          <t>fitted sheet queen</t>
        </is>
      </c>
      <c r="AF105" s="93" t="n">
        <v>0.7297856336968785</v>
      </c>
      <c r="AG105" s="93" t="n">
        <v>0.5296686306464419</v>
      </c>
      <c r="AH105" s="93" t="n"/>
      <c r="AI105" s="93" t="n">
        <v>0.02295140194726505</v>
      </c>
      <c r="AJ105" s="85" t="n">
        <v>319</v>
      </c>
      <c r="AK105" s="85" t="n">
        <v>56</v>
      </c>
      <c r="AL105" s="85" t="n">
        <v>240</v>
      </c>
      <c r="AM105" s="85" t="n">
        <v>632</v>
      </c>
      <c r="AN105" s="85" t="n">
        <v>438</v>
      </c>
      <c r="AO105" s="85" t="n">
        <v>12</v>
      </c>
      <c r="AP105" s="94" t="n">
        <v>1.177319587628866</v>
      </c>
      <c r="AQ105" s="89" t="n">
        <v>0.0270270270270272</v>
      </c>
      <c r="AR105" s="95" t="inlineStr">
        <is>
          <t>Y</t>
        </is>
      </c>
      <c r="AS105" s="95" t="inlineStr">
        <is>
          <t>List Price</t>
        </is>
      </c>
      <c r="AT105" s="96" t="n">
        <v>49.99</v>
      </c>
      <c r="AU105" s="96" t="n">
        <v>44.99</v>
      </c>
      <c r="AV105" s="95" t="inlineStr">
        <is>
          <t>none</t>
        </is>
      </c>
      <c r="AW105" s="95" t="inlineStr">
        <is>
          <t>Y</t>
        </is>
      </c>
      <c r="AX105" s="95" t="inlineStr">
        <is>
          <t>2026-10-13 23:35:19</t>
        </is>
      </c>
      <c r="AY105" s="97" t="inlineStr">
        <is>
          <t>Not live in 2025</t>
        </is>
      </c>
      <c r="AZ105" s="102" t="n"/>
      <c r="BA105" s="101" t="n"/>
      <c r="BB105" s="101" t="n"/>
      <c r="BC105" s="87">
        <f>IF(AND(ISNUMBER(BA105),ISNUMBER(BB105),N(BA105)&gt;0),1-BB105/BA105,"")</f>
        <v/>
      </c>
      <c r="BD105" s="103" t="n"/>
      <c r="BE105" s="103" t="n"/>
      <c r="BF105" s="100">
        <f>IF(AND(ISNUMBER(BD105),ISNUMBER(BE105),N(BE105)&gt;0),BD105/BE105,"")</f>
        <v/>
      </c>
      <c r="BG105" s="102" t="n"/>
      <c r="BH105" s="102" t="n"/>
    </row>
    <row r="106" ht="62" customHeight="1">
      <c r="A106" s="39" t="inlineStr">
        <is>
          <t>IMAGE MISSING</t>
        </is>
      </c>
      <c r="B106" s="84" t="inlineStr">
        <is>
          <t>REST</t>
        </is>
      </c>
      <c r="C106" s="32" t="inlineStr">
        <is>
          <t>REST® Evercool®+ Fitted Sheet, Full Size, Light Blue, 15" Deep (up to 18’’), Bre</t>
        </is>
      </c>
      <c r="D106" s="84" t="inlineStr">
        <is>
          <t>Beatable</t>
        </is>
      </c>
      <c r="E106" s="84" t="inlineStr">
        <is>
          <t>B0C14HFDS1</t>
        </is>
      </c>
      <c r="F106" s="84" t="inlineStr">
        <is>
          <t>B0D4Y6RKLL</t>
        </is>
      </c>
      <c r="G106" s="84" t="inlineStr">
        <is>
          <t>Full</t>
        </is>
      </c>
      <c r="H106" s="84" t="inlineStr">
        <is>
          <t>Light Blue</t>
        </is>
      </c>
      <c r="I106" s="85" t="n">
        <v>36</v>
      </c>
      <c r="J106" s="32" t="inlineStr">
        <is>
          <t>B0BW997FWC (40%), B0BW995YFQ (25%), B0C14BKYXL (10%), B0C14BV615 (10%)</t>
        </is>
      </c>
      <c r="K106" s="86" t="n">
        <v>111.2</v>
      </c>
      <c r="L106" s="86" t="n">
        <v>139</v>
      </c>
      <c r="M106" s="87">
        <f>IF(AND(ISNUMBER(L106),ISNUMBER(K106),N(K106)&gt;0),L106/K106-1,"")</f>
        <v/>
      </c>
      <c r="N106" s="88">
        <f>IF(M106="","No List Price",IF(M106&lt;=0,"At/below price",IF(M106&lt;=0.12,"&lt;=12% STR zone",IF(M106&lt;=0.25,"12-25%","&gt;25% over"))))</f>
        <v/>
      </c>
      <c r="O106" s="86" t="n">
        <v>35.99</v>
      </c>
      <c r="P106" s="89">
        <f>IF(AND(ISNUMBER(K106),ISNUMBER(O106),N(O106)&gt;0),K106/O106-1,"")</f>
        <v/>
      </c>
      <c r="Q106" s="32" t="inlineStr">
        <is>
          <t>Same size (Full). Ours live: Helium 10 Xray, 2026-10-13; 13 children</t>
        </is>
      </c>
      <c r="R106" s="85" t="n">
        <v>22651</v>
      </c>
      <c r="S106" s="85" t="n">
        <v>35</v>
      </c>
      <c r="T106" s="90">
        <f>IF(AND(ISNUMBER(K106),ISNUMBER(S106)),K106*S106*52/12,"")</f>
        <v/>
      </c>
      <c r="U106" s="91" t="n">
        <v>4.4</v>
      </c>
      <c r="V106" s="85" t="n">
        <v>663</v>
      </c>
      <c r="W106" s="92" t="n">
        <v>46307</v>
      </c>
      <c r="X106" s="92" t="n"/>
      <c r="Y106" s="84" t="n"/>
      <c r="Z106" s="84" t="n"/>
      <c r="AA106" s="85" t="n">
        <v>110996</v>
      </c>
      <c r="AB106" s="85" t="n">
        <v>2646</v>
      </c>
      <c r="AC106" s="93" t="n">
        <v>0.5327084201232477</v>
      </c>
      <c r="AD106" s="93" t="n">
        <v>0.4672916087066201</v>
      </c>
      <c r="AE106" s="32" t="inlineStr">
        <is>
          <t>sheets</t>
        </is>
      </c>
      <c r="AF106" s="93" t="n">
        <v>0.6569516018595265</v>
      </c>
      <c r="AG106" s="93" t="n">
        <v>0.6046073732386753</v>
      </c>
      <c r="AH106" s="93" t="n"/>
      <c r="AI106" s="93" t="n">
        <v>0.009036361670690836</v>
      </c>
      <c r="AJ106" s="85" t="n">
        <v>256</v>
      </c>
      <c r="AK106" s="85" t="n">
        <v>102</v>
      </c>
      <c r="AL106" s="85" t="n">
        <v>119</v>
      </c>
      <c r="AM106" s="85" t="n">
        <v>2390</v>
      </c>
      <c r="AN106" s="85" t="n">
        <v>766</v>
      </c>
      <c r="AO106" s="85" t="n">
        <v>6</v>
      </c>
      <c r="AP106" s="94" t="n"/>
      <c r="AQ106" s="89" t="n"/>
      <c r="AR106" s="95" t="inlineStr">
        <is>
          <t>Y</t>
        </is>
      </c>
      <c r="AS106" s="95" t="inlineStr">
        <is>
          <t>List Price</t>
        </is>
      </c>
      <c r="AT106" s="96" t="n">
        <v>139</v>
      </c>
      <c r="AU106" s="96" t="n">
        <v>111.2</v>
      </c>
      <c r="AV106" s="95" t="inlineStr">
        <is>
          <t>none</t>
        </is>
      </c>
      <c r="AW106" s="95" t="inlineStr">
        <is>
          <t>Y</t>
        </is>
      </c>
      <c r="AX106" s="95" t="inlineStr">
        <is>
          <t>2026-10-13 23:36:46</t>
        </is>
      </c>
      <c r="AY106" s="97" t="inlineStr">
        <is>
          <t>Price cut only</t>
        </is>
      </c>
      <c r="AZ106" s="97" t="inlineStr">
        <is>
          <t>11-20 to 12-01</t>
        </is>
      </c>
      <c r="BA106" s="98" t="n">
        <v>111.2</v>
      </c>
      <c r="BB106" s="98" t="n">
        <v>104.25</v>
      </c>
      <c r="BC106" s="87">
        <f>IF(AND(ISNUMBER(BA106),ISNUMBER(BB106),N(BA106)&gt;0),1-BB106/BA106,"")</f>
        <v/>
      </c>
      <c r="BD106" s="99" t="n">
        <v>60121</v>
      </c>
      <c r="BE106" s="99" t="n">
        <v>38546</v>
      </c>
      <c r="BF106" s="100">
        <f>IF(AND(ISNUMBER(BD106),ISNUMBER(BE106),N(BE106)&gt;0),BD106/BE106,"")</f>
        <v/>
      </c>
      <c r="BG106" s="97" t="inlineStr">
        <is>
          <t>N</t>
        </is>
      </c>
      <c r="BH106" s="97" t="inlineStr">
        <is>
          <t>Lightning Deal 11-09 to 11-10; List Price $139.00</t>
        </is>
      </c>
    </row>
    <row r="107" ht="62" customHeight="1">
      <c r="A107" s="39" t="inlineStr">
        <is>
          <t>IMAGE MISSING</t>
        </is>
      </c>
      <c r="B107" s="84" t="inlineStr">
        <is>
          <t>Cozy Bliss</t>
        </is>
      </c>
      <c r="C107" s="32" t="inlineStr">
        <is>
          <t>Cooling Fitted Sheet</t>
        </is>
      </c>
      <c r="D107" s="84" t="inlineStr">
        <is>
          <t>Beatable</t>
        </is>
      </c>
      <c r="E107" s="84" t="inlineStr">
        <is>
          <t>B0DT14Y4VJ</t>
        </is>
      </c>
      <c r="F107" s="84" t="inlineStr">
        <is>
          <t>B0DMNMPVJP</t>
        </is>
      </c>
      <c r="G107" s="84" t="n"/>
      <c r="H107" s="84" t="n"/>
      <c r="I107" s="85" t="n">
        <v>23</v>
      </c>
      <c r="J107" s="32" t="inlineStr">
        <is>
          <t>B0DMNPF218 (54%), B0DMNQDZNB (21%), B0GFDTCKDD (9%)</t>
        </is>
      </c>
      <c r="K107" s="86" t="n">
        <v>74.98999999999999</v>
      </c>
      <c r="L107" s="86" t="n"/>
      <c r="M107" s="87">
        <f>IF(AND(ISNUMBER(L107),ISNUMBER(K107),N(K107)&gt;0),L107/K107-1,"")</f>
        <v/>
      </c>
      <c r="N107" s="88">
        <f>IF(M107="","No List Price",IF(M107&lt;=0,"At/below price",IF(M107&lt;=0.12,"&lt;=12% STR zone",IF(M107&lt;=0.25,"12-25%","&gt;25% over"))))</f>
        <v/>
      </c>
      <c r="O107" s="86" t="n">
        <v>37.99</v>
      </c>
      <c r="P107" s="89">
        <f>IF(AND(ISNUMBER(K107),ISNUMBER(O107),N(O107)&gt;0),K107/O107-1,"")</f>
        <v/>
      </c>
      <c r="Q107" s="32" t="inlineStr">
        <is>
          <t>Size not stated - vs our Queen. Ours live: Helium 10 Xray, 2026-10-13; 13 children</t>
        </is>
      </c>
      <c r="R107" s="85" t="n">
        <v>100300</v>
      </c>
      <c r="S107" s="85" t="n">
        <v>5</v>
      </c>
      <c r="T107" s="90">
        <f>IF(AND(ISNUMBER(K107),ISNUMBER(S107)),K107*S107*52/12,"")</f>
        <v/>
      </c>
      <c r="U107" s="91" t="n">
        <v>4.5</v>
      </c>
      <c r="V107" s="85" t="n">
        <v>456</v>
      </c>
      <c r="W107" s="92" t="n">
        <v>46307</v>
      </c>
      <c r="X107" s="92" t="n"/>
      <c r="Y107" s="84" t="n"/>
      <c r="Z107" s="84" t="n"/>
      <c r="AA107" s="85" t="n">
        <v>14965</v>
      </c>
      <c r="AB107" s="85" t="n">
        <v>410</v>
      </c>
      <c r="AC107" s="93" t="n">
        <v>0.8178404944871368</v>
      </c>
      <c r="AD107" s="93" t="n">
        <v>0.1821595055128634</v>
      </c>
      <c r="AE107" s="32" t="inlineStr">
        <is>
          <t>cooling sheets</t>
        </is>
      </c>
      <c r="AF107" s="93" t="n">
        <v>0.307584363514868</v>
      </c>
      <c r="AG107" s="93" t="n"/>
      <c r="AH107" s="93" t="n">
        <v>0.6962245238890745</v>
      </c>
      <c r="AI107" s="93" t="n">
        <v>0.03200801871032409</v>
      </c>
      <c r="AJ107" s="85" t="n">
        <v>138</v>
      </c>
      <c r="AK107" s="85" t="n">
        <v>83</v>
      </c>
      <c r="AL107" s="85" t="n">
        <v>29</v>
      </c>
      <c r="AM107" s="85" t="n">
        <v>272</v>
      </c>
      <c r="AN107" s="85" t="n">
        <v>67</v>
      </c>
      <c r="AO107" s="85" t="n">
        <v>2</v>
      </c>
      <c r="AP107" s="94" t="n"/>
      <c r="AQ107" s="89" t="n"/>
      <c r="AR107" s="95" t="inlineStr">
        <is>
          <t>N</t>
        </is>
      </c>
      <c r="AS107" s="95" t="inlineStr">
        <is>
          <t>none</t>
        </is>
      </c>
      <c r="AT107" s="101" t="n"/>
      <c r="AU107" s="96" t="n">
        <v>74.98999999999999</v>
      </c>
      <c r="AV107" s="95" t="inlineStr">
        <is>
          <t>none</t>
        </is>
      </c>
      <c r="AW107" s="95" t="inlineStr">
        <is>
          <t>Y</t>
        </is>
      </c>
      <c r="AX107" s="95" t="inlineStr">
        <is>
          <t>2026-10-13 23:36:02</t>
        </is>
      </c>
      <c r="AY107" s="102" t="n"/>
      <c r="AZ107" s="102" t="n"/>
      <c r="BA107" s="101" t="n"/>
      <c r="BB107" s="101" t="n"/>
      <c r="BC107" s="87">
        <f>IF(AND(ISNUMBER(BA107),ISNUMBER(BB107),N(BA107)&gt;0),1-BB107/BA107,"")</f>
        <v/>
      </c>
      <c r="BD107" s="99" t="n">
        <v>144127</v>
      </c>
      <c r="BE107" s="99" t="n">
        <v>128889</v>
      </c>
      <c r="BF107" s="100">
        <f>IF(AND(ISNUMBER(BD107),ISNUMBER(BE107),N(BE107)&gt;0),BD107/BE107,"")</f>
        <v/>
      </c>
      <c r="BG107" s="97" t="inlineStr">
        <is>
          <t>Y</t>
        </is>
      </c>
      <c r="BH107" s="97" t="inlineStr">
        <is>
          <t>No Buy Box history in Keepa for BFCM 2025; List Price $89.99</t>
        </is>
      </c>
    </row>
    <row r="108" ht="62" customHeight="1">
      <c r="A108" s="39" t="inlineStr">
        <is>
          <t>IMAGE MISSING</t>
        </is>
      </c>
      <c r="B108" s="84" t="inlineStr">
        <is>
          <t>OMERAI</t>
        </is>
      </c>
      <c r="C108" s="32" t="inlineStr">
        <is>
          <t>Cooling Sheets</t>
        </is>
      </c>
      <c r="D108" s="84" t="inlineStr">
        <is>
          <t>Beatable</t>
        </is>
      </c>
      <c r="E108" s="84" t="inlineStr">
        <is>
          <t>B0HDC7BMTC</t>
        </is>
      </c>
      <c r="F108" s="84" t="inlineStr">
        <is>
          <t>B0FX8K1CG9</t>
        </is>
      </c>
      <c r="G108" s="84" t="n"/>
      <c r="H108" s="84" t="n"/>
      <c r="I108" s="85" t="n">
        <v>10</v>
      </c>
      <c r="J108" s="32" t="inlineStr">
        <is>
          <t>B0BM9K24ST (46%), B0BM9GLKYV (43%)</t>
        </is>
      </c>
      <c r="K108" s="86" t="n">
        <v>42.99</v>
      </c>
      <c r="L108" s="86" t="n">
        <v>59.99</v>
      </c>
      <c r="M108" s="87">
        <f>IF(AND(ISNUMBER(L108),ISNUMBER(K108),N(K108)&gt;0),L108/K108-1,"")</f>
        <v/>
      </c>
      <c r="N108" s="88">
        <f>IF(M108="","No List Price",IF(M108&lt;=0,"At/below price",IF(M108&lt;=0.12,"&lt;=12% STR zone",IF(M108&lt;=0.25,"12-25%","&gt;25% over"))))</f>
        <v/>
      </c>
      <c r="O108" s="86" t="n">
        <v>37.99</v>
      </c>
      <c r="P108" s="89">
        <f>IF(AND(ISNUMBER(K108),ISNUMBER(O108),N(O108)&gt;0),K108/O108-1,"")</f>
        <v/>
      </c>
      <c r="Q108" s="32" t="inlineStr">
        <is>
          <t>Size not stated - vs our Queen. Ours live: Helium 10 Xray, 2026-10-13; 13 children</t>
        </is>
      </c>
      <c r="R108" s="85" t="n">
        <v>115669</v>
      </c>
      <c r="S108" s="85" t="n">
        <v>5</v>
      </c>
      <c r="T108" s="90">
        <f>IF(AND(ISNUMBER(K108),ISNUMBER(S108)),K108*S108*52/12,"")</f>
        <v/>
      </c>
      <c r="U108" s="91" t="n">
        <v>4.7</v>
      </c>
      <c r="V108" s="85" t="n">
        <v>4</v>
      </c>
      <c r="W108" s="92" t="n">
        <v>46307</v>
      </c>
      <c r="X108" s="92" t="n"/>
      <c r="Y108" s="84" t="n"/>
      <c r="Z108" s="84" t="n"/>
      <c r="AA108" s="85" t="n">
        <v>13712</v>
      </c>
      <c r="AB108" s="85" t="n">
        <v>332</v>
      </c>
      <c r="AC108" s="93" t="n">
        <v>0.8852072199533255</v>
      </c>
      <c r="AD108" s="93" t="n">
        <v>0.1147927800466745</v>
      </c>
      <c r="AE108" s="32" t="inlineStr">
        <is>
          <t>cooling sheets queen</t>
        </is>
      </c>
      <c r="AF108" s="93" t="n">
        <v>0.8668319719953326</v>
      </c>
      <c r="AG108" s="93" t="n"/>
      <c r="AH108" s="93" t="n"/>
      <c r="AI108" s="93" t="n"/>
      <c r="AJ108" s="85" t="n">
        <v>113</v>
      </c>
      <c r="AK108" s="85" t="n">
        <v>40</v>
      </c>
      <c r="AL108" s="85" t="n">
        <v>65</v>
      </c>
      <c r="AM108" s="85" t="n">
        <v>219</v>
      </c>
      <c r="AN108" s="85" t="n">
        <v>56</v>
      </c>
      <c r="AO108" s="85" t="n">
        <v>6</v>
      </c>
      <c r="AP108" s="94" t="n"/>
      <c r="AQ108" s="89" t="n"/>
      <c r="AR108" s="95" t="inlineStr">
        <is>
          <t>Y</t>
        </is>
      </c>
      <c r="AS108" s="95" t="inlineStr">
        <is>
          <t>List Price</t>
        </is>
      </c>
      <c r="AT108" s="96" t="n">
        <v>59.99</v>
      </c>
      <c r="AU108" s="96" t="n">
        <v>42.99</v>
      </c>
      <c r="AV108" s="95" t="inlineStr">
        <is>
          <t>coupon 20%</t>
        </is>
      </c>
      <c r="AW108" s="95" t="inlineStr">
        <is>
          <t>Y</t>
        </is>
      </c>
      <c r="AX108" s="95" t="inlineStr">
        <is>
          <t>2026-10-13 12:12:04</t>
        </is>
      </c>
      <c r="AY108" s="97" t="inlineStr">
        <is>
          <t>Not live in 2025</t>
        </is>
      </c>
      <c r="AZ108" s="102" t="n"/>
      <c r="BA108" s="101" t="n"/>
      <c r="BB108" s="101" t="n"/>
      <c r="BC108" s="87">
        <f>IF(AND(ISNUMBER(BA108),ISNUMBER(BB108),N(BA108)&gt;0),1-BB108/BA108,"")</f>
        <v/>
      </c>
      <c r="BD108" s="103" t="n"/>
      <c r="BE108" s="103" t="n"/>
      <c r="BF108" s="100">
        <f>IF(AND(ISNUMBER(BD108),ISNUMBER(BE108),N(BE108)&gt;0),BD108/BE108,"")</f>
        <v/>
      </c>
      <c r="BG108" s="102" t="n"/>
      <c r="BH108" s="102" t="n"/>
    </row>
    <row r="109" ht="62" customHeight="1">
      <c r="A109" s="39" t="inlineStr">
        <is>
          <t>IMAGE MISSING</t>
        </is>
      </c>
      <c r="B109" s="84" t="inlineStr">
        <is>
          <t>Bedsure</t>
        </is>
      </c>
      <c r="C109" s="32" t="inlineStr">
        <is>
          <t>Cooling Fitted Sheet</t>
        </is>
      </c>
      <c r="D109" s="84" t="inlineStr">
        <is>
          <t>Poor</t>
        </is>
      </c>
      <c r="E109" s="84" t="inlineStr">
        <is>
          <t>B0GNMKSLRZ</t>
        </is>
      </c>
      <c r="F109" s="84" t="inlineStr">
        <is>
          <t>B0FQPCYCVQ</t>
        </is>
      </c>
      <c r="G109" s="84" t="n"/>
      <c r="H109" s="84" t="n"/>
      <c r="I109" s="85" t="n"/>
      <c r="J109" s="32" t="inlineStr"/>
      <c r="K109" s="86" t="n">
        <v>29.99</v>
      </c>
      <c r="L109" s="86" t="n"/>
      <c r="M109" s="87">
        <f>IF(AND(ISNUMBER(L109),ISNUMBER(K109),N(K109)&gt;0),L109/K109-1,"")</f>
        <v/>
      </c>
      <c r="N109" s="88">
        <f>IF(M109="","No List Price",IF(M109&lt;=0,"At/below price",IF(M109&lt;=0.12,"&lt;=12% STR zone",IF(M109&lt;=0.25,"12-25%","&gt;25% over"))))</f>
        <v/>
      </c>
      <c r="O109" s="86" t="n">
        <v>37.99</v>
      </c>
      <c r="P109" s="89">
        <f>IF(AND(ISNUMBER(K109),ISNUMBER(O109),N(O109)&gt;0),K109/O109-1,"")</f>
        <v/>
      </c>
      <c r="Q109" s="32" t="inlineStr">
        <is>
          <t>Size not stated - vs our Queen. Ours live: Helium 10 Xray, 2026-10-13; 13 children</t>
        </is>
      </c>
      <c r="R109" s="85" t="n">
        <v>616342</v>
      </c>
      <c r="S109" s="85" t="n">
        <v>5</v>
      </c>
      <c r="T109" s="90">
        <f>IF(AND(ISNUMBER(K109),ISNUMBER(S109)),K109*S109*52/12,"")</f>
        <v/>
      </c>
      <c r="U109" s="91" t="n">
        <v>4.3</v>
      </c>
      <c r="V109" s="85" t="n">
        <v>111</v>
      </c>
      <c r="W109" s="92" t="n">
        <v>46307</v>
      </c>
      <c r="X109" s="92" t="n"/>
      <c r="Y109" s="84" t="n"/>
      <c r="Z109" s="84" t="n"/>
      <c r="AA109" s="85" t="n"/>
      <c r="AB109" s="85" t="n"/>
      <c r="AC109" s="93" t="n"/>
      <c r="AD109" s="93" t="n"/>
      <c r="AE109" s="32" t="n"/>
      <c r="AF109" s="93" t="n"/>
      <c r="AG109" s="93" t="n"/>
      <c r="AH109" s="93" t="n"/>
      <c r="AI109" s="93" t="n"/>
      <c r="AJ109" s="85" t="n"/>
      <c r="AK109" s="85" t="n"/>
      <c r="AL109" s="85" t="n"/>
      <c r="AM109" s="85" t="n"/>
      <c r="AN109" s="85" t="n"/>
      <c r="AO109" s="85" t="n"/>
      <c r="AP109" s="94" t="n"/>
      <c r="AQ109" s="89" t="n"/>
      <c r="AR109" s="95" t="inlineStr">
        <is>
          <t>N</t>
        </is>
      </c>
      <c r="AS109" s="95" t="inlineStr">
        <is>
          <t>none</t>
        </is>
      </c>
      <c r="AT109" s="101" t="n"/>
      <c r="AU109" s="101" t="n"/>
      <c r="AV109" s="95" t="inlineStr">
        <is>
          <t>none</t>
        </is>
      </c>
      <c r="AW109" s="95" t="inlineStr">
        <is>
          <t>N</t>
        </is>
      </c>
      <c r="AX109" s="95" t="inlineStr">
        <is>
          <t>2026-10-13 23:37:31</t>
        </is>
      </c>
      <c r="AY109" s="97" t="inlineStr">
        <is>
          <t>Not live in 2025</t>
        </is>
      </c>
      <c r="AZ109" s="102" t="n"/>
      <c r="BA109" s="101" t="n"/>
      <c r="BB109" s="101" t="n"/>
      <c r="BC109" s="87">
        <f>IF(AND(ISNUMBER(BA109),ISNUMBER(BB109),N(BA109)&gt;0),1-BB109/BA109,"")</f>
        <v/>
      </c>
      <c r="BD109" s="103" t="n"/>
      <c r="BE109" s="103" t="n"/>
      <c r="BF109" s="100">
        <f>IF(AND(ISNUMBER(BD109),ISNUMBER(BE109),N(BE109)&gt;0),BD109/BE109,"")</f>
        <v/>
      </c>
      <c r="BG109" s="102" t="n"/>
      <c r="BH109" s="102" t="n"/>
    </row>
    <row r="110" ht="62" customHeight="1">
      <c r="A110" s="10">
        <f>_xlfn.IMAGE("https://images-na.ssl-images-amazon.com/images/I/81L2xb5ly6L.jpg")</f>
        <v/>
      </c>
      <c r="B110" s="84" t="inlineStr">
        <is>
          <t>Bedsure</t>
        </is>
      </c>
      <c r="C110" s="32" t="inlineStr">
        <is>
          <t>Bedsure PureWoven 100% Rayon Derived from Bamboo, Queen Sheets, 4 Pieces</t>
        </is>
      </c>
      <c r="D110" s="84" t="inlineStr">
        <is>
          <t>Untiered</t>
        </is>
      </c>
      <c r="E110" s="84" t="inlineStr">
        <is>
          <t>B0BZ8T5BJ6</t>
        </is>
      </c>
      <c r="F110" s="84" t="inlineStr">
        <is>
          <t>B07YK8VTJV</t>
        </is>
      </c>
      <c r="G110" s="84" t="inlineStr">
        <is>
          <t>Queen</t>
        </is>
      </c>
      <c r="H110" s="84" t="n"/>
      <c r="I110" s="85" t="n">
        <v>131</v>
      </c>
      <c r="J110" s="32" t="inlineStr">
        <is>
          <t>B07YKCZHGK (29%), B07YK8VTJV (19%), B07YKCQBBL (14%), B07YKCB6GL (9%), B08CXWHQT2 (6%)</t>
        </is>
      </c>
      <c r="K110" s="86" t="n">
        <v>62.99</v>
      </c>
      <c r="L110" s="86" t="n">
        <v>69.98999999999999</v>
      </c>
      <c r="M110" s="87">
        <f>IF(AND(ISNUMBER(L110),ISNUMBER(K110),N(K110)&gt;0),L110/K110-1,"")</f>
        <v/>
      </c>
      <c r="N110" s="88">
        <f>IF(M110="","No List Price",IF(M110&lt;=0,"At/below price",IF(M110&lt;=0.12,"&lt;=12% STR zone",IF(M110&lt;=0.25,"12-25%","&gt;25% over"))))</f>
        <v/>
      </c>
      <c r="O110" s="86" t="n">
        <v>37.99</v>
      </c>
      <c r="P110" s="89">
        <f>IF(AND(ISNUMBER(K110),ISNUMBER(O110),N(O110)&gt;0),K110/O110-1,"")</f>
        <v/>
      </c>
      <c r="Q110" s="32" t="inlineStr">
        <is>
          <t>Same size (Queen). Ours live: Helium 10 Xray, 2026-10-13; 13 children</t>
        </is>
      </c>
      <c r="R110" s="85" t="n">
        <v>256</v>
      </c>
      <c r="S110" s="85" t="n">
        <v>809</v>
      </c>
      <c r="T110" s="90">
        <f>IF(AND(ISNUMBER(K110),ISNUMBER(S110)),K110*S110*52/12,"")</f>
        <v/>
      </c>
      <c r="U110" s="91" t="n">
        <v>4.4</v>
      </c>
      <c r="V110" s="85" t="n">
        <v>65061</v>
      </c>
      <c r="W110" s="92" t="n">
        <v>46307</v>
      </c>
      <c r="X110" s="92" t="n">
        <v>43348</v>
      </c>
      <c r="Y110" s="84" t="inlineStr">
        <is>
          <t>FBA</t>
        </is>
      </c>
      <c r="Z110" s="84" t="inlineStr">
        <is>
          <t>US</t>
        </is>
      </c>
      <c r="AA110" s="85" t="n">
        <v>2166046</v>
      </c>
      <c r="AB110" s="85" t="n">
        <v>6935</v>
      </c>
      <c r="AC110" s="93" t="n">
        <v>0.5902383405984899</v>
      </c>
      <c r="AD110" s="93" t="n">
        <v>0.4097618027040986</v>
      </c>
      <c r="AE110" s="32" t="inlineStr">
        <is>
          <t>bamboo sheets</t>
        </is>
      </c>
      <c r="AF110" s="93" t="n">
        <v>0.9388327856379781</v>
      </c>
      <c r="AG110" s="93" t="n">
        <v>0.9371818511702891</v>
      </c>
      <c r="AH110" s="93" t="n">
        <v>0.6488394059959945</v>
      </c>
      <c r="AI110" s="93" t="n">
        <v>0.3206907886536112</v>
      </c>
      <c r="AJ110" s="85" t="n">
        <v>383</v>
      </c>
      <c r="AK110" s="85" t="n">
        <v>47</v>
      </c>
      <c r="AL110" s="85" t="n">
        <v>301</v>
      </c>
      <c r="AM110" s="85" t="n">
        <v>6552</v>
      </c>
      <c r="AN110" s="85" t="n">
        <v>3470</v>
      </c>
      <c r="AO110" s="85" t="n">
        <v>14</v>
      </c>
      <c r="AP110" s="94" t="n">
        <v>1.066623404715553</v>
      </c>
      <c r="AQ110" s="89" t="n">
        <v>-0.05727665706051865</v>
      </c>
      <c r="AR110" s="95" t="inlineStr">
        <is>
          <t>Y</t>
        </is>
      </c>
      <c r="AS110" s="95" t="inlineStr">
        <is>
          <t>List Price</t>
        </is>
      </c>
      <c r="AT110" s="96" t="n">
        <v>69.98999999999999</v>
      </c>
      <c r="AU110" s="96" t="n">
        <v>62.99</v>
      </c>
      <c r="AV110" s="95" t="inlineStr">
        <is>
          <t>none</t>
        </is>
      </c>
      <c r="AW110" s="95" t="inlineStr">
        <is>
          <t>Y</t>
        </is>
      </c>
      <c r="AX110" s="95" t="inlineStr">
        <is>
          <t>2026-10-13 12:10:35</t>
        </is>
      </c>
      <c r="AY110" s="97" t="inlineStr">
        <is>
          <t>Prime Exclusive Discount</t>
        </is>
      </c>
      <c r="AZ110" s="97" t="inlineStr">
        <is>
          <t>11-23 to 12-01</t>
        </is>
      </c>
      <c r="BA110" s="98" t="n">
        <v>66.48999999999999</v>
      </c>
      <c r="BB110" s="98" t="n">
        <v>55.99</v>
      </c>
      <c r="BC110" s="87">
        <f>IF(AND(ISNUMBER(BA110),ISNUMBER(BB110),N(BA110)&gt;0),1-BB110/BA110,"")</f>
        <v/>
      </c>
      <c r="BD110" s="99" t="n">
        <v>156</v>
      </c>
      <c r="BE110" s="99" t="n">
        <v>228</v>
      </c>
      <c r="BF110" s="100">
        <f>IF(AND(ISNUMBER(BD110),ISNUMBER(BE110),N(BE110)&gt;0),BD110/BE110,"")</f>
        <v/>
      </c>
      <c r="BG110" s="97" t="inlineStr">
        <is>
          <t>N</t>
        </is>
      </c>
      <c r="BH110" s="97" t="inlineStr">
        <is>
          <t>Buy Box RAISED in BFCM week (median $69.99 vs $66.49 before); List Price $78.99</t>
        </is>
      </c>
    </row>
    <row r="111" ht="62" customHeight="1">
      <c r="A111" s="39" t="inlineStr">
        <is>
          <t>IMAGE MISSING</t>
        </is>
      </c>
      <c r="B111" s="84" t="inlineStr">
        <is>
          <t>REST</t>
        </is>
      </c>
      <c r="C111" s="32" t="inlineStr">
        <is>
          <t>Cooling Sheets</t>
        </is>
      </c>
      <c r="D111" s="84" t="inlineStr">
        <is>
          <t>Untiered</t>
        </is>
      </c>
      <c r="E111" s="84" t="inlineStr">
        <is>
          <t>B0HC6866B7</t>
        </is>
      </c>
      <c r="F111" s="84" t="inlineStr">
        <is>
          <t>B0D9JHBBCZ</t>
        </is>
      </c>
      <c r="G111" s="84" t="n"/>
      <c r="H111" s="84" t="n"/>
      <c r="I111" s="85" t="n">
        <v>69</v>
      </c>
      <c r="J111" s="32" t="inlineStr">
        <is>
          <t>B0C56ZNQVQ (16%), B0BLYSGFRW (15%), B0BLYVMGYB (7%), B0BLYW9CJZ (7%), B0C56YLKZW (7%)</t>
        </is>
      </c>
      <c r="K111" s="86" t="n">
        <v>224.25</v>
      </c>
      <c r="L111" s="86" t="n">
        <v>299</v>
      </c>
      <c r="M111" s="87">
        <f>IF(AND(ISNUMBER(L111),ISNUMBER(K111),N(K111)&gt;0),L111/K111-1,"")</f>
        <v/>
      </c>
      <c r="N111" s="88">
        <f>IF(M111="","No List Price",IF(M111&lt;=0,"At/below price",IF(M111&lt;=0.12,"&lt;=12% STR zone",IF(M111&lt;=0.25,"12-25%","&gt;25% over"))))</f>
        <v/>
      </c>
      <c r="O111" s="86" t="n">
        <v>37.99</v>
      </c>
      <c r="P111" s="89">
        <f>IF(AND(ISNUMBER(K111),ISNUMBER(O111),N(O111)&gt;0),K111/O111-1,"")</f>
        <v/>
      </c>
      <c r="Q111" s="32" t="inlineStr">
        <is>
          <t>Size not stated - vs our Queen. Ours live: Helium 10 Xray, 2026-10-13; 13 children</t>
        </is>
      </c>
      <c r="R111" s="85" t="n">
        <v>5255</v>
      </c>
      <c r="S111" s="85" t="n">
        <v>81</v>
      </c>
      <c r="T111" s="90">
        <f>IF(AND(ISNUMBER(K111),ISNUMBER(S111)),K111*S111*52/12,"")</f>
        <v/>
      </c>
      <c r="U111" s="91" t="n">
        <v>4.3</v>
      </c>
      <c r="V111" s="85" t="n">
        <v>1149</v>
      </c>
      <c r="W111" s="92" t="n">
        <v>46307</v>
      </c>
      <c r="X111" s="92" t="n"/>
      <c r="Y111" s="84" t="n"/>
      <c r="Z111" s="84" t="n"/>
      <c r="AA111" s="85" t="n">
        <v>522593</v>
      </c>
      <c r="AB111" s="85" t="n">
        <v>7281</v>
      </c>
      <c r="AC111" s="93" t="n">
        <v>0.2234137663535486</v>
      </c>
      <c r="AD111" s="93" t="n">
        <v>0.7765862336464519</v>
      </c>
      <c r="AE111" s="32" t="inlineStr">
        <is>
          <t>cooling sheets</t>
        </is>
      </c>
      <c r="AF111" s="93" t="n">
        <v>0.7800085343661319</v>
      </c>
      <c r="AG111" s="93" t="n">
        <v>0.8614600654811679</v>
      </c>
      <c r="AH111" s="93" t="n">
        <v>0.4534561312531932</v>
      </c>
      <c r="AI111" s="93" t="n">
        <v>0.1182067115326841</v>
      </c>
      <c r="AJ111" s="85" t="n">
        <v>257</v>
      </c>
      <c r="AK111" s="85" t="n">
        <v>69</v>
      </c>
      <c r="AL111" s="85" t="n">
        <v>162</v>
      </c>
      <c r="AM111" s="85" t="n">
        <v>7024</v>
      </c>
      <c r="AN111" s="85" t="n">
        <v>3287</v>
      </c>
      <c r="AO111" s="85" t="n">
        <v>15</v>
      </c>
      <c r="AP111" s="94" t="n"/>
      <c r="AQ111" s="89" t="n"/>
      <c r="AR111" s="95" t="inlineStr">
        <is>
          <t>Y</t>
        </is>
      </c>
      <c r="AS111" s="95" t="inlineStr">
        <is>
          <t>List Price</t>
        </is>
      </c>
      <c r="AT111" s="96" t="n">
        <v>299</v>
      </c>
      <c r="AU111" s="96" t="n">
        <v>224.25</v>
      </c>
      <c r="AV111" s="95" t="inlineStr">
        <is>
          <t>none</t>
        </is>
      </c>
      <c r="AW111" s="95" t="inlineStr">
        <is>
          <t>Y</t>
        </is>
      </c>
      <c r="AX111" s="95" t="inlineStr">
        <is>
          <t>2026-10-13 12:12:07</t>
        </is>
      </c>
      <c r="AY111" s="97" t="inlineStr">
        <is>
          <t>Price cut only</t>
        </is>
      </c>
      <c r="AZ111" s="97" t="inlineStr">
        <is>
          <t>11-20 to 12-01</t>
        </is>
      </c>
      <c r="BA111" s="98" t="n">
        <v>299</v>
      </c>
      <c r="BB111" s="98" t="n">
        <v>215.88</v>
      </c>
      <c r="BC111" s="87">
        <f>IF(AND(ISNUMBER(BA111),ISNUMBER(BB111),N(BA111)&gt;0),1-BB111/BA111,"")</f>
        <v/>
      </c>
      <c r="BD111" s="99" t="n">
        <v>30243</v>
      </c>
      <c r="BE111" s="99" t="n">
        <v>15706</v>
      </c>
      <c r="BF111" s="100">
        <f>IF(AND(ISNUMBER(BD111),ISNUMBER(BE111),N(BE111)&gt;0),BD111/BE111,"")</f>
        <v/>
      </c>
      <c r="BG111" s="97" t="inlineStr">
        <is>
          <t>N</t>
        </is>
      </c>
      <c r="BH111" s="97" t="inlineStr">
        <is>
          <t>Lightning Deal 11-14 to 11-14; List Price $299.00</t>
        </is>
      </c>
    </row>
    <row r="112" ht="62" customHeight="1">
      <c r="A112" s="10">
        <f>_xlfn.IMAGE("https://images-na.ssl-images-amazon.com/images/I/71AIQ3TCTsL.jpg")</f>
        <v/>
      </c>
      <c r="B112" s="84" t="inlineStr">
        <is>
          <t>BC BELLA COTERIE</t>
        </is>
      </c>
      <c r="C112" s="32" t="inlineStr">
        <is>
          <t>Bella Coterie | Luxury Bamboo Viscose King Size Fitted Sheet Only</t>
        </is>
      </c>
      <c r="D112" s="84" t="inlineStr">
        <is>
          <t>Untiered</t>
        </is>
      </c>
      <c r="E112" s="84" t="inlineStr">
        <is>
          <t>B0FP7WBFNJ</t>
        </is>
      </c>
      <c r="F112" s="84" t="inlineStr">
        <is>
          <t>B0CZXZCTJP</t>
        </is>
      </c>
      <c r="G112" s="84" t="inlineStr">
        <is>
          <t>King</t>
        </is>
      </c>
      <c r="H112" s="84" t="n"/>
      <c r="I112" s="85" t="n">
        <v>126</v>
      </c>
      <c r="J112" s="32" t="inlineStr">
        <is>
          <t>B0CZY15Z61 (17%), B0CZXZB79R (16%), B0CZXZCTJP (12%), B0CZY1CFH6 (7%), B0CZY1F63K (7%)</t>
        </is>
      </c>
      <c r="K112" s="86" t="n">
        <v>54.99</v>
      </c>
      <c r="L112" s="86" t="n"/>
      <c r="M112" s="87">
        <f>IF(AND(ISNUMBER(L112),ISNUMBER(K112),N(K112)&gt;0),L112/K112-1,"")</f>
        <v/>
      </c>
      <c r="N112" s="88">
        <f>IF(M112="","No List Price",IF(M112&lt;=0,"At/below price",IF(M112&lt;=0.12,"&lt;=12% STR zone",IF(M112&lt;=0.25,"12-25%","&gt;25% over"))))</f>
        <v/>
      </c>
      <c r="O112" s="86" t="n">
        <v>39.99</v>
      </c>
      <c r="P112" s="89">
        <f>IF(AND(ISNUMBER(K112),ISNUMBER(O112),N(O112)&gt;0),K112/O112-1,"")</f>
        <v/>
      </c>
      <c r="Q112" s="32" t="inlineStr">
        <is>
          <t>Same size (King). Ours live: Helium 10 Xray, 2026-10-13; 13 children</t>
        </is>
      </c>
      <c r="R112" s="85" t="n">
        <v>13383</v>
      </c>
      <c r="S112" s="85" t="n">
        <v>35</v>
      </c>
      <c r="T112" s="90">
        <f>IF(AND(ISNUMBER(K112),ISNUMBER(S112)),K112*S112*52/12,"")</f>
        <v/>
      </c>
      <c r="U112" s="91" t="n">
        <v>4.5</v>
      </c>
      <c r="V112" s="85" t="n">
        <v>331</v>
      </c>
      <c r="W112" s="92" t="n">
        <v>46307</v>
      </c>
      <c r="X112" s="92" t="n">
        <v>45387</v>
      </c>
      <c r="Y112" s="84" t="inlineStr">
        <is>
          <t>FBA</t>
        </is>
      </c>
      <c r="Z112" s="84" t="inlineStr">
        <is>
          <t>US</t>
        </is>
      </c>
      <c r="AA112" s="85" t="n">
        <v>157609</v>
      </c>
      <c r="AB112" s="85" t="n">
        <v>2308</v>
      </c>
      <c r="AC112" s="93" t="n">
        <v>0.3003846861537098</v>
      </c>
      <c r="AD112" s="93" t="n">
        <v>0.6996153544531084</v>
      </c>
      <c r="AE112" s="32" t="inlineStr">
        <is>
          <t>fitted sheet queen</t>
        </is>
      </c>
      <c r="AF112" s="93" t="n">
        <v>0.85385986840853</v>
      </c>
      <c r="AG112" s="93" t="n">
        <v>0.1863916400713157</v>
      </c>
      <c r="AH112" s="93" t="n"/>
      <c r="AI112" s="93" t="n">
        <v>0.009263430387858561</v>
      </c>
      <c r="AJ112" s="85" t="n">
        <v>329</v>
      </c>
      <c r="AK112" s="85" t="n">
        <v>67</v>
      </c>
      <c r="AL112" s="85" t="n">
        <v>227</v>
      </c>
      <c r="AM112" s="85" t="n">
        <v>1979</v>
      </c>
      <c r="AN112" s="85" t="n">
        <v>950</v>
      </c>
      <c r="AO112" s="85" t="n">
        <v>13</v>
      </c>
      <c r="AP112" s="94" t="n">
        <v>1.303030303030303</v>
      </c>
      <c r="AQ112" s="89" t="n">
        <v>-0.07523510971786829</v>
      </c>
      <c r="AR112" s="95" t="inlineStr">
        <is>
          <t>N</t>
        </is>
      </c>
      <c r="AS112" s="95" t="inlineStr">
        <is>
          <t>none</t>
        </is>
      </c>
      <c r="AT112" s="101" t="n"/>
      <c r="AU112" s="96" t="n">
        <v>54.99</v>
      </c>
      <c r="AV112" s="95" t="inlineStr">
        <is>
          <t>coupon $15</t>
        </is>
      </c>
      <c r="AW112" s="95" t="inlineStr">
        <is>
          <t>Y</t>
        </is>
      </c>
      <c r="AX112" s="95" t="inlineStr">
        <is>
          <t>2026-10-13 23:35:38</t>
        </is>
      </c>
      <c r="AY112" s="97" t="inlineStr">
        <is>
          <t>None</t>
        </is>
      </c>
      <c r="AZ112" s="102" t="n"/>
      <c r="BA112" s="98" t="n">
        <v>54.99</v>
      </c>
      <c r="BB112" s="98" t="n">
        <v>54.99</v>
      </c>
      <c r="BC112" s="87">
        <f>IF(AND(ISNUMBER(BA112),ISNUMBER(BB112),N(BA112)&gt;0),1-BB112/BA112,"")</f>
        <v/>
      </c>
      <c r="BD112" s="99" t="n">
        <v>49325</v>
      </c>
      <c r="BE112" s="99" t="n">
        <v>57116</v>
      </c>
      <c r="BF112" s="100">
        <f>IF(AND(ISNUMBER(BD112),ISNUMBER(BE112),N(BE112)&gt;0),BD112/BE112,"")</f>
        <v/>
      </c>
      <c r="BG112" s="97" t="inlineStr">
        <is>
          <t>N</t>
        </is>
      </c>
      <c r="BH112" s="97" t="inlineStr">
        <is>
          <t>List Price $54.99</t>
        </is>
      </c>
    </row>
    <row r="114" ht="20" customHeight="1">
      <c r="A114" s="54" t="inlineStr">
        <is>
          <t>5 · WHAT THIS MEANS FOR BFCM</t>
        </is>
      </c>
    </row>
    <row r="115" ht="30" customHeight="1">
      <c r="A115" s="104" t="inlineStr">
        <is>
          <t>•  Who sells most: Pure Bamboo ~809/wk at $109.99; Bedsure ~809/wk at $62.99 (List $69.99, +11%); Bedsure ~104/wk at $89.99 (List $119.99, +33%); Zaizaihome ~81/wk at $29.99;  ~81/wk at $44.99. Tracked rivals ~2,050 units/wk; we sell ~128/wk (5.9% of the tracked set).</t>
        </is>
      </c>
    </row>
    <row r="116" ht="18" customHeight="1">
      <c r="A116" s="104" t="inlineStr">
        <is>
          <t>•  Strikethrough: 5 of 11 rivals set a List Price above price; 1 within 12%: Bedsure +11%.</t>
        </is>
      </c>
    </row>
    <row r="117" ht="18" customHeight="1">
      <c r="A117" s="104" t="inlineStr">
        <is>
          <t>•  Price: 2 of 11 rivals sit below our price today (same size where the title states one). Cheapest strong rivals: Zaizaihome $29.99.</t>
        </is>
      </c>
    </row>
    <row r="118" ht="30" customHeight="1">
      <c r="A118" s="104" t="inlineStr">
        <is>
          <t>•  Strikethrough on the page today (Oct 13 check): 6 of 11 checked rivals show one: Bedsure List Price $119.99 vs $89.99 (+33%),  List Price $49.99 vs $44.99 (+11%), REST List Price $139.00 vs $111.20 (+25%), OMERAI List Price $59.99 vs $42.99 (+40%), Bedsure List Price $69.99 vs $62.99 (+11%), REST List Price $299.00 vs $224.25 (+33%).</t>
        </is>
      </c>
    </row>
    <row r="119" ht="30" customHeight="1">
      <c r="A119" s="104" t="inlineStr">
        <is>
          <t>•  Search: we lose most shared keywords to Bedsure (we win 47, lose 301), Pure Bamboo (we win 56, lose 287), Bedsure (we win 58, lose 268). Biggest ad gaps (they advertise where we don't or harder): Pure Bamboo 3,797 + 16 KWs, Bedsure 3,470 + 14 KWs, Bedsure 2,465 + 18 KWs.</t>
        </is>
      </c>
    </row>
    <row r="120" ht="30" customHeight="1">
      <c r="A120" s="104" t="inlineStr">
        <is>
          <t>•  Brand ads: Pure Bamboo (SB 82%, SBV 88%), Bedsure (SB 98%, SBV 53%),  (SB 53%, SBV 0%), REST (SB 60%, SBV 0%), Cozy Bliss (SB 0%, SBV 70%) hold Sponsored Brands / video on most of their traffic - the plan has our SB, SBV and display live by Nov 1.</t>
        </is>
      </c>
    </row>
    <row r="121" ht="18" customHeight="1">
      <c r="A121" s="104" t="inlineStr">
        <is>
          <t>•  Our BFCM 2025: 0.98x daily sales in BFCM week vs the 30 days before; TACoS 0.0% vs 0.0% before; December 1.43x.</t>
        </is>
      </c>
    </row>
    <row r="122" ht="30" customHeight="1">
      <c r="A122" s="104" t="inlineStr">
        <is>
          <t>•  BFCM 2025, 7 rivals with Keepa history: Prime Exclusive Discount 3, None 2, Price cut only 2. Median depth vs their Nov 1-19 price 14%; median BSR lift 0.96x. 2 raised their Buy Box in BFCM week, so their deal looked deeper than it was.</t>
        </is>
      </c>
    </row>
    <row r="123" ht="18" customHeight="1">
      <c r="A123" s="104" t="inlineStr">
        <is>
          <t>•  1 rival not in the Keepa pulls yet (yellow BFCM 2025 columns) - remaining P2 batches, AGENT_PROMPTS Prompt 2.</t>
        </is>
      </c>
    </row>
  </sheetData>
  <autoFilter ref="B101:BH112"/>
  <mergeCells count="70">
    <mergeCell ref="A15:BH15"/>
    <mergeCell ref="A90:C90"/>
    <mergeCell ref="L5:Q5"/>
    <mergeCell ref="A98:BH98"/>
    <mergeCell ref="AA100:AQ100"/>
    <mergeCell ref="A1:BH1"/>
    <mergeCell ref="A94:BH94"/>
    <mergeCell ref="Q11:T11"/>
    <mergeCell ref="A123:BH123"/>
    <mergeCell ref="L8:Q8"/>
    <mergeCell ref="A119:BH119"/>
    <mergeCell ref="L4:Q4"/>
    <mergeCell ref="D7:I7"/>
    <mergeCell ref="A13:D13"/>
    <mergeCell ref="A86:C86"/>
    <mergeCell ref="AR100:AX100"/>
    <mergeCell ref="I13:L13"/>
    <mergeCell ref="A16:BH16"/>
    <mergeCell ref="A85:C85"/>
    <mergeCell ref="A99:BH99"/>
    <mergeCell ref="D4:I4"/>
    <mergeCell ref="L10:Q10"/>
    <mergeCell ref="E12:H12"/>
    <mergeCell ref="Q13:T13"/>
    <mergeCell ref="D9:I9"/>
    <mergeCell ref="A118:BH118"/>
    <mergeCell ref="U12:X12"/>
    <mergeCell ref="L9:Q9"/>
    <mergeCell ref="Q12:T12"/>
    <mergeCell ref="A84:BH84"/>
    <mergeCell ref="A11:D11"/>
    <mergeCell ref="A91:C91"/>
    <mergeCell ref="I11:L11"/>
    <mergeCell ref="X100:Z100"/>
    <mergeCell ref="A3:BH3"/>
    <mergeCell ref="L6:Q6"/>
    <mergeCell ref="D8:I8"/>
    <mergeCell ref="A4:B9"/>
    <mergeCell ref="AY100:BH100"/>
    <mergeCell ref="T6:Y6"/>
    <mergeCell ref="A120:BH120"/>
    <mergeCell ref="A95:BH95"/>
    <mergeCell ref="A93:C93"/>
    <mergeCell ref="D5:I5"/>
    <mergeCell ref="A116:BH116"/>
    <mergeCell ref="M11:P11"/>
    <mergeCell ref="A92:C92"/>
    <mergeCell ref="U11:X11"/>
    <mergeCell ref="K100:W100"/>
    <mergeCell ref="A122:BH122"/>
    <mergeCell ref="E13:H13"/>
    <mergeCell ref="A100:H100"/>
    <mergeCell ref="D10:I10"/>
    <mergeCell ref="L7:Q7"/>
    <mergeCell ref="T5:Y5"/>
    <mergeCell ref="A96:BH96"/>
    <mergeCell ref="A121:BH121"/>
    <mergeCell ref="A12:D12"/>
    <mergeCell ref="M13:P13"/>
    <mergeCell ref="A115:BH115"/>
    <mergeCell ref="I12:L12"/>
    <mergeCell ref="U13:X13"/>
    <mergeCell ref="A88:C88"/>
    <mergeCell ref="A117:BH117"/>
    <mergeCell ref="M12:P12"/>
    <mergeCell ref="T4:Y4"/>
    <mergeCell ref="D6:I6"/>
    <mergeCell ref="A87:C87"/>
    <mergeCell ref="E11:H11"/>
    <mergeCell ref="A114:BH114"/>
  </mergeCells>
  <conditionalFormatting sqref="N102:N112">
    <cfRule type="expression" priority="1" dxfId="1">
      <formula>N102="&lt;=12% STR zone"</formula>
    </cfRule>
  </conditionalFormatting>
  <conditionalFormatting sqref="W102:W112">
    <cfRule type="expression" priority="2" dxfId="0">
      <formula>AND(ISNUMBER(W102),W102&lt;DATE(2026,10,6))</formula>
    </cfRule>
  </conditionalFormatting>
  <conditionalFormatting sqref="Q102:Q112">
    <cfRule type="expression" priority="3" dxfId="0">
      <formula>ISNUMBER(SEARCH("STALE",Q102))</formula>
    </cfRule>
  </conditionalFormatting>
  <conditionalFormatting sqref="P102:P112">
    <cfRule type="expression" priority="4" dxfId="0">
      <formula>AND(ISNUMBER(P102),P102&lt;0)</formula>
    </cfRule>
  </conditionalFormatting>
  <dataValidations count="3">
    <dataValidation sqref="AR102:AR112 BG102:BG112" showDropDown="0" showInputMessage="0" showErrorMessage="0" allowBlank="1" type="list">
      <formula1>"Y,N"</formula1>
    </dataValidation>
    <dataValidation sqref="AS102:AS112" showDropDown="0" showInputMessage="0" showErrorMessage="0" allowBlank="1" type="list">
      <formula1>"List Price,Typical price,Was price,None"</formula1>
    </dataValidation>
    <dataValidation sqref="AY102:AY11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3.xml><?xml version="1.0" encoding="utf-8"?>
<worksheet xmlns="http://schemas.openxmlformats.org/spreadsheetml/2006/main">
  <sheetPr>
    <outlinePr summaryBelow="1" summaryRight="1"/>
    <pageSetUpPr/>
  </sheetPr>
  <dimension ref="A1:BH83"/>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Sleephoria Quilt Set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_xlfn.IMAGE("https://images-na.ssl-images-amazon.com/images/I/81RVSwrWFUL.jpg")</f>
        <v/>
      </c>
      <c r="C4" s="11" t="inlineStr">
        <is>
          <t>Title</t>
        </is>
      </c>
      <c r="D4" s="12" t="inlineStr">
        <is>
          <t>SLEEPHORIA Queen Quilt Bedding Set | Lightweight Summer Bedspread 3 Pc</t>
        </is>
      </c>
      <c r="K4" s="11" t="inlineStr">
        <is>
          <t>Sizes</t>
        </is>
      </c>
      <c r="L4" s="55" t="inlineStr">
        <is>
          <t>King, Queen, Twin</t>
        </is>
      </c>
      <c r="S4" s="11" t="inlineStr">
        <is>
          <t>Break-even ACoS</t>
        </is>
      </c>
      <c r="T4" s="55" t="inlineStr">
        <is>
          <t>5%</t>
        </is>
      </c>
    </row>
    <row r="5" ht="22" customHeight="1">
      <c r="C5" s="11" t="inlineStr">
        <is>
          <t>Brand</t>
        </is>
      </c>
      <c r="D5" s="55" t="inlineStr">
        <is>
          <t>Sleephoria</t>
        </is>
      </c>
      <c r="K5" s="11" t="inlineStr">
        <is>
          <t>Colours</t>
        </is>
      </c>
      <c r="L5" s="55" t="inlineStr">
        <is>
          <t>Black, Ivory, Light Grey, Navy Blue, Sage Green, Taupe, White</t>
        </is>
      </c>
      <c r="S5" s="11" t="inlineStr">
        <is>
          <t>Units last 28 days</t>
        </is>
      </c>
      <c r="T5" s="55" t="inlineStr">
        <is>
          <t>32</t>
        </is>
      </c>
    </row>
    <row r="6" ht="22" customHeight="1">
      <c r="C6" s="11" t="inlineStr">
        <is>
          <t>Marketplace</t>
        </is>
      </c>
      <c r="D6" s="55" t="inlineStr">
        <is>
          <t>Amazon.com (US)</t>
        </is>
      </c>
      <c r="K6" s="11" t="inlineStr">
        <is>
          <t>Price now, best child</t>
        </is>
      </c>
      <c r="L6" s="55" t="inlineStr">
        <is>
          <t>$41.99 (Helium 10 Xray, 2026-10-13)</t>
        </is>
      </c>
      <c r="S6" s="11" t="inlineStr">
        <is>
          <t>Command Center product ASIN</t>
        </is>
      </c>
      <c r="T6" s="55" t="inlineStr">
        <is>
          <t>B0FGZF19SN (one of our child ASINs, not the Amazon parent)</t>
        </is>
      </c>
    </row>
    <row r="7" ht="22" customHeight="1">
      <c r="C7" s="11" t="inlineStr">
        <is>
          <t>Parent ASIN (Amazon)</t>
        </is>
      </c>
      <c r="D7" s="55" t="inlineStr">
        <is>
          <t>B0GZW9QWJM</t>
        </is>
      </c>
      <c r="K7" s="11" t="inlineStr">
        <is>
          <t>Rating / reviews now</t>
        </is>
      </c>
      <c r="L7" s="55" t="inlineStr">
        <is>
          <t>4.5 / 453 (Helium 10 Xray, 2026-10-13)</t>
        </is>
      </c>
    </row>
    <row r="8" ht="22" customHeight="1">
      <c r="C8" s="11" t="inlineStr">
        <is>
          <t>Best-selling child ASIN</t>
        </is>
      </c>
      <c r="D8" s="55" t="inlineStr">
        <is>
          <t>B0FGZDR11L</t>
        </is>
      </c>
      <c r="K8" s="11" t="inlineStr">
        <is>
          <t>Live prices held</t>
        </is>
      </c>
      <c r="L8" s="55" t="inlineStr">
        <is>
          <t>12 of 21 variations</t>
        </is>
      </c>
    </row>
    <row r="9" ht="22" customHeight="1">
      <c r="C9" s="11" t="inlineStr">
        <is>
          <t>Stage</t>
        </is>
      </c>
      <c r="D9" s="55" t="inlineStr">
        <is>
          <t>Liquidation</t>
        </is>
      </c>
      <c r="K9" s="11" t="inlineStr">
        <is>
          <t>Blended price (Command Center)</t>
        </is>
      </c>
      <c r="L9" s="55" t="inlineStr">
        <is>
          <t>$29.02 - fee feed as of 2026-03-30, STALE</t>
        </is>
      </c>
    </row>
    <row r="10">
      <c r="C10" s="11" t="inlineStr">
        <is>
          <t>Total variations (SKUs)</t>
        </is>
      </c>
      <c r="D10" s="55" t="n">
        <v>21</v>
      </c>
      <c r="K10" s="11" t="inlineStr">
        <is>
          <t>Contribution / unit</t>
        </is>
      </c>
      <c r="L10" s="55" t="inlineStr">
        <is>
          <t>$1.49</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19</t>
        </is>
      </c>
      <c r="Q12" s="57" t="inlineStr">
        <is>
          <t>15</t>
        </is>
      </c>
      <c r="U12" s="57" t="inlineStr">
        <is>
          <t>2</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(21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_xlfn.IMAGE("https://m.media-amazon.com/images/I/81sffpiSOFL.jpg")</f>
        <v/>
      </c>
      <c r="B18" s="32" t="inlineStr">
        <is>
          <t>B0FGZDR11L</t>
        </is>
      </c>
      <c r="C18" s="32" t="inlineStr">
        <is>
          <t>SL-QUILT-SET-QUEEN-IVORY</t>
        </is>
      </c>
      <c r="D18" s="32" t="inlineStr">
        <is>
          <t>SLEEPHORIA Queen Quilt Bedding Set | Lightweight Summer Bedspread 3 Pc</t>
        </is>
      </c>
      <c r="E18" s="32" t="inlineStr">
        <is>
          <t>Queen</t>
        </is>
      </c>
      <c r="F18" s="32" t="inlineStr">
        <is>
          <t>Ivory</t>
        </is>
      </c>
      <c r="G18" s="60" t="n">
        <v>41.99</v>
      </c>
      <c r="H18" s="32" t="inlineStr">
        <is>
          <t>Helium 10 Xray, 2026-10-13</t>
        </is>
      </c>
      <c r="I18" s="61" t="n">
        <v>28.99</v>
      </c>
      <c r="J18" s="62" t="inlineStr">
        <is>
          <t>2026-03-30</t>
        </is>
      </c>
      <c r="K18" s="33" t="n">
        <v>1.52</v>
      </c>
      <c r="L18" s="63" t="n">
        <v>0.05243187305967574</v>
      </c>
      <c r="M18" s="64" t="n">
        <v>6</v>
      </c>
      <c r="N18" s="32" t="inlineStr">
        <is>
          <t>Active</t>
        </is>
      </c>
      <c r="O18" s="32" t="n"/>
      <c r="P18" s="65" t="n">
        <v>4.5</v>
      </c>
      <c r="Q18" s="64" t="n">
        <v>453</v>
      </c>
      <c r="R18" s="64" t="n">
        <v>515609</v>
      </c>
      <c r="S18" s="64" t="n">
        <v>90</v>
      </c>
      <c r="T18" s="32" t="n"/>
    </row>
    <row r="19" ht="62" customHeight="1">
      <c r="A19" s="10">
        <f>_xlfn.IMAGE("https://m.media-amazon.com/images/I/81etdRrDqRL.jpg")</f>
        <v/>
      </c>
      <c r="B19" s="32" t="inlineStr">
        <is>
          <t>B0FGZQ1HTL</t>
        </is>
      </c>
      <c r="C19" s="32" t="inlineStr">
        <is>
          <t>SL-QUILT-SET-QUEEN-NAVY-BLUE</t>
        </is>
      </c>
      <c r="D19" s="32" t="inlineStr">
        <is>
          <t>SLEEPHORIA Queen Quilt Bedding Set | Lightweight Summer Bedspread 3 Pc</t>
        </is>
      </c>
      <c r="E19" s="32" t="inlineStr">
        <is>
          <t>Queen</t>
        </is>
      </c>
      <c r="F19" s="32" t="inlineStr">
        <is>
          <t>Navy Blue</t>
        </is>
      </c>
      <c r="G19" s="60" t="n">
        <v>41.99</v>
      </c>
      <c r="H19" s="32" t="inlineStr">
        <is>
          <t>Helium 10 Xray, 2026-10-13</t>
        </is>
      </c>
      <c r="I19" s="61" t="n">
        <v>28.99</v>
      </c>
      <c r="J19" s="62" t="inlineStr">
        <is>
          <t>2026-03-30</t>
        </is>
      </c>
      <c r="K19" s="33" t="n">
        <v>2.82</v>
      </c>
      <c r="L19" s="63" t="n">
        <v>0.09727492238703002</v>
      </c>
      <c r="M19" s="64" t="n">
        <v>5</v>
      </c>
      <c r="N19" s="32" t="inlineStr">
        <is>
          <t>Active</t>
        </is>
      </c>
      <c r="O19" s="32" t="n"/>
      <c r="P19" s="65" t="n">
        <v>4.5</v>
      </c>
      <c r="Q19" s="64" t="n">
        <v>453</v>
      </c>
      <c r="R19" s="64" t="n">
        <v>515609</v>
      </c>
      <c r="S19" s="64" t="n">
        <v>22</v>
      </c>
      <c r="T19" s="32" t="n"/>
    </row>
    <row r="20" ht="62" customHeight="1">
      <c r="A20" s="10">
        <f>_xlfn.IMAGE("https://m.media-amazon.com/images/I/81sffpiSOFL.jpg")</f>
        <v/>
      </c>
      <c r="B20" s="32" t="inlineStr">
        <is>
          <t>B0FGZQDBY6</t>
        </is>
      </c>
      <c r="C20" s="32" t="inlineStr">
        <is>
          <t>SL-QUILT-SET-KING-IVORY</t>
        </is>
      </c>
      <c r="D20" s="32" t="inlineStr">
        <is>
          <t>SLEEPHORIA King Quilt Bedding Set | Lightweight Summer Bedspread 3 Pc</t>
        </is>
      </c>
      <c r="E20" s="32" t="inlineStr">
        <is>
          <t>King</t>
        </is>
      </c>
      <c r="F20" s="32" t="inlineStr">
        <is>
          <t>Ivory</t>
        </is>
      </c>
      <c r="G20" s="60" t="n">
        <v>44.99</v>
      </c>
      <c r="H20" s="32" t="inlineStr">
        <is>
          <t>Helium 10 Xray, 2026-10-13</t>
        </is>
      </c>
      <c r="I20" s="61" t="n">
        <v>30.99</v>
      </c>
      <c r="J20" s="62" t="inlineStr">
        <is>
          <t>2026-03-30</t>
        </is>
      </c>
      <c r="K20" s="33" t="n">
        <v>1.049999999999995</v>
      </c>
      <c r="L20" s="63" t="n">
        <v>0.03388189738625348</v>
      </c>
      <c r="M20" s="64" t="n">
        <v>4</v>
      </c>
      <c r="N20" s="32" t="inlineStr">
        <is>
          <t>Active</t>
        </is>
      </c>
      <c r="O20" s="32" t="n"/>
      <c r="P20" s="65" t="n">
        <v>4.5</v>
      </c>
      <c r="Q20" s="64" t="n">
        <v>453</v>
      </c>
      <c r="R20" s="64" t="n">
        <v>515609</v>
      </c>
      <c r="S20" s="64" t="n">
        <v>4</v>
      </c>
      <c r="T20" s="32" t="n"/>
    </row>
    <row r="21" ht="62" customHeight="1">
      <c r="A21" s="10">
        <f>_xlfn.IMAGE("https://m.media-amazon.com/images/I/81NRwTJs8cL.jpg")</f>
        <v/>
      </c>
      <c r="B21" s="32" t="inlineStr">
        <is>
          <t>B0FGZNP934</t>
        </is>
      </c>
      <c r="C21" s="32" t="inlineStr">
        <is>
          <t>SL-QUILT-SET-TWIN-LIGHT-GREY</t>
        </is>
      </c>
      <c r="D21" s="32" t="inlineStr">
        <is>
          <t>SLEEPHORIA Twin Quilt Bedding Set | Lightweight Summer Bedspread 2 Pc</t>
        </is>
      </c>
      <c r="E21" s="32" t="inlineStr">
        <is>
          <t>Twin</t>
        </is>
      </c>
      <c r="F21" s="32" t="inlineStr">
        <is>
          <t>Light Grey</t>
        </is>
      </c>
      <c r="G21" s="60" t="n">
        <v>38.99</v>
      </c>
      <c r="H21" s="32" t="inlineStr">
        <is>
          <t>Helium 10 Xray, 2026-10-13</t>
        </is>
      </c>
      <c r="I21" s="61" t="n">
        <v>25.99</v>
      </c>
      <c r="J21" s="62" t="inlineStr">
        <is>
          <t>2026-03-30</t>
        </is>
      </c>
      <c r="K21" s="33" t="n">
        <v>1.550000000000001</v>
      </c>
      <c r="L21" s="63" t="n">
        <v>0.05963832243170453</v>
      </c>
      <c r="M21" s="64" t="n">
        <v>4</v>
      </c>
      <c r="N21" s="32" t="inlineStr">
        <is>
          <t>Active</t>
        </is>
      </c>
      <c r="O21" s="32" t="n"/>
      <c r="P21" s="65" t="n">
        <v>4.5</v>
      </c>
      <c r="Q21" s="64" t="n">
        <v>453</v>
      </c>
      <c r="R21" s="64" t="n">
        <v>515609</v>
      </c>
      <c r="S21" s="64" t="n">
        <v>13</v>
      </c>
      <c r="T21" s="32" t="n"/>
    </row>
    <row r="22" ht="62" customHeight="1">
      <c r="A22" s="10">
        <f>_xlfn.IMAGE("https://m.media-amazon.com/images/I/81NRwTJs8cL.jpg")</f>
        <v/>
      </c>
      <c r="B22" s="32" t="inlineStr">
        <is>
          <t>B0FGZ6PCS1</t>
        </is>
      </c>
      <c r="C22" s="32" t="inlineStr">
        <is>
          <t>SL-QUILT-SET-KING-LIGHT-GREY</t>
        </is>
      </c>
      <c r="D22" s="32" t="inlineStr">
        <is>
          <t>SLEEPHORIA King Quilt Bedding Set | Lightweight Summer Bedspread 3 Pc</t>
        </is>
      </c>
      <c r="E22" s="32" t="inlineStr">
        <is>
          <t>King</t>
        </is>
      </c>
      <c r="F22" s="32" t="inlineStr">
        <is>
          <t>Light Grey</t>
        </is>
      </c>
      <c r="G22" s="33" t="n"/>
      <c r="H22" s="32" t="n"/>
      <c r="I22" s="61" t="n">
        <v>30.99</v>
      </c>
      <c r="J22" s="62" t="inlineStr">
        <is>
          <t>2026-03-30</t>
        </is>
      </c>
      <c r="K22" s="33" t="n">
        <v>1.049999999999995</v>
      </c>
      <c r="L22" s="63" t="n">
        <v>0.03388189738625348</v>
      </c>
      <c r="M22" s="64" t="n">
        <v>3</v>
      </c>
      <c r="N22" s="32" t="inlineStr">
        <is>
          <t>Inactive</t>
        </is>
      </c>
      <c r="O22" s="32" t="n"/>
      <c r="P22" s="65" t="n"/>
      <c r="Q22" s="64" t="n"/>
      <c r="R22" s="64" t="n"/>
      <c r="S22" s="64" t="n"/>
      <c r="T22" s="32" t="n"/>
    </row>
    <row r="23" ht="62" customHeight="1">
      <c r="A23" s="10">
        <f>_xlfn.IMAGE("https://m.media-amazon.com/images/I/81eBMUtvBcL.jpg")</f>
        <v/>
      </c>
      <c r="B23" s="32" t="inlineStr">
        <is>
          <t>B0FGZLXXSJ</t>
        </is>
      </c>
      <c r="C23" s="32" t="inlineStr">
        <is>
          <t>SL-QUILT-SET-QUEEN-WHITE</t>
        </is>
      </c>
      <c r="D23" s="32" t="inlineStr">
        <is>
          <t>SLEEPHORIA Queen Quilt Bedding Set | Lightweight Summer Bedspread 3 Pc</t>
        </is>
      </c>
      <c r="E23" s="32" t="inlineStr">
        <is>
          <t>Queen</t>
        </is>
      </c>
      <c r="F23" s="32" t="inlineStr">
        <is>
          <t>White</t>
        </is>
      </c>
      <c r="G23" s="60" t="n">
        <v>41.99</v>
      </c>
      <c r="H23" s="32" t="inlineStr">
        <is>
          <t>Helium 10 Xray, 2026-10-13</t>
        </is>
      </c>
      <c r="I23" s="61" t="n">
        <v>28.99</v>
      </c>
      <c r="J23" s="62" t="inlineStr">
        <is>
          <t>2026-03-30</t>
        </is>
      </c>
      <c r="K23" s="33" t="n">
        <v>0.7599999999999998</v>
      </c>
      <c r="L23" s="63" t="n">
        <v>0.02621593652983787</v>
      </c>
      <c r="M23" s="64" t="n">
        <v>3</v>
      </c>
      <c r="N23" s="32" t="inlineStr">
        <is>
          <t>Active</t>
        </is>
      </c>
      <c r="O23" s="32" t="n"/>
      <c r="P23" s="65" t="n">
        <v>4.5</v>
      </c>
      <c r="Q23" s="64" t="n">
        <v>453</v>
      </c>
      <c r="R23" s="64" t="n">
        <v>515609</v>
      </c>
      <c r="S23" s="64" t="n">
        <v>6</v>
      </c>
      <c r="T23" s="32" t="n"/>
    </row>
    <row r="24" ht="62" customHeight="1">
      <c r="A24" s="10">
        <f>_xlfn.IMAGE("https://m.media-amazon.com/images/I/81GJQO49+lL.jpg")</f>
        <v/>
      </c>
      <c r="B24" s="32" t="inlineStr">
        <is>
          <t>B0FGZZRZML</t>
        </is>
      </c>
      <c r="C24" s="32" t="inlineStr">
        <is>
          <t>SL-QUILT-SET-QUEEN-SAGE-GREEN</t>
        </is>
      </c>
      <c r="D24" s="32" t="inlineStr">
        <is>
          <t>SLEEPHORIA Queen Quilt Bedding Set | Lightweight Summer Bedspread 3 Pc</t>
        </is>
      </c>
      <c r="E24" s="32" t="inlineStr">
        <is>
          <t>Queen</t>
        </is>
      </c>
      <c r="F24" s="32" t="inlineStr">
        <is>
          <t>Sage Green</t>
        </is>
      </c>
      <c r="G24" s="60" t="n">
        <v>41.99</v>
      </c>
      <c r="H24" s="32" t="inlineStr">
        <is>
          <t>Helium 10 Xray, 2026-10-13</t>
        </is>
      </c>
      <c r="I24" s="61" t="n">
        <v>28.99</v>
      </c>
      <c r="J24" s="62" t="inlineStr">
        <is>
          <t>2026-03-30</t>
        </is>
      </c>
      <c r="K24" s="33" t="n">
        <v>1.140000000000001</v>
      </c>
      <c r="L24" s="63" t="n">
        <v>0.03932390479475684</v>
      </c>
      <c r="M24" s="64" t="n">
        <v>2</v>
      </c>
      <c r="N24" s="32" t="inlineStr">
        <is>
          <t>Active</t>
        </is>
      </c>
      <c r="O24" s="32" t="inlineStr">
        <is>
          <t>Yes (100%)</t>
        </is>
      </c>
      <c r="P24" s="65" t="n">
        <v>4.5</v>
      </c>
      <c r="Q24" s="64" t="n">
        <v>453</v>
      </c>
      <c r="R24" s="64" t="n">
        <v>515609</v>
      </c>
      <c r="S24" s="64" t="n">
        <v>77</v>
      </c>
      <c r="T24" s="32" t="n"/>
    </row>
    <row r="25" ht="62" customHeight="1">
      <c r="A25" s="10">
        <f>_xlfn.IMAGE("https://m.media-amazon.com/images/I/81GJQO49+lL.jpg")</f>
        <v/>
      </c>
      <c r="B25" s="32" t="inlineStr">
        <is>
          <t>B0FGZDYS73</t>
        </is>
      </c>
      <c r="C25" s="32" t="inlineStr">
        <is>
          <t>SL-QUILT-SET-KING-SAGE-GREEN</t>
        </is>
      </c>
      <c r="D25" s="32" t="inlineStr">
        <is>
          <t>SLEEPHORIA King Quilt Bedding Set | Lightweight Summer Bedspread 3 Pc</t>
        </is>
      </c>
      <c r="E25" s="32" t="inlineStr">
        <is>
          <t>King</t>
        </is>
      </c>
      <c r="F25" s="32" t="inlineStr">
        <is>
          <t>Sage Green</t>
        </is>
      </c>
      <c r="G25" s="60" t="n">
        <v>44.99</v>
      </c>
      <c r="H25" s="32" t="inlineStr">
        <is>
          <t>Helium 10 Xray, 2026-10-13</t>
        </is>
      </c>
      <c r="I25" s="61" t="n">
        <v>30.99</v>
      </c>
      <c r="J25" s="62" t="inlineStr">
        <is>
          <t>2026-03-30</t>
        </is>
      </c>
      <c r="K25" s="33" t="n">
        <v>1.429999999999996</v>
      </c>
      <c r="L25" s="63" t="n">
        <v>0.04614391739270721</v>
      </c>
      <c r="M25" s="64" t="n">
        <v>1</v>
      </c>
      <c r="N25" s="32" t="inlineStr">
        <is>
          <t>Active</t>
        </is>
      </c>
      <c r="O25" s="32" t="n"/>
      <c r="P25" s="65" t="n">
        <v>4.5</v>
      </c>
      <c r="Q25" s="64" t="n">
        <v>453</v>
      </c>
      <c r="R25" s="64" t="n">
        <v>515609</v>
      </c>
      <c r="S25" s="64" t="n">
        <v>4</v>
      </c>
      <c r="T25" s="32" t="n"/>
    </row>
    <row r="26" ht="62" customHeight="1">
      <c r="A26" s="10">
        <f>_xlfn.IMAGE("https://m.media-amazon.com/images/I/81TrbsqTROL.jpg")</f>
        <v/>
      </c>
      <c r="B26" s="32" t="inlineStr">
        <is>
          <t>B0FGZTPZ63</t>
        </is>
      </c>
      <c r="C26" s="32" t="inlineStr">
        <is>
          <t>SL-QUILT-SET-QUEEN-BLACK</t>
        </is>
      </c>
      <c r="D26" s="32" t="inlineStr">
        <is>
          <t>SLEEPHORIA Queen Quilt Bedding Set | Lightweight Summer Bedspread 3 Pc</t>
        </is>
      </c>
      <c r="E26" s="32" t="inlineStr">
        <is>
          <t>Queen</t>
        </is>
      </c>
      <c r="F26" s="32" t="inlineStr">
        <is>
          <t>Black</t>
        </is>
      </c>
      <c r="G26" s="60" t="n">
        <v>41.99</v>
      </c>
      <c r="H26" s="32" t="inlineStr">
        <is>
          <t>Helium 10 Xray, 2026-10-13</t>
        </is>
      </c>
      <c r="I26" s="61" t="n">
        <v>28.99</v>
      </c>
      <c r="J26" s="62" t="inlineStr">
        <is>
          <t>2026-03-30</t>
        </is>
      </c>
      <c r="K26" s="33" t="n">
        <v>1.140000000000001</v>
      </c>
      <c r="L26" s="63" t="n">
        <v>0.03932390479475684</v>
      </c>
      <c r="M26" s="64" t="n">
        <v>1</v>
      </c>
      <c r="N26" s="32" t="inlineStr">
        <is>
          <t>Active</t>
        </is>
      </c>
      <c r="O26" s="32" t="n"/>
      <c r="P26" s="65" t="n">
        <v>4.5</v>
      </c>
      <c r="Q26" s="64" t="n">
        <v>453</v>
      </c>
      <c r="R26" s="64" t="n">
        <v>515609</v>
      </c>
      <c r="S26" s="64" t="n">
        <v>7</v>
      </c>
      <c r="T26" s="32" t="n"/>
    </row>
    <row r="27" ht="62" customHeight="1">
      <c r="A27" s="10">
        <f>_xlfn.IMAGE("https://m.media-amazon.com/images/I/81NRwTJs8cL.jpg")</f>
        <v/>
      </c>
      <c r="B27" s="32" t="inlineStr">
        <is>
          <t>B0FGZMSDC8</t>
        </is>
      </c>
      <c r="C27" s="32" t="inlineStr">
        <is>
          <t>SL-QUILT-SET-QUEEN-LIGHT-GREY</t>
        </is>
      </c>
      <c r="D27" s="32" t="inlineStr">
        <is>
          <t>SLEEPHORIA Queen Quilt Bedding Set | Lightweight Summer Bedspread 3 Pc</t>
        </is>
      </c>
      <c r="E27" s="32" t="inlineStr">
        <is>
          <t>Queen</t>
        </is>
      </c>
      <c r="F27" s="32" t="inlineStr">
        <is>
          <t>Light Grey</t>
        </is>
      </c>
      <c r="G27" s="33" t="n"/>
      <c r="H27" s="32" t="n"/>
      <c r="I27" s="61" t="n">
        <v>28.99</v>
      </c>
      <c r="J27" s="62" t="inlineStr">
        <is>
          <t>2026-03-30</t>
        </is>
      </c>
      <c r="K27" s="33" t="n">
        <v>1.140000000000001</v>
      </c>
      <c r="L27" s="63" t="n">
        <v>0.03932390479475684</v>
      </c>
      <c r="M27" s="64" t="n">
        <v>1</v>
      </c>
      <c r="N27" s="32" t="inlineStr">
        <is>
          <t>Active</t>
        </is>
      </c>
      <c r="O27" s="32" t="n"/>
      <c r="P27" s="65" t="n"/>
      <c r="Q27" s="64" t="n"/>
      <c r="R27" s="64" t="n"/>
      <c r="S27" s="64" t="n"/>
      <c r="T27" s="32" t="n"/>
    </row>
    <row r="28" ht="62" customHeight="1">
      <c r="A28" s="10">
        <f>_xlfn.IMAGE("https://m.media-amazon.com/images/I/814X1vBUiQL.jpg")</f>
        <v/>
      </c>
      <c r="B28" s="32" t="inlineStr">
        <is>
          <t>B0FGZXMY7K</t>
        </is>
      </c>
      <c r="C28" s="32" t="inlineStr">
        <is>
          <t>SL-QUILT-SET-QUEEN-TAUPE</t>
        </is>
      </c>
      <c r="D28" s="32" t="inlineStr">
        <is>
          <t>SLEEPHORIA Queen Quilt Bedding Set | Lightweight Summer Bedspread 3 Pc</t>
        </is>
      </c>
      <c r="E28" s="32" t="inlineStr">
        <is>
          <t>Queen</t>
        </is>
      </c>
      <c r="F28" s="32" t="inlineStr">
        <is>
          <t>Taupe</t>
        </is>
      </c>
      <c r="G28" s="33" t="n"/>
      <c r="H28" s="32" t="n"/>
      <c r="I28" s="61" t="n">
        <v>28.99</v>
      </c>
      <c r="J28" s="62" t="inlineStr">
        <is>
          <t>2026-03-30</t>
        </is>
      </c>
      <c r="K28" s="33" t="n">
        <v>1.140000000000001</v>
      </c>
      <c r="L28" s="63" t="n">
        <v>0.03932390479475684</v>
      </c>
      <c r="M28" s="64" t="n">
        <v>1</v>
      </c>
      <c r="N28" s="32" t="inlineStr">
        <is>
          <t>Inactive</t>
        </is>
      </c>
      <c r="O28" s="32" t="n"/>
      <c r="P28" s="65" t="n">
        <v>4.5</v>
      </c>
      <c r="Q28" s="64" t="n">
        <v>453</v>
      </c>
      <c r="R28" s="64" t="n">
        <v>515609</v>
      </c>
      <c r="S28" s="64" t="n">
        <v>6</v>
      </c>
      <c r="T28" s="32" t="n"/>
    </row>
    <row r="29" ht="62" customHeight="1">
      <c r="A29" s="10">
        <f>_xlfn.IMAGE("https://m.media-amazon.com/images/I/81L2NmgILzL.jpg")</f>
        <v/>
      </c>
      <c r="B29" s="32" t="inlineStr">
        <is>
          <t>B0FGZLYL5C</t>
        </is>
      </c>
      <c r="C29" s="32" t="inlineStr">
        <is>
          <t>SL-QUILT-SET-TWIN-TAUPE</t>
        </is>
      </c>
      <c r="D29" s="32" t="inlineStr">
        <is>
          <t>SLEEPHORIA Twin Quilt Bedding Set | Lightweight Summer Bedspread 2 Pc</t>
        </is>
      </c>
      <c r="E29" s="32" t="inlineStr">
        <is>
          <t>Twin</t>
        </is>
      </c>
      <c r="F29" s="32" t="inlineStr">
        <is>
          <t>Taupe</t>
        </is>
      </c>
      <c r="G29" s="33" t="n"/>
      <c r="H29" s="32" t="n"/>
      <c r="I29" s="61" t="n">
        <v>25.99</v>
      </c>
      <c r="J29" s="62" t="inlineStr">
        <is>
          <t>2026-03-30</t>
        </is>
      </c>
      <c r="K29" s="33" t="n">
        <v>1.550000000000001</v>
      </c>
      <c r="L29" s="63" t="n">
        <v>0.05963832243170453</v>
      </c>
      <c r="M29" s="64" t="n">
        <v>1</v>
      </c>
      <c r="N29" s="32" t="inlineStr">
        <is>
          <t>Active</t>
        </is>
      </c>
      <c r="O29" s="32" t="n"/>
      <c r="P29" s="65" t="n"/>
      <c r="Q29" s="64" t="n"/>
      <c r="R29" s="64" t="n"/>
      <c r="S29" s="64" t="n"/>
      <c r="T29" s="32" t="n"/>
    </row>
    <row r="30" ht="62" customHeight="1">
      <c r="A30" s="10">
        <f>_xlfn.IMAGE("https://m.media-amazon.com/images/I/81kgxYenVRL.jpg")</f>
        <v/>
      </c>
      <c r="B30" s="32" t="inlineStr">
        <is>
          <t>B0FGZF19SN</t>
        </is>
      </c>
      <c r="C30" s="32" t="inlineStr">
        <is>
          <t>SL-QUILT-SET-KING-BLACK</t>
        </is>
      </c>
      <c r="D30" s="32" t="inlineStr">
        <is>
          <t>SLEEPHORIA King Quilt Bedding Set | Lightweight Summer Bedspread 3 Pc</t>
        </is>
      </c>
      <c r="E30" s="32" t="inlineStr">
        <is>
          <t>King</t>
        </is>
      </c>
      <c r="F30" s="32" t="inlineStr">
        <is>
          <t>Black</t>
        </is>
      </c>
      <c r="G30" s="60" t="n">
        <v>79.98999999999999</v>
      </c>
      <c r="H30" s="32" t="inlineStr">
        <is>
          <t>Data Dive, 2026-10-12</t>
        </is>
      </c>
      <c r="I30" s="61" t="n">
        <v>30.99</v>
      </c>
      <c r="J30" s="62" t="inlineStr">
        <is>
          <t>2026-03-30</t>
        </is>
      </c>
      <c r="K30" s="33" t="n">
        <v>1.049999999999995</v>
      </c>
      <c r="L30" s="63" t="n">
        <v>0.03388189738625348</v>
      </c>
      <c r="M30" s="64" t="n"/>
      <c r="N30" s="32" t="inlineStr">
        <is>
          <t>Inactive</t>
        </is>
      </c>
      <c r="O30" s="32" t="n"/>
      <c r="P30" s="65" t="n"/>
      <c r="Q30" s="64" t="n"/>
      <c r="R30" s="64" t="n"/>
      <c r="S30" s="64" t="n"/>
      <c r="T30" s="32" t="n"/>
    </row>
    <row r="31" ht="62" customHeight="1">
      <c r="A31" s="10">
        <f>_xlfn.IMAGE("https://m.media-amazon.com/images/I/81etdRrDqRL.jpg")</f>
        <v/>
      </c>
      <c r="B31" s="32" t="inlineStr">
        <is>
          <t>B0FGZMRVY7</t>
        </is>
      </c>
      <c r="C31" s="32" t="inlineStr">
        <is>
          <t>SL-QUILT-SET-KING-NAVY-BLUE</t>
        </is>
      </c>
      <c r="D31" s="32" t="inlineStr">
        <is>
          <t>SLEEPHORIA King Quilt Bedding Set | Lightweight Summer Bedspread 3 Pc</t>
        </is>
      </c>
      <c r="E31" s="32" t="inlineStr">
        <is>
          <t>King</t>
        </is>
      </c>
      <c r="F31" s="32" t="inlineStr">
        <is>
          <t>Navy Blue</t>
        </is>
      </c>
      <c r="G31" s="33" t="n"/>
      <c r="H31" s="32" t="n"/>
      <c r="I31" s="61" t="n">
        <v>30.99</v>
      </c>
      <c r="J31" s="62" t="inlineStr">
        <is>
          <t>2026-03-30</t>
        </is>
      </c>
      <c r="K31" s="33" t="n">
        <v>0.3799999999999955</v>
      </c>
      <c r="L31" s="63" t="n">
        <v>1.226202000645355</v>
      </c>
      <c r="M31" s="64" t="n">
        <v>0</v>
      </c>
      <c r="N31" s="32" t="inlineStr">
        <is>
          <t>Inactive</t>
        </is>
      </c>
      <c r="O31" s="32" t="n"/>
      <c r="P31" s="65" t="n"/>
      <c r="Q31" s="64" t="n"/>
      <c r="R31" s="64" t="n"/>
      <c r="S31" s="64" t="n"/>
      <c r="T31" s="32" t="n"/>
    </row>
    <row r="32" ht="62" customHeight="1">
      <c r="A32" s="10">
        <f>_xlfn.IMAGE("https://m.media-amazon.com/images/I/814X1vBUiQL.jpg")</f>
        <v/>
      </c>
      <c r="B32" s="32" t="inlineStr">
        <is>
          <t>B0FGZH4DM7</t>
        </is>
      </c>
      <c r="C32" s="32" t="inlineStr">
        <is>
          <t>SL-QUILT-SET-KING-TAUPE</t>
        </is>
      </c>
      <c r="D32" s="32" t="inlineStr">
        <is>
          <t>SLEEPHORIA King Quilt Bedding Set | Lightweight Summer Bedspread 3 Pc</t>
        </is>
      </c>
      <c r="E32" s="32" t="inlineStr">
        <is>
          <t>King</t>
        </is>
      </c>
      <c r="F32" s="32" t="inlineStr">
        <is>
          <t>Taupe</t>
        </is>
      </c>
      <c r="G32" s="60" t="n">
        <v>44.99</v>
      </c>
      <c r="H32" s="32" t="inlineStr">
        <is>
          <t>Helium 10 Xray, 2026-10-13</t>
        </is>
      </c>
      <c r="I32" s="61" t="n">
        <v>30.99</v>
      </c>
      <c r="J32" s="62" t="inlineStr">
        <is>
          <t>2026-03-30</t>
        </is>
      </c>
      <c r="K32" s="33" t="n">
        <v>3.109999999999996</v>
      </c>
      <c r="L32" s="63" t="n">
        <v>0.100354953210713</v>
      </c>
      <c r="M32" s="64" t="n">
        <v>0</v>
      </c>
      <c r="N32" s="32" t="inlineStr">
        <is>
          <t>Active</t>
        </is>
      </c>
      <c r="O32" s="32" t="n"/>
      <c r="P32" s="65" t="n">
        <v>4.5</v>
      </c>
      <c r="Q32" s="64" t="n">
        <v>453</v>
      </c>
      <c r="R32" s="64" t="n">
        <v>515609</v>
      </c>
      <c r="S32" s="64" t="n">
        <v>3</v>
      </c>
      <c r="T32" s="32" t="n"/>
    </row>
    <row r="33" ht="62" customHeight="1">
      <c r="A33" s="10">
        <f>_xlfn.IMAGE("https://m.media-amazon.com/images/I/81LJ7MnsaDL.jpg")</f>
        <v/>
      </c>
      <c r="B33" s="32" t="inlineStr">
        <is>
          <t>B0FGZVN26F</t>
        </is>
      </c>
      <c r="C33" s="32" t="inlineStr">
        <is>
          <t>SL-QUILT-SET-KING-WHITE</t>
        </is>
      </c>
      <c r="D33" s="32" t="inlineStr">
        <is>
          <t>SLEEPHORIA King Quilt Bedding Set | Lightweight Summer Bedspread 3 Pc</t>
        </is>
      </c>
      <c r="E33" s="32" t="inlineStr">
        <is>
          <t>King</t>
        </is>
      </c>
      <c r="F33" s="32" t="inlineStr">
        <is>
          <t>White</t>
        </is>
      </c>
      <c r="G33" s="33" t="n"/>
      <c r="H33" s="32" t="n"/>
      <c r="I33" s="61" t="n">
        <v>30.99</v>
      </c>
      <c r="J33" s="62" t="inlineStr">
        <is>
          <t>2026-03-30</t>
        </is>
      </c>
      <c r="K33" s="33" t="n">
        <v>1.049999999999995</v>
      </c>
      <c r="L33" s="63" t="n">
        <v>0.03388189738625348</v>
      </c>
      <c r="M33" s="64" t="n">
        <v>0</v>
      </c>
      <c r="N33" s="32" t="inlineStr">
        <is>
          <t>Inactive</t>
        </is>
      </c>
      <c r="O33" s="32" t="n"/>
      <c r="P33" s="65" t="n"/>
      <c r="Q33" s="64" t="n"/>
      <c r="R33" s="64" t="n"/>
      <c r="S33" s="64" t="n"/>
      <c r="T33" s="32" t="n"/>
    </row>
    <row r="34" ht="62" customHeight="1">
      <c r="A34" s="10">
        <f>_xlfn.IMAGE("https://m.media-amazon.com/images/I/81kgxYenVRL.jpg")</f>
        <v/>
      </c>
      <c r="B34" s="32" t="inlineStr">
        <is>
          <t>B0FGZMX1XV</t>
        </is>
      </c>
      <c r="C34" s="32" t="inlineStr">
        <is>
          <t>SL-QUILT-SET-TWIN-BLACK</t>
        </is>
      </c>
      <c r="D34" s="32" t="inlineStr">
        <is>
          <t>SLEEPHORIA Twin Quilt Bedding Set | Lightweight Summer Bedspread 2 Pc</t>
        </is>
      </c>
      <c r="E34" s="32" t="inlineStr">
        <is>
          <t>Twin</t>
        </is>
      </c>
      <c r="F34" s="32" t="inlineStr">
        <is>
          <t>Black</t>
        </is>
      </c>
      <c r="G34" s="60" t="n">
        <v>38.99</v>
      </c>
      <c r="H34" s="32" t="inlineStr">
        <is>
          <t>Helium 10 Xray, 2026-10-13</t>
        </is>
      </c>
      <c r="I34" s="61" t="n">
        <v>25.99</v>
      </c>
      <c r="J34" s="62" t="inlineStr">
        <is>
          <t>2026-03-30</t>
        </is>
      </c>
      <c r="K34" s="33" t="n">
        <v>1.17</v>
      </c>
      <c r="L34" s="63" t="n">
        <v>0.04501731435167372</v>
      </c>
      <c r="M34" s="64" t="n">
        <v>0</v>
      </c>
      <c r="N34" s="32" t="inlineStr">
        <is>
          <t>Active</t>
        </is>
      </c>
      <c r="O34" s="32" t="n"/>
      <c r="P34" s="65" t="n">
        <v>4.5</v>
      </c>
      <c r="Q34" s="64" t="n">
        <v>453</v>
      </c>
      <c r="R34" s="64" t="n">
        <v>515609</v>
      </c>
      <c r="S34" s="64" t="n">
        <v>10</v>
      </c>
      <c r="T34" s="32" t="n"/>
    </row>
    <row r="35" ht="62" customHeight="1">
      <c r="A35" s="10">
        <f>_xlfn.IMAGE("https://m.media-amazon.com/images/I/81+W74LqLNL.jpg")</f>
        <v/>
      </c>
      <c r="B35" s="32" t="inlineStr">
        <is>
          <t>B0FGZXM8LZ</t>
        </is>
      </c>
      <c r="C35" s="32" t="inlineStr">
        <is>
          <t>SL-QUILT-SET-TWIN-IVORY</t>
        </is>
      </c>
      <c r="D35" s="32" t="inlineStr">
        <is>
          <t>SLEEPHORIA Twin Quilt Bedding Set | Lightweight Summer Bedspread 2 Pc</t>
        </is>
      </c>
      <c r="E35" s="32" t="inlineStr">
        <is>
          <t>Twin</t>
        </is>
      </c>
      <c r="F35" s="32" t="inlineStr">
        <is>
          <t>Ivory</t>
        </is>
      </c>
      <c r="G35" s="60" t="n">
        <v>38.99</v>
      </c>
      <c r="H35" s="32" t="inlineStr">
        <is>
          <t>Helium 10 Xray, 2026-10-13</t>
        </is>
      </c>
      <c r="I35" s="61" t="n">
        <v>25.99</v>
      </c>
      <c r="J35" s="62" t="inlineStr">
        <is>
          <t>2026-03-30</t>
        </is>
      </c>
      <c r="K35" s="33" t="n">
        <v>1.550000000000001</v>
      </c>
      <c r="L35" s="63" t="n">
        <v>0.05963832243170453</v>
      </c>
      <c r="M35" s="64" t="n">
        <v>0</v>
      </c>
      <c r="N35" s="32" t="inlineStr">
        <is>
          <t>Active</t>
        </is>
      </c>
      <c r="O35" s="32" t="n"/>
      <c r="P35" s="65" t="n">
        <v>4.5</v>
      </c>
      <c r="Q35" s="64" t="n">
        <v>453</v>
      </c>
      <c r="R35" s="64" t="n">
        <v>515609</v>
      </c>
      <c r="S35" s="64" t="n">
        <v>10</v>
      </c>
      <c r="T35" s="32" t="n"/>
    </row>
    <row r="36" ht="62" customHeight="1">
      <c r="A36" s="10">
        <f>_xlfn.IMAGE("https://m.media-amazon.com/images/I/81etdRrDqRL.jpg")</f>
        <v/>
      </c>
      <c r="B36" s="32" t="inlineStr">
        <is>
          <t>B0FGZM7H2T</t>
        </is>
      </c>
      <c r="C36" s="32" t="inlineStr">
        <is>
          <t>SL-QUILT-SET-TWIN-NAVY-BLUE</t>
        </is>
      </c>
      <c r="D36" s="32" t="inlineStr">
        <is>
          <t>SLEEPHORIA Twin Quilt Bedding Set | Lightweight Summer Bedspread 2 Pc</t>
        </is>
      </c>
      <c r="E36" s="32" t="inlineStr">
        <is>
          <t>Twin</t>
        </is>
      </c>
      <c r="F36" s="32" t="inlineStr">
        <is>
          <t>Navy Blue</t>
        </is>
      </c>
      <c r="G36" s="33" t="n"/>
      <c r="H36" s="32" t="n"/>
      <c r="I36" s="61" t="n">
        <v>25.99</v>
      </c>
      <c r="J36" s="62" t="inlineStr">
        <is>
          <t>2026-03-30</t>
        </is>
      </c>
      <c r="K36" s="33" t="n">
        <v>1.17</v>
      </c>
      <c r="L36" s="63" t="n">
        <v>0.04501731435167372</v>
      </c>
      <c r="M36" s="64" t="n"/>
      <c r="N36" s="32" t="inlineStr">
        <is>
          <t>Inactive</t>
        </is>
      </c>
      <c r="O36" s="32" t="n"/>
      <c r="P36" s="65" t="n"/>
      <c r="Q36" s="64" t="n"/>
      <c r="R36" s="64" t="n"/>
      <c r="S36" s="64" t="n"/>
      <c r="T36" s="32" t="n"/>
    </row>
    <row r="37" ht="62" customHeight="1">
      <c r="A37" s="10">
        <f>_xlfn.IMAGE("https://m.media-amazon.com/images/I/81GJQO49+lL.jpg")</f>
        <v/>
      </c>
      <c r="B37" s="32" t="inlineStr">
        <is>
          <t>B0FGZ64X53</t>
        </is>
      </c>
      <c r="C37" s="32" t="inlineStr">
        <is>
          <t>SL-QUILT-SET-TWIN-SAGE-GREEN</t>
        </is>
      </c>
      <c r="D37" s="32" t="inlineStr">
        <is>
          <t>SLEEPHORIA Twin Quilt Bedding Set | Lightweight Summer Bedspread 2 Pc</t>
        </is>
      </c>
      <c r="E37" s="32" t="inlineStr">
        <is>
          <t>Twin</t>
        </is>
      </c>
      <c r="F37" s="32" t="inlineStr">
        <is>
          <t>Sage Green</t>
        </is>
      </c>
      <c r="G37" s="33" t="n"/>
      <c r="H37" s="32" t="n"/>
      <c r="I37" s="61" t="n">
        <v>25.99</v>
      </c>
      <c r="J37" s="62" t="inlineStr">
        <is>
          <t>2026-03-30</t>
        </is>
      </c>
      <c r="K37" s="33" t="n">
        <v>3.23</v>
      </c>
      <c r="L37" s="63" t="n">
        <v>0.1242785686802616</v>
      </c>
      <c r="M37" s="64" t="n"/>
      <c r="N37" s="32" t="inlineStr">
        <is>
          <t>Inactive</t>
        </is>
      </c>
      <c r="O37" s="32" t="n"/>
      <c r="P37" s="65" t="n"/>
      <c r="Q37" s="64" t="n"/>
      <c r="R37" s="64" t="n"/>
      <c r="S37" s="64" t="n"/>
      <c r="T37" s="32" t="n"/>
    </row>
    <row r="38" ht="62" customHeight="1">
      <c r="A38" s="10">
        <f>_xlfn.IMAGE("https://m.media-amazon.com/images/I/81LJ7MnsaDL.jpg")</f>
        <v/>
      </c>
      <c r="B38" s="32" t="inlineStr">
        <is>
          <t>B0FGZFLZCT</t>
        </is>
      </c>
      <c r="C38" s="32" t="inlineStr">
        <is>
          <t>SL-QUILT-SET-TWIN-WHITE</t>
        </is>
      </c>
      <c r="D38" s="32" t="inlineStr">
        <is>
          <t>SLEEPHORIA Twin Quilt Bedding Set | Lightweight Summer Bedspread 2 Pc</t>
        </is>
      </c>
      <c r="E38" s="32" t="inlineStr">
        <is>
          <t>Twin</t>
        </is>
      </c>
      <c r="F38" s="32" t="inlineStr">
        <is>
          <t>White</t>
        </is>
      </c>
      <c r="G38" s="33" t="n"/>
      <c r="H38" s="32" t="n"/>
      <c r="I38" s="61" t="n">
        <v>25.99</v>
      </c>
      <c r="J38" s="62" t="inlineStr">
        <is>
          <t>2026-03-30</t>
        </is>
      </c>
      <c r="K38" s="33" t="n">
        <v>1.550000000000001</v>
      </c>
      <c r="L38" s="63" t="n">
        <v>0.05963832243170453</v>
      </c>
      <c r="M38" s="64" t="n">
        <v>0</v>
      </c>
      <c r="N38" s="32" t="inlineStr">
        <is>
          <t>Active</t>
        </is>
      </c>
      <c r="O38" s="32" t="n"/>
      <c r="P38" s="65" t="n"/>
      <c r="Q38" s="64" t="n"/>
      <c r="R38" s="64" t="n"/>
      <c r="S38" s="64" t="n"/>
      <c r="T38" s="32" t="n"/>
    </row>
    <row r="40" ht="20" customHeight="1">
      <c r="A40" s="54" t="inlineStr">
        <is>
          <t>3 · OUR BFCM 2025 RESULT &amp; EVENT VISIBILITY</t>
        </is>
      </c>
    </row>
    <row r="41">
      <c r="A41" s="67" t="inlineStr">
        <is>
          <t>Window</t>
        </is>
      </c>
      <c r="B41" s="68" t="n"/>
      <c r="C41" s="69" t="n"/>
      <c r="D41" s="67" t="inlineStr">
        <is>
          <t>Ad spend</t>
        </is>
      </c>
      <c r="E41" s="67" t="inlineStr">
        <is>
          <t>Ad sales</t>
        </is>
      </c>
      <c r="F41" s="67" t="inlineStr">
        <is>
          <t>ACoS</t>
        </is>
      </c>
      <c r="G41" s="67" t="inlineStr">
        <is>
          <t>TACoS</t>
        </is>
      </c>
      <c r="H41" s="67" t="inlineStr">
        <is>
          <t>Total sales (derived)</t>
        </is>
      </c>
      <c r="J41" s="67" t="inlineStr">
        <is>
          <t>Ad orders</t>
        </is>
      </c>
      <c r="K41" s="67" t="inlineStr">
        <is>
          <t>CVR</t>
        </is>
      </c>
    </row>
    <row r="42">
      <c r="A42" s="70" t="inlineStr">
        <is>
          <t>Pre-event Oct 21 - Nov 19, 2025 (30d)</t>
        </is>
      </c>
      <c r="B42" s="68" t="n"/>
      <c r="C42" s="69" t="n"/>
      <c r="D42" s="71" t="n"/>
      <c r="E42" s="71" t="n"/>
      <c r="F42" s="72" t="n"/>
      <c r="G42" s="72" t="n"/>
      <c r="H42" s="71" t="n"/>
      <c r="J42" s="73" t="n"/>
      <c r="K42" s="74" t="n"/>
    </row>
    <row r="43">
      <c r="A43" s="70" t="inlineStr">
        <is>
          <t>BFCM week Nov 20 - Dec 1, 2025 (12d)</t>
        </is>
      </c>
      <c r="B43" s="68" t="n"/>
      <c r="C43" s="69" t="n"/>
      <c r="D43" s="71" t="n">
        <v>0</v>
      </c>
      <c r="E43" s="71" t="n">
        <v>0</v>
      </c>
      <c r="F43" s="72" t="n"/>
      <c r="G43" s="72" t="n">
        <v>0</v>
      </c>
      <c r="H43" s="71" t="n"/>
      <c r="J43" s="73" t="n">
        <v>0</v>
      </c>
      <c r="K43" s="74" t="n"/>
    </row>
    <row r="44">
      <c r="A44" s="70" t="inlineStr">
        <is>
          <t>December 2 - 31, 2025 (30d)</t>
        </is>
      </c>
      <c r="B44" s="68" t="n"/>
      <c r="C44" s="69" t="n"/>
      <c r="D44" s="71" t="n"/>
      <c r="E44" s="71" t="n"/>
      <c r="F44" s="72" t="n"/>
      <c r="G44" s="72" t="n"/>
      <c r="H44" s="71" t="n"/>
      <c r="J44" s="73" t="n"/>
      <c r="K44" s="74" t="n"/>
    </row>
    <row r="46">
      <c r="A46" s="67" t="inlineStr">
        <is>
          <t>Actual sales (SellerBoard)</t>
        </is>
      </c>
      <c r="B46" s="68" t="n"/>
      <c r="C46" s="69" t="n"/>
      <c r="D46" s="67" t="inlineStr">
        <is>
          <t>Sales</t>
        </is>
      </c>
      <c r="E46" s="67" t="inlineStr">
        <is>
          <t>Units</t>
        </is>
      </c>
      <c r="F46" s="67" t="inlineStr">
        <is>
          <t>Organic units</t>
        </is>
      </c>
      <c r="G46" s="67" t="inlineStr">
        <is>
          <t>Ad units</t>
        </is>
      </c>
      <c r="H46" s="67" t="inlineStr">
        <is>
          <t>Ad cost</t>
        </is>
      </c>
      <c r="J46" s="67" t="inlineStr">
        <is>
          <t>TACoS (actual)</t>
        </is>
      </c>
      <c r="K46" s="67" t="inlineStr">
        <is>
          <t>Sessions</t>
        </is>
      </c>
      <c r="L46" s="67" t="inlineStr">
        <is>
          <t>Unit session %</t>
        </is>
      </c>
      <c r="M46" s="67" t="inlineStr">
        <is>
          <t>Avg price</t>
        </is>
      </c>
      <c r="N46" s="67" t="inlineStr">
        <is>
          <t>Refunds</t>
        </is>
      </c>
    </row>
    <row r="47">
      <c r="A47" s="70" t="inlineStr">
        <is>
          <t>Pre-event Oct 21 - Nov 19, 2025 (30d)</t>
        </is>
      </c>
      <c r="B47" s="68" t="n"/>
      <c r="C47" s="69" t="n"/>
      <c r="D47" s="71" t="n">
        <v>0</v>
      </c>
      <c r="E47" s="73" t="n">
        <v>0</v>
      </c>
      <c r="F47" s="73" t="n">
        <v>0</v>
      </c>
      <c r="G47" s="73" t="n">
        <v>0</v>
      </c>
      <c r="H47" s="71" t="n">
        <v>0</v>
      </c>
      <c r="J47" s="75" t="n"/>
      <c r="K47" s="73" t="n">
        <v>0</v>
      </c>
      <c r="L47" s="75" t="n"/>
      <c r="M47" s="76" t="n"/>
      <c r="N47" s="73" t="n">
        <v>0</v>
      </c>
    </row>
    <row r="48">
      <c r="A48" s="70" t="inlineStr">
        <is>
          <t>BFCM week Nov 20 - Dec 1, 2025 (12d)</t>
        </is>
      </c>
      <c r="B48" s="68" t="n"/>
      <c r="C48" s="69" t="n"/>
      <c r="D48" s="71" t="n">
        <v>1186.59</v>
      </c>
      <c r="E48" s="73" t="n">
        <v>41</v>
      </c>
      <c r="F48" s="73" t="n">
        <v>41</v>
      </c>
      <c r="G48" s="73" t="n">
        <v>0</v>
      </c>
      <c r="H48" s="71" t="n">
        <v>0</v>
      </c>
      <c r="J48" s="75" t="n">
        <v>0</v>
      </c>
      <c r="K48" s="73" t="n">
        <v>147</v>
      </c>
      <c r="L48" s="75" t="n">
        <v>0.2789115646258503</v>
      </c>
      <c r="M48" s="76" t="n">
        <v>28.94121951219512</v>
      </c>
      <c r="N48" s="73" t="n">
        <v>0</v>
      </c>
    </row>
    <row r="49">
      <c r="A49" s="70" t="inlineStr">
        <is>
          <t>December 2 - 31, 2025 (30d)</t>
        </is>
      </c>
      <c r="B49" s="68" t="n"/>
      <c r="C49" s="69" t="n"/>
      <c r="D49" s="71" t="n">
        <v>3215.81</v>
      </c>
      <c r="E49" s="73" t="n">
        <v>119</v>
      </c>
      <c r="F49" s="73" t="n">
        <v>119</v>
      </c>
      <c r="G49" s="73" t="n">
        <v>0</v>
      </c>
      <c r="H49" s="71" t="n">
        <v>0</v>
      </c>
      <c r="J49" s="75" t="n">
        <v>0</v>
      </c>
      <c r="K49" s="73" t="n">
        <v>4324</v>
      </c>
      <c r="L49" s="75" t="n">
        <v>0.02752081406105458</v>
      </c>
      <c r="M49" s="76" t="n">
        <v>27.02361344537815</v>
      </c>
      <c r="N49" s="73" t="n">
        <v>4</v>
      </c>
    </row>
    <row r="50">
      <c r="A50" s="59" t="inlineStr">
        <is>
          <t>SellerBoard, Ecotero account, Amazon parent B0GZW9QWJM plus any of this product's child ASINs SellerBoard lists on their own, UTC days. Lift above uses these actual sales.</t>
        </is>
      </c>
    </row>
    <row r="51">
      <c r="A51" s="59" t="inlineStr">
        <is>
          <t>No Command Center visibility history for our best child ASIN.</t>
        </is>
      </c>
    </row>
    <row r="53" ht="20" customHeight="1">
      <c r="A53" s="54" t="inlineStr">
        <is>
          <t>4 · COMPETITOR LANDSCAPE (19 mapped)</t>
        </is>
      </c>
    </row>
    <row r="54">
      <c r="A54" s="59" t="inlineStr">
        <is>
          <t>Sorted by tier, then estimated weekly units. Green = Command Center price/sales; blue = Data Dive listing; purple = Command Center search strategy (ASINsight); yellow = fill from Keepa / page check.</t>
        </is>
      </c>
    </row>
    <row r="55">
      <c r="A55" s="78" t="inlineStr">
        <is>
          <t>COMPETITOR</t>
        </is>
      </c>
      <c r="I55" s="79" t="inlineStr">
        <is>
          <t>LISTING - Data Dive</t>
        </is>
      </c>
      <c r="J55" s="80" t="inlineStr">
        <is>
          <t>SEARCH STRATEGY - Command Center ASINsight</t>
        </is>
      </c>
      <c r="K55" s="81" t="inlineStr">
        <is>
          <t>PRICE &amp; SALES - Command Center snapshot (date per row)</t>
        </is>
      </c>
      <c r="X55" s="79" t="inlineStr">
        <is>
          <t>LISTING - Data Dive</t>
        </is>
      </c>
      <c r="AA55" s="80" t="inlineStr">
        <is>
          <t>SEARCH STRATEGY - Command Center ASINsight</t>
        </is>
      </c>
      <c r="AR55" s="82" t="inlineStr">
        <is>
          <t>STR NOW - Amazon page check (Oct 13, P1 + P2)</t>
        </is>
      </c>
      <c r="AY55" s="83" t="inlineStr">
        <is>
          <t>BFCM 2025 - Keepa (P1 filled; yellow = not pulled yet)</t>
        </is>
      </c>
    </row>
    <row r="56" ht="48" customHeight="1">
      <c r="A56" s="22" t="inlineStr">
        <is>
          <t>Image</t>
        </is>
      </c>
      <c r="B56" s="22" t="inlineStr">
        <is>
          <t>Brand</t>
        </is>
      </c>
      <c r="C56" s="22" t="inlineStr">
        <is>
          <t>Product title</t>
        </is>
      </c>
      <c r="D56" s="22" t="inlineStr">
        <is>
          <t>Tier</t>
        </is>
      </c>
      <c r="E56" s="22" t="inlineStr">
        <is>
          <t>Parent ASIN</t>
        </is>
      </c>
      <c r="F56" s="22" t="inlineStr">
        <is>
          <t>Tracked child ASIN</t>
        </is>
      </c>
      <c r="G56" s="22" t="inlineStr">
        <is>
          <t>Size (title)</t>
        </is>
      </c>
      <c r="H56" s="22" t="inlineStr">
        <is>
          <t>Colour (title)</t>
        </is>
      </c>
      <c r="I56" s="22" t="inlineStr">
        <is>
          <t>Variations</t>
        </is>
      </c>
      <c r="J56" s="22" t="inlineStr">
        <is>
          <t>Hero child ASINs (share of their visibility)</t>
        </is>
      </c>
      <c r="K56" s="22" t="inlineStr">
        <is>
          <t>Price ($)</t>
        </is>
      </c>
      <c r="L56" s="22" t="inlineStr">
        <is>
          <t>List Price ($)</t>
        </is>
      </c>
      <c r="M56" s="22" t="inlineStr">
        <is>
          <t>List Price % over</t>
        </is>
      </c>
      <c r="N56" s="22" t="inlineStr">
        <is>
          <t>STR band</t>
        </is>
      </c>
      <c r="O56" s="22" t="inlineStr">
        <is>
          <t>Our price, same size ($)</t>
        </is>
      </c>
      <c r="P56" s="22" t="inlineStr">
        <is>
          <t>Their price vs ours</t>
        </is>
      </c>
      <c r="Q56" s="22" t="inlineStr">
        <is>
          <t>Comparison basis</t>
        </is>
      </c>
      <c r="R56" s="22" t="inlineStr">
        <is>
          <t>BSR</t>
        </is>
      </c>
      <c r="S56" s="22" t="inlineStr">
        <is>
          <t>Est weekly units</t>
        </is>
      </c>
      <c r="T56" s="22" t="inlineStr">
        <is>
          <t>Est monthly revenue ($)</t>
        </is>
      </c>
      <c r="U56" s="22" t="inlineStr">
        <is>
          <t>Rating</t>
        </is>
      </c>
      <c r="V56" s="22" t="inlineStr">
        <is>
          <t>Reviews</t>
        </is>
      </c>
      <c r="W56" s="22" t="inlineStr">
        <is>
          <t>Snapshot date</t>
        </is>
      </c>
      <c r="X56" s="22" t="inlineStr">
        <is>
          <t>Listed</t>
        </is>
      </c>
      <c r="Y56" s="22" t="inlineStr">
        <is>
          <t>Fulfil.</t>
        </is>
      </c>
      <c r="Z56" s="22" t="inlineStr">
        <is>
          <t>Seller country</t>
        </is>
      </c>
      <c r="AA56" s="22" t="inlineStr">
        <is>
          <t>ASINsight 7d traffic</t>
        </is>
      </c>
      <c r="AB56" s="22" t="inlineStr">
        <is>
          <t>Keywords ranked</t>
        </is>
      </c>
      <c r="AC56" s="22" t="inlineStr">
        <is>
          <t>Organic share of traffic</t>
        </is>
      </c>
      <c r="AD56" s="22" t="inlineStr">
        <is>
          <t>Ad share of traffic</t>
        </is>
      </c>
      <c r="AE56" s="22" t="inlineStr">
        <is>
          <t>Top keyword</t>
        </is>
      </c>
      <c r="AF56" s="22" t="inlineStr">
        <is>
          <t>SP reach</t>
        </is>
      </c>
      <c r="AG56" s="22" t="inlineStr">
        <is>
          <t>SB reach</t>
        </is>
      </c>
      <c r="AH56" s="22" t="inlineStr">
        <is>
          <t>SB video reach</t>
        </is>
      </c>
      <c r="AI56" s="22" t="inlineStr">
        <is>
          <t>Amazon's Choice reach</t>
        </is>
      </c>
      <c r="AJ56" s="22" t="inlineStr">
        <is>
          <t>Shared keywords</t>
        </is>
      </c>
      <c r="AK56" s="22" t="inlineStr">
        <is>
          <t>We win</t>
        </is>
      </c>
      <c r="AL56" s="22" t="inlineStr">
        <is>
          <t>We lose</t>
        </is>
      </c>
      <c r="AM56" s="22" t="inlineStr">
        <is>
          <t>Their keywords we miss</t>
        </is>
      </c>
      <c r="AN56" s="22" t="inlineStr">
        <is>
          <t>KWs they advertise, we don't</t>
        </is>
      </c>
      <c r="AO56" s="22" t="inlineStr">
        <is>
          <t>KWs they out-advertise us</t>
        </is>
      </c>
      <c r="AP56" s="22" t="inlineStr">
        <is>
          <t>Prime Day 2026 organic vis lift</t>
        </is>
      </c>
      <c r="AQ56" s="22" t="inlineStr">
        <is>
          <t>Organic trend (Aug-Sep vs Q2)</t>
        </is>
      </c>
      <c r="AR56" s="22" t="inlineStr">
        <is>
          <t>STR showing now? (Y/N)</t>
        </is>
      </c>
      <c r="AS56" s="22" t="inlineStr">
        <is>
          <t>STR label</t>
        </is>
      </c>
      <c r="AT56" s="22" t="inlineStr">
        <is>
          <t>Strikethrough price ($)</t>
        </is>
      </c>
      <c r="AU56" s="22" t="inlineStr">
        <is>
          <t>Page price at check ($)</t>
        </is>
      </c>
      <c r="AV56" s="22" t="inlineStr">
        <is>
          <t>Deal / coupon now</t>
        </is>
      </c>
      <c r="AW56" s="22" t="inlineStr">
        <is>
          <t>Orderable now (Y/N)</t>
        </is>
      </c>
      <c r="AX56" s="22" t="inlineStr">
        <is>
          <t>Checked (ET)</t>
        </is>
      </c>
      <c r="AY56" s="22" t="inlineStr">
        <is>
          <t>BFCM 2025 deal type</t>
        </is>
      </c>
      <c r="AZ56" s="22" t="inlineStr">
        <is>
          <t>BFCM 2025 deal dates</t>
        </is>
      </c>
      <c r="BA56" s="22" t="inlineStr">
        <is>
          <t>Pre-event price ($)</t>
        </is>
      </c>
      <c r="BB56" s="22" t="inlineStr">
        <is>
          <t>BFCM 2025 low ($)</t>
        </is>
      </c>
      <c r="BC56" s="22" t="inlineStr">
        <is>
          <t>BFCM 2025 discount</t>
        </is>
      </c>
      <c r="BD56" s="22" t="inlineStr">
        <is>
          <t>BSR pre-event</t>
        </is>
      </c>
      <c r="BE56" s="22" t="inlineStr">
        <is>
          <t>BSR BFCM wk</t>
        </is>
      </c>
      <c r="BF56" s="22" t="inlineStr">
        <is>
          <t>BSR lift (x)</t>
        </is>
      </c>
      <c r="BG56" s="22" t="inlineStr">
        <is>
          <t>OOS in BFCM? (Y/N)</t>
        </is>
      </c>
      <c r="BH56" s="22" t="inlineStr">
        <is>
          <t>Notes</t>
        </is>
      </c>
    </row>
    <row r="57" ht="62" customHeight="1">
      <c r="A57" s="10">
        <f>_xlfn.IMAGE("https://images-na.ssl-images-amazon.com/images/I/91rbRjfsNlL.jpg")</f>
        <v/>
      </c>
      <c r="B57" s="84" t="inlineStr">
        <is>
          <t>Love's cabin</t>
        </is>
      </c>
      <c r="C57" s="32" t="inlineStr">
        <is>
          <t>Love's cabin Quilts for Queen Bed Blue Bedspreads - Soft Bed Summer Lightweight Bedspread Comforter - Modern Style Coin Pattern Coverlet for All Season - 3 Pieces (1 Quilt, 2 Pillow Shams)</t>
        </is>
      </c>
      <c r="D57" s="84" t="inlineStr">
        <is>
          <t>Aspirational</t>
        </is>
      </c>
      <c r="E57" s="84" t="inlineStr">
        <is>
          <t>B0859YNTXN</t>
        </is>
      </c>
      <c r="F57" s="84" t="inlineStr">
        <is>
          <t>B08LDD8HBW</t>
        </is>
      </c>
      <c r="G57" s="84" t="inlineStr">
        <is>
          <t>Queen</t>
        </is>
      </c>
      <c r="H57" s="84" t="inlineStr">
        <is>
          <t>Blue</t>
        </is>
      </c>
      <c r="I57" s="85" t="n">
        <v>280</v>
      </c>
      <c r="J57" s="32" t="inlineStr"/>
      <c r="K57" s="86" t="n">
        <v>25.99</v>
      </c>
      <c r="L57" s="86" t="n">
        <v>31.99</v>
      </c>
      <c r="M57" s="87">
        <f>IF(AND(ISNUMBER(L57),ISNUMBER(K57),N(K57)&gt;0),L57/K57-1,"")</f>
        <v/>
      </c>
      <c r="N57" s="88">
        <f>IF(M57="","No List Price",IF(M57&lt;=0,"At/below price",IF(M57&lt;=0.12,"&lt;=12% STR zone",IF(M57&lt;=0.25,"12-25%","&gt;25% over"))))</f>
        <v/>
      </c>
      <c r="O57" s="86" t="n">
        <v>41.99</v>
      </c>
      <c r="P57" s="89">
        <f>IF(AND(ISNUMBER(K57),ISNUMBER(O57),N(O57)&gt;0),K57/O57-1,"")</f>
        <v/>
      </c>
      <c r="Q57" s="32" t="inlineStr">
        <is>
          <t>Same size (Queen). Ours live: Helium 10 Xray, 2026-10-13; 5 children</t>
        </is>
      </c>
      <c r="R57" s="85" t="n">
        <v>368</v>
      </c>
      <c r="S57" s="85" t="n">
        <v>809</v>
      </c>
      <c r="T57" s="90">
        <f>IF(AND(ISNUMBER(K57),ISNUMBER(S57)),K57*S57*52/12,"")</f>
        <v/>
      </c>
      <c r="U57" s="91" t="n">
        <v>4.6</v>
      </c>
      <c r="V57" s="85" t="n">
        <v>9469</v>
      </c>
      <c r="W57" s="92" t="n">
        <v>46307</v>
      </c>
      <c r="X57" s="92" t="n">
        <v>44123</v>
      </c>
      <c r="Y57" s="84" t="inlineStr">
        <is>
          <t>FBA</t>
        </is>
      </c>
      <c r="Z57" s="84" t="inlineStr">
        <is>
          <t>CN</t>
        </is>
      </c>
      <c r="AA57" s="85" t="n"/>
      <c r="AB57" s="85" t="n"/>
      <c r="AC57" s="93" t="n"/>
      <c r="AD57" s="93" t="n"/>
      <c r="AE57" s="32" t="n"/>
      <c r="AF57" s="93" t="n"/>
      <c r="AG57" s="93" t="n"/>
      <c r="AH57" s="93" t="n"/>
      <c r="AI57" s="93" t="n"/>
      <c r="AJ57" s="85" t="n"/>
      <c r="AK57" s="85" t="n"/>
      <c r="AL57" s="85" t="n"/>
      <c r="AM57" s="85" t="n"/>
      <c r="AN57" s="85" t="n"/>
      <c r="AO57" s="85" t="n"/>
      <c r="AP57" s="94" t="n">
        <v>0.9342541687491479</v>
      </c>
      <c r="AQ57" s="89" t="n">
        <v>0.01769787532103662</v>
      </c>
      <c r="AR57" s="95" t="inlineStr">
        <is>
          <t>Y</t>
        </is>
      </c>
      <c r="AS57" s="95" t="inlineStr">
        <is>
          <t>List Price</t>
        </is>
      </c>
      <c r="AT57" s="96" t="n">
        <v>31.99</v>
      </c>
      <c r="AU57" s="96" t="n">
        <v>25.99</v>
      </c>
      <c r="AV57" s="95" t="inlineStr">
        <is>
          <t>none</t>
        </is>
      </c>
      <c r="AW57" s="95" t="inlineStr">
        <is>
          <t>Y</t>
        </is>
      </c>
      <c r="AX57" s="95" t="inlineStr">
        <is>
          <t>2026-10-13 23:41:40</t>
        </is>
      </c>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10">
        <f>_xlfn.IMAGE("https://images-na.ssl-images-amazon.com/images/I/81FerbiIQ9L.jpg")</f>
        <v/>
      </c>
      <c r="B58" s="84" t="inlineStr">
        <is>
          <t>FLYMME</t>
        </is>
      </c>
      <c r="C58" s="32" t="inlineStr">
        <is>
          <t>FLYMME Quilts Queen Size - Ultra Soft Navy Blue Quilt Lightweight Microfiber Bedspreads, Classic Basket Weave Pattern Bedspread Bed Coverlet 3 Pieces for All-Season (1 Quilt, 2 Pillow Shams)</t>
        </is>
      </c>
      <c r="D58" s="84" t="inlineStr">
        <is>
          <t>Aspirational</t>
        </is>
      </c>
      <c r="E58" s="84" t="inlineStr">
        <is>
          <t>B0DS2L4CG2</t>
        </is>
      </c>
      <c r="F58" s="84" t="inlineStr">
        <is>
          <t>B0D8JF6DDS</t>
        </is>
      </c>
      <c r="G58" s="84" t="inlineStr">
        <is>
          <t>Queen</t>
        </is>
      </c>
      <c r="H58" s="84" t="inlineStr">
        <is>
          <t>Navy</t>
        </is>
      </c>
      <c r="I58" s="85" t="n">
        <v>113</v>
      </c>
      <c r="J58" s="32" t="inlineStr"/>
      <c r="K58" s="86" t="n">
        <v>27.99</v>
      </c>
      <c r="L58" s="86" t="n"/>
      <c r="M58" s="87">
        <f>IF(AND(ISNUMBER(L58),ISNUMBER(K58),N(K58)&gt;0),L58/K58-1,"")</f>
        <v/>
      </c>
      <c r="N58" s="88">
        <f>IF(M58="","No List Price",IF(M58&lt;=0,"At/below price",IF(M58&lt;=0.12,"&lt;=12% STR zone",IF(M58&lt;=0.25,"12-25%","&gt;25% over"))))</f>
        <v/>
      </c>
      <c r="O58" s="86" t="n">
        <v>41.99</v>
      </c>
      <c r="P58" s="89">
        <f>IF(AND(ISNUMBER(K58),ISNUMBER(O58),N(O58)&gt;0),K58/O58-1,"")</f>
        <v/>
      </c>
      <c r="Q58" s="32" t="inlineStr">
        <is>
          <t>Same size (Queen). Ours live: Helium 10 Xray, 2026-10-13; 5 children</t>
        </is>
      </c>
      <c r="R58" s="85" t="n">
        <v>9598</v>
      </c>
      <c r="S58" s="85" t="n">
        <v>347</v>
      </c>
      <c r="T58" s="90">
        <f>IF(AND(ISNUMBER(K58),ISNUMBER(S58)),K58*S58*52/12,"")</f>
        <v/>
      </c>
      <c r="U58" s="91" t="n">
        <v>4.3</v>
      </c>
      <c r="V58" s="85" t="n">
        <v>1454</v>
      </c>
      <c r="W58" s="92" t="n">
        <v>46307</v>
      </c>
      <c r="X58" s="92" t="n">
        <v>45474</v>
      </c>
      <c r="Y58" s="84" t="inlineStr">
        <is>
          <t>FBA</t>
        </is>
      </c>
      <c r="Z58" s="84" t="inlineStr">
        <is>
          <t>CN</t>
        </is>
      </c>
      <c r="AA58" s="85" t="n"/>
      <c r="AB58" s="85" t="n"/>
      <c r="AC58" s="93" t="n"/>
      <c r="AD58" s="93" t="n"/>
      <c r="AE58" s="32" t="n"/>
      <c r="AF58" s="93" t="n"/>
      <c r="AG58" s="93" t="n"/>
      <c r="AH58" s="93" t="n"/>
      <c r="AI58" s="93" t="n"/>
      <c r="AJ58" s="85" t="n"/>
      <c r="AK58" s="85" t="n"/>
      <c r="AL58" s="85" t="n"/>
      <c r="AM58" s="85" t="n"/>
      <c r="AN58" s="85" t="n"/>
      <c r="AO58" s="85" t="n"/>
      <c r="AP58" s="94" t="n">
        <v>1.132025914901068</v>
      </c>
      <c r="AQ58" s="89" t="n">
        <v>0.07937755422823001</v>
      </c>
      <c r="AR58" s="95" t="inlineStr">
        <is>
          <t>N</t>
        </is>
      </c>
      <c r="AS58" s="95" t="inlineStr">
        <is>
          <t>none</t>
        </is>
      </c>
      <c r="AT58" s="101" t="n"/>
      <c r="AU58" s="96" t="n">
        <v>27.99</v>
      </c>
      <c r="AV58" s="95" t="inlineStr">
        <is>
          <t>none</t>
        </is>
      </c>
      <c r="AW58" s="95" t="inlineStr">
        <is>
          <t>Y</t>
        </is>
      </c>
      <c r="AX58" s="95" t="inlineStr">
        <is>
          <t>2026-10-13 23:40:32</t>
        </is>
      </c>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10">
        <f>_xlfn.IMAGE("https://images-na.ssl-images-amazon.com/images/I/71vQq9x6aXL.jpg")</f>
        <v/>
      </c>
      <c r="B59" s="84" t="inlineStr">
        <is>
          <t>HORIMOTE HOME</t>
        </is>
      </c>
      <c r="C59" s="32" t="inlineStr">
        <is>
          <t>HORIMOTE HOME Quilt Set Queen Size Navy Blue, Classic Geometric Diamond Stitched Pattern, Ultra Soft Microfiber Lightweight Bedding Bedspread Coverlet for All Season with 1 Quilt 2 Pillow Shams</t>
        </is>
      </c>
      <c r="D59" s="84" t="inlineStr">
        <is>
          <t>Aspirational</t>
        </is>
      </c>
      <c r="E59" s="84" t="inlineStr">
        <is>
          <t>B0BS5MVH9Q</t>
        </is>
      </c>
      <c r="F59" s="84" t="inlineStr">
        <is>
          <t>B085DLHZQ1</t>
        </is>
      </c>
      <c r="G59" s="84" t="inlineStr">
        <is>
          <t>Queen</t>
        </is>
      </c>
      <c r="H59" s="84" t="inlineStr">
        <is>
          <t>Navy</t>
        </is>
      </c>
      <c r="I59" s="85" t="n">
        <v>81</v>
      </c>
      <c r="J59" s="32" t="inlineStr"/>
      <c r="K59" s="86" t="n">
        <v>29.99</v>
      </c>
      <c r="L59" s="86" t="n"/>
      <c r="M59" s="87">
        <f>IF(AND(ISNUMBER(L59),ISNUMBER(K59),N(K59)&gt;0),L59/K59-1,"")</f>
        <v/>
      </c>
      <c r="N59" s="88">
        <f>IF(M59="","No List Price",IF(M59&lt;=0,"At/below price",IF(M59&lt;=0.12,"&lt;=12% STR zone",IF(M59&lt;=0.25,"12-25%","&gt;25% over"))))</f>
        <v/>
      </c>
      <c r="O59" s="86" t="n">
        <v>41.99</v>
      </c>
      <c r="P59" s="89">
        <f>IF(AND(ISNUMBER(K59),ISNUMBER(O59),N(O59)&gt;0),K59/O59-1,"")</f>
        <v/>
      </c>
      <c r="Q59" s="32" t="inlineStr">
        <is>
          <t>Same size (Queen). Ours live: Helium 10 Xray, 2026-10-13; 5 children</t>
        </is>
      </c>
      <c r="R59" s="85" t="n">
        <v>5785</v>
      </c>
      <c r="S59" s="85" t="n">
        <v>185</v>
      </c>
      <c r="T59" s="90">
        <f>IF(AND(ISNUMBER(K59),ISNUMBER(S59)),K59*S59*52/12,"")</f>
        <v/>
      </c>
      <c r="U59" s="91" t="n">
        <v>4.6</v>
      </c>
      <c r="V59" s="85" t="n">
        <v>9080</v>
      </c>
      <c r="W59" s="92" t="n">
        <v>46307</v>
      </c>
      <c r="X59" s="92" t="n">
        <v>43893</v>
      </c>
      <c r="Y59" s="84" t="inlineStr">
        <is>
          <t>FBA</t>
        </is>
      </c>
      <c r="Z59" s="84" t="inlineStr">
        <is>
          <t>CN</t>
        </is>
      </c>
      <c r="AA59" s="85" t="n"/>
      <c r="AB59" s="85" t="n"/>
      <c r="AC59" s="93" t="n"/>
      <c r="AD59" s="93" t="n"/>
      <c r="AE59" s="32" t="n"/>
      <c r="AF59" s="93" t="n"/>
      <c r="AG59" s="93" t="n"/>
      <c r="AH59" s="93" t="n"/>
      <c r="AI59" s="93" t="n"/>
      <c r="AJ59" s="85" t="n"/>
      <c r="AK59" s="85" t="n"/>
      <c r="AL59" s="85" t="n"/>
      <c r="AM59" s="85" t="n"/>
      <c r="AN59" s="85" t="n"/>
      <c r="AO59" s="85" t="n"/>
      <c r="AP59" s="94" t="n">
        <v>1.138737985791893</v>
      </c>
      <c r="AQ59" s="89" t="n">
        <v>-0.07805695142378566</v>
      </c>
      <c r="AR59" s="95" t="inlineStr">
        <is>
          <t>N</t>
        </is>
      </c>
      <c r="AS59" s="95" t="inlineStr">
        <is>
          <t>none</t>
        </is>
      </c>
      <c r="AT59" s="101" t="n"/>
      <c r="AU59" s="96" t="n">
        <v>29.99</v>
      </c>
      <c r="AV59" s="95" t="inlineStr">
        <is>
          <t>none</t>
        </is>
      </c>
      <c r="AW59" s="95" t="inlineStr">
        <is>
          <t>Y</t>
        </is>
      </c>
      <c r="AX59" s="95" t="inlineStr">
        <is>
          <t>2026-10-13 23:41:06</t>
        </is>
      </c>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10">
        <f>_xlfn.IMAGE("https://images-na.ssl-images-amazon.com/images/I/81j7fsOEGfL.jpg")</f>
        <v/>
      </c>
      <c r="B60" s="84" t="inlineStr">
        <is>
          <t>Exclusivo Mezcla</t>
        </is>
      </c>
      <c r="C60" s="32" t="inlineStr">
        <is>
          <t>Exclusivo Mezcla Reversible Full Queen Quilt Bedding Set, Grey</t>
        </is>
      </c>
      <c r="D60" s="84" t="inlineStr">
        <is>
          <t>Aspirational</t>
        </is>
      </c>
      <c r="E60" s="84" t="inlineStr">
        <is>
          <t>B07TZHQQ2L</t>
        </is>
      </c>
      <c r="F60" s="84" t="inlineStr">
        <is>
          <t>B07S6N5C5P</t>
        </is>
      </c>
      <c r="G60" s="84" t="inlineStr">
        <is>
          <t>Full</t>
        </is>
      </c>
      <c r="H60" s="84" t="inlineStr">
        <is>
          <t>Grey</t>
        </is>
      </c>
      <c r="I60" s="85" t="n">
        <v>96</v>
      </c>
      <c r="J60" s="32" t="inlineStr"/>
      <c r="K60" s="86" t="n">
        <v>25.19</v>
      </c>
      <c r="L60" s="86" t="n">
        <v>27.99</v>
      </c>
      <c r="M60" s="87">
        <f>IF(AND(ISNUMBER(L60),ISNUMBER(K60),N(K60)&gt;0),L60/K60-1,"")</f>
        <v/>
      </c>
      <c r="N60" s="88">
        <f>IF(M60="","No List Price",IF(M60&lt;=0,"At/below price",IF(M60&lt;=0.12,"&lt;=12% STR zone",IF(M60&lt;=0.25,"12-25%","&gt;25% over"))))</f>
        <v/>
      </c>
      <c r="O60" s="86" t="n">
        <v>29.02125</v>
      </c>
      <c r="P60" s="89">
        <f>IF(AND(ISNUMBER(K60),ISNUMBER(O60),N(O60)&gt;0),K60/O60-1,"")</f>
        <v/>
      </c>
      <c r="Q60" s="32" t="inlineStr">
        <is>
          <t>vs our blended price (Command Center, Mar 2026 - STALE)</t>
        </is>
      </c>
      <c r="R60" s="85" t="n">
        <v>6071</v>
      </c>
      <c r="S60" s="85" t="n">
        <v>104</v>
      </c>
      <c r="T60" s="90">
        <f>IF(AND(ISNUMBER(K60),ISNUMBER(S60)),K60*S60*52/12,"")</f>
        <v/>
      </c>
      <c r="U60" s="91" t="n">
        <v>4.5</v>
      </c>
      <c r="V60" s="85" t="n">
        <v>17360</v>
      </c>
      <c r="W60" s="92" t="n">
        <v>46307</v>
      </c>
      <c r="X60" s="92" t="n">
        <v>43612</v>
      </c>
      <c r="Y60" s="84" t="inlineStr">
        <is>
          <t>FBA</t>
        </is>
      </c>
      <c r="Z60" s="84" t="inlineStr">
        <is>
          <t>CN</t>
        </is>
      </c>
      <c r="AA60" s="85" t="n"/>
      <c r="AB60" s="85" t="n"/>
      <c r="AC60" s="93" t="n"/>
      <c r="AD60" s="93" t="n"/>
      <c r="AE60" s="32" t="n"/>
      <c r="AF60" s="93" t="n"/>
      <c r="AG60" s="93" t="n"/>
      <c r="AH60" s="93" t="n"/>
      <c r="AI60" s="93" t="n"/>
      <c r="AJ60" s="85" t="n"/>
      <c r="AK60" s="85" t="n"/>
      <c r="AL60" s="85" t="n"/>
      <c r="AM60" s="85" t="n"/>
      <c r="AN60" s="85" t="n"/>
      <c r="AO60" s="85" t="n"/>
      <c r="AP60" s="94" t="n">
        <v>1.14822247706422</v>
      </c>
      <c r="AQ60" s="89" t="n">
        <v>-0.2315270935960591</v>
      </c>
      <c r="AR60" s="95" t="inlineStr">
        <is>
          <t>Y</t>
        </is>
      </c>
      <c r="AS60" s="95" t="inlineStr">
        <is>
          <t>Typical price</t>
        </is>
      </c>
      <c r="AT60" s="96" t="n">
        <v>27.99</v>
      </c>
      <c r="AU60" s="96" t="n">
        <v>25.19</v>
      </c>
      <c r="AV60" s="95" t="inlineStr">
        <is>
          <t>none</t>
        </is>
      </c>
      <c r="AW60" s="95" t="inlineStr">
        <is>
          <t>Y</t>
        </is>
      </c>
      <c r="AX60" s="95" t="inlineStr">
        <is>
          <t>2026-10-13 23:40:25</t>
        </is>
      </c>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10">
        <f>_xlfn.IMAGE("https://images-na.ssl-images-amazon.com/images/I/71PwPZaCa+L.jpg")</f>
        <v/>
      </c>
      <c r="B61" s="84" t="inlineStr">
        <is>
          <t>Maple&amp;Stone</t>
        </is>
      </c>
      <c r="C61" s="32" t="inlineStr">
        <is>
          <t>Maple&amp;Stone White Quilt Set Queen Size, Lightweight Bedspread</t>
        </is>
      </c>
      <c r="D61" s="84" t="inlineStr">
        <is>
          <t>Aspirational</t>
        </is>
      </c>
      <c r="E61" s="84" t="inlineStr">
        <is>
          <t>B09HGJGKYD</t>
        </is>
      </c>
      <c r="F61" s="84" t="inlineStr">
        <is>
          <t>B09P3NKL53</t>
        </is>
      </c>
      <c r="G61" s="84" t="inlineStr">
        <is>
          <t>Queen</t>
        </is>
      </c>
      <c r="H61" s="84" t="inlineStr">
        <is>
          <t>White</t>
        </is>
      </c>
      <c r="I61" s="85" t="n">
        <v>63</v>
      </c>
      <c r="J61" s="32" t="inlineStr"/>
      <c r="K61" s="86" t="n">
        <v>29.99</v>
      </c>
      <c r="L61" s="86" t="n"/>
      <c r="M61" s="87">
        <f>IF(AND(ISNUMBER(L61),ISNUMBER(K61),N(K61)&gt;0),L61/K61-1,"")</f>
        <v/>
      </c>
      <c r="N61" s="88">
        <f>IF(M61="","No List Price",IF(M61&lt;=0,"At/below price",IF(M61&lt;=0.12,"&lt;=12% STR zone",IF(M61&lt;=0.25,"12-25%","&gt;25% over"))))</f>
        <v/>
      </c>
      <c r="O61" s="86" t="n">
        <v>41.99</v>
      </c>
      <c r="P61" s="89">
        <f>IF(AND(ISNUMBER(K61),ISNUMBER(O61),N(O61)&gt;0),K61/O61-1,"")</f>
        <v/>
      </c>
      <c r="Q61" s="32" t="inlineStr">
        <is>
          <t>Same size (Queen). Ours live: Helium 10 Xray, 2026-10-13; 5 children</t>
        </is>
      </c>
      <c r="R61" s="85" t="n">
        <v>25352</v>
      </c>
      <c r="S61" s="85" t="n">
        <v>104</v>
      </c>
      <c r="T61" s="90">
        <f>IF(AND(ISNUMBER(K61),ISNUMBER(S61)),K61*S61*52/12,"")</f>
        <v/>
      </c>
      <c r="U61" s="91" t="n">
        <v>4.4</v>
      </c>
      <c r="V61" s="85" t="n">
        <v>2762</v>
      </c>
      <c r="W61" s="92" t="n">
        <v>46307</v>
      </c>
      <c r="X61" s="92" t="n">
        <v>44553</v>
      </c>
      <c r="Y61" s="84" t="inlineStr">
        <is>
          <t>FBA</t>
        </is>
      </c>
      <c r="Z61" s="84" t="inlineStr">
        <is>
          <t>CN</t>
        </is>
      </c>
      <c r="AA61" s="85" t="n"/>
      <c r="AB61" s="85" t="n"/>
      <c r="AC61" s="93" t="n"/>
      <c r="AD61" s="93" t="n"/>
      <c r="AE61" s="32" t="n"/>
      <c r="AF61" s="93" t="n"/>
      <c r="AG61" s="93" t="n"/>
      <c r="AH61" s="93" t="n"/>
      <c r="AI61" s="93" t="n"/>
      <c r="AJ61" s="85" t="n"/>
      <c r="AK61" s="85" t="n"/>
      <c r="AL61" s="85" t="n"/>
      <c r="AM61" s="85" t="n"/>
      <c r="AN61" s="85" t="n"/>
      <c r="AO61" s="85" t="n"/>
      <c r="AP61" s="94" t="n">
        <v>1.059339177343223</v>
      </c>
      <c r="AQ61" s="89" t="n">
        <v>-0.2658831003811944</v>
      </c>
      <c r="AR61" s="95" t="inlineStr">
        <is>
          <t>N</t>
        </is>
      </c>
      <c r="AS61" s="95" t="inlineStr">
        <is>
          <t>none</t>
        </is>
      </c>
      <c r="AT61" s="101" t="n"/>
      <c r="AU61" s="96" t="n">
        <v>29.99</v>
      </c>
      <c r="AV61" s="95" t="inlineStr">
        <is>
          <t>none</t>
        </is>
      </c>
      <c r="AW61" s="95" t="inlineStr">
        <is>
          <t>Y</t>
        </is>
      </c>
      <c r="AX61" s="95" t="inlineStr">
        <is>
          <t>2026-10-13 23:41:56</t>
        </is>
      </c>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10">
        <f>_xlfn.IMAGE("https://images-na.ssl-images-amazon.com/images/I/9146yXrH8xL.jpg")</f>
        <v/>
      </c>
      <c r="B62" s="84" t="inlineStr">
        <is>
          <t>Mybedsoul</t>
        </is>
      </c>
      <c r="C62" s="32" t="inlineStr">
        <is>
          <t>Mybedsoul Boho Quilts Queen Size, Patchwork Floral Bedding Set, Blue</t>
        </is>
      </c>
      <c r="D62" s="84" t="inlineStr">
        <is>
          <t>Aspirational</t>
        </is>
      </c>
      <c r="E62" s="84" t="inlineStr">
        <is>
          <t>B0B4JBJGT9</t>
        </is>
      </c>
      <c r="F62" s="84" t="inlineStr">
        <is>
          <t>B0BGS9VP2S</t>
        </is>
      </c>
      <c r="G62" s="84" t="inlineStr">
        <is>
          <t>Queen</t>
        </is>
      </c>
      <c r="H62" s="84" t="inlineStr">
        <is>
          <t>Blue</t>
        </is>
      </c>
      <c r="I62" s="85" t="n">
        <v>79</v>
      </c>
      <c r="J62" s="32" t="inlineStr"/>
      <c r="K62" s="86" t="n">
        <v>35.99</v>
      </c>
      <c r="L62" s="86" t="n"/>
      <c r="M62" s="87">
        <f>IF(AND(ISNUMBER(L62),ISNUMBER(K62),N(K62)&gt;0),L62/K62-1,"")</f>
        <v/>
      </c>
      <c r="N62" s="88">
        <f>IF(M62="","No List Price",IF(M62&lt;=0,"At/below price",IF(M62&lt;=0.12,"&lt;=12% STR zone",IF(M62&lt;=0.25,"12-25%","&gt;25% over"))))</f>
        <v/>
      </c>
      <c r="O62" s="86" t="n">
        <v>41.99</v>
      </c>
      <c r="P62" s="89">
        <f>IF(AND(ISNUMBER(K62),ISNUMBER(O62),N(O62)&gt;0),K62/O62-1,"")</f>
        <v/>
      </c>
      <c r="Q62" s="32" t="inlineStr">
        <is>
          <t>Same size (Queen). Ours live: Helium 10 Xray, 2026-10-13; 5 children</t>
        </is>
      </c>
      <c r="R62" s="85" t="n">
        <v>7768</v>
      </c>
      <c r="S62" s="85" t="n">
        <v>92</v>
      </c>
      <c r="T62" s="90">
        <f>IF(AND(ISNUMBER(K62),ISNUMBER(S62)),K62*S62*52/12,"")</f>
        <v/>
      </c>
      <c r="U62" s="91" t="n">
        <v>4.6</v>
      </c>
      <c r="V62" s="85" t="n">
        <v>4352</v>
      </c>
      <c r="W62" s="92" t="n">
        <v>46307</v>
      </c>
      <c r="X62" s="92" t="n">
        <v>44833</v>
      </c>
      <c r="Y62" s="84" t="inlineStr">
        <is>
          <t>FBA</t>
        </is>
      </c>
      <c r="Z62" s="84" t="inlineStr">
        <is>
          <t>CN</t>
        </is>
      </c>
      <c r="AA62" s="85" t="n"/>
      <c r="AB62" s="85" t="n"/>
      <c r="AC62" s="93" t="n"/>
      <c r="AD62" s="93" t="n"/>
      <c r="AE62" s="32" t="n"/>
      <c r="AF62" s="93" t="n"/>
      <c r="AG62" s="93" t="n"/>
      <c r="AH62" s="93" t="n"/>
      <c r="AI62" s="93" t="n"/>
      <c r="AJ62" s="85" t="n"/>
      <c r="AK62" s="85" t="n"/>
      <c r="AL62" s="85" t="n"/>
      <c r="AM62" s="85" t="n"/>
      <c r="AN62" s="85" t="n"/>
      <c r="AO62" s="85" t="n"/>
      <c r="AP62" s="94" t="n">
        <v>1.341538461538462</v>
      </c>
      <c r="AQ62" s="89" t="n">
        <v>0.3506160164271048</v>
      </c>
      <c r="AR62" s="95" t="inlineStr">
        <is>
          <t>Y</t>
        </is>
      </c>
      <c r="AS62" s="95" t="inlineStr">
        <is>
          <t>List Price</t>
        </is>
      </c>
      <c r="AT62" s="96" t="n">
        <v>44.99</v>
      </c>
      <c r="AU62" s="96" t="n">
        <v>35.99</v>
      </c>
      <c r="AV62" s="95" t="inlineStr">
        <is>
          <t>none</t>
        </is>
      </c>
      <c r="AW62" s="95" t="inlineStr">
        <is>
          <t>Y</t>
        </is>
      </c>
      <c r="AX62" s="95" t="inlineStr">
        <is>
          <t>2026-10-13 23:42:03</t>
        </is>
      </c>
      <c r="AY62" s="102" t="n"/>
      <c r="AZ62" s="102" t="n"/>
      <c r="BA62" s="101" t="n"/>
      <c r="BB62" s="101" t="n"/>
      <c r="BC62" s="87">
        <f>IF(AND(ISNUMBER(BA62),ISNUMBER(BB62),N(BA62)&gt;0),1-BB62/BA62,"")</f>
        <v/>
      </c>
      <c r="BD62" s="103" t="n"/>
      <c r="BE62" s="103" t="n"/>
      <c r="BF62" s="100">
        <f>IF(AND(ISNUMBER(BD62),ISNUMBER(BE62),N(BE62)&gt;0),BD62/BE62,"")</f>
        <v/>
      </c>
      <c r="BG62" s="102" t="n"/>
      <c r="BH62" s="102" t="n"/>
    </row>
    <row r="63" ht="62" customHeight="1">
      <c r="A63" s="39" t="inlineStr">
        <is>
          <t>IMAGE MISSING</t>
        </is>
      </c>
      <c r="B63" s="84" t="inlineStr">
        <is>
          <t>Hansleep</t>
        </is>
      </c>
      <c r="C63" s="32" t="inlineStr">
        <is>
          <t>Bamboo Sheets</t>
        </is>
      </c>
      <c r="D63" s="84" t="inlineStr">
        <is>
          <t>Aspirational</t>
        </is>
      </c>
      <c r="E63" s="84" t="inlineStr">
        <is>
          <t>B089VRY7KD</t>
        </is>
      </c>
      <c r="F63" s="84" t="inlineStr">
        <is>
          <t>B089VT34WN</t>
        </is>
      </c>
      <c r="G63" s="84" t="n"/>
      <c r="H63" s="84" t="n"/>
      <c r="I63" s="85" t="n"/>
      <c r="J63" s="32" t="inlineStr"/>
      <c r="K63" s="86" t="n">
        <v>36.99</v>
      </c>
      <c r="L63" s="86" t="n"/>
      <c r="M63" s="87">
        <f>IF(AND(ISNUMBER(L63),ISNUMBER(K63),N(K63)&gt;0),L63/K63-1,"")</f>
        <v/>
      </c>
      <c r="N63" s="88">
        <f>IF(M63="","No List Price",IF(M63&lt;=0,"At/below price",IF(M63&lt;=0.12,"&lt;=12% STR zone",IF(M63&lt;=0.25,"12-25%","&gt;25% over"))))</f>
        <v/>
      </c>
      <c r="O63" s="86" t="n">
        <v>41.99</v>
      </c>
      <c r="P63" s="89">
        <f>IF(AND(ISNUMBER(K63),ISNUMBER(O63),N(O63)&gt;0),K63/O63-1,"")</f>
        <v/>
      </c>
      <c r="Q63" s="32" t="inlineStr">
        <is>
          <t>Size not stated - vs our Queen. Ours live: Helium 10 Xray, 2026-10-13; 5 children</t>
        </is>
      </c>
      <c r="R63" s="85" t="n">
        <v>32750</v>
      </c>
      <c r="S63" s="85" t="n">
        <v>35</v>
      </c>
      <c r="T63" s="90">
        <f>IF(AND(ISNUMBER(K63),ISNUMBER(S63)),K63*S63*52/12,"")</f>
        <v/>
      </c>
      <c r="U63" s="91" t="n">
        <v>4.6</v>
      </c>
      <c r="V63" s="85" t="n">
        <v>5920</v>
      </c>
      <c r="W63" s="92" t="n">
        <v>46307</v>
      </c>
      <c r="X63" s="92" t="n"/>
      <c r="Y63" s="84" t="n"/>
      <c r="Z63" s="84" t="n"/>
      <c r="AA63" s="85" t="n"/>
      <c r="AB63" s="85" t="n"/>
      <c r="AC63" s="93" t="n"/>
      <c r="AD63" s="93" t="n"/>
      <c r="AE63" s="32" t="n"/>
      <c r="AF63" s="93" t="n"/>
      <c r="AG63" s="93" t="n"/>
      <c r="AH63" s="93" t="n"/>
      <c r="AI63" s="93" t="n"/>
      <c r="AJ63" s="85" t="n"/>
      <c r="AK63" s="85" t="n"/>
      <c r="AL63" s="85" t="n"/>
      <c r="AM63" s="85" t="n"/>
      <c r="AN63" s="85" t="n"/>
      <c r="AO63" s="85" t="n"/>
      <c r="AP63" s="94" t="n"/>
      <c r="AQ63" s="89" t="n"/>
      <c r="AR63" s="95" t="inlineStr">
        <is>
          <t>N</t>
        </is>
      </c>
      <c r="AS63" s="95" t="inlineStr">
        <is>
          <t>none</t>
        </is>
      </c>
      <c r="AT63" s="101" t="n"/>
      <c r="AU63" s="96" t="n">
        <v>36.99</v>
      </c>
      <c r="AV63" s="95" t="inlineStr">
        <is>
          <t>none</t>
        </is>
      </c>
      <c r="AW63" s="95" t="inlineStr">
        <is>
          <t>Y</t>
        </is>
      </c>
      <c r="AX63" s="95" t="inlineStr">
        <is>
          <t>2026-10-13 23:41:09</t>
        </is>
      </c>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39" t="inlineStr">
        <is>
          <t>IMAGE MISSING</t>
        </is>
      </c>
      <c r="B64" s="84" t="inlineStr">
        <is>
          <t>Wake In Cloud</t>
        </is>
      </c>
      <c r="C64" s="32" t="inlineStr">
        <is>
          <t>Bamboo Sheets</t>
        </is>
      </c>
      <c r="D64" s="84" t="inlineStr">
        <is>
          <t>Aspirational</t>
        </is>
      </c>
      <c r="E64" s="84" t="inlineStr">
        <is>
          <t>B0D7V5YL6V</t>
        </is>
      </c>
      <c r="F64" s="84" t="inlineStr">
        <is>
          <t>B0CRPTW9GV</t>
        </is>
      </c>
      <c r="G64" s="84" t="n"/>
      <c r="H64" s="84" t="n"/>
      <c r="I64" s="85" t="n"/>
      <c r="J64" s="32" t="inlineStr"/>
      <c r="K64" s="86" t="n">
        <v>27.99</v>
      </c>
      <c r="L64" s="86" t="n"/>
      <c r="M64" s="87">
        <f>IF(AND(ISNUMBER(L64),ISNUMBER(K64),N(K64)&gt;0),L64/K64-1,"")</f>
        <v/>
      </c>
      <c r="N64" s="88">
        <f>IF(M64="","No List Price",IF(M64&lt;=0,"At/below price",IF(M64&lt;=0.12,"&lt;=12% STR zone",IF(M64&lt;=0.25,"12-25%","&gt;25% over"))))</f>
        <v/>
      </c>
      <c r="O64" s="86" t="n">
        <v>41.99</v>
      </c>
      <c r="P64" s="89">
        <f>IF(AND(ISNUMBER(K64),ISNUMBER(O64),N(O64)&gt;0),K64/O64-1,"")</f>
        <v/>
      </c>
      <c r="Q64" s="32" t="inlineStr">
        <is>
          <t>Size not stated - vs our Queen. Ours live: Helium 10 Xray, 2026-10-13; 5 children</t>
        </is>
      </c>
      <c r="R64" s="85" t="n">
        <v>32539</v>
      </c>
      <c r="S64" s="85" t="n">
        <v>18</v>
      </c>
      <c r="T64" s="90">
        <f>IF(AND(ISNUMBER(K64),ISNUMBER(S64)),K64*S64*52/12,"")</f>
        <v/>
      </c>
      <c r="U64" s="91" t="n">
        <v>4.6</v>
      </c>
      <c r="V64" s="85" t="n">
        <v>512</v>
      </c>
      <c r="W64" s="92" t="n">
        <v>46307</v>
      </c>
      <c r="X64" s="92" t="n"/>
      <c r="Y64" s="84" t="n"/>
      <c r="Z64" s="84" t="n"/>
      <c r="AA64" s="85" t="n"/>
      <c r="AB64" s="85" t="n"/>
      <c r="AC64" s="93" t="n"/>
      <c r="AD64" s="93" t="n"/>
      <c r="AE64" s="32" t="n"/>
      <c r="AF64" s="93" t="n"/>
      <c r="AG64" s="93" t="n"/>
      <c r="AH64" s="93" t="n"/>
      <c r="AI64" s="93" t="n"/>
      <c r="AJ64" s="85" t="n"/>
      <c r="AK64" s="85" t="n"/>
      <c r="AL64" s="85" t="n"/>
      <c r="AM64" s="85" t="n"/>
      <c r="AN64" s="85" t="n"/>
      <c r="AO64" s="85" t="n"/>
      <c r="AP64" s="94" t="n"/>
      <c r="AQ64" s="89" t="n"/>
      <c r="AR64" s="95" t="inlineStr">
        <is>
          <t>N</t>
        </is>
      </c>
      <c r="AS64" s="95" t="inlineStr">
        <is>
          <t>none</t>
        </is>
      </c>
      <c r="AT64" s="101" t="n"/>
      <c r="AU64" s="96" t="n">
        <v>27.99</v>
      </c>
      <c r="AV64" s="95" t="inlineStr">
        <is>
          <t>none</t>
        </is>
      </c>
      <c r="AW64" s="95" t="inlineStr">
        <is>
          <t>Y</t>
        </is>
      </c>
      <c r="AX64" s="95" t="inlineStr">
        <is>
          <t>2026-10-13 23:43:39</t>
        </is>
      </c>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10">
        <f>_xlfn.IMAGE("https://images-na.ssl-images-amazon.com/images/I/81Vj1MSRN6L.jpg")</f>
        <v/>
      </c>
      <c r="B65" s="84" t="inlineStr">
        <is>
          <t>WDCOZY</t>
        </is>
      </c>
      <c r="C65" s="32" t="inlineStr">
        <is>
          <t>WDCOZY Beige Queen Size Quilts Bedding Sets with 2 Pillow Shams, Neutral Lightweight Soft Bedspread Coverlet, Quilted Blanket Thin Comforter Bed Cover for All Season, 3 Pieces, 90x90 inches</t>
        </is>
      </c>
      <c r="D65" s="84" t="inlineStr">
        <is>
          <t>Beatable</t>
        </is>
      </c>
      <c r="E65" s="84" t="inlineStr">
        <is>
          <t>B0CRH88PXZ</t>
        </is>
      </c>
      <c r="F65" s="84" t="inlineStr">
        <is>
          <t>B0DJ6XGCFD</t>
        </is>
      </c>
      <c r="G65" s="84" t="inlineStr">
        <is>
          <t>Queen</t>
        </is>
      </c>
      <c r="H65" s="84" t="inlineStr">
        <is>
          <t>Beige</t>
        </is>
      </c>
      <c r="I65" s="85" t="n">
        <v>79</v>
      </c>
      <c r="J65" s="32" t="inlineStr">
        <is>
          <t>B0DJ6WWZP2 (25%), B0B5LF9YXF (19%), B0DJ6XGCFD (17%), B0B5LDJ7CF (10%), B0FCLC6282 (5%)</t>
        </is>
      </c>
      <c r="K65" s="86" t="n">
        <v>44.99</v>
      </c>
      <c r="L65" s="86" t="n"/>
      <c r="M65" s="87">
        <f>IF(AND(ISNUMBER(L65),ISNUMBER(K65),N(K65)&gt;0),L65/K65-1,"")</f>
        <v/>
      </c>
      <c r="N65" s="88">
        <f>IF(M65="","No List Price",IF(M65&lt;=0,"At/below price",IF(M65&lt;=0.12,"&lt;=12% STR zone",IF(M65&lt;=0.25,"12-25%","&gt;25% over"))))</f>
        <v/>
      </c>
      <c r="O65" s="86" t="n">
        <v>41.99</v>
      </c>
      <c r="P65" s="89">
        <f>IF(AND(ISNUMBER(K65),ISNUMBER(O65),N(O65)&gt;0),K65/O65-1,"")</f>
        <v/>
      </c>
      <c r="Q65" s="32" t="inlineStr">
        <is>
          <t>Same size (Queen). Ours live: Helium 10 Xray, 2026-10-13; 5 children</t>
        </is>
      </c>
      <c r="R65" s="85" t="n">
        <v>479</v>
      </c>
      <c r="S65" s="85" t="n">
        <v>347</v>
      </c>
      <c r="T65" s="90">
        <f>IF(AND(ISNUMBER(K65),ISNUMBER(S65)),K65*S65*52/12,"")</f>
        <v/>
      </c>
      <c r="U65" s="91" t="n">
        <v>4.4</v>
      </c>
      <c r="V65" s="85" t="n">
        <v>5513</v>
      </c>
      <c r="W65" s="92" t="n">
        <v>46307</v>
      </c>
      <c r="X65" s="92" t="n">
        <v>45564</v>
      </c>
      <c r="Y65" s="84" t="inlineStr">
        <is>
          <t>FBA</t>
        </is>
      </c>
      <c r="Z65" s="84" t="inlineStr">
        <is>
          <t>HK</t>
        </is>
      </c>
      <c r="AA65" s="85" t="n">
        <v>691328</v>
      </c>
      <c r="AB65" s="85" t="n">
        <v>4114</v>
      </c>
      <c r="AC65" s="93" t="n">
        <v>0.9625961895077294</v>
      </c>
      <c r="AD65" s="93" t="n">
        <v>0.03740381049226995</v>
      </c>
      <c r="AE65" s="32" t="inlineStr">
        <is>
          <t>king size comforter set</t>
        </is>
      </c>
      <c r="AF65" s="93" t="n">
        <v>0.3829137543973338</v>
      </c>
      <c r="AG65" s="93" t="n">
        <v>0.0570091186817256</v>
      </c>
      <c r="AH65" s="93" t="n"/>
      <c r="AI65" s="93" t="n">
        <v>0.02869549620440659</v>
      </c>
      <c r="AJ65" s="85" t="n">
        <v>422</v>
      </c>
      <c r="AK65" s="85" t="n">
        <v>11</v>
      </c>
      <c r="AL65" s="85" t="n">
        <v>355</v>
      </c>
      <c r="AM65" s="85" t="n">
        <v>3692</v>
      </c>
      <c r="AN65" s="85" t="n">
        <v>225</v>
      </c>
      <c r="AO65" s="85" t="n">
        <v>0</v>
      </c>
      <c r="AP65" s="94" t="n"/>
      <c r="AQ65" s="89" t="n"/>
      <c r="AR65" s="95" t="inlineStr">
        <is>
          <t>N</t>
        </is>
      </c>
      <c r="AS65" s="95" t="inlineStr">
        <is>
          <t>none</t>
        </is>
      </c>
      <c r="AT65" s="101" t="n"/>
      <c r="AU65" s="96" t="n">
        <v>44.99</v>
      </c>
      <c r="AV65" s="95" t="inlineStr">
        <is>
          <t>none</t>
        </is>
      </c>
      <c r="AW65" s="95" t="inlineStr">
        <is>
          <t>Y</t>
        </is>
      </c>
      <c r="AX65" s="95" t="inlineStr">
        <is>
          <t>2026-10-13 23:43:33</t>
        </is>
      </c>
      <c r="AY65" s="102" t="n"/>
      <c r="AZ65" s="102" t="n"/>
      <c r="BA65" s="101" t="n"/>
      <c r="BB65" s="101" t="n"/>
      <c r="BC65" s="87">
        <f>IF(AND(ISNUMBER(BA65),ISNUMBER(BB65),N(BA65)&gt;0),1-BB65/BA65,"")</f>
        <v/>
      </c>
      <c r="BD65" s="103" t="n"/>
      <c r="BE65" s="103" t="n"/>
      <c r="BF65" s="100">
        <f>IF(AND(ISNUMBER(BD65),ISNUMBER(BE65),N(BE65)&gt;0),BD65/BE65,"")</f>
        <v/>
      </c>
      <c r="BG65" s="102" t="n"/>
      <c r="BH65" s="102" t="n"/>
    </row>
    <row r="66" ht="62" customHeight="1">
      <c r="A66" s="10">
        <f>_xlfn.IMAGE("https://images-na.ssl-images-amazon.com/images/I/71ghS2nS1bL.jpg")</f>
        <v/>
      </c>
      <c r="B66" s="84" t="inlineStr">
        <is>
          <t>WRENSONGE</t>
        </is>
      </c>
      <c r="C66" s="32" t="inlineStr">
        <is>
          <t>Queen Quilt-Lightweight Bedspreads Olive Green Queen Size Quilt Bedding Set</t>
        </is>
      </c>
      <c r="D66" s="84" t="inlineStr">
        <is>
          <t>Beatable</t>
        </is>
      </c>
      <c r="E66" s="84" t="inlineStr">
        <is>
          <t>B0CQSZMYXD</t>
        </is>
      </c>
      <c r="F66" s="84" t="inlineStr">
        <is>
          <t>B0CQT8LKMK</t>
        </is>
      </c>
      <c r="G66" s="84" t="inlineStr">
        <is>
          <t>Queen</t>
        </is>
      </c>
      <c r="H66" s="84" t="inlineStr">
        <is>
          <t>Green</t>
        </is>
      </c>
      <c r="I66" s="85" t="n">
        <v>73</v>
      </c>
      <c r="J66" s="32" t="inlineStr"/>
      <c r="K66" s="86" t="n">
        <v>39.99</v>
      </c>
      <c r="L66" s="86" t="n"/>
      <c r="M66" s="87">
        <f>IF(AND(ISNUMBER(L66),ISNUMBER(K66),N(K66)&gt;0),L66/K66-1,"")</f>
        <v/>
      </c>
      <c r="N66" s="88">
        <f>IF(M66="","No List Price",IF(M66&lt;=0,"At/below price",IF(M66&lt;=0.12,"&lt;=12% STR zone",IF(M66&lt;=0.25,"12-25%","&gt;25% over"))))</f>
        <v/>
      </c>
      <c r="O66" s="86" t="n">
        <v>41.99</v>
      </c>
      <c r="P66" s="89">
        <f>IF(AND(ISNUMBER(K66),ISNUMBER(O66),N(O66)&gt;0),K66/O66-1,"")</f>
        <v/>
      </c>
      <c r="Q66" s="32" t="inlineStr">
        <is>
          <t>Same size (Queen). Ours live: Helium 10 Xray, 2026-10-13; 5 children</t>
        </is>
      </c>
      <c r="R66" s="85" t="n">
        <v>5766</v>
      </c>
      <c r="S66" s="85" t="n">
        <v>220</v>
      </c>
      <c r="T66" s="90">
        <f>IF(AND(ISNUMBER(K66),ISNUMBER(S66)),K66*S66*52/12,"")</f>
        <v/>
      </c>
      <c r="U66" s="91" t="n">
        <v>4.5</v>
      </c>
      <c r="V66" s="85" t="n">
        <v>942</v>
      </c>
      <c r="W66" s="92" t="n">
        <v>46307</v>
      </c>
      <c r="X66" s="92" t="n">
        <v>45282</v>
      </c>
      <c r="Y66" s="84" t="inlineStr">
        <is>
          <t>FBA</t>
        </is>
      </c>
      <c r="Z66" s="84" t="inlineStr">
        <is>
          <t>CN</t>
        </is>
      </c>
      <c r="AA66" s="85" t="n"/>
      <c r="AB66" s="85" t="n"/>
      <c r="AC66" s="93" t="n"/>
      <c r="AD66" s="93" t="n"/>
      <c r="AE66" s="32" t="n"/>
      <c r="AF66" s="93" t="n"/>
      <c r="AG66" s="93" t="n"/>
      <c r="AH66" s="93" t="n"/>
      <c r="AI66" s="93" t="n"/>
      <c r="AJ66" s="85" t="n"/>
      <c r="AK66" s="85" t="n"/>
      <c r="AL66" s="85" t="n"/>
      <c r="AM66" s="85" t="n"/>
      <c r="AN66" s="85" t="n"/>
      <c r="AO66" s="85" t="n"/>
      <c r="AP66" s="94" t="n">
        <v>1.010340370529944</v>
      </c>
      <c r="AQ66" s="89" t="n">
        <v>0.07320680305644567</v>
      </c>
      <c r="AR66" s="95" t="inlineStr">
        <is>
          <t>Y</t>
        </is>
      </c>
      <c r="AS66" s="95" t="inlineStr">
        <is>
          <t>List Price</t>
        </is>
      </c>
      <c r="AT66" s="96" t="n">
        <v>49.99</v>
      </c>
      <c r="AU66" s="96" t="n">
        <v>39.99</v>
      </c>
      <c r="AV66" s="95" t="inlineStr">
        <is>
          <t>none</t>
        </is>
      </c>
      <c r="AW66" s="95" t="inlineStr">
        <is>
          <t>Y</t>
        </is>
      </c>
      <c r="AX66" s="95" t="inlineStr">
        <is>
          <t>2026-10-13 23:43:36</t>
        </is>
      </c>
      <c r="AY66" s="102" t="n"/>
      <c r="AZ66" s="102" t="n"/>
      <c r="BA66" s="101" t="n"/>
      <c r="BB66" s="101" t="n"/>
      <c r="BC66" s="87">
        <f>IF(AND(ISNUMBER(BA66),ISNUMBER(BB66),N(BA66)&gt;0),1-BB66/BA66,"")</f>
        <v/>
      </c>
      <c r="BD66" s="103" t="n"/>
      <c r="BE66" s="103" t="n"/>
      <c r="BF66" s="100">
        <f>IF(AND(ISNUMBER(BD66),ISNUMBER(BE66),N(BE66)&gt;0),BD66/BE66,"")</f>
        <v/>
      </c>
      <c r="BG66" s="102" t="n"/>
      <c r="BH66" s="102" t="n"/>
    </row>
    <row r="67" ht="62" customHeight="1">
      <c r="A67" s="10">
        <f>_xlfn.IMAGE("https://images-na.ssl-images-amazon.com/images/I/81fj2tyxBwL.jpg")</f>
        <v/>
      </c>
      <c r="B67" s="84" t="inlineStr">
        <is>
          <t>akkialla</t>
        </is>
      </c>
      <c r="C67" s="32" t="inlineStr">
        <is>
          <t>akkialla Full/Queen Size Quilt Bedding Set,Beige Lightweight Microfiber Soft Bedspread,Modern Style Geoetric Pattern Coverlet Set for All Seasons,3 Piece(1 Quilt,2 Pillow Shams)</t>
        </is>
      </c>
      <c r="D67" s="84" t="inlineStr">
        <is>
          <t>Beatable</t>
        </is>
      </c>
      <c r="E67" s="84" t="inlineStr">
        <is>
          <t>B0DKDSQXBH</t>
        </is>
      </c>
      <c r="F67" s="84" t="inlineStr">
        <is>
          <t>B0DD3YKGCZ</t>
        </is>
      </c>
      <c r="G67" s="84" t="inlineStr">
        <is>
          <t>Full</t>
        </is>
      </c>
      <c r="H67" s="84" t="inlineStr">
        <is>
          <t>Beige</t>
        </is>
      </c>
      <c r="I67" s="85" t="n">
        <v>116</v>
      </c>
      <c r="J67" s="32" t="inlineStr"/>
      <c r="K67" s="86" t="n">
        <v>27.99</v>
      </c>
      <c r="L67" s="86" t="n"/>
      <c r="M67" s="87">
        <f>IF(AND(ISNUMBER(L67),ISNUMBER(K67),N(K67)&gt;0),L67/K67-1,"")</f>
        <v/>
      </c>
      <c r="N67" s="88">
        <f>IF(M67="","No List Price",IF(M67&lt;=0,"At/below price",IF(M67&lt;=0.12,"&lt;=12% STR zone",IF(M67&lt;=0.25,"12-25%","&gt;25% over"))))</f>
        <v/>
      </c>
      <c r="O67" s="86" t="n">
        <v>29.02125</v>
      </c>
      <c r="P67" s="89">
        <f>IF(AND(ISNUMBER(K67),ISNUMBER(O67),N(O67)&gt;0),K67/O67-1,"")</f>
        <v/>
      </c>
      <c r="Q67" s="32" t="inlineStr">
        <is>
          <t>vs our blended price (Command Center, Mar 2026 - STALE)</t>
        </is>
      </c>
      <c r="R67" s="85" t="n">
        <v>9638</v>
      </c>
      <c r="S67" s="85" t="n">
        <v>197</v>
      </c>
      <c r="T67" s="90">
        <f>IF(AND(ISNUMBER(K67),ISNUMBER(S67)),K67*S67*52/12,"")</f>
        <v/>
      </c>
      <c r="U67" s="91" t="n">
        <v>4.4</v>
      </c>
      <c r="V67" s="85" t="n">
        <v>1378</v>
      </c>
      <c r="W67" s="92" t="n">
        <v>46307</v>
      </c>
      <c r="X67" s="92" t="n">
        <v>45518</v>
      </c>
      <c r="Y67" s="84" t="inlineStr">
        <is>
          <t>FBA</t>
        </is>
      </c>
      <c r="Z67" s="84" t="inlineStr">
        <is>
          <t>CN</t>
        </is>
      </c>
      <c r="AA67" s="85" t="n"/>
      <c r="AB67" s="85" t="n"/>
      <c r="AC67" s="93" t="n"/>
      <c r="AD67" s="93" t="n"/>
      <c r="AE67" s="32" t="n"/>
      <c r="AF67" s="93" t="n"/>
      <c r="AG67" s="93" t="n"/>
      <c r="AH67" s="93" t="n"/>
      <c r="AI67" s="93" t="n"/>
      <c r="AJ67" s="85" t="n"/>
      <c r="AK67" s="85" t="n"/>
      <c r="AL67" s="85" t="n"/>
      <c r="AM67" s="85" t="n"/>
      <c r="AN67" s="85" t="n"/>
      <c r="AO67" s="85" t="n"/>
      <c r="AP67" s="94" t="n">
        <v>1.10208030962748</v>
      </c>
      <c r="AQ67" s="89" t="n">
        <v>0.9073083778966131</v>
      </c>
      <c r="AR67" s="95" t="inlineStr">
        <is>
          <t>N</t>
        </is>
      </c>
      <c r="AS67" s="95" t="inlineStr">
        <is>
          <t>none</t>
        </is>
      </c>
      <c r="AT67" s="101" t="n"/>
      <c r="AU67" s="96" t="n">
        <v>27.99</v>
      </c>
      <c r="AV67" s="95" t="inlineStr">
        <is>
          <t>none</t>
        </is>
      </c>
      <c r="AW67" s="95" t="inlineStr">
        <is>
          <t>Y</t>
        </is>
      </c>
      <c r="AX67" s="95" t="inlineStr">
        <is>
          <t>2026-10-13 23:44:10</t>
        </is>
      </c>
      <c r="AY67" s="102" t="n"/>
      <c r="AZ67" s="102" t="n"/>
      <c r="BA67" s="101" t="n"/>
      <c r="BB67" s="101" t="n"/>
      <c r="BC67" s="87">
        <f>IF(AND(ISNUMBER(BA67),ISNUMBER(BB67),N(BA67)&gt;0),1-BB67/BA67,"")</f>
        <v/>
      </c>
      <c r="BD67" s="103" t="n"/>
      <c r="BE67" s="103" t="n"/>
      <c r="BF67" s="100">
        <f>IF(AND(ISNUMBER(BD67),ISNUMBER(BE67),N(BE67)&gt;0),BD67/BE67,"")</f>
        <v/>
      </c>
      <c r="BG67" s="102" t="n"/>
      <c r="BH67" s="102" t="n"/>
    </row>
    <row r="68" ht="62" customHeight="1">
      <c r="A68" s="10">
        <f>_xlfn.IMAGE("https://images-na.ssl-images-amazon.com/images/I/71Wz8MFCVVL.jpg")</f>
        <v/>
      </c>
      <c r="B68" s="84" t="inlineStr">
        <is>
          <t>EverGrace</t>
        </is>
      </c>
      <c r="C68" s="32" t="inlineStr">
        <is>
          <t>EverGrace Striped Channel Velvet Quilt Set, King Size, Urban Taupe</t>
        </is>
      </c>
      <c r="D68" s="84" t="inlineStr">
        <is>
          <t>Beatable</t>
        </is>
      </c>
      <c r="E68" s="84" t="inlineStr">
        <is>
          <t>B0C4L25XW9</t>
        </is>
      </c>
      <c r="F68" s="84" t="inlineStr">
        <is>
          <t>B0D14LPTLP</t>
        </is>
      </c>
      <c r="G68" s="84" t="inlineStr">
        <is>
          <t>King</t>
        </is>
      </c>
      <c r="H68" s="84" t="inlineStr">
        <is>
          <t>Taupe</t>
        </is>
      </c>
      <c r="I68" s="85" t="n">
        <v>30</v>
      </c>
      <c r="J68" s="32" t="inlineStr"/>
      <c r="K68" s="86" t="n">
        <v>88.34</v>
      </c>
      <c r="L68" s="86" t="n">
        <v>92.98999999999999</v>
      </c>
      <c r="M68" s="87">
        <f>IF(AND(ISNUMBER(L68),ISNUMBER(K68),N(K68)&gt;0),L68/K68-1,"")</f>
        <v/>
      </c>
      <c r="N68" s="88">
        <f>IF(M68="","No List Price",IF(M68&lt;=0,"At/below price",IF(M68&lt;=0.12,"&lt;=12% STR zone",IF(M68&lt;=0.25,"12-25%","&gt;25% over"))))</f>
        <v/>
      </c>
      <c r="O68" s="86" t="n">
        <v>44.99</v>
      </c>
      <c r="P68" s="89">
        <f>IF(AND(ISNUMBER(K68),ISNUMBER(O68),N(O68)&gt;0),K68/O68-1,"")</f>
        <v/>
      </c>
      <c r="Q68" s="32" t="inlineStr">
        <is>
          <t>Same size (King). Ours live: Helium 10 Xray, 2026-10-13; 4 children</t>
        </is>
      </c>
      <c r="R68" s="85" t="n">
        <v>7973</v>
      </c>
      <c r="S68" s="85" t="n">
        <v>173</v>
      </c>
      <c r="T68" s="90">
        <f>IF(AND(ISNUMBER(K68),ISNUMBER(S68)),K68*S68*52/12,"")</f>
        <v/>
      </c>
      <c r="U68" s="91" t="n">
        <v>4.5</v>
      </c>
      <c r="V68" s="85" t="n">
        <v>1097</v>
      </c>
      <c r="W68" s="92" t="n">
        <v>46307</v>
      </c>
      <c r="X68" s="92" t="n">
        <v>45390</v>
      </c>
      <c r="Y68" s="84" t="inlineStr">
        <is>
          <t>FBA</t>
        </is>
      </c>
      <c r="Z68" s="84" t="inlineStr">
        <is>
          <t>CN</t>
        </is>
      </c>
      <c r="AA68" s="85" t="n"/>
      <c r="AB68" s="85" t="n"/>
      <c r="AC68" s="93" t="n"/>
      <c r="AD68" s="93" t="n"/>
      <c r="AE68" s="32" t="n"/>
      <c r="AF68" s="93" t="n"/>
      <c r="AG68" s="93" t="n"/>
      <c r="AH68" s="93" t="n"/>
      <c r="AI68" s="93" t="n"/>
      <c r="AJ68" s="85" t="n"/>
      <c r="AK68" s="85" t="n"/>
      <c r="AL68" s="85" t="n"/>
      <c r="AM68" s="85" t="n"/>
      <c r="AN68" s="85" t="n"/>
      <c r="AO68" s="85" t="n"/>
      <c r="AP68" s="94" t="n">
        <v>1.72992700729927</v>
      </c>
      <c r="AQ68" s="89" t="n">
        <v>-0.2489510489510489</v>
      </c>
      <c r="AR68" s="95" t="inlineStr">
        <is>
          <t>Y</t>
        </is>
      </c>
      <c r="AS68" s="95" t="inlineStr">
        <is>
          <t>Typical price</t>
        </is>
      </c>
      <c r="AT68" s="96" t="n">
        <v>92.98999999999999</v>
      </c>
      <c r="AU68" s="96" t="n">
        <v>88.34</v>
      </c>
      <c r="AV68" s="95" t="inlineStr">
        <is>
          <t>none</t>
        </is>
      </c>
      <c r="AW68" s="95" t="inlineStr">
        <is>
          <t>Y</t>
        </is>
      </c>
      <c r="AX68" s="95" t="inlineStr">
        <is>
          <t>2026-10-13 23:40:22</t>
        </is>
      </c>
      <c r="AY68" s="102" t="n"/>
      <c r="AZ68" s="102" t="n"/>
      <c r="BA68" s="101" t="n"/>
      <c r="BB68" s="101" t="n"/>
      <c r="BC68" s="87">
        <f>IF(AND(ISNUMBER(BA68),ISNUMBER(BB68),N(BA68)&gt;0),1-BB68/BA68,"")</f>
        <v/>
      </c>
      <c r="BD68" s="103" t="n"/>
      <c r="BE68" s="103" t="n"/>
      <c r="BF68" s="100">
        <f>IF(AND(ISNUMBER(BD68),ISNUMBER(BE68),N(BE68)&gt;0),BD68/BE68,"")</f>
        <v/>
      </c>
      <c r="BG68" s="102" t="n"/>
      <c r="BH68" s="102" t="n"/>
    </row>
    <row r="69" ht="62" customHeight="1">
      <c r="A69" s="39" t="inlineStr">
        <is>
          <t>IMAGE MISSING</t>
        </is>
      </c>
      <c r="B69" s="84" t="inlineStr">
        <is>
          <t>Bedsure</t>
        </is>
      </c>
      <c r="C69" s="32" t="inlineStr">
        <is>
          <t>Bamboo Sheets</t>
        </is>
      </c>
      <c r="D69" s="84" t="inlineStr">
        <is>
          <t>Beatable</t>
        </is>
      </c>
      <c r="E69" s="84" t="inlineStr">
        <is>
          <t>B0D14LL4GY</t>
        </is>
      </c>
      <c r="F69" s="84" t="inlineStr">
        <is>
          <t>B0FH51CVXT</t>
        </is>
      </c>
      <c r="G69" s="84" t="n"/>
      <c r="H69" s="84" t="n"/>
      <c r="I69" s="85" t="n"/>
      <c r="J69" s="32" t="inlineStr"/>
      <c r="K69" s="86" t="n">
        <v>46.99</v>
      </c>
      <c r="L69" s="86" t="n"/>
      <c r="M69" s="87">
        <f>IF(AND(ISNUMBER(L69),ISNUMBER(K69),N(K69)&gt;0),L69/K69-1,"")</f>
        <v/>
      </c>
      <c r="N69" s="88">
        <f>IF(M69="","No List Price",IF(M69&lt;=0,"At/below price",IF(M69&lt;=0.12,"&lt;=12% STR zone",IF(M69&lt;=0.25,"12-25%","&gt;25% over"))))</f>
        <v/>
      </c>
      <c r="O69" s="86" t="n">
        <v>41.99</v>
      </c>
      <c r="P69" s="89">
        <f>IF(AND(ISNUMBER(K69),ISNUMBER(O69),N(O69)&gt;0),K69/O69-1,"")</f>
        <v/>
      </c>
      <c r="Q69" s="32" t="inlineStr">
        <is>
          <t>Size not stated - vs our Queen. Ours live: Helium 10 Xray, 2026-10-13; 5 children</t>
        </is>
      </c>
      <c r="R69" s="85" t="n">
        <v>41764</v>
      </c>
      <c r="S69" s="85" t="n">
        <v>81</v>
      </c>
      <c r="T69" s="90">
        <f>IF(AND(ISNUMBER(K69),ISNUMBER(S69)),K69*S69*52/12,"")</f>
        <v/>
      </c>
      <c r="U69" s="91" t="n">
        <v>4.6</v>
      </c>
      <c r="V69" s="85" t="n">
        <v>1294</v>
      </c>
      <c r="W69" s="92" t="n">
        <v>46307</v>
      </c>
      <c r="X69" s="92" t="n"/>
      <c r="Y69" s="84" t="n"/>
      <c r="Z69" s="84" t="n"/>
      <c r="AA69" s="85" t="n"/>
      <c r="AB69" s="85" t="n"/>
      <c r="AC69" s="93" t="n"/>
      <c r="AD69" s="93" t="n"/>
      <c r="AE69" s="32" t="n"/>
      <c r="AF69" s="93" t="n"/>
      <c r="AG69" s="93" t="n"/>
      <c r="AH69" s="93" t="n"/>
      <c r="AI69" s="93" t="n"/>
      <c r="AJ69" s="85" t="n"/>
      <c r="AK69" s="85" t="n"/>
      <c r="AL69" s="85" t="n"/>
      <c r="AM69" s="85" t="n"/>
      <c r="AN69" s="85" t="n"/>
      <c r="AO69" s="85" t="n"/>
      <c r="AP69" s="94" t="n">
        <v>0.9979818365287589</v>
      </c>
      <c r="AQ69" s="89" t="n">
        <v>1.381868131868132</v>
      </c>
      <c r="AR69" s="95" t="inlineStr">
        <is>
          <t>Y</t>
        </is>
      </c>
      <c r="AS69" s="95" t="inlineStr">
        <is>
          <t>List Price</t>
        </is>
      </c>
      <c r="AT69" s="96" t="n">
        <v>58.99</v>
      </c>
      <c r="AU69" s="96" t="n">
        <v>46.99</v>
      </c>
      <c r="AV69" s="95" t="inlineStr">
        <is>
          <t>none</t>
        </is>
      </c>
      <c r="AW69" s="95" t="inlineStr">
        <is>
          <t>Y</t>
        </is>
      </c>
      <c r="AX69" s="95" t="inlineStr">
        <is>
          <t>2026-10-13 23:39:48</t>
        </is>
      </c>
      <c r="AY69" s="102" t="n"/>
      <c r="AZ69" s="102" t="n"/>
      <c r="BA69" s="101" t="n"/>
      <c r="BB69" s="101" t="n"/>
      <c r="BC69" s="87">
        <f>IF(AND(ISNUMBER(BA69),ISNUMBER(BB69),N(BA69)&gt;0),1-BB69/BA69,"")</f>
        <v/>
      </c>
      <c r="BD69" s="103" t="n"/>
      <c r="BE69" s="103" t="n"/>
      <c r="BF69" s="100">
        <f>IF(AND(ISNUMBER(BD69),ISNUMBER(BE69),N(BE69)&gt;0),BD69/BE69,"")</f>
        <v/>
      </c>
      <c r="BG69" s="102" t="n"/>
      <c r="BH69" s="102" t="n"/>
    </row>
    <row r="70" ht="62" customHeight="1">
      <c r="A70" s="39" t="inlineStr">
        <is>
          <t>IMAGE MISSING</t>
        </is>
      </c>
      <c r="B70" s="84" t="inlineStr">
        <is>
          <t>Joyreap</t>
        </is>
      </c>
      <c r="C70" s="32" t="inlineStr">
        <is>
          <t>Bamboo Sheets</t>
        </is>
      </c>
      <c r="D70" s="84" t="inlineStr">
        <is>
          <t>Beatable</t>
        </is>
      </c>
      <c r="E70" s="84" t="inlineStr">
        <is>
          <t>B0D1KPS93N</t>
        </is>
      </c>
      <c r="F70" s="84" t="inlineStr">
        <is>
          <t>B0D1KHV9TM</t>
        </is>
      </c>
      <c r="G70" s="84" t="n"/>
      <c r="H70" s="84" t="n"/>
      <c r="I70" s="85" t="n"/>
      <c r="J70" s="32" t="inlineStr"/>
      <c r="K70" s="86" t="n">
        <v>29.99</v>
      </c>
      <c r="L70" s="86" t="n"/>
      <c r="M70" s="87">
        <f>IF(AND(ISNUMBER(L70),ISNUMBER(K70),N(K70)&gt;0),L70/K70-1,"")</f>
        <v/>
      </c>
      <c r="N70" s="88">
        <f>IF(M70="","No List Price",IF(M70&lt;=0,"At/below price",IF(M70&lt;=0.12,"&lt;=12% STR zone",IF(M70&lt;=0.25,"12-25%","&gt;25% over"))))</f>
        <v/>
      </c>
      <c r="O70" s="86" t="n">
        <v>41.99</v>
      </c>
      <c r="P70" s="89">
        <f>IF(AND(ISNUMBER(K70),ISNUMBER(O70),N(O70)&gt;0),K70/O70-1,"")</f>
        <v/>
      </c>
      <c r="Q70" s="32" t="inlineStr">
        <is>
          <t>Size not stated - vs our Queen. Ours live: Helium 10 Xray, 2026-10-13; 5 children</t>
        </is>
      </c>
      <c r="R70" s="85" t="n">
        <v>25190</v>
      </c>
      <c r="S70" s="85" t="n">
        <v>81</v>
      </c>
      <c r="T70" s="90">
        <f>IF(AND(ISNUMBER(K70),ISNUMBER(S70)),K70*S70*52/12,"")</f>
        <v/>
      </c>
      <c r="U70" s="91" t="n">
        <v>4.6</v>
      </c>
      <c r="V70" s="85" t="n">
        <v>1595</v>
      </c>
      <c r="W70" s="92" t="n">
        <v>46307</v>
      </c>
      <c r="X70" s="92" t="n"/>
      <c r="Y70" s="84" t="n"/>
      <c r="Z70" s="84" t="n"/>
      <c r="AA70" s="85" t="n"/>
      <c r="AB70" s="85" t="n"/>
      <c r="AC70" s="93" t="n"/>
      <c r="AD70" s="93" t="n"/>
      <c r="AE70" s="32" t="n"/>
      <c r="AF70" s="93" t="n"/>
      <c r="AG70" s="93" t="n"/>
      <c r="AH70" s="93" t="n"/>
      <c r="AI70" s="93" t="n"/>
      <c r="AJ70" s="85" t="n"/>
      <c r="AK70" s="85" t="n"/>
      <c r="AL70" s="85" t="n"/>
      <c r="AM70" s="85" t="n"/>
      <c r="AN70" s="85" t="n"/>
      <c r="AO70" s="85" t="n"/>
      <c r="AP70" s="94" t="n">
        <v>1.020408163265306</v>
      </c>
      <c r="AQ70" s="89" t="n">
        <v>2.074829931972789</v>
      </c>
      <c r="AR70" s="95" t="inlineStr">
        <is>
          <t>N</t>
        </is>
      </c>
      <c r="AS70" s="95" t="inlineStr">
        <is>
          <t>none</t>
        </is>
      </c>
      <c r="AT70" s="101" t="n"/>
      <c r="AU70" s="96" t="n">
        <v>29.99</v>
      </c>
      <c r="AV70" s="95" t="inlineStr">
        <is>
          <t>none</t>
        </is>
      </c>
      <c r="AW70" s="95" t="inlineStr">
        <is>
          <t>Y</t>
        </is>
      </c>
      <c r="AX70" s="95" t="inlineStr">
        <is>
          <t>2026-10-13 23:41:28</t>
        </is>
      </c>
      <c r="AY70" s="102" t="n"/>
      <c r="AZ70" s="102" t="n"/>
      <c r="BA70" s="101" t="n"/>
      <c r="BB70" s="101" t="n"/>
      <c r="BC70" s="87">
        <f>IF(AND(ISNUMBER(BA70),ISNUMBER(BB70),N(BA70)&gt;0),1-BB70/BA70,"")</f>
        <v/>
      </c>
      <c r="BD70" s="103" t="n"/>
      <c r="BE70" s="103" t="n"/>
      <c r="BF70" s="100">
        <f>IF(AND(ISNUMBER(BD70),ISNUMBER(BE70),N(BE70)&gt;0),BD70/BE70,"")</f>
        <v/>
      </c>
      <c r="BG70" s="102" t="n"/>
      <c r="BH70" s="102" t="n"/>
    </row>
    <row r="71" ht="62" customHeight="1">
      <c r="A71" s="10">
        <f>_xlfn.IMAGE("https://images-na.ssl-images-amazon.com/images/I/81S6ZErX1dL.jpg")</f>
        <v/>
      </c>
      <c r="B71" s="84" t="inlineStr">
        <is>
          <t>Tyrot</t>
        </is>
      </c>
      <c r="C71" s="32" t="inlineStr">
        <is>
          <t>Tyrot 3 Piece Black Boho Floral King Quilt Bedding Sets</t>
        </is>
      </c>
      <c r="D71" s="84" t="inlineStr">
        <is>
          <t>Beatable</t>
        </is>
      </c>
      <c r="E71" s="84" t="inlineStr">
        <is>
          <t>B0CY5H7RHH</t>
        </is>
      </c>
      <c r="F71" s="84" t="inlineStr">
        <is>
          <t>B0CY5BYX7W</t>
        </is>
      </c>
      <c r="G71" s="84" t="inlineStr">
        <is>
          <t>King</t>
        </is>
      </c>
      <c r="H71" s="84" t="inlineStr">
        <is>
          <t>Black</t>
        </is>
      </c>
      <c r="I71" s="85" t="n">
        <v>23</v>
      </c>
      <c r="J71" s="32" t="inlineStr"/>
      <c r="K71" s="86" t="n">
        <v>52.99</v>
      </c>
      <c r="L71" s="86" t="n"/>
      <c r="M71" s="87">
        <f>IF(AND(ISNUMBER(L71),ISNUMBER(K71),N(K71)&gt;0),L71/K71-1,"")</f>
        <v/>
      </c>
      <c r="N71" s="88">
        <f>IF(M71="","No List Price",IF(M71&lt;=0,"At/below price",IF(M71&lt;=0.12,"&lt;=12% STR zone",IF(M71&lt;=0.25,"12-25%","&gt;25% over"))))</f>
        <v/>
      </c>
      <c r="O71" s="86" t="n">
        <v>44.99</v>
      </c>
      <c r="P71" s="89">
        <f>IF(AND(ISNUMBER(K71),ISNUMBER(O71),N(O71)&gt;0),K71/O71-1,"")</f>
        <v/>
      </c>
      <c r="Q71" s="32" t="inlineStr">
        <is>
          <t>Same size (King). Ours live: Helium 10 Xray, 2026-10-13; 4 children</t>
        </is>
      </c>
      <c r="R71" s="85" t="n">
        <v>18942</v>
      </c>
      <c r="S71" s="85" t="n">
        <v>81</v>
      </c>
      <c r="T71" s="90">
        <f>IF(AND(ISNUMBER(K71),ISNUMBER(S71)),K71*S71*52/12,"")</f>
        <v/>
      </c>
      <c r="U71" s="91" t="n">
        <v>4.7</v>
      </c>
      <c r="V71" s="85" t="n">
        <v>1849</v>
      </c>
      <c r="W71" s="92" t="n">
        <v>46307</v>
      </c>
      <c r="X71" s="92" t="n">
        <v>45366</v>
      </c>
      <c r="Y71" s="84" t="inlineStr">
        <is>
          <t>FBA</t>
        </is>
      </c>
      <c r="Z71" s="84" t="inlineStr">
        <is>
          <t>CN</t>
        </is>
      </c>
      <c r="AA71" s="85" t="n"/>
      <c r="AB71" s="85" t="n"/>
      <c r="AC71" s="93" t="n"/>
      <c r="AD71" s="93" t="n"/>
      <c r="AE71" s="32" t="n"/>
      <c r="AF71" s="93" t="n"/>
      <c r="AG71" s="93" t="n"/>
      <c r="AH71" s="93" t="n"/>
      <c r="AI71" s="93" t="n"/>
      <c r="AJ71" s="85" t="n"/>
      <c r="AK71" s="85" t="n"/>
      <c r="AL71" s="85" t="n"/>
      <c r="AM71" s="85" t="n"/>
      <c r="AN71" s="85" t="n"/>
      <c r="AO71" s="85" t="n"/>
      <c r="AP71" s="94" t="n"/>
      <c r="AQ71" s="89" t="n"/>
      <c r="AR71" s="95" t="inlineStr">
        <is>
          <t>N</t>
        </is>
      </c>
      <c r="AS71" s="95" t="inlineStr">
        <is>
          <t>none</t>
        </is>
      </c>
      <c r="AT71" s="101" t="n"/>
      <c r="AU71" s="96" t="n">
        <v>52.99</v>
      </c>
      <c r="AV71" s="95" t="inlineStr">
        <is>
          <t>none</t>
        </is>
      </c>
      <c r="AW71" s="95" t="inlineStr">
        <is>
          <t>Y</t>
        </is>
      </c>
      <c r="AX71" s="95" t="inlineStr">
        <is>
          <t>2026-10-13 23:43:30</t>
        </is>
      </c>
      <c r="AY71" s="102" t="n"/>
      <c r="AZ71" s="102" t="n"/>
      <c r="BA71" s="101" t="n"/>
      <c r="BB71" s="101" t="n"/>
      <c r="BC71" s="87">
        <f>IF(AND(ISNUMBER(BA71),ISNUMBER(BB71),N(BA71)&gt;0),1-BB71/BA71,"")</f>
        <v/>
      </c>
      <c r="BD71" s="103" t="n"/>
      <c r="BE71" s="103" t="n"/>
      <c r="BF71" s="100">
        <f>IF(AND(ISNUMBER(BD71),ISNUMBER(BE71),N(BE71)&gt;0),BD71/BE71,"")</f>
        <v/>
      </c>
      <c r="BG71" s="102" t="n"/>
      <c r="BH71" s="102" t="n"/>
    </row>
    <row r="72" ht="62" customHeight="1">
      <c r="A72" s="10">
        <f>_xlfn.IMAGE("https://images-na.ssl-images-amazon.com/images/I/71b4fXGePgL.jpg")</f>
        <v/>
      </c>
      <c r="B72" s="84" t="inlineStr">
        <is>
          <t>Luxudecor</t>
        </is>
      </c>
      <c r="C72" s="32" t="inlineStr">
        <is>
          <t>Luxudecor Quilts Queen Size Boho Sage Green Quilt Bedspreads Bedding Set, 3 Pieces Summer Queen Coverlet Sets with 2 Shams,Soft Lightweight Striped Patchwork Quilt for Bed 96"x90"</t>
        </is>
      </c>
      <c r="D72" s="84" t="inlineStr">
        <is>
          <t>Beatable</t>
        </is>
      </c>
      <c r="E72" s="84" t="inlineStr">
        <is>
          <t>B0GDXK4KHR</t>
        </is>
      </c>
      <c r="F72" s="84" t="inlineStr">
        <is>
          <t>B0FWQB61X1</t>
        </is>
      </c>
      <c r="G72" s="84" t="inlineStr">
        <is>
          <t>Queen</t>
        </is>
      </c>
      <c r="H72" s="84" t="inlineStr">
        <is>
          <t>Green</t>
        </is>
      </c>
      <c r="I72" s="85" t="n">
        <v>2</v>
      </c>
      <c r="J72" s="32" t="inlineStr"/>
      <c r="K72" s="86" t="n">
        <v>33.99</v>
      </c>
      <c r="L72" s="86" t="n"/>
      <c r="M72" s="87">
        <f>IF(AND(ISNUMBER(L72),ISNUMBER(K72),N(K72)&gt;0),L72/K72-1,"")</f>
        <v/>
      </c>
      <c r="N72" s="88">
        <f>IF(M72="","No List Price",IF(M72&lt;=0,"At/below price",IF(M72&lt;=0.12,"&lt;=12% STR zone",IF(M72&lt;=0.25,"12-25%","&gt;25% over"))))</f>
        <v/>
      </c>
      <c r="O72" s="86" t="n">
        <v>41.99</v>
      </c>
      <c r="P72" s="89">
        <f>IF(AND(ISNUMBER(K72),ISNUMBER(O72),N(O72)&gt;0),K72/O72-1,"")</f>
        <v/>
      </c>
      <c r="Q72" s="32" t="inlineStr">
        <is>
          <t>Same size (Queen). Ours live: Helium 10 Xray, 2026-10-13; 5 children</t>
        </is>
      </c>
      <c r="R72" s="85" t="n">
        <v>1652676</v>
      </c>
      <c r="S72" s="85" t="n">
        <v>5</v>
      </c>
      <c r="T72" s="90">
        <f>IF(AND(ISNUMBER(K72),ISNUMBER(S72)),K72*S72*52/12,"")</f>
        <v/>
      </c>
      <c r="U72" s="91" t="n">
        <v>4.6</v>
      </c>
      <c r="V72" s="85" t="n">
        <v>40</v>
      </c>
      <c r="W72" s="92" t="n">
        <v>46307</v>
      </c>
      <c r="X72" s="92" t="n">
        <v>45947</v>
      </c>
      <c r="Y72" s="84" t="inlineStr">
        <is>
          <t>FBM</t>
        </is>
      </c>
      <c r="Z72" s="84" t="inlineStr">
        <is>
          <t>N/A</t>
        </is>
      </c>
      <c r="AA72" s="85" t="n"/>
      <c r="AB72" s="85" t="n"/>
      <c r="AC72" s="93" t="n"/>
      <c r="AD72" s="93" t="n"/>
      <c r="AE72" s="32" t="n"/>
      <c r="AF72" s="93" t="n"/>
      <c r="AG72" s="93" t="n"/>
      <c r="AH72" s="93" t="n"/>
      <c r="AI72" s="93" t="n"/>
      <c r="AJ72" s="85" t="n"/>
      <c r="AK72" s="85" t="n"/>
      <c r="AL72" s="85" t="n"/>
      <c r="AM72" s="85" t="n"/>
      <c r="AN72" s="85" t="n"/>
      <c r="AO72" s="85" t="n"/>
      <c r="AP72" s="94" t="n"/>
      <c r="AQ72" s="89" t="n"/>
      <c r="AR72" s="95" t="inlineStr">
        <is>
          <t>N</t>
        </is>
      </c>
      <c r="AS72" s="95" t="inlineStr">
        <is>
          <t>none</t>
        </is>
      </c>
      <c r="AT72" s="101" t="n"/>
      <c r="AU72" s="101" t="n"/>
      <c r="AV72" s="95" t="inlineStr">
        <is>
          <t>none</t>
        </is>
      </c>
      <c r="AW72" s="95" t="inlineStr">
        <is>
          <t>N</t>
        </is>
      </c>
      <c r="AX72" s="95" t="inlineStr">
        <is>
          <t>2026-10-13 23:41:43</t>
        </is>
      </c>
      <c r="AY72" s="102" t="n"/>
      <c r="AZ72" s="102" t="n"/>
      <c r="BA72" s="101" t="n"/>
      <c r="BB72" s="101" t="n"/>
      <c r="BC72" s="87">
        <f>IF(AND(ISNUMBER(BA72),ISNUMBER(BB72),N(BA72)&gt;0),1-BB72/BA72,"")</f>
        <v/>
      </c>
      <c r="BD72" s="103" t="n"/>
      <c r="BE72" s="103" t="n"/>
      <c r="BF72" s="100">
        <f>IF(AND(ISNUMBER(BD72),ISNUMBER(BE72),N(BE72)&gt;0),BD72/BE72,"")</f>
        <v/>
      </c>
      <c r="BG72" s="102" t="n"/>
      <c r="BH72" s="102" t="n"/>
    </row>
    <row r="73" ht="62" customHeight="1">
      <c r="A73" s="39" t="inlineStr">
        <is>
          <t>IMAGE MISSING</t>
        </is>
      </c>
      <c r="B73" s="84" t="inlineStr">
        <is>
          <t>Ycosy</t>
        </is>
      </c>
      <c r="C73" s="32" t="inlineStr">
        <is>
          <t>Bamboo Sheets</t>
        </is>
      </c>
      <c r="D73" s="84" t="inlineStr">
        <is>
          <t>Beatable</t>
        </is>
      </c>
      <c r="E73" s="84" t="inlineStr">
        <is>
          <t>B08MX8D8KK</t>
        </is>
      </c>
      <c r="F73" s="84" t="inlineStr">
        <is>
          <t>B0FC6F4RYY</t>
        </is>
      </c>
      <c r="G73" s="84" t="n"/>
      <c r="H73" s="84" t="n"/>
      <c r="I73" s="85" t="n"/>
      <c r="J73" s="32" t="inlineStr"/>
      <c r="K73" s="86" t="n">
        <v>32.99</v>
      </c>
      <c r="L73" s="86" t="n"/>
      <c r="M73" s="87">
        <f>IF(AND(ISNUMBER(L73),ISNUMBER(K73),N(K73)&gt;0),L73/K73-1,"")</f>
        <v/>
      </c>
      <c r="N73" s="88">
        <f>IF(M73="","No List Price",IF(M73&lt;=0,"At/below price",IF(M73&lt;=0.12,"&lt;=12% STR zone",IF(M73&lt;=0.25,"12-25%","&gt;25% over"))))</f>
        <v/>
      </c>
      <c r="O73" s="86" t="n">
        <v>41.99</v>
      </c>
      <c r="P73" s="89">
        <f>IF(AND(ISNUMBER(K73),ISNUMBER(O73),N(O73)&gt;0),K73/O73-1,"")</f>
        <v/>
      </c>
      <c r="Q73" s="32" t="inlineStr">
        <is>
          <t>Size not stated - vs our Queen. Ours live: Helium 10 Xray, 2026-10-13; 5 children</t>
        </is>
      </c>
      <c r="R73" s="85" t="n">
        <v>642294</v>
      </c>
      <c r="S73" s="85" t="n">
        <v>5</v>
      </c>
      <c r="T73" s="90">
        <f>IF(AND(ISNUMBER(K73),ISNUMBER(S73)),K73*S73*52/12,"")</f>
        <v/>
      </c>
      <c r="U73" s="91" t="n">
        <v>4.5</v>
      </c>
      <c r="V73" s="85" t="n">
        <v>1264</v>
      </c>
      <c r="W73" s="92" t="n">
        <v>46307</v>
      </c>
      <c r="X73" s="92" t="n"/>
      <c r="Y73" s="84" t="n"/>
      <c r="Z73" s="84" t="n"/>
      <c r="AA73" s="85" t="n"/>
      <c r="AB73" s="85" t="n"/>
      <c r="AC73" s="93" t="n"/>
      <c r="AD73" s="93" t="n"/>
      <c r="AE73" s="32" t="n"/>
      <c r="AF73" s="93" t="n"/>
      <c r="AG73" s="93" t="n"/>
      <c r="AH73" s="93" t="n"/>
      <c r="AI73" s="93" t="n"/>
      <c r="AJ73" s="85" t="n"/>
      <c r="AK73" s="85" t="n"/>
      <c r="AL73" s="85" t="n"/>
      <c r="AM73" s="85" t="n"/>
      <c r="AN73" s="85" t="n"/>
      <c r="AO73" s="85" t="n"/>
      <c r="AP73" s="94" t="n"/>
      <c r="AQ73" s="89" t="n"/>
      <c r="AR73" s="95" t="inlineStr">
        <is>
          <t>N</t>
        </is>
      </c>
      <c r="AS73" s="95" t="inlineStr">
        <is>
          <t>none</t>
        </is>
      </c>
      <c r="AT73" s="101" t="n"/>
      <c r="AU73" s="101" t="n"/>
      <c r="AV73" s="95" t="inlineStr">
        <is>
          <t>none</t>
        </is>
      </c>
      <c r="AW73" s="102" t="n"/>
      <c r="AX73" s="95" t="inlineStr">
        <is>
          <t>2026-10-13 23:49:11</t>
        </is>
      </c>
      <c r="AY73" s="102" t="n"/>
      <c r="AZ73" s="102" t="n"/>
      <c r="BA73" s="101" t="n"/>
      <c r="BB73" s="101" t="n"/>
      <c r="BC73" s="87">
        <f>IF(AND(ISNUMBER(BA73),ISNUMBER(BB73),N(BA73)&gt;0),1-BB73/BA73,"")</f>
        <v/>
      </c>
      <c r="BD73" s="103" t="n"/>
      <c r="BE73" s="103" t="n"/>
      <c r="BF73" s="100">
        <f>IF(AND(ISNUMBER(BD73),ISNUMBER(BE73),N(BE73)&gt;0),BD73/BE73,"")</f>
        <v/>
      </c>
      <c r="BG73" s="102" t="n"/>
      <c r="BH73" s="102" t="n"/>
    </row>
    <row r="74" ht="62" customHeight="1">
      <c r="A74" s="39" t="inlineStr">
        <is>
          <t>IMAGE MISSING</t>
        </is>
      </c>
      <c r="B74" s="84" t="inlineStr">
        <is>
          <t>Anibedding</t>
        </is>
      </c>
      <c r="C74" s="32" t="inlineStr">
        <is>
          <t>Bamboo Sheets</t>
        </is>
      </c>
      <c r="D74" s="84" t="inlineStr">
        <is>
          <t>Poor</t>
        </is>
      </c>
      <c r="E74" s="84" t="inlineStr">
        <is>
          <t>B0F82F4MD4</t>
        </is>
      </c>
      <c r="F74" s="84" t="inlineStr">
        <is>
          <t>B0F8N6XCJ5</t>
        </is>
      </c>
      <c r="G74" s="84" t="n"/>
      <c r="H74" s="84" t="n"/>
      <c r="I74" s="85" t="n"/>
      <c r="J74" s="32" t="inlineStr"/>
      <c r="K74" s="86" t="n">
        <v>35.88</v>
      </c>
      <c r="L74" s="86" t="n"/>
      <c r="M74" s="87">
        <f>IF(AND(ISNUMBER(L74),ISNUMBER(K74),N(K74)&gt;0),L74/K74-1,"")</f>
        <v/>
      </c>
      <c r="N74" s="88">
        <f>IF(M74="","No List Price",IF(M74&lt;=0,"At/below price",IF(M74&lt;=0.12,"&lt;=12% STR zone",IF(M74&lt;=0.25,"12-25%","&gt;25% over"))))</f>
        <v/>
      </c>
      <c r="O74" s="86" t="n">
        <v>41.99</v>
      </c>
      <c r="P74" s="89">
        <f>IF(AND(ISNUMBER(K74),ISNUMBER(O74),N(O74)&gt;0),K74/O74-1,"")</f>
        <v/>
      </c>
      <c r="Q74" s="32" t="inlineStr">
        <is>
          <t>Size not stated - vs our Queen. Ours live: Helium 10 Xray, 2026-10-13; 5 children</t>
        </is>
      </c>
      <c r="R74" s="85" t="n">
        <v>55055</v>
      </c>
      <c r="S74" s="85" t="n">
        <v>35</v>
      </c>
      <c r="T74" s="90">
        <f>IF(AND(ISNUMBER(K74),ISNUMBER(S74)),K74*S74*52/12,"")</f>
        <v/>
      </c>
      <c r="U74" s="91" t="n">
        <v>4.6</v>
      </c>
      <c r="V74" s="85" t="n">
        <v>361</v>
      </c>
      <c r="W74" s="92" t="n">
        <v>46307</v>
      </c>
      <c r="X74" s="92" t="n"/>
      <c r="Y74" s="84" t="n"/>
      <c r="Z74" s="84" t="n"/>
      <c r="AA74" s="85" t="n"/>
      <c r="AB74" s="85" t="n"/>
      <c r="AC74" s="93" t="n"/>
      <c r="AD74" s="93" t="n"/>
      <c r="AE74" s="32" t="n"/>
      <c r="AF74" s="93" t="n"/>
      <c r="AG74" s="93" t="n"/>
      <c r="AH74" s="93" t="n"/>
      <c r="AI74" s="93" t="n"/>
      <c r="AJ74" s="85" t="n"/>
      <c r="AK74" s="85" t="n"/>
      <c r="AL74" s="85" t="n"/>
      <c r="AM74" s="85" t="n"/>
      <c r="AN74" s="85" t="n"/>
      <c r="AO74" s="85" t="n"/>
      <c r="AP74" s="94" t="n"/>
      <c r="AQ74" s="89" t="n"/>
      <c r="AR74" s="95" t="inlineStr">
        <is>
          <t>Y</t>
        </is>
      </c>
      <c r="AS74" s="95" t="inlineStr">
        <is>
          <t>List Price</t>
        </is>
      </c>
      <c r="AT74" s="96" t="n">
        <v>37.98</v>
      </c>
      <c r="AU74" s="96" t="n">
        <v>33.99</v>
      </c>
      <c r="AV74" s="95" t="inlineStr">
        <is>
          <t>none</t>
        </is>
      </c>
      <c r="AW74" s="95" t="inlineStr">
        <is>
          <t>Y</t>
        </is>
      </c>
      <c r="AX74" s="95" t="inlineStr">
        <is>
          <t>2026-10-13 23:39:36</t>
        </is>
      </c>
      <c r="AY74" s="102" t="n"/>
      <c r="AZ74" s="102" t="n"/>
      <c r="BA74" s="101" t="n"/>
      <c r="BB74" s="101" t="n"/>
      <c r="BC74" s="87">
        <f>IF(AND(ISNUMBER(BA74),ISNUMBER(BB74),N(BA74)&gt;0),1-BB74/BA74,"")</f>
        <v/>
      </c>
      <c r="BD74" s="103" t="n"/>
      <c r="BE74" s="103" t="n"/>
      <c r="BF74" s="100">
        <f>IF(AND(ISNUMBER(BD74),ISNUMBER(BE74),N(BE74)&gt;0),BD74/BE74,"")</f>
        <v/>
      </c>
      <c r="BG74" s="102" t="n"/>
      <c r="BH74" s="102" t="n"/>
    </row>
    <row r="75" ht="62" customHeight="1">
      <c r="A75" s="39" t="inlineStr">
        <is>
          <t>IMAGE MISSING</t>
        </is>
      </c>
      <c r="B75" s="84" t="inlineStr">
        <is>
          <t>DJY</t>
        </is>
      </c>
      <c r="C75" s="32" t="inlineStr">
        <is>
          <t>Bamboo Sheets</t>
        </is>
      </c>
      <c r="D75" s="84" t="inlineStr">
        <is>
          <t>Poor</t>
        </is>
      </c>
      <c r="E75" s="84" t="inlineStr">
        <is>
          <t>B0DHCGW8HR</t>
        </is>
      </c>
      <c r="F75" s="84" t="inlineStr">
        <is>
          <t>B0DHCG7VDK</t>
        </is>
      </c>
      <c r="G75" s="84" t="n"/>
      <c r="H75" s="84" t="n"/>
      <c r="I75" s="85" t="n"/>
      <c r="J75" s="32" t="inlineStr"/>
      <c r="K75" s="86" t="n">
        <v>36.98</v>
      </c>
      <c r="L75" s="86" t="n"/>
      <c r="M75" s="87">
        <f>IF(AND(ISNUMBER(L75),ISNUMBER(K75),N(K75)&gt;0),L75/K75-1,"")</f>
        <v/>
      </c>
      <c r="N75" s="88">
        <f>IF(M75="","No List Price",IF(M75&lt;=0,"At/below price",IF(M75&lt;=0.12,"&lt;=12% STR zone",IF(M75&lt;=0.25,"12-25%","&gt;25% over"))))</f>
        <v/>
      </c>
      <c r="O75" s="86" t="n">
        <v>41.99</v>
      </c>
      <c r="P75" s="89">
        <f>IF(AND(ISNUMBER(K75),ISNUMBER(O75),N(O75)&gt;0),K75/O75-1,"")</f>
        <v/>
      </c>
      <c r="Q75" s="32" t="inlineStr">
        <is>
          <t>Size not stated - vs our Queen. Ours live: Helium 10 Xray, 2026-10-13; 5 children</t>
        </is>
      </c>
      <c r="R75" s="85" t="n">
        <v>159647</v>
      </c>
      <c r="S75" s="85" t="n">
        <v>5</v>
      </c>
      <c r="T75" s="90">
        <f>IF(AND(ISNUMBER(K75),ISNUMBER(S75)),K75*S75*52/12,"")</f>
        <v/>
      </c>
      <c r="U75" s="91" t="n">
        <v>4.6</v>
      </c>
      <c r="V75" s="85" t="n">
        <v>424</v>
      </c>
      <c r="W75" s="92" t="n">
        <v>46307</v>
      </c>
      <c r="X75" s="92" t="n"/>
      <c r="Y75" s="84" t="n"/>
      <c r="Z75" s="84" t="n"/>
      <c r="AA75" s="85" t="n"/>
      <c r="AB75" s="85" t="n"/>
      <c r="AC75" s="93" t="n"/>
      <c r="AD75" s="93" t="n"/>
      <c r="AE75" s="32" t="n"/>
      <c r="AF75" s="93" t="n"/>
      <c r="AG75" s="93" t="n"/>
      <c r="AH75" s="93" t="n"/>
      <c r="AI75" s="93" t="n"/>
      <c r="AJ75" s="85" t="n"/>
      <c r="AK75" s="85" t="n"/>
      <c r="AL75" s="85" t="n"/>
      <c r="AM75" s="85" t="n"/>
      <c r="AN75" s="85" t="n"/>
      <c r="AO75" s="85" t="n"/>
      <c r="AP75" s="94" t="n"/>
      <c r="AQ75" s="89" t="n"/>
      <c r="AR75" s="95" t="inlineStr">
        <is>
          <t>N</t>
        </is>
      </c>
      <c r="AS75" s="95" t="inlineStr">
        <is>
          <t>none</t>
        </is>
      </c>
      <c r="AT75" s="101" t="n"/>
      <c r="AU75" s="96" t="n">
        <v>36.98</v>
      </c>
      <c r="AV75" s="95" t="inlineStr">
        <is>
          <t>none</t>
        </is>
      </c>
      <c r="AW75" s="95" t="inlineStr">
        <is>
          <t>Y</t>
        </is>
      </c>
      <c r="AX75" s="95" t="inlineStr">
        <is>
          <t>2026-10-13 23:40:07</t>
        </is>
      </c>
      <c r="AY75" s="102" t="n"/>
      <c r="AZ75" s="102" t="n"/>
      <c r="BA75" s="101" t="n"/>
      <c r="BB75" s="101" t="n"/>
      <c r="BC75" s="87">
        <f>IF(AND(ISNUMBER(BA75),ISNUMBER(BB75),N(BA75)&gt;0),1-BB75/BA75,"")</f>
        <v/>
      </c>
      <c r="BD75" s="103" t="n"/>
      <c r="BE75" s="103" t="n"/>
      <c r="BF75" s="100">
        <f>IF(AND(ISNUMBER(BD75),ISNUMBER(BE75),N(BE75)&gt;0),BD75/BE75,"")</f>
        <v/>
      </c>
      <c r="BG75" s="102" t="n"/>
      <c r="BH75" s="102" t="n"/>
    </row>
    <row r="77" ht="20" customHeight="1">
      <c r="A77" s="54" t="inlineStr">
        <is>
          <t>5 · WHAT THIS MEANS FOR BFCM</t>
        </is>
      </c>
    </row>
    <row r="78" ht="30" customHeight="1">
      <c r="A78" s="104" t="inlineStr">
        <is>
          <t>•  Who sells most: Love's cabin ~809/wk at $25.99 (List $31.99, +23%); FLYMME ~347/wk at $27.99; WDCOZY ~347/wk at $44.99; WRENSONGE ~220/wk at $39.99; akkialla ~197/wk at $27.99. Tracked rivals ~2,924 units/wk; we sell ~8/wk (0.3% of the tracked set).</t>
        </is>
      </c>
    </row>
    <row r="79" ht="18" customHeight="1">
      <c r="A79" s="104" t="inlineStr">
        <is>
          <t>•  Strikethrough: 3 of 19 rivals set a List Price above price; 2 within 12%: Exclusivo Mezcla +11%, EverGrace +5%.</t>
        </is>
      </c>
    </row>
    <row r="80" ht="30" customHeight="1">
      <c r="A80" s="104" t="inlineStr">
        <is>
          <t>•  Price: 15 of 19 rivals sit below our price today (same size where the title states one). Cheapest strong rivals: Exclusivo Mezcla $25.19, Love's cabin $25.99, FLYMME $27.99, Wake In Cloud $27.99.</t>
        </is>
      </c>
    </row>
    <row r="81" ht="30" customHeight="1">
      <c r="A81" s="104" t="inlineStr">
        <is>
          <t>•  Strikethrough on the page today (Oct 13 check): 7 of 19 checked rivals show one: Love's cabin List Price $31.99 vs $25.99 (+23%), Exclusivo Mezcla Typical price $27.99 vs $25.19 (+11%), Mybedsoul List Price $44.99 vs $35.99 (+25%), WRENSONGE List Price $49.99 vs $39.99 (+25%), EverGrace Typical price $92.99 vs $88.34 (+5%), Bedsure List Price $58.99 vs $46.99 (+26%).</t>
        </is>
      </c>
    </row>
    <row r="82" ht="18" customHeight="1">
      <c r="A82" s="104" t="inlineStr">
        <is>
          <t>•  Search: we lose most shared keywords to WDCOZY (we win 11, lose 355). Biggest ad gaps (they advertise where we don't or harder): WDCOZY 225 + 0 KWs.</t>
        </is>
      </c>
    </row>
    <row r="83" ht="18" customHeight="1">
      <c r="A83" s="104" t="inlineStr">
        <is>
          <t>•  19 rivals not in the Keepa pulls yet (yellow BFCM 2025 columns) - remaining P2 batches, AGENT_PROMPTS Prompt 2.</t>
        </is>
      </c>
    </row>
  </sheetData>
  <autoFilter ref="B56:BH75"/>
  <mergeCells count="66">
    <mergeCell ref="A83:BH83"/>
    <mergeCell ref="A15:BH15"/>
    <mergeCell ref="A41:C41"/>
    <mergeCell ref="A51:BH51"/>
    <mergeCell ref="A46:C46"/>
    <mergeCell ref="A82:BH82"/>
    <mergeCell ref="L5:Q5"/>
    <mergeCell ref="A1:BH1"/>
    <mergeCell ref="Q11:T11"/>
    <mergeCell ref="AR55:AX55"/>
    <mergeCell ref="L8:Q8"/>
    <mergeCell ref="A79:BH79"/>
    <mergeCell ref="L4:Q4"/>
    <mergeCell ref="D7:I7"/>
    <mergeCell ref="A13:D13"/>
    <mergeCell ref="X55:Z55"/>
    <mergeCell ref="A78:BH78"/>
    <mergeCell ref="I13:L13"/>
    <mergeCell ref="A42:C42"/>
    <mergeCell ref="A16:BH16"/>
    <mergeCell ref="A47:C47"/>
    <mergeCell ref="A54:BH54"/>
    <mergeCell ref="D4:I4"/>
    <mergeCell ref="L10:Q10"/>
    <mergeCell ref="E12:H12"/>
    <mergeCell ref="Q13:T13"/>
    <mergeCell ref="D9:I9"/>
    <mergeCell ref="A80:BH80"/>
    <mergeCell ref="U12:X12"/>
    <mergeCell ref="L9:Q9"/>
    <mergeCell ref="Q12:T12"/>
    <mergeCell ref="A11:D11"/>
    <mergeCell ref="A50:BH50"/>
    <mergeCell ref="I11:L11"/>
    <mergeCell ref="A43:C43"/>
    <mergeCell ref="A3:BH3"/>
    <mergeCell ref="L6:Q6"/>
    <mergeCell ref="D8:I8"/>
    <mergeCell ref="A4:B9"/>
    <mergeCell ref="T6:Y6"/>
    <mergeCell ref="A44:C44"/>
    <mergeCell ref="A55:H55"/>
    <mergeCell ref="D5:I5"/>
    <mergeCell ref="K55:W55"/>
    <mergeCell ref="M11:P11"/>
    <mergeCell ref="U11:X11"/>
    <mergeCell ref="A48:C48"/>
    <mergeCell ref="E13:H13"/>
    <mergeCell ref="A53:BH53"/>
    <mergeCell ref="D10:I10"/>
    <mergeCell ref="L7:Q7"/>
    <mergeCell ref="T5:Y5"/>
    <mergeCell ref="A49:C49"/>
    <mergeCell ref="A81:BH81"/>
    <mergeCell ref="AY55:BH55"/>
    <mergeCell ref="A12:D12"/>
    <mergeCell ref="M13:P13"/>
    <mergeCell ref="I12:L12"/>
    <mergeCell ref="U13:X13"/>
    <mergeCell ref="AA55:AQ55"/>
    <mergeCell ref="M12:P12"/>
    <mergeCell ref="T4:Y4"/>
    <mergeCell ref="A40:BH40"/>
    <mergeCell ref="D6:I6"/>
    <mergeCell ref="E11:H11"/>
    <mergeCell ref="A77:BH77"/>
  </mergeCells>
  <conditionalFormatting sqref="N57:N75">
    <cfRule type="expression" priority="1" dxfId="1">
      <formula>N57="&lt;=12% STR zone"</formula>
    </cfRule>
  </conditionalFormatting>
  <conditionalFormatting sqref="W57:W75">
    <cfRule type="expression" priority="2" dxfId="0">
      <formula>AND(ISNUMBER(W57),W57&lt;DATE(2026,10,6))</formula>
    </cfRule>
  </conditionalFormatting>
  <conditionalFormatting sqref="Q57:Q75">
    <cfRule type="expression" priority="3" dxfId="0">
      <formula>ISNUMBER(SEARCH("STALE",Q57))</formula>
    </cfRule>
  </conditionalFormatting>
  <conditionalFormatting sqref="P57:P75">
    <cfRule type="expression" priority="4" dxfId="0">
      <formula>AND(ISNUMBER(P57),P57&lt;0)</formula>
    </cfRule>
  </conditionalFormatting>
  <dataValidations count="3">
    <dataValidation sqref="AR57:AR75 BG57:BG75" showDropDown="0" showInputMessage="0" showErrorMessage="0" allowBlank="1" type="list">
      <formula1>"Y,N"</formula1>
    </dataValidation>
    <dataValidation sqref="AS57:AS75" showDropDown="0" showInputMessage="0" showErrorMessage="0" allowBlank="1" type="list">
      <formula1>"List Price,Typical price,Was price,None"</formula1>
    </dataValidation>
    <dataValidation sqref="AY57:AY75"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4.xml><?xml version="1.0" encoding="utf-8"?>
<worksheet xmlns="http://schemas.openxmlformats.org/spreadsheetml/2006/main">
  <sheetPr>
    <outlinePr summaryBelow="1" summaryRight="1"/>
    <pageSetUpPr/>
  </sheetPr>
  <dimension ref="A1:BH105"/>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Linen Curtains  ·  Amazon.com (US)  ·  Other  ·  BFCM role: Liquidation  ·  Scope: Other</t>
        </is>
      </c>
    </row>
    <row r="2">
      <c r="A2" s="53" t="inlineStr">
        <is>
          <t>← Dashboard</t>
        </is>
      </c>
    </row>
    <row r="3" ht="20" customHeight="1">
      <c r="A3" s="54" t="inlineStr">
        <is>
          <t>1 · OUR PRODUCT</t>
        </is>
      </c>
    </row>
    <row r="4" ht="34" customHeight="1">
      <c r="A4" s="10">
        <f>_xlfn.IMAGE("https://images-na.ssl-images-amazon.com/images/I/81sMgyPyWQL.jpg")</f>
        <v/>
      </c>
      <c r="C4" s="11" t="inlineStr">
        <is>
          <t>Title</t>
        </is>
      </c>
      <c r="D4" s="12" t="inlineStr">
        <is>
          <t>DECOLURE 100% Blackout Linen Curtains 108 Inches Long | Ivory</t>
        </is>
      </c>
      <c r="K4" s="11" t="inlineStr">
        <is>
          <t>Sizes</t>
        </is>
      </c>
      <c r="L4" s="55" t="inlineStr">
        <is>
          <t>52x108, 52x120, 52x63, 52x72, 52x84, 52x90, 52x96</t>
        </is>
      </c>
      <c r="S4" s="11" t="inlineStr">
        <is>
          <t>Break-even ACoS</t>
        </is>
      </c>
      <c r="T4" s="55" t="inlineStr">
        <is>
          <t>-77%</t>
        </is>
      </c>
    </row>
    <row r="5" ht="22" customHeight="1">
      <c r="C5" s="11" t="inlineStr">
        <is>
          <t>Brand</t>
        </is>
      </c>
      <c r="D5" s="55" t="inlineStr">
        <is>
          <t>Decolure</t>
        </is>
      </c>
      <c r="K5" s="11" t="inlineStr">
        <is>
          <t>Colours</t>
        </is>
      </c>
      <c r="L5" s="55" t="inlineStr">
        <is>
          <t>Beige, Ivory, Light Beige, Light Grey, Linen, Natural</t>
        </is>
      </c>
      <c r="S5" s="11" t="inlineStr">
        <is>
          <t>Units last 28 days</t>
        </is>
      </c>
      <c r="T5" s="55" t="inlineStr">
        <is>
          <t>12</t>
        </is>
      </c>
    </row>
    <row r="6" ht="22" customHeight="1">
      <c r="C6" s="11" t="inlineStr">
        <is>
          <t>Marketplace</t>
        </is>
      </c>
      <c r="D6" s="55" t="inlineStr">
        <is>
          <t>Amazon.com (US)</t>
        </is>
      </c>
      <c r="K6" s="11" t="inlineStr">
        <is>
          <t>Price now, best child</t>
        </is>
      </c>
      <c r="L6" s="55" t="inlineStr">
        <is>
          <t>$34.99 (Helium 10 Xray, 2026-10-13)</t>
        </is>
      </c>
      <c r="S6" s="11" t="inlineStr">
        <is>
          <t>Command Center product ASIN</t>
        </is>
      </c>
      <c r="T6" s="55" t="inlineStr">
        <is>
          <t>B0F6371Q67 (one of our child ASINs, not the Amazon parent)</t>
        </is>
      </c>
    </row>
    <row r="7" ht="22" customHeight="1">
      <c r="C7" s="11" t="inlineStr">
        <is>
          <t>Parent ASIN (Amazon)</t>
        </is>
      </c>
      <c r="D7" s="55" t="inlineStr">
        <is>
          <t>B0H2Z62MJZ</t>
        </is>
      </c>
      <c r="K7" s="11" t="inlineStr">
        <is>
          <t>Rating / reviews now</t>
        </is>
      </c>
      <c r="L7" s="55" t="inlineStr">
        <is>
          <t>4.7 / 586 (Helium 10 Xray, 2026-10-13)</t>
        </is>
      </c>
    </row>
    <row r="8" ht="22" customHeight="1">
      <c r="C8" s="11" t="inlineStr">
        <is>
          <t>Best-selling child ASIN</t>
        </is>
      </c>
      <c r="D8" s="55" t="inlineStr">
        <is>
          <t>B0F63C8HL2</t>
        </is>
      </c>
      <c r="K8" s="11" t="inlineStr">
        <is>
          <t>Live prices held</t>
        </is>
      </c>
      <c r="L8" s="55" t="inlineStr">
        <is>
          <t>37 of 42 variations</t>
        </is>
      </c>
    </row>
    <row r="9" ht="22" customHeight="1">
      <c r="C9" s="11" t="inlineStr">
        <is>
          <t>Stage</t>
        </is>
      </c>
      <c r="D9" s="55" t="inlineStr">
        <is>
          <t>Liquidation</t>
        </is>
      </c>
      <c r="K9" s="11" t="inlineStr">
        <is>
          <t>Blended price (Command Center)</t>
        </is>
      </c>
      <c r="L9" s="55" t="inlineStr">
        <is>
          <t>$29.82 - fee feed as of 2026-03-30, STALE</t>
        </is>
      </c>
    </row>
    <row r="10">
      <c r="C10" s="11" t="inlineStr">
        <is>
          <t>Total variations (SKUs)</t>
        </is>
      </c>
      <c r="D10" s="55" t="n">
        <v>42</v>
      </c>
      <c r="K10" s="11" t="inlineStr">
        <is>
          <t>Contribution / unit</t>
        </is>
      </c>
      <c r="L10" s="55" t="inlineStr">
        <is>
          <t>$-0.23</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21</t>
        </is>
      </c>
      <c r="Q12" s="57" t="inlineStr">
        <is>
          <t>16</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(42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_xlfn.IMAGE("https://m.media-amazon.com/images/I/818aHK4T77L.jpg")</f>
        <v/>
      </c>
      <c r="B18" s="32" t="inlineStr">
        <is>
          <t>B0F6366HKN</t>
        </is>
      </c>
      <c r="C18" s="32" t="inlineStr">
        <is>
          <t>LINEN-CURTAIN-52x72-LIGHT-GREY-2-PCS</t>
        </is>
      </c>
      <c r="D18" s="32" t="inlineStr">
        <is>
          <t>DECOLURE 100% Blackout Linen Curtains 72 Inches Long | Light Grey</t>
        </is>
      </c>
      <c r="E18" s="32" t="inlineStr">
        <is>
          <t>52x72</t>
        </is>
      </c>
      <c r="F18" s="32" t="inlineStr">
        <is>
          <t>Light Grey</t>
        </is>
      </c>
      <c r="G18" s="60" t="n">
        <v>28.99</v>
      </c>
      <c r="H18" s="32" t="inlineStr">
        <is>
          <t>Helium 10 Xray, 2026-10-13</t>
        </is>
      </c>
      <c r="I18" s="61" t="n">
        <v>28.99</v>
      </c>
      <c r="J18" s="62" t="inlineStr">
        <is>
          <t>2026-03-30</t>
        </is>
      </c>
      <c r="K18" s="33" t="n">
        <v>0.6699999999999982</v>
      </c>
      <c r="L18" s="63" t="n">
        <v>0.02311141773025175</v>
      </c>
      <c r="M18" s="64" t="n">
        <v>3</v>
      </c>
      <c r="N18" s="32" t="inlineStr">
        <is>
          <t>Active</t>
        </is>
      </c>
      <c r="O18" s="32" t="n"/>
      <c r="P18" s="65" t="n">
        <v>4.7</v>
      </c>
      <c r="Q18" s="64" t="n">
        <v>586</v>
      </c>
      <c r="R18" s="64" t="n">
        <v>603113</v>
      </c>
      <c r="S18" s="64" t="n">
        <v>0.9743000000000001</v>
      </c>
      <c r="T18" s="32" t="n"/>
    </row>
    <row r="19" ht="62" customHeight="1">
      <c r="A19" s="10">
        <f>_xlfn.IMAGE("https://m.media-amazon.com/images/I/71wgFMvSS4L.jpg")</f>
        <v/>
      </c>
      <c r="B19" s="32" t="inlineStr">
        <is>
          <t>B0F63C8HL2</t>
        </is>
      </c>
      <c r="C19" s="32" t="inlineStr">
        <is>
          <t>LINEN-CURTAIN-52x108-IVORY-2-PCS</t>
        </is>
      </c>
      <c r="D19" s="32" t="inlineStr">
        <is>
          <t>DECOLURE 100% Blackout Linen Curtains 108 Inches Long | Ivory</t>
        </is>
      </c>
      <c r="E19" s="32" t="inlineStr">
        <is>
          <t>52x108</t>
        </is>
      </c>
      <c r="F19" s="32" t="inlineStr">
        <is>
          <t>Ivory</t>
        </is>
      </c>
      <c r="G19" s="60" t="n">
        <v>34.99</v>
      </c>
      <c r="H19" s="32" t="inlineStr">
        <is>
          <t>Helium 10 Xray, 2026-10-13</t>
        </is>
      </c>
      <c r="I19" s="61" t="n">
        <v>29.99</v>
      </c>
      <c r="J19" s="62" t="inlineStr">
        <is>
          <t>2026-03-30</t>
        </is>
      </c>
      <c r="K19" s="33" t="n">
        <v>-2.230000000000004</v>
      </c>
      <c r="L19" s="63" t="n">
        <v>-0.07435811937312452</v>
      </c>
      <c r="M19" s="64" t="n">
        <v>2</v>
      </c>
      <c r="N19" s="32" t="inlineStr">
        <is>
          <t>Active</t>
        </is>
      </c>
      <c r="O19" s="32" t="n"/>
      <c r="P19" s="65" t="n">
        <v>4.7</v>
      </c>
      <c r="Q19" s="64" t="n">
        <v>586</v>
      </c>
      <c r="R19" s="64" t="n">
        <v>603113</v>
      </c>
      <c r="S19" s="64" t="n">
        <v>0.299</v>
      </c>
      <c r="T19" s="32" t="n"/>
    </row>
    <row r="20" ht="62" customHeight="1">
      <c r="A20" s="10">
        <f>_xlfn.IMAGE("https://m.media-amazon.com/images/I/81rR8AXrgFL.jpg")</f>
        <v/>
      </c>
      <c r="B20" s="32" t="inlineStr">
        <is>
          <t>B0F637WVF9</t>
        </is>
      </c>
      <c r="C20" s="32" t="inlineStr">
        <is>
          <t>LINEN-CURTAIN-52x72-BEIGE-2-PCS</t>
        </is>
      </c>
      <c r="D20" s="32" t="inlineStr">
        <is>
          <t>DECOLURE 100% Blackout Linen Curtains 72 Inches Long | Beige</t>
        </is>
      </c>
      <c r="E20" s="32" t="inlineStr">
        <is>
          <t>52x72</t>
        </is>
      </c>
      <c r="F20" s="32" t="inlineStr">
        <is>
          <t>Beige</t>
        </is>
      </c>
      <c r="G20" s="60" t="n">
        <v>28.99</v>
      </c>
      <c r="H20" s="32" t="inlineStr">
        <is>
          <t>Helium 10 Xray, 2026-10-13</t>
        </is>
      </c>
      <c r="I20" s="61" t="n">
        <v>28.99</v>
      </c>
      <c r="J20" s="62" t="inlineStr">
        <is>
          <t>2026-03-30</t>
        </is>
      </c>
      <c r="K20" s="33" t="n">
        <v>0.6699999999999982</v>
      </c>
      <c r="L20" s="63" t="n">
        <v>0.02311141773025175</v>
      </c>
      <c r="M20" s="64" t="n">
        <v>2</v>
      </c>
      <c r="N20" s="32" t="inlineStr">
        <is>
          <t>Active</t>
        </is>
      </c>
      <c r="O20" s="32" t="n"/>
      <c r="P20" s="65" t="n">
        <v>4.7</v>
      </c>
      <c r="Q20" s="64" t="n">
        <v>586</v>
      </c>
      <c r="R20" s="64" t="n">
        <v>603113</v>
      </c>
      <c r="S20" s="64" t="n">
        <v>1</v>
      </c>
      <c r="T20" s="32" t="n"/>
    </row>
    <row r="21" ht="62" customHeight="1">
      <c r="A21" s="10">
        <f>_xlfn.IMAGE("https://m.media-amazon.com/images/I/81xpBriXf9L.jpg")</f>
        <v/>
      </c>
      <c r="B21" s="32" t="inlineStr">
        <is>
          <t>B0F63BJSHF</t>
        </is>
      </c>
      <c r="C21" s="32" t="inlineStr">
        <is>
          <t>LINEN-CURTAIN-52x84-LIGHT-GREY-2-PCS</t>
        </is>
      </c>
      <c r="D21" s="32" t="inlineStr">
        <is>
          <t>DECOLURE 100% Blackout Linen Curtains 84 Inches Long | Light Grey</t>
        </is>
      </c>
      <c r="E21" s="32" t="inlineStr">
        <is>
          <t>52x84</t>
        </is>
      </c>
      <c r="F21" s="32" t="inlineStr">
        <is>
          <t>Light Grey</t>
        </is>
      </c>
      <c r="G21" s="60" t="n">
        <v>29.99</v>
      </c>
      <c r="H21" s="32" t="inlineStr">
        <is>
          <t>Helium 10 Xray, 2026-10-13</t>
        </is>
      </c>
      <c r="I21" s="61" t="n">
        <v>29.99</v>
      </c>
      <c r="J21" s="62" t="inlineStr">
        <is>
          <t>2026-03-30</t>
        </is>
      </c>
      <c r="K21" s="33" t="n">
        <v>0.4499999999999957</v>
      </c>
      <c r="L21" s="63" t="n">
        <v>0.01500500166722227</v>
      </c>
      <c r="M21" s="64" t="n">
        <v>2</v>
      </c>
      <c r="N21" s="32" t="inlineStr">
        <is>
          <t>Active</t>
        </is>
      </c>
      <c r="O21" s="32" t="n"/>
      <c r="P21" s="65" t="n">
        <v>4.7</v>
      </c>
      <c r="Q21" s="64" t="n">
        <v>586</v>
      </c>
      <c r="R21" s="64" t="n">
        <v>603113</v>
      </c>
      <c r="S21" s="64" t="n">
        <v>0.7084</v>
      </c>
      <c r="T21" s="32" t="n"/>
    </row>
    <row r="22" ht="62" customHeight="1">
      <c r="A22" s="10">
        <f>_xlfn.IMAGE("https://m.media-amazon.com/images/I/71kCl+QqtZL.jpg")</f>
        <v/>
      </c>
      <c r="B22" s="32" t="inlineStr">
        <is>
          <t>B0F63C8VTL</t>
        </is>
      </c>
      <c r="C22" s="32" t="inlineStr">
        <is>
          <t>LINEN-CURTAIN-52x120-IVORY-2-PCS</t>
        </is>
      </c>
      <c r="D22" s="32" t="inlineStr">
        <is>
          <t>DECOLURE 100% Blackout Linen Curtains 120 Inches Long | Ivory</t>
        </is>
      </c>
      <c r="E22" s="32" t="inlineStr">
        <is>
          <t>52x120</t>
        </is>
      </c>
      <c r="F22" s="32" t="inlineStr">
        <is>
          <t>Ivory</t>
        </is>
      </c>
      <c r="G22" s="60" t="n">
        <v>39.99</v>
      </c>
      <c r="H22" s="32" t="inlineStr">
        <is>
          <t>Helium 10 Xray, 2026-10-13</t>
        </is>
      </c>
      <c r="I22" s="61" t="n">
        <v>34.99</v>
      </c>
      <c r="J22" s="62" t="inlineStr">
        <is>
          <t>2026-03-30</t>
        </is>
      </c>
      <c r="K22" s="33" t="n">
        <v>-0.4999999999999964</v>
      </c>
      <c r="L22" s="63" t="n">
        <v>-1.428979708488129</v>
      </c>
      <c r="M22" s="64" t="n">
        <v>1</v>
      </c>
      <c r="N22" s="32" t="inlineStr">
        <is>
          <t>Active</t>
        </is>
      </c>
      <c r="O22" s="32" t="n"/>
      <c r="P22" s="65" t="n">
        <v>4.7</v>
      </c>
      <c r="Q22" s="64" t="n">
        <v>586</v>
      </c>
      <c r="R22" s="64" t="n">
        <v>603121</v>
      </c>
      <c r="S22" s="64" t="n">
        <v>0.2185</v>
      </c>
      <c r="T22" s="32" t="n"/>
    </row>
    <row r="23" ht="62" customHeight="1">
      <c r="A23" s="10">
        <f>_xlfn.IMAGE("https://m.media-amazon.com/images/I/81GocCooj5L.jpg")</f>
        <v/>
      </c>
      <c r="B23" s="32" t="inlineStr">
        <is>
          <t>B0F637SXZQ</t>
        </is>
      </c>
      <c r="C23" s="32" t="inlineStr">
        <is>
          <t>LINEN-CURTAIN-52x72-LINEN-2-PCS</t>
        </is>
      </c>
      <c r="D23" s="32" t="inlineStr">
        <is>
          <t>DECOLURE 100% Blackout Linen Curtains 72 Inches Long | Linen</t>
        </is>
      </c>
      <c r="E23" s="32" t="inlineStr">
        <is>
          <t>52x72</t>
        </is>
      </c>
      <c r="F23" s="32" t="inlineStr">
        <is>
          <t>Linen</t>
        </is>
      </c>
      <c r="G23" s="60" t="n">
        <v>28.99</v>
      </c>
      <c r="H23" s="32" t="inlineStr">
        <is>
          <t>Helium 10 Xray, 2026-10-13</t>
        </is>
      </c>
      <c r="I23" s="61" t="n">
        <v>28.99</v>
      </c>
      <c r="J23" s="62" t="inlineStr">
        <is>
          <t>2026-03-30</t>
        </is>
      </c>
      <c r="K23" s="33" t="n">
        <v>0.6699999999999982</v>
      </c>
      <c r="L23" s="63" t="n">
        <v>0.02311141773025175</v>
      </c>
      <c r="M23" s="64" t="n">
        <v>1</v>
      </c>
      <c r="N23" s="32" t="inlineStr">
        <is>
          <t>Active</t>
        </is>
      </c>
      <c r="O23" s="32" t="n"/>
      <c r="P23" s="65" t="n">
        <v>4.7</v>
      </c>
      <c r="Q23" s="64" t="n">
        <v>586</v>
      </c>
      <c r="R23" s="64" t="n">
        <v>603113</v>
      </c>
      <c r="S23" s="64" t="n">
        <v>1</v>
      </c>
      <c r="T23" s="32" t="n"/>
    </row>
    <row r="24" ht="62" customHeight="1">
      <c r="A24" s="10">
        <f>_xlfn.IMAGE("https://m.media-amazon.com/images/I/61Spoyk1L6L.jpg")</f>
        <v/>
      </c>
      <c r="B24" s="32" t="inlineStr">
        <is>
          <t>B0F6366Z7N</t>
        </is>
      </c>
      <c r="C24" s="32" t="inlineStr">
        <is>
          <t>LINEN-CURTAIN-52x96-NATURAL-2-PCS</t>
        </is>
      </c>
      <c r="D24" s="32" t="inlineStr">
        <is>
          <t>DECOLURE 100% Blackout Linen Curtains 96 Inches Long | Natural</t>
        </is>
      </c>
      <c r="E24" s="32" t="inlineStr">
        <is>
          <t>52x96</t>
        </is>
      </c>
      <c r="F24" s="32" t="inlineStr">
        <is>
          <t>Natural</t>
        </is>
      </c>
      <c r="G24" s="60" t="n">
        <v>32.99</v>
      </c>
      <c r="H24" s="32" t="inlineStr">
        <is>
          <t>Helium 10 Xray, 2026-10-13</t>
        </is>
      </c>
      <c r="I24" s="61" t="n">
        <v>28.99</v>
      </c>
      <c r="J24" s="62" t="inlineStr">
        <is>
          <t>2026-03-30</t>
        </is>
      </c>
      <c r="K24" s="33" t="n">
        <v>-2.719999999999999</v>
      </c>
      <c r="L24" s="63" t="n">
        <v>-0.09382545705415657</v>
      </c>
      <c r="M24" s="64" t="n">
        <v>1</v>
      </c>
      <c r="N24" s="32" t="inlineStr">
        <is>
          <t>Active</t>
        </is>
      </c>
      <c r="O24" s="32" t="n"/>
      <c r="P24" s="65" t="n">
        <v>4.7</v>
      </c>
      <c r="Q24" s="64" t="n">
        <v>586</v>
      </c>
      <c r="R24" s="64" t="n">
        <v>603113</v>
      </c>
      <c r="S24" s="64" t="n">
        <v>0.6148</v>
      </c>
      <c r="T24" s="32" t="n"/>
    </row>
    <row r="25" ht="62" customHeight="1">
      <c r="A25" s="10">
        <f>_xlfn.IMAGE("https://m.media-amazon.com/images/I/81AD+3sv01L.jpg")</f>
        <v/>
      </c>
      <c r="B25" s="32" t="inlineStr">
        <is>
          <t>B0F6371Q67</t>
        </is>
      </c>
      <c r="C25" s="32" t="inlineStr">
        <is>
          <t>LINEN-CURTAIN-52x108-BEIGE-2-PCS</t>
        </is>
      </c>
      <c r="D25" s="32" t="inlineStr">
        <is>
          <t>DECOLURE 100% Blackout Linen Curtains 108 Inches Long | Beige</t>
        </is>
      </c>
      <c r="E25" s="32" t="inlineStr">
        <is>
          <t>52x108</t>
        </is>
      </c>
      <c r="F25" s="32" t="inlineStr">
        <is>
          <t>Beige</t>
        </is>
      </c>
      <c r="G25" s="60" t="n">
        <v>34.99</v>
      </c>
      <c r="H25" s="32" t="inlineStr">
        <is>
          <t>Helium 10 Xray, 2026-10-13</t>
        </is>
      </c>
      <c r="I25" s="61" t="n">
        <v>32.99</v>
      </c>
      <c r="J25" s="62" t="inlineStr">
        <is>
          <t>2026-03-30</t>
        </is>
      </c>
      <c r="K25" s="33" t="n">
        <v>0.3000000000000007</v>
      </c>
      <c r="L25" s="63" t="n">
        <v>0.9093664746893019</v>
      </c>
      <c r="M25" s="64" t="n">
        <v>0</v>
      </c>
      <c r="N25" s="32" t="inlineStr">
        <is>
          <t>Active</t>
        </is>
      </c>
      <c r="O25" s="32" t="n"/>
      <c r="P25" s="65" t="n">
        <v>4.7</v>
      </c>
      <c r="Q25" s="64" t="n">
        <v>586</v>
      </c>
      <c r="R25" s="64" t="n">
        <v>603113</v>
      </c>
      <c r="S25" s="64" t="n">
        <v>0.343</v>
      </c>
      <c r="T25" s="32" t="n"/>
    </row>
    <row r="26" ht="62" customHeight="1">
      <c r="A26" s="10">
        <f>_xlfn.IMAGE("https://m.media-amazon.com/images/I/81Zggw5XLjL.jpg")</f>
        <v/>
      </c>
      <c r="B26" s="32" t="inlineStr">
        <is>
          <t>B0F637MQF8</t>
        </is>
      </c>
      <c r="C26" s="32" t="inlineStr">
        <is>
          <t>LINEN-CURTAIN-52x108-LIGHT-BEIGE-2-PCS</t>
        </is>
      </c>
      <c r="D26" s="32" t="inlineStr">
        <is>
          <t>DECOLURE 100% Blackout Linen Curtains 108 Inches Long | Light Beige</t>
        </is>
      </c>
      <c r="E26" s="32" t="inlineStr">
        <is>
          <t>52x108</t>
        </is>
      </c>
      <c r="F26" s="32" t="inlineStr">
        <is>
          <t>Light Beige</t>
        </is>
      </c>
      <c r="G26" s="60" t="n">
        <v>34.99</v>
      </c>
      <c r="H26" s="32" t="inlineStr">
        <is>
          <t>Helium 10 Xray, 2026-10-13</t>
        </is>
      </c>
      <c r="I26" s="61" t="n">
        <v>32.99</v>
      </c>
      <c r="J26" s="62" t="inlineStr">
        <is>
          <t>2026-03-30</t>
        </is>
      </c>
      <c r="K26" s="33" t="n"/>
      <c r="L26" s="63" t="n"/>
      <c r="M26" s="64" t="n">
        <v>0</v>
      </c>
      <c r="N26" s="32" t="inlineStr">
        <is>
          <t>Active</t>
        </is>
      </c>
      <c r="O26" s="32" t="n"/>
      <c r="P26" s="65" t="n">
        <v>4.7</v>
      </c>
      <c r="Q26" s="64" t="n">
        <v>586</v>
      </c>
      <c r="R26" s="64" t="n">
        <v>603113</v>
      </c>
      <c r="S26" s="64" t="n">
        <v>0.3608</v>
      </c>
      <c r="T26" s="32" t="n"/>
    </row>
    <row r="27" ht="62" customHeight="1">
      <c r="A27" s="10">
        <f>_xlfn.IMAGE("https://m.media-amazon.com/images/I/81uEFd-Gn9L.jpg")</f>
        <v/>
      </c>
      <c r="B27" s="32" t="inlineStr">
        <is>
          <t>B0F63BLDMG</t>
        </is>
      </c>
      <c r="C27" s="32" t="inlineStr">
        <is>
          <t>LINEN-CURTAIN-52x108-LIGHT-GREY-2-PCS</t>
        </is>
      </c>
      <c r="D27" s="32" t="inlineStr">
        <is>
          <t>DECOLURE 100% Blackout Linen Curtains 108 Inches Long | Light Grey</t>
        </is>
      </c>
      <c r="E27" s="32" t="inlineStr">
        <is>
          <t>52x108</t>
        </is>
      </c>
      <c r="F27" s="32" t="inlineStr">
        <is>
          <t>Light Grey</t>
        </is>
      </c>
      <c r="G27" s="60" t="n">
        <v>34.99</v>
      </c>
      <c r="H27" s="32" t="inlineStr">
        <is>
          <t>Helium 10 Xray, 2026-10-13</t>
        </is>
      </c>
      <c r="I27" s="61" t="n">
        <v>32.99</v>
      </c>
      <c r="J27" s="62" t="inlineStr">
        <is>
          <t>2026-03-30</t>
        </is>
      </c>
      <c r="K27" s="33" t="n">
        <v>0.3200000000000003</v>
      </c>
      <c r="L27" s="63" t="n">
        <v>0.969990906335254</v>
      </c>
      <c r="M27" s="64" t="n">
        <v>0</v>
      </c>
      <c r="N27" s="32" t="inlineStr">
        <is>
          <t>Active</t>
        </is>
      </c>
      <c r="O27" s="32" t="n"/>
      <c r="P27" s="65" t="n">
        <v>4.7</v>
      </c>
      <c r="Q27" s="64" t="n">
        <v>586</v>
      </c>
      <c r="R27" s="64" t="n">
        <v>603113</v>
      </c>
      <c r="S27" s="64" t="n">
        <v>0.2564</v>
      </c>
      <c r="T27" s="32" t="n"/>
    </row>
    <row r="28" ht="62" customHeight="1">
      <c r="A28" s="10">
        <f>_xlfn.IMAGE("https://m.media-amazon.com/images/I/81koAQVzAwL.jpg")</f>
        <v/>
      </c>
      <c r="B28" s="32" t="inlineStr">
        <is>
          <t>B0F63B4FNY</t>
        </is>
      </c>
      <c r="C28" s="32" t="inlineStr">
        <is>
          <t>LINEN-CURTAIN-52x108-LINEN-2-PCS</t>
        </is>
      </c>
      <c r="D28" s="32" t="inlineStr">
        <is>
          <t>DECOLURE 100% Blackout Linen Curtains 108 Inches Long | Linen</t>
        </is>
      </c>
      <c r="E28" s="32" t="inlineStr">
        <is>
          <t>52x108</t>
        </is>
      </c>
      <c r="F28" s="32" t="inlineStr">
        <is>
          <t>Linen</t>
        </is>
      </c>
      <c r="G28" s="60" t="n">
        <v>34.99</v>
      </c>
      <c r="H28" s="32" t="inlineStr">
        <is>
          <t>Helium 10 Xray, 2026-10-13</t>
        </is>
      </c>
      <c r="I28" s="61" t="n">
        <v>29.99</v>
      </c>
      <c r="J28" s="62" t="inlineStr">
        <is>
          <t>2026-03-30</t>
        </is>
      </c>
      <c r="K28" s="33" t="n"/>
      <c r="L28" s="63" t="n"/>
      <c r="M28" s="64" t="n">
        <v>0</v>
      </c>
      <c r="N28" s="32" t="inlineStr">
        <is>
          <t>Active</t>
        </is>
      </c>
      <c r="O28" s="32" t="n"/>
      <c r="P28" s="65" t="n">
        <v>4.7</v>
      </c>
      <c r="Q28" s="64" t="n">
        <v>586</v>
      </c>
      <c r="R28" s="64" t="n">
        <v>603113</v>
      </c>
      <c r="S28" s="64" t="n">
        <v>0.2713</v>
      </c>
      <c r="T28" s="32" t="n"/>
    </row>
    <row r="29" ht="62" customHeight="1">
      <c r="A29" s="10">
        <f>_xlfn.IMAGE("https://m.media-amazon.com/images/I/713WWL+uUyL.jpg")</f>
        <v/>
      </c>
      <c r="B29" s="32" t="inlineStr">
        <is>
          <t>B0F637FB24</t>
        </is>
      </c>
      <c r="C29" s="32" t="inlineStr">
        <is>
          <t>LINEN-CURTAIN-52x108-NATURAL-2-PCS</t>
        </is>
      </c>
      <c r="D29" s="32" t="inlineStr">
        <is>
          <t>DECOLURE 100% Blackout Linen Curtains 108 Inches Long | Natural</t>
        </is>
      </c>
      <c r="E29" s="32" t="inlineStr">
        <is>
          <t>52x108</t>
        </is>
      </c>
      <c r="F29" s="32" t="inlineStr">
        <is>
          <t>Natural</t>
        </is>
      </c>
      <c r="G29" s="33" t="n"/>
      <c r="H29" s="32" t="n"/>
      <c r="I29" s="61" t="n">
        <v>29.95</v>
      </c>
      <c r="J29" s="62" t="inlineStr">
        <is>
          <t>2026-03-30</t>
        </is>
      </c>
      <c r="K29" s="33" t="n">
        <v>-2.260000000000002</v>
      </c>
      <c r="L29" s="63" t="n">
        <v>-0.07545909849749588</v>
      </c>
      <c r="M29" s="64" t="n"/>
      <c r="N29" s="32" t="inlineStr">
        <is>
          <t>Inactive</t>
        </is>
      </c>
      <c r="O29" s="32" t="n"/>
      <c r="P29" s="65" t="n"/>
      <c r="Q29" s="64" t="n"/>
      <c r="R29" s="64" t="n"/>
      <c r="S29" s="64" t="n"/>
      <c r="T29" s="32" t="n"/>
    </row>
    <row r="30" ht="62" customHeight="1">
      <c r="A30" s="10">
        <f>_xlfn.IMAGE("https://m.media-amazon.com/images/I/81weuxBTddL.jpg")</f>
        <v/>
      </c>
      <c r="B30" s="32" t="inlineStr">
        <is>
          <t>B0F634C911</t>
        </is>
      </c>
      <c r="C30" s="32" t="inlineStr">
        <is>
          <t>LINEN-CURTAIN-52x120-BEIGE-2-PCS</t>
        </is>
      </c>
      <c r="D30" s="32" t="inlineStr">
        <is>
          <t>DECOLURE 100% Blackout Linen Curtains 120 Inches Long | Beige</t>
        </is>
      </c>
      <c r="E30" s="32" t="inlineStr">
        <is>
          <t>52x120</t>
        </is>
      </c>
      <c r="F30" s="32" t="inlineStr">
        <is>
          <t>Beige</t>
        </is>
      </c>
      <c r="G30" s="60" t="n">
        <v>39.99</v>
      </c>
      <c r="H30" s="32" t="inlineStr">
        <is>
          <t>Helium 10 Xray, 2026-10-13</t>
        </is>
      </c>
      <c r="I30" s="61" t="n">
        <v>34.99</v>
      </c>
      <c r="J30" s="62" t="inlineStr">
        <is>
          <t>2026-03-30</t>
        </is>
      </c>
      <c r="K30" s="33" t="n">
        <v>-0.01999999999999957</v>
      </c>
      <c r="L30" s="63" t="n">
        <v>-0.05715918833952435</v>
      </c>
      <c r="M30" s="64" t="n">
        <v>0</v>
      </c>
      <c r="N30" s="32" t="inlineStr">
        <is>
          <t>Active</t>
        </is>
      </c>
      <c r="O30" s="32" t="n"/>
      <c r="P30" s="65" t="n">
        <v>4.7</v>
      </c>
      <c r="Q30" s="64" t="n">
        <v>586</v>
      </c>
      <c r="R30" s="64" t="n">
        <v>603113</v>
      </c>
      <c r="S30" s="64" t="n">
        <v>0.1994</v>
      </c>
      <c r="T30" s="32" t="n"/>
    </row>
    <row r="31" ht="62" customHeight="1">
      <c r="A31" s="10">
        <f>_xlfn.IMAGE("https://m.media-amazon.com/images/I/81M3pVZ5i3L.jpg")</f>
        <v/>
      </c>
      <c r="B31" s="32" t="inlineStr">
        <is>
          <t>B0F6367NPF</t>
        </is>
      </c>
      <c r="C31" s="32" t="inlineStr">
        <is>
          <t>LINEN-CURTAIN-52x120-LIGHT-BEIGE-2-PCS</t>
        </is>
      </c>
      <c r="D31" s="32" t="inlineStr">
        <is>
          <t>DECOLURE 100% Blackout Linen Curtains 120 Inches Long | Light Beige</t>
        </is>
      </c>
      <c r="E31" s="32" t="inlineStr">
        <is>
          <t>52x120</t>
        </is>
      </c>
      <c r="F31" s="32" t="inlineStr">
        <is>
          <t>Light Beige</t>
        </is>
      </c>
      <c r="G31" s="60" t="n">
        <v>39.99</v>
      </c>
      <c r="H31" s="32" t="inlineStr">
        <is>
          <t>Helium 10 Xray, 2026-10-13</t>
        </is>
      </c>
      <c r="I31" s="61" t="n">
        <v>31.95</v>
      </c>
      <c r="J31" s="62" t="inlineStr">
        <is>
          <t>2026-03-30</t>
        </is>
      </c>
      <c r="K31" s="33" t="n">
        <v>-2.600000000000001</v>
      </c>
      <c r="L31" s="63" t="n">
        <v>-0.08137715179968706</v>
      </c>
      <c r="M31" s="64" t="n">
        <v>0</v>
      </c>
      <c r="N31" s="32" t="inlineStr">
        <is>
          <t>Active</t>
        </is>
      </c>
      <c r="O31" s="32" t="n"/>
      <c r="P31" s="65" t="n">
        <v>4.7</v>
      </c>
      <c r="Q31" s="64" t="n">
        <v>586</v>
      </c>
      <c r="R31" s="64" t="n">
        <v>603121</v>
      </c>
      <c r="S31" s="64" t="n">
        <v>0.2022</v>
      </c>
      <c r="T31" s="32" t="n"/>
    </row>
    <row r="32" ht="62" customHeight="1">
      <c r="A32" s="10">
        <f>_xlfn.IMAGE("https://m.media-amazon.com/images/I/813DxbFDIYL.jpg")</f>
        <v/>
      </c>
      <c r="B32" s="32" t="inlineStr">
        <is>
          <t>B0F639STF9</t>
        </is>
      </c>
      <c r="C32" s="32" t="inlineStr">
        <is>
          <t>LINEN-CURTAIN-52x120-LIGHT-GREY-2-PCS</t>
        </is>
      </c>
      <c r="D32" s="32" t="inlineStr">
        <is>
          <t>DECOLURE 100% Blackout Linen Curtains 120 Inches Long | Light Grey</t>
        </is>
      </c>
      <c r="E32" s="32" t="inlineStr">
        <is>
          <t>52x120</t>
        </is>
      </c>
      <c r="F32" s="32" t="inlineStr">
        <is>
          <t>Light Grey</t>
        </is>
      </c>
      <c r="G32" s="60" t="n">
        <v>39.99</v>
      </c>
      <c r="H32" s="32" t="inlineStr">
        <is>
          <t>Helium 10 Xray, 2026-10-13</t>
        </is>
      </c>
      <c r="I32" s="61" t="n">
        <v>34.99</v>
      </c>
      <c r="J32" s="62" t="inlineStr">
        <is>
          <t>2026-03-30</t>
        </is>
      </c>
      <c r="K32" s="33" t="n">
        <v>-0.01999999999999957</v>
      </c>
      <c r="L32" s="63" t="n">
        <v>-0.05715918833952435</v>
      </c>
      <c r="M32" s="64" t="n">
        <v>0</v>
      </c>
      <c r="N32" s="32" t="inlineStr">
        <is>
          <t>Active</t>
        </is>
      </c>
      <c r="O32" s="32" t="n"/>
      <c r="P32" s="65" t="n">
        <v>4.7</v>
      </c>
      <c r="Q32" s="64" t="n">
        <v>586</v>
      </c>
      <c r="R32" s="64" t="n">
        <v>603113</v>
      </c>
      <c r="S32" s="64" t="n">
        <v>0.2197</v>
      </c>
      <c r="T32" s="32" t="n"/>
    </row>
    <row r="33" ht="62" customHeight="1">
      <c r="A33" s="10">
        <f>_xlfn.IMAGE("https://m.media-amazon.com/images/I/81eZ-XXwPZL.jpg")</f>
        <v/>
      </c>
      <c r="B33" s="32" t="inlineStr">
        <is>
          <t>B0F639N2R5</t>
        </is>
      </c>
      <c r="C33" s="32" t="inlineStr">
        <is>
          <t>LINEN-CURTAIN-52x120-LINEN-2-PCS</t>
        </is>
      </c>
      <c r="D33" s="32" t="inlineStr">
        <is>
          <t>DECOLURE 100% Blackout Linen Curtains 120 Inches Long | Linen</t>
        </is>
      </c>
      <c r="E33" s="32" t="inlineStr">
        <is>
          <t>52x120</t>
        </is>
      </c>
      <c r="F33" s="32" t="inlineStr">
        <is>
          <t>Linen</t>
        </is>
      </c>
      <c r="G33" s="60" t="n">
        <v>39.99</v>
      </c>
      <c r="H33" s="32" t="inlineStr">
        <is>
          <t>Helium 10 Xray, 2026-10-13</t>
        </is>
      </c>
      <c r="I33" s="61" t="n">
        <v>34.99</v>
      </c>
      <c r="J33" s="62" t="inlineStr">
        <is>
          <t>2026-03-30</t>
        </is>
      </c>
      <c r="K33" s="33" t="n">
        <v>-0.2399999999999984</v>
      </c>
      <c r="L33" s="63" t="n">
        <v>-0.6859102600743024</v>
      </c>
      <c r="M33" s="64" t="n">
        <v>0</v>
      </c>
      <c r="N33" s="32" t="inlineStr">
        <is>
          <t>Active</t>
        </is>
      </c>
      <c r="O33" s="32" t="n"/>
      <c r="P33" s="65" t="n">
        <v>4.7</v>
      </c>
      <c r="Q33" s="64" t="n">
        <v>586</v>
      </c>
      <c r="R33" s="64" t="n">
        <v>603113</v>
      </c>
      <c r="S33" s="64" t="n">
        <v>0.2033</v>
      </c>
      <c r="T33" s="32" t="n"/>
    </row>
    <row r="34" ht="62" customHeight="1">
      <c r="A34" s="10">
        <f>_xlfn.IMAGE("https://m.media-amazon.com/images/I/71ixaToofpL.jpg")</f>
        <v/>
      </c>
      <c r="B34" s="32" t="inlineStr">
        <is>
          <t>B0F63C3Z95</t>
        </is>
      </c>
      <c r="C34" s="32" t="inlineStr">
        <is>
          <t>LINEN-CURTAIN-52x120-NATURAL-2-PCS</t>
        </is>
      </c>
      <c r="D34" s="32" t="inlineStr">
        <is>
          <t>DECOLURE 100% Blackout Linen Curtains 120 Inches Long | Natural</t>
        </is>
      </c>
      <c r="E34" s="32" t="inlineStr">
        <is>
          <t>52x120</t>
        </is>
      </c>
      <c r="F34" s="32" t="inlineStr">
        <is>
          <t>Natural</t>
        </is>
      </c>
      <c r="G34" s="60" t="n">
        <v>39.99</v>
      </c>
      <c r="H34" s="32" t="inlineStr">
        <is>
          <t>Helium 10 Xray, 2026-10-13</t>
        </is>
      </c>
      <c r="I34" s="61" t="n">
        <v>34.99</v>
      </c>
      <c r="J34" s="62" t="inlineStr">
        <is>
          <t>2026-03-30</t>
        </is>
      </c>
      <c r="K34" s="33" t="n">
        <v>-0.01999999999999957</v>
      </c>
      <c r="L34" s="63" t="n">
        <v>-0.05715918833952435</v>
      </c>
      <c r="M34" s="64" t="n">
        <v>0</v>
      </c>
      <c r="N34" s="32" t="inlineStr">
        <is>
          <t>Active</t>
        </is>
      </c>
      <c r="O34" s="32" t="n"/>
      <c r="P34" s="65" t="n">
        <v>4.7</v>
      </c>
      <c r="Q34" s="64" t="n">
        <v>586</v>
      </c>
      <c r="R34" s="64" t="n">
        <v>603113</v>
      </c>
      <c r="S34" s="64" t="n">
        <v>0.2008</v>
      </c>
      <c r="T34" s="32" t="n"/>
    </row>
    <row r="35" ht="62" customHeight="1">
      <c r="A35" s="10">
        <f>_xlfn.IMAGE("https://m.media-amazon.com/images/I/81rR8AXrgFL.jpg")</f>
        <v/>
      </c>
      <c r="B35" s="32" t="inlineStr">
        <is>
          <t>B0F6399V8H</t>
        </is>
      </c>
      <c r="C35" s="32" t="inlineStr">
        <is>
          <t>LINEN-CURTAIN-52x63-BEIGE-2-PCS</t>
        </is>
      </c>
      <c r="D35" s="32" t="inlineStr">
        <is>
          <t>DECOLURE 100% Blackout Linen Curtains 63 Inches Long | Beige | Blackout Curtains for Living Room &amp; Bedroom | Thermal Insulated | Linen Textured | 2 Panels Set | 63 L x 52 W</t>
        </is>
      </c>
      <c r="E35" s="32" t="inlineStr">
        <is>
          <t>52x63</t>
        </is>
      </c>
      <c r="F35" s="32" t="inlineStr">
        <is>
          <t>Beige</t>
        </is>
      </c>
      <c r="G35" s="33" t="n"/>
      <c r="H35" s="32" t="n"/>
      <c r="I35" s="61" t="n">
        <v>27.99</v>
      </c>
      <c r="J35" s="62" t="inlineStr">
        <is>
          <t>2026-03-30</t>
        </is>
      </c>
      <c r="K35" s="33" t="n">
        <v>1.059999999999999</v>
      </c>
      <c r="L35" s="63" t="n">
        <v>0.03787066809574844</v>
      </c>
      <c r="M35" s="64" t="n"/>
      <c r="N35" s="32" t="inlineStr">
        <is>
          <t>Inactive</t>
        </is>
      </c>
      <c r="O35" s="32" t="n"/>
      <c r="P35" s="65" t="n"/>
      <c r="Q35" s="64" t="n"/>
      <c r="R35" s="64" t="n"/>
      <c r="S35" s="64" t="n"/>
      <c r="T35" s="32" t="n"/>
    </row>
    <row r="36" ht="62" customHeight="1">
      <c r="A36" s="10">
        <f>_xlfn.IMAGE("https://m.media-amazon.com/images/I/61tDU1Hkr+L.jpg")</f>
        <v/>
      </c>
      <c r="B36" s="32" t="inlineStr">
        <is>
          <t>B0F63B8T3G</t>
        </is>
      </c>
      <c r="C36" s="32" t="inlineStr">
        <is>
          <t>LINEN-CURTAIN-52x63-IVORY-2-PCS</t>
        </is>
      </c>
      <c r="D36" s="32" t="inlineStr">
        <is>
          <t>DECOLURE 100% Blackout Linen Curtains 63 Inches Long | Ivory</t>
        </is>
      </c>
      <c r="E36" s="32" t="inlineStr">
        <is>
          <t>52x63</t>
        </is>
      </c>
      <c r="F36" s="32" t="inlineStr">
        <is>
          <t>Ivory</t>
        </is>
      </c>
      <c r="G36" s="33" t="n"/>
      <c r="H36" s="32" t="n"/>
      <c r="I36" s="61" t="n">
        <v>27.99</v>
      </c>
      <c r="J36" s="62" t="inlineStr">
        <is>
          <t>2026-03-30</t>
        </is>
      </c>
      <c r="K36" s="33" t="n">
        <v>-0.610000000000003</v>
      </c>
      <c r="L36" s="63" t="n">
        <v>-0.02179349767774216</v>
      </c>
      <c r="M36" s="64" t="n"/>
      <c r="N36" s="32" t="inlineStr">
        <is>
          <t>Inactive</t>
        </is>
      </c>
      <c r="O36" s="32" t="n"/>
      <c r="P36" s="65" t="n"/>
      <c r="Q36" s="64" t="n"/>
      <c r="R36" s="64" t="n"/>
      <c r="S36" s="64" t="n"/>
      <c r="T36" s="32" t="n"/>
    </row>
    <row r="37" ht="62" customHeight="1">
      <c r="A37" s="10">
        <f>_xlfn.IMAGE("https://m.media-amazon.com/images/I/81GZ7-Ld49L.jpg")</f>
        <v/>
      </c>
      <c r="B37" s="32" t="inlineStr">
        <is>
          <t>B0F63DDNWT</t>
        </is>
      </c>
      <c r="C37" s="32" t="inlineStr">
        <is>
          <t>LINEN-CURTAIN-52x63-LIGHT-BEIGE-2-PCS</t>
        </is>
      </c>
      <c r="D37" s="32" t="inlineStr">
        <is>
          <t>DECOLURE 100% Blackout Linen Curtains 63 Inches Long | Light Beige</t>
        </is>
      </c>
      <c r="E37" s="32" t="inlineStr">
        <is>
          <t>52x63</t>
        </is>
      </c>
      <c r="F37" s="32" t="inlineStr">
        <is>
          <t>Light Beige</t>
        </is>
      </c>
      <c r="G37" s="60" t="n">
        <v>27.99</v>
      </c>
      <c r="H37" s="32" t="inlineStr">
        <is>
          <t>Helium 10 Xray, 2026-10-13</t>
        </is>
      </c>
      <c r="I37" s="61" t="n">
        <v>27.99</v>
      </c>
      <c r="J37" s="62" t="inlineStr">
        <is>
          <t>2026-03-30</t>
        </is>
      </c>
      <c r="K37" s="33" t="n">
        <v>0.9699999999999989</v>
      </c>
      <c r="L37" s="63" t="n">
        <v>0.03465523401214716</v>
      </c>
      <c r="M37" s="64" t="n">
        <v>0</v>
      </c>
      <c r="N37" s="32" t="inlineStr">
        <is>
          <t>Active</t>
        </is>
      </c>
      <c r="O37" s="32" t="n"/>
      <c r="P37" s="65" t="n">
        <v>4.7</v>
      </c>
      <c r="Q37" s="64" t="n">
        <v>586</v>
      </c>
      <c r="R37" s="64" t="n">
        <v>603121</v>
      </c>
      <c r="S37" s="64" t="n">
        <v>1</v>
      </c>
      <c r="T37" s="32" t="n"/>
    </row>
    <row r="38" ht="62" customHeight="1">
      <c r="A38" s="10">
        <f>_xlfn.IMAGE("https://m.media-amazon.com/images/I/819QUuxWcCL.jpg")</f>
        <v/>
      </c>
      <c r="B38" s="32" t="inlineStr">
        <is>
          <t>B0F639KHTY</t>
        </is>
      </c>
      <c r="C38" s="32" t="inlineStr">
        <is>
          <t>LINEN-CURTAIN-52x63-LIGHT-GREY-2-PCS</t>
        </is>
      </c>
      <c r="D38" s="32" t="inlineStr">
        <is>
          <t>DECOLURE 100% Blackout Linen Curtains 63 Inches Long | Light Grey</t>
        </is>
      </c>
      <c r="E38" s="32" t="inlineStr">
        <is>
          <t>52x63</t>
        </is>
      </c>
      <c r="F38" s="32" t="inlineStr">
        <is>
          <t>Light Grey</t>
        </is>
      </c>
      <c r="G38" s="60" t="n">
        <v>27.99</v>
      </c>
      <c r="H38" s="32" t="inlineStr">
        <is>
          <t>Helium 10 Xray, 2026-10-13</t>
        </is>
      </c>
      <c r="I38" s="61" t="n">
        <v>27.99</v>
      </c>
      <c r="J38" s="62" t="inlineStr">
        <is>
          <t>2026-03-30</t>
        </is>
      </c>
      <c r="K38" s="33" t="n">
        <v>0.9699999999999989</v>
      </c>
      <c r="L38" s="63" t="n">
        <v>0.03465523401214716</v>
      </c>
      <c r="M38" s="64" t="n">
        <v>0</v>
      </c>
      <c r="N38" s="32" t="inlineStr">
        <is>
          <t>Active</t>
        </is>
      </c>
      <c r="O38" s="32" t="n"/>
      <c r="P38" s="65" t="n">
        <v>4.7</v>
      </c>
      <c r="Q38" s="64" t="n">
        <v>586</v>
      </c>
      <c r="R38" s="64" t="n">
        <v>603113</v>
      </c>
      <c r="S38" s="64" t="n">
        <v>1</v>
      </c>
      <c r="T38" s="32" t="n"/>
    </row>
    <row r="39" ht="62" customHeight="1">
      <c r="A39" s="10">
        <f>_xlfn.IMAGE("https://m.media-amazon.com/images/I/81V8MKS9VEL.jpg")</f>
        <v/>
      </c>
      <c r="B39" s="32" t="inlineStr">
        <is>
          <t>B0F6381MZ1</t>
        </is>
      </c>
      <c r="C39" s="32" t="inlineStr">
        <is>
          <t>LINEN-CURTAIN-52x63-LINEN-2-PCS</t>
        </is>
      </c>
      <c r="D39" s="32" t="inlineStr">
        <is>
          <t>DECOLURE 100% Blackout Linen Curtains 63 Inches Long | Linen</t>
        </is>
      </c>
      <c r="E39" s="32" t="inlineStr">
        <is>
          <t>52x63</t>
        </is>
      </c>
      <c r="F39" s="32" t="inlineStr">
        <is>
          <t>Linen</t>
        </is>
      </c>
      <c r="G39" s="60" t="n">
        <v>27.99</v>
      </c>
      <c r="H39" s="32" t="inlineStr">
        <is>
          <t>Helium 10 Xray, 2026-10-13</t>
        </is>
      </c>
      <c r="I39" s="61" t="n">
        <v>27.99</v>
      </c>
      <c r="J39" s="62" t="inlineStr">
        <is>
          <t>2026-03-30</t>
        </is>
      </c>
      <c r="K39" s="33" t="n">
        <v>0.9699999999999989</v>
      </c>
      <c r="L39" s="63" t="n">
        <v>0.03465523401214716</v>
      </c>
      <c r="M39" s="64" t="n">
        <v>0</v>
      </c>
      <c r="N39" s="32" t="inlineStr">
        <is>
          <t>Active</t>
        </is>
      </c>
      <c r="O39" s="32" t="n"/>
      <c r="P39" s="65" t="n">
        <v>4.7</v>
      </c>
      <c r="Q39" s="64" t="n">
        <v>586</v>
      </c>
      <c r="R39" s="64" t="n">
        <v>603113</v>
      </c>
      <c r="S39" s="64" t="n">
        <v>1</v>
      </c>
      <c r="T39" s="32" t="n"/>
    </row>
    <row r="40" ht="62" customHeight="1">
      <c r="A40" s="10">
        <f>_xlfn.IMAGE("https://m.media-amazon.com/images/I/713WWL+uUyL.jpg")</f>
        <v/>
      </c>
      <c r="B40" s="32" t="inlineStr">
        <is>
          <t>B0F634R6RF</t>
        </is>
      </c>
      <c r="C40" s="32" t="inlineStr">
        <is>
          <t>LINEN-CURTAIN-52x63-NATURAL-2-PCS</t>
        </is>
      </c>
      <c r="D40" s="32" t="inlineStr">
        <is>
          <t>DECOLURE 100% Blackout Linen Curtains 63 Inches Long | Natural</t>
        </is>
      </c>
      <c r="E40" s="32" t="inlineStr">
        <is>
          <t>52x63</t>
        </is>
      </c>
      <c r="F40" s="32" t="inlineStr">
        <is>
          <t>Natural</t>
        </is>
      </c>
      <c r="G40" s="33" t="n"/>
      <c r="H40" s="32" t="n"/>
      <c r="I40" s="61" t="n">
        <v>27.99</v>
      </c>
      <c r="J40" s="62" t="inlineStr">
        <is>
          <t>2026-03-30</t>
        </is>
      </c>
      <c r="K40" s="33" t="n">
        <v>1.059999999999999</v>
      </c>
      <c r="L40" s="63" t="n">
        <v>0.03787066809574844</v>
      </c>
      <c r="M40" s="64" t="n"/>
      <c r="N40" s="32" t="inlineStr">
        <is>
          <t>Inactive</t>
        </is>
      </c>
      <c r="O40" s="32" t="n"/>
      <c r="P40" s="65" t="n"/>
      <c r="Q40" s="64" t="n"/>
      <c r="R40" s="64" t="n"/>
      <c r="S40" s="64" t="n"/>
      <c r="T40" s="32" t="n"/>
    </row>
    <row r="41" ht="62" customHeight="1">
      <c r="A41" s="10">
        <f>_xlfn.IMAGE("https://m.media-amazon.com/images/I/61tDU1Hkr+L.jpg")</f>
        <v/>
      </c>
      <c r="B41" s="32" t="inlineStr">
        <is>
          <t>B0F63C8CD8</t>
        </is>
      </c>
      <c r="C41" s="32" t="inlineStr">
        <is>
          <t>LINEN-CURTAIN-52x72-IVORY-2-PCS</t>
        </is>
      </c>
      <c r="D41" s="32" t="inlineStr">
        <is>
          <t>DECOLURE 100% Blackout Linen Curtains 72 Inches Long | Ivory</t>
        </is>
      </c>
      <c r="E41" s="32" t="inlineStr">
        <is>
          <t>52x72</t>
        </is>
      </c>
      <c r="F41" s="32" t="inlineStr">
        <is>
          <t>Ivory</t>
        </is>
      </c>
      <c r="G41" s="60" t="n">
        <v>28.99</v>
      </c>
      <c r="H41" s="32" t="inlineStr">
        <is>
          <t>Helium 10 Xray, 2026-10-13</t>
        </is>
      </c>
      <c r="I41" s="61" t="n">
        <v>28.99</v>
      </c>
      <c r="J41" s="62" t="inlineStr">
        <is>
          <t>2026-03-30</t>
        </is>
      </c>
      <c r="K41" s="33" t="n">
        <v>0.6699999999999982</v>
      </c>
      <c r="L41" s="63" t="n">
        <v>0.02311141773025175</v>
      </c>
      <c r="M41" s="64" t="n">
        <v>0</v>
      </c>
      <c r="N41" s="32" t="inlineStr">
        <is>
          <t>Active</t>
        </is>
      </c>
      <c r="O41" s="32" t="n"/>
      <c r="P41" s="65" t="n">
        <v>4.7</v>
      </c>
      <c r="Q41" s="64" t="n">
        <v>586</v>
      </c>
      <c r="R41" s="64" t="n">
        <v>603113</v>
      </c>
      <c r="S41" s="64" t="n">
        <v>1</v>
      </c>
      <c r="T41" s="32" t="n"/>
    </row>
    <row r="42" ht="62" customHeight="1">
      <c r="A42" s="10">
        <f>_xlfn.IMAGE("https://m.media-amazon.com/images/I/61c3LnPpyXL.jpg")</f>
        <v/>
      </c>
      <c r="B42" s="32" t="inlineStr">
        <is>
          <t>B0F638RWQV</t>
        </is>
      </c>
      <c r="C42" s="32" t="inlineStr">
        <is>
          <t>LINEN-CURTAIN-52x72-LIGHT-BEIGE-2-PCS</t>
        </is>
      </c>
      <c r="D42" s="32" t="inlineStr">
        <is>
          <t>DECOLURE 100% Blackout Linen Curtains 72 Inches Long | Light Beige</t>
        </is>
      </c>
      <c r="E42" s="32" t="inlineStr">
        <is>
          <t>52x72</t>
        </is>
      </c>
      <c r="F42" s="32" t="inlineStr">
        <is>
          <t>Light Beige</t>
        </is>
      </c>
      <c r="G42" s="60" t="n">
        <v>28.99</v>
      </c>
      <c r="H42" s="32" t="inlineStr">
        <is>
          <t>Helium 10 Xray, 2026-10-13</t>
        </is>
      </c>
      <c r="I42" s="61" t="n">
        <v>28.99</v>
      </c>
      <c r="J42" s="62" t="inlineStr">
        <is>
          <t>2026-03-30</t>
        </is>
      </c>
      <c r="K42" s="33" t="n">
        <v>0.6699999999999982</v>
      </c>
      <c r="L42" s="63" t="n">
        <v>0.02311141773025175</v>
      </c>
      <c r="M42" s="64" t="n">
        <v>0</v>
      </c>
      <c r="N42" s="32" t="inlineStr">
        <is>
          <t>Active</t>
        </is>
      </c>
      <c r="O42" s="32" t="n"/>
      <c r="P42" s="65" t="n">
        <v>4.7</v>
      </c>
      <c r="Q42" s="64" t="n">
        <v>586</v>
      </c>
      <c r="R42" s="64" t="n">
        <v>603113</v>
      </c>
      <c r="S42" s="64" t="n">
        <v>0.9931</v>
      </c>
      <c r="T42" s="32" t="n"/>
    </row>
    <row r="43" ht="62" customHeight="1">
      <c r="A43" s="10">
        <f>_xlfn.IMAGE("https://m.media-amazon.com/images/I/713WWL+uUyL.jpg")</f>
        <v/>
      </c>
      <c r="B43" s="32" t="inlineStr">
        <is>
          <t>B0F637Y2S7</t>
        </is>
      </c>
      <c r="C43" s="32" t="inlineStr">
        <is>
          <t>LINEN-CURTAIN-52x72-NATURAL-2-PCS</t>
        </is>
      </c>
      <c r="D43" s="32" t="inlineStr">
        <is>
          <t>DECOLURE 100% Blackout Linen Curtains 72 Inches Long | Natural</t>
        </is>
      </c>
      <c r="E43" s="32" t="inlineStr">
        <is>
          <t>52x72</t>
        </is>
      </c>
      <c r="F43" s="32" t="inlineStr">
        <is>
          <t>Natural</t>
        </is>
      </c>
      <c r="G43" s="60" t="n">
        <v>28.99</v>
      </c>
      <c r="H43" s="32" t="inlineStr">
        <is>
          <t>Helium 10 Xray, 2026-10-13</t>
        </is>
      </c>
      <c r="I43" s="61" t="n">
        <v>28.99</v>
      </c>
      <c r="J43" s="62" t="inlineStr">
        <is>
          <t>2026-03-30</t>
        </is>
      </c>
      <c r="K43" s="33" t="n">
        <v>0.6699999999999982</v>
      </c>
      <c r="L43" s="63" t="n">
        <v>0.02311141773025175</v>
      </c>
      <c r="M43" s="64" t="n">
        <v>0</v>
      </c>
      <c r="N43" s="32" t="inlineStr">
        <is>
          <t>Active</t>
        </is>
      </c>
      <c r="O43" s="32" t="n"/>
      <c r="P43" s="65" t="n">
        <v>4.7</v>
      </c>
      <c r="Q43" s="64" t="n">
        <v>586</v>
      </c>
      <c r="R43" s="64" t="n">
        <v>603113</v>
      </c>
      <c r="S43" s="64" t="n">
        <v>0.9455</v>
      </c>
      <c r="T43" s="32" t="n"/>
    </row>
    <row r="44" ht="62" customHeight="1">
      <c r="A44" s="10">
        <f>_xlfn.IMAGE("https://m.media-amazon.com/images/I/81y9CMpfMqL.jpg")</f>
        <v/>
      </c>
      <c r="B44" s="32" t="inlineStr">
        <is>
          <t>B0F6353F1D</t>
        </is>
      </c>
      <c r="C44" s="32" t="inlineStr">
        <is>
          <t>LINEN-CURTAIN-52x84-BEIGE-2-PCS</t>
        </is>
      </c>
      <c r="D44" s="32" t="inlineStr">
        <is>
          <t>DECOLURE 100% Blackout Linen Curtains 84 Inches Long | Beige</t>
        </is>
      </c>
      <c r="E44" s="32" t="inlineStr">
        <is>
          <t>52x84</t>
        </is>
      </c>
      <c r="F44" s="32" t="inlineStr">
        <is>
          <t>Beige</t>
        </is>
      </c>
      <c r="G44" s="60" t="n">
        <v>29.99</v>
      </c>
      <c r="H44" s="32" t="inlineStr">
        <is>
          <t>Helium 10 Xray, 2026-10-13</t>
        </is>
      </c>
      <c r="I44" s="61" t="n">
        <v>26.99</v>
      </c>
      <c r="J44" s="62" t="inlineStr">
        <is>
          <t>2026-03-30</t>
        </is>
      </c>
      <c r="K44" s="33" t="n">
        <v>-2.080000000000002</v>
      </c>
      <c r="L44" s="63" t="n">
        <v>-0.07706557984438689</v>
      </c>
      <c r="M44" s="64" t="n">
        <v>0</v>
      </c>
      <c r="N44" s="32" t="inlineStr">
        <is>
          <t>Active</t>
        </is>
      </c>
      <c r="O44" s="32" t="n"/>
      <c r="P44" s="65" t="n">
        <v>4.7</v>
      </c>
      <c r="Q44" s="64" t="n">
        <v>586</v>
      </c>
      <c r="R44" s="64" t="n">
        <v>603113</v>
      </c>
      <c r="S44" s="64" t="n">
        <v>0.711</v>
      </c>
      <c r="T44" s="32" t="n"/>
    </row>
    <row r="45" ht="62" customHeight="1">
      <c r="A45" s="10">
        <f>_xlfn.IMAGE("https://m.media-amazon.com/images/I/61OUT6yFb+L.jpg")</f>
        <v/>
      </c>
      <c r="B45" s="32" t="inlineStr">
        <is>
          <t>B0F639V3CW</t>
        </is>
      </c>
      <c r="C45" s="32" t="inlineStr">
        <is>
          <t>LINEN-CURTAIN-52x84-IVORY-2-PCS</t>
        </is>
      </c>
      <c r="D45" s="32" t="inlineStr">
        <is>
          <t>DECOLURE 100% Blackout Linen Curtains 84 Inches Long | Ivory</t>
        </is>
      </c>
      <c r="E45" s="32" t="inlineStr">
        <is>
          <t>52x84</t>
        </is>
      </c>
      <c r="F45" s="32" t="inlineStr">
        <is>
          <t>Ivory</t>
        </is>
      </c>
      <c r="G45" s="60" t="n">
        <v>29.99</v>
      </c>
      <c r="H45" s="32" t="inlineStr">
        <is>
          <t>Helium 10 Xray, 2026-10-13</t>
        </is>
      </c>
      <c r="I45" s="61" t="n">
        <v>29.99</v>
      </c>
      <c r="J45" s="62" t="inlineStr">
        <is>
          <t>2026-03-30</t>
        </is>
      </c>
      <c r="K45" s="33" t="n">
        <v>0.4499999999999957</v>
      </c>
      <c r="L45" s="63" t="n">
        <v>0.01500500166722227</v>
      </c>
      <c r="M45" s="64" t="n">
        <v>0</v>
      </c>
      <c r="N45" s="32" t="inlineStr">
        <is>
          <t>Active</t>
        </is>
      </c>
      <c r="O45" s="32" t="n"/>
      <c r="P45" s="65" t="n">
        <v>4.7</v>
      </c>
      <c r="Q45" s="64" t="n">
        <v>586</v>
      </c>
      <c r="R45" s="64" t="n">
        <v>603113</v>
      </c>
      <c r="S45" s="64" t="n">
        <v>0.7198</v>
      </c>
      <c r="T45" s="32" t="n"/>
    </row>
    <row r="46" ht="62" customHeight="1">
      <c r="A46" s="10">
        <f>_xlfn.IMAGE("https://m.media-amazon.com/images/I/71wdtLs1ffL.jpg")</f>
        <v/>
      </c>
      <c r="B46" s="32" t="inlineStr">
        <is>
          <t>B0F63B2LN7</t>
        </is>
      </c>
      <c r="C46" s="32" t="inlineStr">
        <is>
          <t>LINEN-CURTAIN-52x84-LIGHT-BEIGE-2-PCS</t>
        </is>
      </c>
      <c r="D46" s="32" t="inlineStr">
        <is>
          <t>DECOLURE 100% Blackout Linen Curtains 84 Inches Long | Light Beige</t>
        </is>
      </c>
      <c r="E46" s="32" t="inlineStr">
        <is>
          <t>52x84</t>
        </is>
      </c>
      <c r="F46" s="32" t="inlineStr">
        <is>
          <t>Light Beige</t>
        </is>
      </c>
      <c r="G46" s="33" t="n"/>
      <c r="H46" s="32" t="n"/>
      <c r="I46" s="61" t="n">
        <v>29.99</v>
      </c>
      <c r="J46" s="62" t="inlineStr">
        <is>
          <t>2026-03-30</t>
        </is>
      </c>
      <c r="K46" s="33" t="n">
        <v>0.4699999999999989</v>
      </c>
      <c r="L46" s="63" t="n">
        <v>0.01567189063021003</v>
      </c>
      <c r="M46" s="64" t="n">
        <v>0</v>
      </c>
      <c r="N46" s="32" t="inlineStr">
        <is>
          <t>Active</t>
        </is>
      </c>
      <c r="O46" s="32" t="n"/>
      <c r="P46" s="65" t="n"/>
      <c r="Q46" s="64" t="n"/>
      <c r="R46" s="64" t="n"/>
      <c r="S46" s="64" t="n"/>
      <c r="T46" s="32" t="n"/>
    </row>
    <row r="47" ht="62" customHeight="1">
      <c r="A47" s="10">
        <f>_xlfn.IMAGE("https://m.media-amazon.com/images/I/81QeDrUl7SL.jpg")</f>
        <v/>
      </c>
      <c r="B47" s="32" t="inlineStr">
        <is>
          <t>B0F634PV4T</t>
        </is>
      </c>
      <c r="C47" s="32" t="inlineStr">
        <is>
          <t>LINEN-CURTAIN-52x84-LINEN-2-PCS</t>
        </is>
      </c>
      <c r="D47" s="32" t="inlineStr">
        <is>
          <t>DECOLURE 100% Blackout Linen Curtains 84 Inches Long | Linen</t>
        </is>
      </c>
      <c r="E47" s="32" t="inlineStr">
        <is>
          <t>52x84</t>
        </is>
      </c>
      <c r="F47" s="32" t="inlineStr">
        <is>
          <t>Linen</t>
        </is>
      </c>
      <c r="G47" s="60" t="n">
        <v>29.99</v>
      </c>
      <c r="H47" s="32" t="inlineStr">
        <is>
          <t>Helium 10 Xray, 2026-10-13</t>
        </is>
      </c>
      <c r="I47" s="61" t="n">
        <v>29.99</v>
      </c>
      <c r="J47" s="62" t="inlineStr">
        <is>
          <t>2026-03-30</t>
        </is>
      </c>
      <c r="K47" s="33" t="n">
        <v>0.5999999999999979</v>
      </c>
      <c r="L47" s="63" t="n">
        <v>0.02000666888962981</v>
      </c>
      <c r="M47" s="64" t="n">
        <v>0</v>
      </c>
      <c r="N47" s="32" t="inlineStr">
        <is>
          <t>Active</t>
        </is>
      </c>
      <c r="O47" s="32" t="n"/>
      <c r="P47" s="65" t="n">
        <v>4.7</v>
      </c>
      <c r="Q47" s="64" t="n">
        <v>586</v>
      </c>
      <c r="R47" s="64" t="n">
        <v>603113</v>
      </c>
      <c r="S47" s="64" t="n">
        <v>0.7254</v>
      </c>
      <c r="T47" s="32" t="n"/>
    </row>
    <row r="48" ht="62" customHeight="1">
      <c r="A48" s="10">
        <f>_xlfn.IMAGE("https://m.media-amazon.com/images/I/71Qk8TmjrjL.jpg")</f>
        <v/>
      </c>
      <c r="B48" s="32" t="inlineStr">
        <is>
          <t>B0F639CWS1</t>
        </is>
      </c>
      <c r="C48" s="32" t="inlineStr">
        <is>
          <t>LINEN-CURTAIN-52x84-NATURAL-2-PCS</t>
        </is>
      </c>
      <c r="D48" s="32" t="inlineStr">
        <is>
          <t>DECOLURE 100% Blackout Linen Curtains 84 Inches Long | Natural</t>
        </is>
      </c>
      <c r="E48" s="32" t="inlineStr">
        <is>
          <t>52x84</t>
        </is>
      </c>
      <c r="F48" s="32" t="inlineStr">
        <is>
          <t>Natural</t>
        </is>
      </c>
      <c r="G48" s="60" t="n">
        <v>29.99</v>
      </c>
      <c r="H48" s="32" t="inlineStr">
        <is>
          <t>Helium 10 Xray, 2026-10-13</t>
        </is>
      </c>
      <c r="I48" s="61" t="n">
        <v>29.99</v>
      </c>
      <c r="J48" s="62" t="inlineStr">
        <is>
          <t>2026-03-30</t>
        </is>
      </c>
      <c r="K48" s="33" t="n">
        <v>0.509999999999998</v>
      </c>
      <c r="L48" s="63" t="n">
        <v>0.01700566855618533</v>
      </c>
      <c r="M48" s="64" t="n">
        <v>0</v>
      </c>
      <c r="N48" s="32" t="inlineStr">
        <is>
          <t>Active</t>
        </is>
      </c>
      <c r="O48" s="32" t="n"/>
      <c r="P48" s="65" t="n">
        <v>4.7</v>
      </c>
      <c r="Q48" s="64" t="n">
        <v>586</v>
      </c>
      <c r="R48" s="64" t="n">
        <v>603113</v>
      </c>
      <c r="S48" s="64" t="n">
        <v>0.8515</v>
      </c>
      <c r="T48" s="32" t="n"/>
    </row>
    <row r="49" ht="62" customHeight="1">
      <c r="A49" s="10">
        <f>_xlfn.IMAGE("https://m.media-amazon.com/images/I/81jISRAhJgL.jpg")</f>
        <v/>
      </c>
      <c r="B49" s="32" t="inlineStr">
        <is>
          <t>B0F639XQ4V</t>
        </is>
      </c>
      <c r="C49" s="32" t="inlineStr">
        <is>
          <t>LINEN-CURTAIN-52x90-BEIGE-2-PCS</t>
        </is>
      </c>
      <c r="D49" s="32" t="inlineStr">
        <is>
          <t>DECOLURE 100% Blackout Linen Curtains 90 Inches Long | Beige</t>
        </is>
      </c>
      <c r="E49" s="32" t="inlineStr">
        <is>
          <t>52x90</t>
        </is>
      </c>
      <c r="F49" s="32" t="inlineStr">
        <is>
          <t>Beige</t>
        </is>
      </c>
      <c r="G49" s="60" t="n">
        <v>32.99</v>
      </c>
      <c r="H49" s="32" t="inlineStr">
        <is>
          <t>Helium 10 Xray, 2026-10-13</t>
        </is>
      </c>
      <c r="I49" s="61" t="n">
        <v>31.99</v>
      </c>
      <c r="J49" s="62" t="inlineStr">
        <is>
          <t>2026-03-30</t>
        </is>
      </c>
      <c r="K49" s="33" t="n">
        <v>0.269999999999996</v>
      </c>
      <c r="L49" s="63" t="n">
        <v>0.8440137542982057</v>
      </c>
      <c r="M49" s="64" t="n">
        <v>0</v>
      </c>
      <c r="N49" s="32" t="inlineStr">
        <is>
          <t>Active</t>
        </is>
      </c>
      <c r="O49" s="32" t="n"/>
      <c r="P49" s="65" t="n">
        <v>4.7</v>
      </c>
      <c r="Q49" s="64" t="n">
        <v>586</v>
      </c>
      <c r="R49" s="64" t="n">
        <v>603113</v>
      </c>
      <c r="S49" s="64" t="n">
        <v>0.5225</v>
      </c>
      <c r="T49" s="32" t="n"/>
    </row>
    <row r="50" ht="62" customHeight="1">
      <c r="A50" s="10">
        <f>_xlfn.IMAGE("https://m.media-amazon.com/images/I/71UFvy2izLL.jpg")</f>
        <v/>
      </c>
      <c r="B50" s="32" t="inlineStr">
        <is>
          <t>B0F639VT23</t>
        </is>
      </c>
      <c r="C50" s="32" t="inlineStr">
        <is>
          <t>LINEN-CURTAIN-52x90-IVORY-2-PCS</t>
        </is>
      </c>
      <c r="D50" s="32" t="inlineStr">
        <is>
          <t>DECOLURE 100% Blackout Linen Curtains 90 Inches Long | Ivory</t>
        </is>
      </c>
      <c r="E50" s="32" t="inlineStr">
        <is>
          <t>52x90</t>
        </is>
      </c>
      <c r="F50" s="32" t="inlineStr">
        <is>
          <t>Ivory</t>
        </is>
      </c>
      <c r="G50" s="60" t="n">
        <v>32.99</v>
      </c>
      <c r="H50" s="32" t="inlineStr">
        <is>
          <t>Helium 10 Xray, 2026-10-13</t>
        </is>
      </c>
      <c r="I50" s="61" t="n">
        <v>31.99</v>
      </c>
      <c r="J50" s="62" t="inlineStr">
        <is>
          <t>2026-03-30</t>
        </is>
      </c>
      <c r="K50" s="33" t="n">
        <v>-0.2200000000000024</v>
      </c>
      <c r="L50" s="63" t="n">
        <v>-0.6877149109096669</v>
      </c>
      <c r="M50" s="64" t="n">
        <v>0</v>
      </c>
      <c r="N50" s="32" t="inlineStr">
        <is>
          <t>Active</t>
        </is>
      </c>
      <c r="O50" s="32" t="n"/>
      <c r="P50" s="65" t="n">
        <v>4.7</v>
      </c>
      <c r="Q50" s="64" t="n">
        <v>586</v>
      </c>
      <c r="R50" s="64" t="n">
        <v>603113</v>
      </c>
      <c r="S50" s="64" t="n">
        <v>0.5342</v>
      </c>
      <c r="T50" s="32" t="n"/>
    </row>
    <row r="51" ht="62" customHeight="1">
      <c r="A51" s="10">
        <f>_xlfn.IMAGE("https://m.media-amazon.com/images/I/81DnKeD0WnL.jpg")</f>
        <v/>
      </c>
      <c r="B51" s="32" t="inlineStr">
        <is>
          <t>B0F6399NW2</t>
        </is>
      </c>
      <c r="C51" s="32" t="inlineStr">
        <is>
          <t>LINEN-CURTAIN-52x90-LIGHT-BEIGE-2-PCS</t>
        </is>
      </c>
      <c r="D51" s="32" t="inlineStr">
        <is>
          <t>DECOLURE 100% Blackout Linen Curtains 90 Inches Long | Light Beige</t>
        </is>
      </c>
      <c r="E51" s="32" t="inlineStr">
        <is>
          <t>52x90</t>
        </is>
      </c>
      <c r="F51" s="32" t="inlineStr">
        <is>
          <t>Light Beige</t>
        </is>
      </c>
      <c r="G51" s="60" t="n">
        <v>32.99</v>
      </c>
      <c r="H51" s="32" t="inlineStr">
        <is>
          <t>Helium 10 Xray, 2026-10-13</t>
        </is>
      </c>
      <c r="I51" s="61" t="n">
        <v>31.99</v>
      </c>
      <c r="J51" s="62" t="inlineStr">
        <is>
          <t>2026-03-30</t>
        </is>
      </c>
      <c r="K51" s="33" t="n">
        <v>0.269999999999996</v>
      </c>
      <c r="L51" s="63" t="n">
        <v>0.8440137542982057</v>
      </c>
      <c r="M51" s="64" t="n">
        <v>0</v>
      </c>
      <c r="N51" s="32" t="inlineStr">
        <is>
          <t>Active</t>
        </is>
      </c>
      <c r="O51" s="32" t="n"/>
      <c r="P51" s="65" t="n">
        <v>4.7</v>
      </c>
      <c r="Q51" s="64" t="n">
        <v>586</v>
      </c>
      <c r="R51" s="64" t="n">
        <v>603121</v>
      </c>
      <c r="S51" s="64" t="n">
        <v>0.5125999999999999</v>
      </c>
      <c r="T51" s="32" t="n"/>
    </row>
    <row r="52" ht="62" customHeight="1">
      <c r="A52" s="10">
        <f>_xlfn.IMAGE("https://m.media-amazon.com/images/I/81ZBiWb-4UL.jpg")</f>
        <v/>
      </c>
      <c r="B52" s="32" t="inlineStr">
        <is>
          <t>B0F63B8T3H</t>
        </is>
      </c>
      <c r="C52" s="32" t="inlineStr">
        <is>
          <t>LINEN-CURTAIN-52x90-LIGHT-GREY-2-PCS</t>
        </is>
      </c>
      <c r="D52" s="32" t="inlineStr">
        <is>
          <t>DECOLURE 100% Blackout Linen Curtains 90 Inches Long | Light Grey</t>
        </is>
      </c>
      <c r="E52" s="32" t="inlineStr">
        <is>
          <t>52x90</t>
        </is>
      </c>
      <c r="F52" s="32" t="inlineStr">
        <is>
          <t>Light Grey</t>
        </is>
      </c>
      <c r="G52" s="60" t="n">
        <v>32.99</v>
      </c>
      <c r="H52" s="32" t="inlineStr">
        <is>
          <t>Helium 10 Xray, 2026-10-13</t>
        </is>
      </c>
      <c r="I52" s="61" t="n">
        <v>31.99</v>
      </c>
      <c r="J52" s="62" t="inlineStr">
        <is>
          <t>2026-03-30</t>
        </is>
      </c>
      <c r="K52" s="33" t="n">
        <v>0.269999999999996</v>
      </c>
      <c r="L52" s="63" t="n">
        <v>0.8440137542982057</v>
      </c>
      <c r="M52" s="64" t="n">
        <v>0</v>
      </c>
      <c r="N52" s="32" t="inlineStr">
        <is>
          <t>Active</t>
        </is>
      </c>
      <c r="O52" s="32" t="n"/>
      <c r="P52" s="65" t="n">
        <v>4.7</v>
      </c>
      <c r="Q52" s="64" t="n">
        <v>586</v>
      </c>
      <c r="R52" s="64" t="n">
        <v>603113</v>
      </c>
      <c r="S52" s="64" t="n">
        <v>0.5149</v>
      </c>
      <c r="T52" s="32" t="n"/>
    </row>
    <row r="53" ht="62" customHeight="1">
      <c r="A53" s="10">
        <f>_xlfn.IMAGE("https://m.media-amazon.com/images/I/81vnIru+thL.jpg")</f>
        <v/>
      </c>
      <c r="B53" s="32" t="inlineStr">
        <is>
          <t>B0F637PJBD</t>
        </is>
      </c>
      <c r="C53" s="32" t="inlineStr">
        <is>
          <t>LINEN-CURTAIN-52x90-LINEN-2-PCS</t>
        </is>
      </c>
      <c r="D53" s="32" t="inlineStr">
        <is>
          <t>DECOLURE 100% Blackout Linen Curtains 90 Inches Long | Linen</t>
        </is>
      </c>
      <c r="E53" s="32" t="inlineStr">
        <is>
          <t>52x90</t>
        </is>
      </c>
      <c r="F53" s="32" t="inlineStr">
        <is>
          <t>Linen</t>
        </is>
      </c>
      <c r="G53" s="60" t="n">
        <v>32.99</v>
      </c>
      <c r="H53" s="32" t="inlineStr">
        <is>
          <t>Helium 10 Xray, 2026-10-13</t>
        </is>
      </c>
      <c r="I53" s="61" t="n">
        <v>31.99</v>
      </c>
      <c r="J53" s="62" t="inlineStr">
        <is>
          <t>2026-03-30</t>
        </is>
      </c>
      <c r="K53" s="33" t="n">
        <v>0.259999999999998</v>
      </c>
      <c r="L53" s="63" t="n">
        <v>0.8127539856205003</v>
      </c>
      <c r="M53" s="64" t="n">
        <v>0</v>
      </c>
      <c r="N53" s="32" t="inlineStr">
        <is>
          <t>Active</t>
        </is>
      </c>
      <c r="O53" s="32" t="n"/>
      <c r="P53" s="65" t="n">
        <v>4.7</v>
      </c>
      <c r="Q53" s="64" t="n">
        <v>586</v>
      </c>
      <c r="R53" s="64" t="n">
        <v>603113</v>
      </c>
      <c r="S53" s="64" t="n">
        <v>0.5306999999999999</v>
      </c>
      <c r="T53" s="32" t="n"/>
    </row>
    <row r="54" ht="62" customHeight="1">
      <c r="A54" s="10">
        <f>_xlfn.IMAGE("https://m.media-amazon.com/images/I/612xt6uN9EL.jpg")</f>
        <v/>
      </c>
      <c r="B54" s="32" t="inlineStr">
        <is>
          <t>B0F639T5K2</t>
        </is>
      </c>
      <c r="C54" s="32" t="inlineStr">
        <is>
          <t>LINEN-CURTAIN-52x90-NATURAL-2-PCS</t>
        </is>
      </c>
      <c r="D54" s="32" t="inlineStr">
        <is>
          <t>DECOLURE 100% Blackout Linen Curtains 90 Inches Long | Natural</t>
        </is>
      </c>
      <c r="E54" s="32" t="inlineStr">
        <is>
          <t>52x90</t>
        </is>
      </c>
      <c r="F54" s="32" t="inlineStr">
        <is>
          <t>Natural</t>
        </is>
      </c>
      <c r="G54" s="60" t="n">
        <v>32.99</v>
      </c>
      <c r="H54" s="32" t="inlineStr">
        <is>
          <t>Helium 10 Xray, 2026-10-13</t>
        </is>
      </c>
      <c r="I54" s="61" t="n">
        <v>31.99</v>
      </c>
      <c r="J54" s="62" t="inlineStr">
        <is>
          <t>2026-03-30</t>
        </is>
      </c>
      <c r="K54" s="33" t="n">
        <v>0.00999999999999801</v>
      </c>
      <c r="L54" s="63" t="n">
        <v>0.03125976867770557</v>
      </c>
      <c r="M54" s="64" t="n">
        <v>0</v>
      </c>
      <c r="N54" s="32" t="inlineStr">
        <is>
          <t>Active</t>
        </is>
      </c>
      <c r="O54" s="32" t="n"/>
      <c r="P54" s="65" t="n">
        <v>4.7</v>
      </c>
      <c r="Q54" s="64" t="n">
        <v>586</v>
      </c>
      <c r="R54" s="64" t="n">
        <v>603113</v>
      </c>
      <c r="S54" s="64" t="n">
        <v>0.5387999999999999</v>
      </c>
      <c r="T54" s="32" t="n"/>
    </row>
    <row r="55" ht="62" customHeight="1">
      <c r="A55" s="10">
        <f>_xlfn.IMAGE("https://m.media-amazon.com/images/I/813ccHG4dvL.jpg")</f>
        <v/>
      </c>
      <c r="B55" s="32" t="inlineStr">
        <is>
          <t>B0F638G1PV</t>
        </is>
      </c>
      <c r="C55" s="32" t="inlineStr">
        <is>
          <t>LINEN-CURTAIN-52x96-BEIGE-2-PCS</t>
        </is>
      </c>
      <c r="D55" s="32" t="inlineStr">
        <is>
          <t>DECOLURE 100% Blackout Linen Curtains 96 Inches Long | Beige</t>
        </is>
      </c>
      <c r="E55" s="32" t="inlineStr">
        <is>
          <t>52x96</t>
        </is>
      </c>
      <c r="F55" s="32" t="inlineStr">
        <is>
          <t>Beige</t>
        </is>
      </c>
      <c r="G55" s="60" t="n">
        <v>32.99</v>
      </c>
      <c r="H55" s="32" t="inlineStr">
        <is>
          <t>Helium 10 Xray, 2026-10-13</t>
        </is>
      </c>
      <c r="I55" s="61" t="n">
        <v>31.99</v>
      </c>
      <c r="J55" s="62" t="inlineStr">
        <is>
          <t>2026-03-30</t>
        </is>
      </c>
      <c r="K55" s="33" t="n">
        <v>-0.07000000000000384</v>
      </c>
      <c r="L55" s="63" t="n">
        <v>-0.2188183807439945</v>
      </c>
      <c r="M55" s="64" t="n">
        <v>0</v>
      </c>
      <c r="N55" s="32" t="inlineStr">
        <is>
          <t>Active</t>
        </is>
      </c>
      <c r="O55" s="32" t="n"/>
      <c r="P55" s="65" t="n">
        <v>4.7</v>
      </c>
      <c r="Q55" s="64" t="n">
        <v>586</v>
      </c>
      <c r="R55" s="64" t="n">
        <v>603113</v>
      </c>
      <c r="S55" s="64" t="n">
        <v>0.4998</v>
      </c>
      <c r="T55" s="32" t="n"/>
    </row>
    <row r="56" ht="62" customHeight="1">
      <c r="A56" s="10">
        <f>_xlfn.IMAGE("https://m.media-amazon.com/images/I/81xksHExcTL.jpg")</f>
        <v/>
      </c>
      <c r="B56" s="32" t="inlineStr">
        <is>
          <t>B0F6392CDG</t>
        </is>
      </c>
      <c r="C56" s="32" t="inlineStr">
        <is>
          <t>LINEN-CURTAIN-52x96-IVORY-2-PCS</t>
        </is>
      </c>
      <c r="D56" s="32" t="inlineStr">
        <is>
          <t>DECOLURE 100% Blackout Linen Curtains 96 Inches Long | Ivory</t>
        </is>
      </c>
      <c r="E56" s="32" t="inlineStr">
        <is>
          <t>52x96</t>
        </is>
      </c>
      <c r="F56" s="32" t="inlineStr">
        <is>
          <t>Ivory</t>
        </is>
      </c>
      <c r="G56" s="60" t="n">
        <v>32.99</v>
      </c>
      <c r="H56" s="32" t="inlineStr">
        <is>
          <t>Helium 10 Xray, 2026-10-13</t>
        </is>
      </c>
      <c r="I56" s="61" t="n">
        <v>31.99</v>
      </c>
      <c r="J56" s="62" t="inlineStr">
        <is>
          <t>2026-03-30</t>
        </is>
      </c>
      <c r="K56" s="33" t="n">
        <v>-0.07000000000000384</v>
      </c>
      <c r="L56" s="63" t="n">
        <v>-0.2188183807439945</v>
      </c>
      <c r="M56" s="64" t="n">
        <v>0</v>
      </c>
      <c r="N56" s="32" t="inlineStr">
        <is>
          <t>Active</t>
        </is>
      </c>
      <c r="O56" s="32" t="n"/>
      <c r="P56" s="65" t="n">
        <v>4.7</v>
      </c>
      <c r="Q56" s="64" t="n">
        <v>586</v>
      </c>
      <c r="R56" s="64" t="n">
        <v>603113</v>
      </c>
      <c r="S56" s="64" t="n">
        <v>0.5243</v>
      </c>
      <c r="T56" s="32" t="n"/>
    </row>
    <row r="57" ht="62" customHeight="1">
      <c r="A57" s="10">
        <f>_xlfn.IMAGE("https://m.media-amazon.com/images/I/716F2STMkhL.jpg")</f>
        <v/>
      </c>
      <c r="B57" s="32" t="inlineStr">
        <is>
          <t>B0F639YZ3D</t>
        </is>
      </c>
      <c r="C57" s="32" t="inlineStr">
        <is>
          <t>LINEN-CURTAIN-52x96-LIGHT-BEIGE-2-PCS</t>
        </is>
      </c>
      <c r="D57" s="32" t="inlineStr">
        <is>
          <t>DECOLURE 100% Blackout Linen Curtains 96 Inches Long | Light Beige</t>
        </is>
      </c>
      <c r="E57" s="32" t="inlineStr">
        <is>
          <t>52x96</t>
        </is>
      </c>
      <c r="F57" s="32" t="inlineStr">
        <is>
          <t>Light Beige</t>
        </is>
      </c>
      <c r="G57" s="60" t="n">
        <v>32.99</v>
      </c>
      <c r="H57" s="32" t="inlineStr">
        <is>
          <t>Helium 10 Xray, 2026-10-13</t>
        </is>
      </c>
      <c r="I57" s="61" t="n">
        <v>31.99</v>
      </c>
      <c r="J57" s="62" t="inlineStr">
        <is>
          <t>2026-03-30</t>
        </is>
      </c>
      <c r="K57" s="33" t="n">
        <v>-3.552713678800501e-15</v>
      </c>
      <c r="L57" s="63" t="n">
        <v>-1.110570077774461e-14</v>
      </c>
      <c r="M57" s="64" t="n">
        <v>0</v>
      </c>
      <c r="N57" s="32" t="inlineStr">
        <is>
          <t>Active</t>
        </is>
      </c>
      <c r="O57" s="32" t="n"/>
      <c r="P57" s="65" t="n">
        <v>4.7</v>
      </c>
      <c r="Q57" s="64" t="n">
        <v>586</v>
      </c>
      <c r="R57" s="64" t="n">
        <v>603113</v>
      </c>
      <c r="S57" s="64" t="n">
        <v>0.5191</v>
      </c>
      <c r="T57" s="32" t="n"/>
    </row>
    <row r="58" ht="62" customHeight="1">
      <c r="A58" s="10">
        <f>_xlfn.IMAGE("https://m.media-amazon.com/images/I/81NQY9J1a3L.jpg")</f>
        <v/>
      </c>
      <c r="B58" s="32" t="inlineStr">
        <is>
          <t>B0F638T9NF</t>
        </is>
      </c>
      <c r="C58" s="32" t="inlineStr">
        <is>
          <t>LINEN-CURTAIN-52x96-LIGHT-GREY-2-PCS</t>
        </is>
      </c>
      <c r="D58" s="32" t="inlineStr">
        <is>
          <t>DECOLURE 100% Blackout Linen Curtains 96 Inches Long | Light Grey</t>
        </is>
      </c>
      <c r="E58" s="32" t="inlineStr">
        <is>
          <t>52x96</t>
        </is>
      </c>
      <c r="F58" s="32" t="inlineStr">
        <is>
          <t>Light Grey</t>
        </is>
      </c>
      <c r="G58" s="60" t="n">
        <v>32.99</v>
      </c>
      <c r="H58" s="32" t="inlineStr">
        <is>
          <t>Helium 10 Xray, 2026-10-13</t>
        </is>
      </c>
      <c r="I58" s="61" t="n">
        <v>31.99</v>
      </c>
      <c r="J58" s="62" t="inlineStr">
        <is>
          <t>2026-03-30</t>
        </is>
      </c>
      <c r="K58" s="33" t="n">
        <v>0.03999999999999915</v>
      </c>
      <c r="L58" s="63" t="n">
        <v>0.1250390747108445</v>
      </c>
      <c r="M58" s="64" t="n">
        <v>0</v>
      </c>
      <c r="N58" s="32" t="inlineStr">
        <is>
          <t>Active</t>
        </is>
      </c>
      <c r="O58" s="32" t="n"/>
      <c r="P58" s="65" t="n">
        <v>4.7</v>
      </c>
      <c r="Q58" s="64" t="n">
        <v>586</v>
      </c>
      <c r="R58" s="64" t="n">
        <v>603113</v>
      </c>
      <c r="S58" s="64" t="n">
        <v>0.5317</v>
      </c>
      <c r="T58" s="32" t="n"/>
    </row>
    <row r="59" ht="62" customHeight="1">
      <c r="A59" s="10">
        <f>_xlfn.IMAGE("https://m.media-amazon.com/images/I/81IVWOHsL4L.jpg")</f>
        <v/>
      </c>
      <c r="B59" s="32" t="inlineStr">
        <is>
          <t>B0F6393JBD</t>
        </is>
      </c>
      <c r="C59" s="32" t="inlineStr">
        <is>
          <t>LINEN-CURTAIN-52x96-LINEN-2-PCS</t>
        </is>
      </c>
      <c r="D59" s="32" t="inlineStr">
        <is>
          <t>DECOLURE 100% Blackout Linen Curtains 96 Inches Long | Linen</t>
        </is>
      </c>
      <c r="E59" s="32" t="inlineStr">
        <is>
          <t>52x96</t>
        </is>
      </c>
      <c r="F59" s="32" t="inlineStr">
        <is>
          <t>Linen</t>
        </is>
      </c>
      <c r="G59" s="60" t="n">
        <v>32.99</v>
      </c>
      <c r="H59" s="32" t="inlineStr">
        <is>
          <t>Helium 10 Xray, 2026-10-13</t>
        </is>
      </c>
      <c r="I59" s="61" t="n">
        <v>31.99</v>
      </c>
      <c r="J59" s="62" t="inlineStr">
        <is>
          <t>2026-03-30</t>
        </is>
      </c>
      <c r="K59" s="33" t="n">
        <v>-0.02000000000000313</v>
      </c>
      <c r="L59" s="63" t="n">
        <v>-0.06251953735543335</v>
      </c>
      <c r="M59" s="64" t="n">
        <v>0</v>
      </c>
      <c r="N59" s="32" t="inlineStr">
        <is>
          <t>Active</t>
        </is>
      </c>
      <c r="O59" s="32" t="n"/>
      <c r="P59" s="65" t="n">
        <v>4.7</v>
      </c>
      <c r="Q59" s="64" t="n">
        <v>586</v>
      </c>
      <c r="R59" s="64" t="n">
        <v>603113</v>
      </c>
      <c r="S59" s="64" t="n">
        <v>0.4865</v>
      </c>
      <c r="T59" s="32" t="n"/>
    </row>
    <row r="61" ht="20" customHeight="1">
      <c r="A61" s="54" t="inlineStr">
        <is>
          <t>3 · OUR BFCM 2025 RESULT &amp; EVENT VISIBILITY</t>
        </is>
      </c>
    </row>
    <row r="62">
      <c r="A62" s="67" t="inlineStr">
        <is>
          <t>Window</t>
        </is>
      </c>
      <c r="B62" s="68" t="n"/>
      <c r="C62" s="69" t="n"/>
      <c r="D62" s="67" t="inlineStr">
        <is>
          <t>Ad spend</t>
        </is>
      </c>
      <c r="E62" s="67" t="inlineStr">
        <is>
          <t>Ad sales</t>
        </is>
      </c>
      <c r="F62" s="67" t="inlineStr">
        <is>
          <t>ACoS</t>
        </is>
      </c>
      <c r="G62" s="67" t="inlineStr">
        <is>
          <t>TACoS</t>
        </is>
      </c>
      <c r="H62" s="67" t="inlineStr">
        <is>
          <t>Total sales (derived)</t>
        </is>
      </c>
      <c r="J62" s="67" t="inlineStr">
        <is>
          <t>Ad orders</t>
        </is>
      </c>
      <c r="K62" s="67" t="inlineStr">
        <is>
          <t>CVR</t>
        </is>
      </c>
    </row>
    <row r="63">
      <c r="A63" s="70" t="inlineStr">
        <is>
          <t>Pre-event Oct 21 - Nov 19, 2025 (30d)</t>
        </is>
      </c>
      <c r="B63" s="68" t="n"/>
      <c r="C63" s="69" t="n"/>
      <c r="D63" s="71" t="n"/>
      <c r="E63" s="71" t="n"/>
      <c r="F63" s="72" t="n"/>
      <c r="G63" s="72" t="n"/>
      <c r="H63" s="71" t="n"/>
      <c r="J63" s="73" t="n"/>
      <c r="K63" s="74" t="n"/>
    </row>
    <row r="64">
      <c r="A64" s="70" t="inlineStr">
        <is>
          <t>BFCM week Nov 20 - Dec 1, 2025 (12d)</t>
        </is>
      </c>
      <c r="B64" s="68" t="n"/>
      <c r="C64" s="69" t="n"/>
      <c r="D64" s="71" t="n"/>
      <c r="E64" s="71" t="n"/>
      <c r="F64" s="72" t="n"/>
      <c r="G64" s="72" t="n"/>
      <c r="H64" s="71" t="n"/>
      <c r="J64" s="73" t="n"/>
      <c r="K64" s="74" t="n"/>
    </row>
    <row r="65">
      <c r="A65" s="70" t="inlineStr">
        <is>
          <t>December 2 - 31, 2025 (30d)</t>
        </is>
      </c>
      <c r="B65" s="68" t="n"/>
      <c r="C65" s="69" t="n"/>
      <c r="D65" s="71" t="n"/>
      <c r="E65" s="71" t="n"/>
      <c r="F65" s="72" t="n"/>
      <c r="G65" s="72" t="n"/>
      <c r="H65" s="71" t="n"/>
      <c r="J65" s="73" t="n"/>
      <c r="K65" s="74" t="n"/>
    </row>
    <row r="67">
      <c r="A67" s="67" t="inlineStr">
        <is>
          <t>Actual sales (SellerBoard)</t>
        </is>
      </c>
      <c r="B67" s="68" t="n"/>
      <c r="C67" s="69" t="n"/>
      <c r="D67" s="67" t="inlineStr">
        <is>
          <t>Sales</t>
        </is>
      </c>
      <c r="E67" s="67" t="inlineStr">
        <is>
          <t>Units</t>
        </is>
      </c>
      <c r="F67" s="67" t="inlineStr">
        <is>
          <t>Organic units</t>
        </is>
      </c>
      <c r="G67" s="67" t="inlineStr">
        <is>
          <t>Ad units</t>
        </is>
      </c>
      <c r="H67" s="67" t="inlineStr">
        <is>
          <t>Ad cost</t>
        </is>
      </c>
      <c r="J67" s="67" t="inlineStr">
        <is>
          <t>TACoS (actual)</t>
        </is>
      </c>
      <c r="K67" s="67" t="inlineStr">
        <is>
          <t>Sessions</t>
        </is>
      </c>
      <c r="L67" s="67" t="inlineStr">
        <is>
          <t>Unit session %</t>
        </is>
      </c>
      <c r="M67" s="67" t="inlineStr">
        <is>
          <t>Avg price</t>
        </is>
      </c>
      <c r="N67" s="67" t="inlineStr">
        <is>
          <t>Refunds</t>
        </is>
      </c>
    </row>
    <row r="68">
      <c r="A68" s="70" t="inlineStr">
        <is>
          <t>Pre-event Oct 21 - Nov 19, 2025 (30d)</t>
        </is>
      </c>
      <c r="B68" s="68" t="n"/>
      <c r="C68" s="69" t="n"/>
      <c r="D68" s="71" t="n">
        <v>0</v>
      </c>
      <c r="E68" s="73" t="n">
        <v>0</v>
      </c>
      <c r="F68" s="73" t="n">
        <v>0</v>
      </c>
      <c r="G68" s="73" t="n">
        <v>0</v>
      </c>
      <c r="H68" s="71" t="n">
        <v>0</v>
      </c>
      <c r="J68" s="75" t="n"/>
      <c r="K68" s="73" t="n">
        <v>0</v>
      </c>
      <c r="L68" s="75" t="n"/>
      <c r="M68" s="76" t="n"/>
      <c r="N68" s="73" t="n">
        <v>0</v>
      </c>
    </row>
    <row r="69">
      <c r="A69" s="70" t="inlineStr">
        <is>
          <t>BFCM week Nov 20 - Dec 1, 2025 (12d)</t>
        </is>
      </c>
      <c r="B69" s="68" t="n"/>
      <c r="C69" s="69" t="n"/>
      <c r="D69" s="71" t="n">
        <v>0</v>
      </c>
      <c r="E69" s="73" t="n">
        <v>0</v>
      </c>
      <c r="F69" s="73" t="n">
        <v>0</v>
      </c>
      <c r="G69" s="73" t="n">
        <v>0</v>
      </c>
      <c r="H69" s="71" t="n">
        <v>0</v>
      </c>
      <c r="J69" s="75" t="n"/>
      <c r="K69" s="73" t="n">
        <v>0</v>
      </c>
      <c r="L69" s="75" t="n"/>
      <c r="M69" s="76" t="n"/>
      <c r="N69" s="73" t="n">
        <v>0</v>
      </c>
    </row>
    <row r="70">
      <c r="A70" s="70" t="inlineStr">
        <is>
          <t>December 2 - 31, 2025 (30d)</t>
        </is>
      </c>
      <c r="B70" s="68" t="n"/>
      <c r="C70" s="69" t="n"/>
      <c r="D70" s="71" t="n">
        <v>2310.17</v>
      </c>
      <c r="E70" s="73" t="n">
        <v>83</v>
      </c>
      <c r="F70" s="73" t="n">
        <v>83</v>
      </c>
      <c r="G70" s="73" t="n">
        <v>0</v>
      </c>
      <c r="H70" s="71" t="n">
        <v>0</v>
      </c>
      <c r="J70" s="75" t="n">
        <v>0</v>
      </c>
      <c r="K70" s="73" t="n">
        <v>1859</v>
      </c>
      <c r="L70" s="75" t="n">
        <v>0.04464766003227542</v>
      </c>
      <c r="M70" s="76" t="n">
        <v>27.83337349397591</v>
      </c>
      <c r="N70" s="73" t="n">
        <v>0</v>
      </c>
    </row>
    <row r="71">
      <c r="A71" s="59" t="inlineStr">
        <is>
          <t>SellerBoard, Ecotero account, Amazon parent B0H2Z62MJZ plus any of this product's child ASINs SellerBoard lists on their own, UTC days. Lift above uses these actual sales.</t>
        </is>
      </c>
    </row>
    <row r="72">
      <c r="A72" s="59" t="inlineStr">
        <is>
          <t>No Command Center visibility history for our best child ASIN.</t>
        </is>
      </c>
    </row>
    <row r="74" ht="20" customHeight="1">
      <c r="A74" s="54" t="inlineStr">
        <is>
          <t>4 · COMPETITOR LANDSCAPE (21 mapped)</t>
        </is>
      </c>
    </row>
    <row r="75">
      <c r="A75" s="59" t="inlineStr">
        <is>
          <t>Sorted by tier, then estimated weekly units. Green = Command Center price/sales; blue = Data Dive listing; purple = Command Center search strategy (ASINsight); yellow = fill from Keepa / page check.</t>
        </is>
      </c>
    </row>
    <row r="76">
      <c r="A76" s="78" t="inlineStr">
        <is>
          <t>COMPETITOR</t>
        </is>
      </c>
      <c r="I76" s="79" t="inlineStr">
        <is>
          <t>LISTING - Data Dive</t>
        </is>
      </c>
      <c r="J76" s="80" t="inlineStr">
        <is>
          <t>SEARCH STRATEGY - Command Center ASINsight</t>
        </is>
      </c>
      <c r="K76" s="81" t="inlineStr">
        <is>
          <t>PRICE &amp; SALES - Command Center snapshot (date per row)</t>
        </is>
      </c>
      <c r="X76" s="79" t="inlineStr">
        <is>
          <t>LISTING - Data Dive</t>
        </is>
      </c>
      <c r="AA76" s="80" t="inlineStr">
        <is>
          <t>SEARCH STRATEGY - Command Center ASINsight</t>
        </is>
      </c>
      <c r="AR76" s="82" t="inlineStr">
        <is>
          <t>STR NOW - Amazon page check (Oct 13, P1 + P2)</t>
        </is>
      </c>
      <c r="AY76" s="83" t="inlineStr">
        <is>
          <t>BFCM 2025 - Keepa (P1 filled; yellow = not pulled yet)</t>
        </is>
      </c>
    </row>
    <row r="77" ht="48" customHeight="1">
      <c r="A77" s="22" t="inlineStr">
        <is>
          <t>Image</t>
        </is>
      </c>
      <c r="B77" s="22" t="inlineStr">
        <is>
          <t>Brand</t>
        </is>
      </c>
      <c r="C77" s="22" t="inlineStr">
        <is>
          <t>Product title</t>
        </is>
      </c>
      <c r="D77" s="22" t="inlineStr">
        <is>
          <t>Tier</t>
        </is>
      </c>
      <c r="E77" s="22" t="inlineStr">
        <is>
          <t>Parent ASIN</t>
        </is>
      </c>
      <c r="F77" s="22" t="inlineStr">
        <is>
          <t>Tracked child ASIN</t>
        </is>
      </c>
      <c r="G77" s="22" t="inlineStr">
        <is>
          <t>Size (title)</t>
        </is>
      </c>
      <c r="H77" s="22" t="inlineStr">
        <is>
          <t>Colour (title)</t>
        </is>
      </c>
      <c r="I77" s="22" t="inlineStr">
        <is>
          <t>Variations</t>
        </is>
      </c>
      <c r="J77" s="22" t="inlineStr">
        <is>
          <t>Hero child ASINs (share of their visibility)</t>
        </is>
      </c>
      <c r="K77" s="22" t="inlineStr">
        <is>
          <t>Price ($)</t>
        </is>
      </c>
      <c r="L77" s="22" t="inlineStr">
        <is>
          <t>List Price ($)</t>
        </is>
      </c>
      <c r="M77" s="22" t="inlineStr">
        <is>
          <t>List Price % over</t>
        </is>
      </c>
      <c r="N77" s="22" t="inlineStr">
        <is>
          <t>STR band</t>
        </is>
      </c>
      <c r="O77" s="22" t="inlineStr">
        <is>
          <t>Our price, same size ($)</t>
        </is>
      </c>
      <c r="P77" s="22" t="inlineStr">
        <is>
          <t>Their price vs ours</t>
        </is>
      </c>
      <c r="Q77" s="22" t="inlineStr">
        <is>
          <t>Comparison basis</t>
        </is>
      </c>
      <c r="R77" s="22" t="inlineStr">
        <is>
          <t>BSR</t>
        </is>
      </c>
      <c r="S77" s="22" t="inlineStr">
        <is>
          <t>Est weekly units</t>
        </is>
      </c>
      <c r="T77" s="22" t="inlineStr">
        <is>
          <t>Est monthly revenue ($)</t>
        </is>
      </c>
      <c r="U77" s="22" t="inlineStr">
        <is>
          <t>Rating</t>
        </is>
      </c>
      <c r="V77" s="22" t="inlineStr">
        <is>
          <t>Reviews</t>
        </is>
      </c>
      <c r="W77" s="22" t="inlineStr">
        <is>
          <t>Snapshot date</t>
        </is>
      </c>
      <c r="X77" s="22" t="inlineStr">
        <is>
          <t>Listed</t>
        </is>
      </c>
      <c r="Y77" s="22" t="inlineStr">
        <is>
          <t>Fulfil.</t>
        </is>
      </c>
      <c r="Z77" s="22" t="inlineStr">
        <is>
          <t>Seller country</t>
        </is>
      </c>
      <c r="AA77" s="22" t="inlineStr">
        <is>
          <t>ASINsight 7d traffic</t>
        </is>
      </c>
      <c r="AB77" s="22" t="inlineStr">
        <is>
          <t>Keywords ranked</t>
        </is>
      </c>
      <c r="AC77" s="22" t="inlineStr">
        <is>
          <t>Organic share of traffic</t>
        </is>
      </c>
      <c r="AD77" s="22" t="inlineStr">
        <is>
          <t>Ad share of traffic</t>
        </is>
      </c>
      <c r="AE77" s="22" t="inlineStr">
        <is>
          <t>Top keyword</t>
        </is>
      </c>
      <c r="AF77" s="22" t="inlineStr">
        <is>
          <t>SP reach</t>
        </is>
      </c>
      <c r="AG77" s="22" t="inlineStr">
        <is>
          <t>SB reach</t>
        </is>
      </c>
      <c r="AH77" s="22" t="inlineStr">
        <is>
          <t>SB video reach</t>
        </is>
      </c>
      <c r="AI77" s="22" t="inlineStr">
        <is>
          <t>Amazon's Choice reach</t>
        </is>
      </c>
      <c r="AJ77" s="22" t="inlineStr">
        <is>
          <t>Shared keywords</t>
        </is>
      </c>
      <c r="AK77" s="22" t="inlineStr">
        <is>
          <t>We win</t>
        </is>
      </c>
      <c r="AL77" s="22" t="inlineStr">
        <is>
          <t>We lose</t>
        </is>
      </c>
      <c r="AM77" s="22" t="inlineStr">
        <is>
          <t>Their keywords we miss</t>
        </is>
      </c>
      <c r="AN77" s="22" t="inlineStr">
        <is>
          <t>KWs they advertise, we don't</t>
        </is>
      </c>
      <c r="AO77" s="22" t="inlineStr">
        <is>
          <t>KWs they out-advertise us</t>
        </is>
      </c>
      <c r="AP77" s="22" t="inlineStr">
        <is>
          <t>Prime Day 2026 organic vis lift</t>
        </is>
      </c>
      <c r="AQ77" s="22" t="inlineStr">
        <is>
          <t>Organic trend (Aug-Sep vs Q2)</t>
        </is>
      </c>
      <c r="AR77" s="22" t="inlineStr">
        <is>
          <t>STR showing now? (Y/N)</t>
        </is>
      </c>
      <c r="AS77" s="22" t="inlineStr">
        <is>
          <t>STR label</t>
        </is>
      </c>
      <c r="AT77" s="22" t="inlineStr">
        <is>
          <t>Strikethrough price ($)</t>
        </is>
      </c>
      <c r="AU77" s="22" t="inlineStr">
        <is>
          <t>Page price at check ($)</t>
        </is>
      </c>
      <c r="AV77" s="22" t="inlineStr">
        <is>
          <t>Deal / coupon now</t>
        </is>
      </c>
      <c r="AW77" s="22" t="inlineStr">
        <is>
          <t>Orderable now (Y/N)</t>
        </is>
      </c>
      <c r="AX77" s="22" t="inlineStr">
        <is>
          <t>Checked (ET)</t>
        </is>
      </c>
      <c r="AY77" s="22" t="inlineStr">
        <is>
          <t>BFCM 2025 deal type</t>
        </is>
      </c>
      <c r="AZ77" s="22" t="inlineStr">
        <is>
          <t>BFCM 2025 deal dates</t>
        </is>
      </c>
      <c r="BA77" s="22" t="inlineStr">
        <is>
          <t>Pre-event price ($)</t>
        </is>
      </c>
      <c r="BB77" s="22" t="inlineStr">
        <is>
          <t>BFCM 2025 low ($)</t>
        </is>
      </c>
      <c r="BC77" s="22" t="inlineStr">
        <is>
          <t>BFCM 2025 discount</t>
        </is>
      </c>
      <c r="BD77" s="22" t="inlineStr">
        <is>
          <t>BSR pre-event</t>
        </is>
      </c>
      <c r="BE77" s="22" t="inlineStr">
        <is>
          <t>BSR BFCM wk</t>
        </is>
      </c>
      <c r="BF77" s="22" t="inlineStr">
        <is>
          <t>BSR lift (x)</t>
        </is>
      </c>
      <c r="BG77" s="22" t="inlineStr">
        <is>
          <t>OOS in BFCM? (Y/N)</t>
        </is>
      </c>
      <c r="BH77" s="22" t="inlineStr">
        <is>
          <t>Notes</t>
        </is>
      </c>
    </row>
    <row r="78" ht="62" customHeight="1">
      <c r="A78" s="10">
        <f>_xlfn.IMAGE("https://images-na.ssl-images-amazon.com/images/I/812kUwGK2qL.jpg")</f>
        <v/>
      </c>
      <c r="B78" s="84" t="inlineStr">
        <is>
          <t>MIULEE</t>
        </is>
      </c>
      <c r="C78" s="32" t="inlineStr">
        <is>
          <t>MIULEE 100% Blackout Linen Curtains for Bedroom 52x84 Inches Natural Beige</t>
        </is>
      </c>
      <c r="D78" s="84" t="inlineStr">
        <is>
          <t>Aspirational</t>
        </is>
      </c>
      <c r="E78" s="84" t="inlineStr">
        <is>
          <t>B0H7XKHWFT</t>
        </is>
      </c>
      <c r="F78" s="84" t="inlineStr">
        <is>
          <t>B08SBYPF14</t>
        </is>
      </c>
      <c r="G78" s="84" t="n"/>
      <c r="H78" s="84" t="inlineStr">
        <is>
          <t>Beige</t>
        </is>
      </c>
      <c r="I78" s="85" t="n">
        <v>487</v>
      </c>
      <c r="J78" s="32" t="inlineStr"/>
      <c r="K78" s="86" t="n">
        <v>25.95</v>
      </c>
      <c r="L78" s="86" t="n"/>
      <c r="M78" s="87">
        <f>IF(AND(ISNUMBER(L78),ISNUMBER(K78),N(K78)&gt;0),L78/K78-1,"")</f>
        <v/>
      </c>
      <c r="N78" s="88">
        <f>IF(M78="","No List Price",IF(M78&lt;=0,"At/below price",IF(M78&lt;=0.12,"&lt;=12% STR zone",IF(M78&lt;=0.25,"12-25%","&gt;25% over"))))</f>
        <v/>
      </c>
      <c r="O78" s="86" t="n">
        <v>29.82333333333333</v>
      </c>
      <c r="P78" s="89">
        <f>IF(AND(ISNUMBER(K78),ISNUMBER(O78),N(O78)&gt;0),K78/O78-1,"")</f>
        <v/>
      </c>
      <c r="Q78" s="32" t="inlineStr">
        <is>
          <t>vs our blended price (Command Center, Mar 2026 - STALE)</t>
        </is>
      </c>
      <c r="R78" s="85" t="n">
        <v>143</v>
      </c>
      <c r="S78" s="85" t="n">
        <v>3464</v>
      </c>
      <c r="T78" s="90">
        <f>IF(AND(ISNUMBER(K78),ISNUMBER(S78)),K78*S78*52/12,"")</f>
        <v/>
      </c>
      <c r="U78" s="91" t="n">
        <v>4.6</v>
      </c>
      <c r="V78" s="85" t="n">
        <v>10414</v>
      </c>
      <c r="W78" s="92" t="n">
        <v>46307</v>
      </c>
      <c r="X78" s="92" t="n">
        <v>44284</v>
      </c>
      <c r="Y78" s="84" t="inlineStr">
        <is>
          <t>FBA</t>
        </is>
      </c>
      <c r="Z78" s="84" t="inlineStr">
        <is>
          <t>CN</t>
        </is>
      </c>
      <c r="AA78" s="85" t="n"/>
      <c r="AB78" s="85" t="n"/>
      <c r="AC78" s="93" t="n"/>
      <c r="AD78" s="93" t="n"/>
      <c r="AE78" s="32" t="n"/>
      <c r="AF78" s="93" t="n"/>
      <c r="AG78" s="93" t="n"/>
      <c r="AH78" s="93" t="n"/>
      <c r="AI78" s="93" t="n"/>
      <c r="AJ78" s="85" t="n"/>
      <c r="AK78" s="85" t="n"/>
      <c r="AL78" s="85" t="n"/>
      <c r="AM78" s="85" t="n"/>
      <c r="AN78" s="85" t="n"/>
      <c r="AO78" s="85" t="n"/>
      <c r="AP78" s="94" t="n">
        <v>0.8301788448382579</v>
      </c>
      <c r="AQ78" s="89" t="n">
        <v>0.4521308225966303</v>
      </c>
      <c r="AR78" s="95" t="inlineStr">
        <is>
          <t>Y</t>
        </is>
      </c>
      <c r="AS78" s="95" t="inlineStr">
        <is>
          <t>List Price</t>
        </is>
      </c>
      <c r="AT78" s="96" t="n">
        <v>27.73</v>
      </c>
      <c r="AU78" s="96" t="n">
        <v>25.95</v>
      </c>
      <c r="AV78" s="95" t="inlineStr">
        <is>
          <t>none</t>
        </is>
      </c>
      <c r="AW78" s="95" t="inlineStr">
        <is>
          <t>Y</t>
        </is>
      </c>
      <c r="AX78" s="95" t="inlineStr">
        <is>
          <t>2026-10-13 23:41:47</t>
        </is>
      </c>
      <c r="AY78" s="102" t="n"/>
      <c r="AZ78" s="102" t="n"/>
      <c r="BA78" s="101" t="n"/>
      <c r="BB78" s="101" t="n"/>
      <c r="BC78" s="87">
        <f>IF(AND(ISNUMBER(BA78),ISNUMBER(BB78),N(BA78)&gt;0),1-BB78/BA78,"")</f>
        <v/>
      </c>
      <c r="BD78" s="103" t="n"/>
      <c r="BE78" s="103" t="n"/>
      <c r="BF78" s="100">
        <f>IF(AND(ISNUMBER(BD78),ISNUMBER(BE78),N(BE78)&gt;0),BD78/BE78,"")</f>
        <v/>
      </c>
      <c r="BG78" s="102" t="n"/>
      <c r="BH78" s="102" t="n"/>
    </row>
    <row r="79" ht="62" customHeight="1">
      <c r="A79" s="10">
        <f>_xlfn.IMAGE("https://images-na.ssl-images-amazon.com/images/I/7121kw+gfyL.jpg")</f>
        <v/>
      </c>
      <c r="B79" s="84" t="inlineStr">
        <is>
          <t>100% Blackout Shield</t>
        </is>
      </c>
      <c r="C79" s="32" t="inlineStr">
        <is>
          <t>Linen Total Blackout Curtains for Bedroom Living Room 84 Inch, Cream</t>
        </is>
      </c>
      <c r="D79" s="84" t="inlineStr">
        <is>
          <t>Aspirational</t>
        </is>
      </c>
      <c r="E79" s="84" t="inlineStr">
        <is>
          <t>B0D6GLVXHM</t>
        </is>
      </c>
      <c r="F79" s="84" t="inlineStr">
        <is>
          <t>B0BR3STN87</t>
        </is>
      </c>
      <c r="G79" s="84" t="n"/>
      <c r="H79" s="84" t="inlineStr">
        <is>
          <t>Cream</t>
        </is>
      </c>
      <c r="I79" s="85" t="n">
        <v>286</v>
      </c>
      <c r="J79" s="32" t="inlineStr"/>
      <c r="K79" s="86" t="n">
        <v>32.97</v>
      </c>
      <c r="L79" s="86" t="n">
        <v>39.99</v>
      </c>
      <c r="M79" s="87">
        <f>IF(AND(ISNUMBER(L79),ISNUMBER(K79),N(K79)&gt;0),L79/K79-1,"")</f>
        <v/>
      </c>
      <c r="N79" s="88">
        <f>IF(M79="","No List Price",IF(M79&lt;=0,"At/below price",IF(M79&lt;=0.12,"&lt;=12% STR zone",IF(M79&lt;=0.25,"12-25%","&gt;25% over"))))</f>
        <v/>
      </c>
      <c r="O79" s="86" t="n">
        <v>29.82333333333333</v>
      </c>
      <c r="P79" s="89">
        <f>IF(AND(ISNUMBER(K79),ISNUMBER(O79),N(O79)&gt;0),K79/O79-1,"")</f>
        <v/>
      </c>
      <c r="Q79" s="32" t="inlineStr">
        <is>
          <t>vs our blended price (Command Center, Mar 2026 - STALE)</t>
        </is>
      </c>
      <c r="R79" s="85" t="n">
        <v>84</v>
      </c>
      <c r="S79" s="85" t="n">
        <v>2079</v>
      </c>
      <c r="T79" s="90">
        <f>IF(AND(ISNUMBER(K79),ISNUMBER(S79)),K79*S79*52/12,"")</f>
        <v/>
      </c>
      <c r="U79" s="91" t="n">
        <v>4.5</v>
      </c>
      <c r="V79" s="85" t="n">
        <v>9093</v>
      </c>
      <c r="W79" s="92" t="n">
        <v>46307</v>
      </c>
      <c r="X79" s="92" t="n">
        <v>44921</v>
      </c>
      <c r="Y79" s="84" t="inlineStr">
        <is>
          <t>FBA</t>
        </is>
      </c>
      <c r="Z79" s="84" t="inlineStr">
        <is>
          <t>CN</t>
        </is>
      </c>
      <c r="AA79" s="85" t="n"/>
      <c r="AB79" s="85" t="n"/>
      <c r="AC79" s="93" t="n"/>
      <c r="AD79" s="93" t="n"/>
      <c r="AE79" s="32" t="n"/>
      <c r="AF79" s="93" t="n"/>
      <c r="AG79" s="93" t="n"/>
      <c r="AH79" s="93" t="n"/>
      <c r="AI79" s="93" t="n"/>
      <c r="AJ79" s="85" t="n"/>
      <c r="AK79" s="85" t="n"/>
      <c r="AL79" s="85" t="n"/>
      <c r="AM79" s="85" t="n"/>
      <c r="AN79" s="85" t="n"/>
      <c r="AO79" s="85" t="n"/>
      <c r="AP79" s="94" t="n">
        <v>0.8692836478488202</v>
      </c>
      <c r="AQ79" s="89" t="n">
        <v>-0.07093570645514924</v>
      </c>
      <c r="AR79" s="95" t="inlineStr">
        <is>
          <t>Y</t>
        </is>
      </c>
      <c r="AS79" s="95" t="inlineStr">
        <is>
          <t>List Price</t>
        </is>
      </c>
      <c r="AT79" s="96" t="n">
        <v>39.99</v>
      </c>
      <c r="AU79" s="96" t="n">
        <v>32.97</v>
      </c>
      <c r="AV79" s="95" t="inlineStr">
        <is>
          <t>none</t>
        </is>
      </c>
      <c r="AW79" s="95" t="inlineStr">
        <is>
          <t>Y</t>
        </is>
      </c>
      <c r="AX79" s="95" t="inlineStr">
        <is>
          <t>2026-10-13 23:39:33</t>
        </is>
      </c>
      <c r="AY79" s="102" t="n"/>
      <c r="AZ79" s="102" t="n"/>
      <c r="BA79" s="101" t="n"/>
      <c r="BB79" s="101" t="n"/>
      <c r="BC79" s="87">
        <f>IF(AND(ISNUMBER(BA79),ISNUMBER(BB79),N(BA79)&gt;0),1-BB79/BA79,"")</f>
        <v/>
      </c>
      <c r="BD79" s="103" t="n"/>
      <c r="BE79" s="103" t="n"/>
      <c r="BF79" s="100">
        <f>IF(AND(ISNUMBER(BD79),ISNUMBER(BE79),N(BE79)&gt;0),BD79/BE79,"")</f>
        <v/>
      </c>
      <c r="BG79" s="102" t="n"/>
      <c r="BH79" s="102" t="n"/>
    </row>
    <row r="80" ht="62" customHeight="1">
      <c r="A80" s="39" t="inlineStr">
        <is>
          <t>IMAGE MISSING</t>
        </is>
      </c>
      <c r="B80" s="84" t="inlineStr">
        <is>
          <t>Nanspring</t>
        </is>
      </c>
      <c r="C80" s="32" t="inlineStr">
        <is>
          <t>Cream Linen Back Tab Curtains 84 Inch Length for Living Room 2 Panel Set Neutral</t>
        </is>
      </c>
      <c r="D80" s="84" t="inlineStr">
        <is>
          <t>Aspirational</t>
        </is>
      </c>
      <c r="E80" s="84" t="inlineStr">
        <is>
          <t>B0BWJC73QX</t>
        </is>
      </c>
      <c r="F80" s="84" t="inlineStr">
        <is>
          <t>B0BWJDW3BX</t>
        </is>
      </c>
      <c r="G80" s="84" t="n"/>
      <c r="H80" s="84" t="inlineStr">
        <is>
          <t>Cream</t>
        </is>
      </c>
      <c r="I80" s="85" t="n"/>
      <c r="J80" s="32" t="inlineStr"/>
      <c r="K80" s="86" t="n">
        <v>13.98</v>
      </c>
      <c r="L80" s="86" t="n"/>
      <c r="M80" s="87">
        <f>IF(AND(ISNUMBER(L80),ISNUMBER(K80),N(K80)&gt;0),L80/K80-1,"")</f>
        <v/>
      </c>
      <c r="N80" s="88">
        <f>IF(M80="","No List Price",IF(M80&lt;=0,"At/below price",IF(M80&lt;=0.12,"&lt;=12% STR zone",IF(M80&lt;=0.25,"12-25%","&gt;25% over"))))</f>
        <v/>
      </c>
      <c r="O80" s="86" t="n">
        <v>29.82333333333333</v>
      </c>
      <c r="P80" s="89">
        <f>IF(AND(ISNUMBER(K80),ISNUMBER(O80),N(O80)&gt;0),K80/O80-1,"")</f>
        <v/>
      </c>
      <c r="Q80" s="32" t="inlineStr">
        <is>
          <t>vs our blended price (Command Center, Mar 2026 - STALE)</t>
        </is>
      </c>
      <c r="R80" s="85" t="n">
        <v>278</v>
      </c>
      <c r="S80" s="85" t="n">
        <v>2079</v>
      </c>
      <c r="T80" s="90">
        <f>IF(AND(ISNUMBER(K80),ISNUMBER(S80)),K80*S80*52/12,"")</f>
        <v/>
      </c>
      <c r="U80" s="91" t="n">
        <v>4.7</v>
      </c>
      <c r="V80" s="85" t="n">
        <v>7261</v>
      </c>
      <c r="W80" s="92" t="n">
        <v>46307</v>
      </c>
      <c r="X80" s="92" t="n"/>
      <c r="Y80" s="84" t="n"/>
      <c r="Z80" s="84" t="n"/>
      <c r="AA80" s="85" t="n"/>
      <c r="AB80" s="85" t="n"/>
      <c r="AC80" s="93" t="n"/>
      <c r="AD80" s="93" t="n"/>
      <c r="AE80" s="32" t="n"/>
      <c r="AF80" s="93" t="n"/>
      <c r="AG80" s="93" t="n"/>
      <c r="AH80" s="93" t="n"/>
      <c r="AI80" s="93" t="n"/>
      <c r="AJ80" s="85" t="n"/>
      <c r="AK80" s="85" t="n"/>
      <c r="AL80" s="85" t="n"/>
      <c r="AM80" s="85" t="n"/>
      <c r="AN80" s="85" t="n"/>
      <c r="AO80" s="85" t="n"/>
      <c r="AP80" s="94" t="n"/>
      <c r="AQ80" s="89" t="n"/>
      <c r="AR80" s="95" t="inlineStr">
        <is>
          <t>N</t>
        </is>
      </c>
      <c r="AS80" s="95" t="inlineStr">
        <is>
          <t>none</t>
        </is>
      </c>
      <c r="AT80" s="101" t="n"/>
      <c r="AU80" s="96" t="n">
        <v>13.98</v>
      </c>
      <c r="AV80" s="95" t="inlineStr">
        <is>
          <t>none</t>
        </is>
      </c>
      <c r="AW80" s="95" t="inlineStr">
        <is>
          <t>Y</t>
        </is>
      </c>
      <c r="AX80" s="95" t="inlineStr">
        <is>
          <t>2026-10-13 23:42:12</t>
        </is>
      </c>
      <c r="AY80" s="102" t="n"/>
      <c r="AZ80" s="102" t="n"/>
      <c r="BA80" s="101" t="n"/>
      <c r="BB80" s="101" t="n"/>
      <c r="BC80" s="87">
        <f>IF(AND(ISNUMBER(BA80),ISNUMBER(BB80),N(BA80)&gt;0),1-BB80/BA80,"")</f>
        <v/>
      </c>
      <c r="BD80" s="103" t="n"/>
      <c r="BE80" s="103" t="n"/>
      <c r="BF80" s="100">
        <f>IF(AND(ISNUMBER(BD80),ISNUMBER(BE80),N(BE80)&gt;0),BD80/BE80,"")</f>
        <v/>
      </c>
      <c r="BG80" s="102" t="n"/>
      <c r="BH80" s="102" t="n"/>
    </row>
    <row r="81" ht="62" customHeight="1">
      <c r="A81" s="10">
        <f>_xlfn.IMAGE("https://images-na.ssl-images-amazon.com/images/I/71vhA-t8PDL.jpg")</f>
        <v/>
      </c>
      <c r="B81" s="84" t="inlineStr">
        <is>
          <t>H.VERSAILTEX</t>
        </is>
      </c>
      <c r="C81" s="32" t="inlineStr">
        <is>
          <t>H.VERSAILTEX 100% Blackout Linen Curtains 84" L 2 Panels Natural</t>
        </is>
      </c>
      <c r="D81" s="84" t="inlineStr">
        <is>
          <t>Aspirational</t>
        </is>
      </c>
      <c r="E81" s="84" t="inlineStr">
        <is>
          <t>B0FGK6NVTC</t>
        </is>
      </c>
      <c r="F81" s="84" t="inlineStr">
        <is>
          <t>B07C9HL1G1</t>
        </is>
      </c>
      <c r="G81" s="84" t="n"/>
      <c r="H81" s="84" t="inlineStr">
        <is>
          <t>Linen</t>
        </is>
      </c>
      <c r="I81" s="85" t="n">
        <v>381</v>
      </c>
      <c r="J81" s="32" t="inlineStr"/>
      <c r="K81" s="86" t="n">
        <v>27.95</v>
      </c>
      <c r="L81" s="86" t="n"/>
      <c r="M81" s="87">
        <f>IF(AND(ISNUMBER(L81),ISNUMBER(K81),N(K81)&gt;0),L81/K81-1,"")</f>
        <v/>
      </c>
      <c r="N81" s="88">
        <f>IF(M81="","No List Price",IF(M81&lt;=0,"At/below price",IF(M81&lt;=0.12,"&lt;=12% STR zone",IF(M81&lt;=0.25,"12-25%","&gt;25% over"))))</f>
        <v/>
      </c>
      <c r="O81" s="86" t="n">
        <v>29.82333333333333</v>
      </c>
      <c r="P81" s="89">
        <f>IF(AND(ISNUMBER(K81),ISNUMBER(O81),N(O81)&gt;0),K81/O81-1,"")</f>
        <v/>
      </c>
      <c r="Q81" s="32" t="inlineStr">
        <is>
          <t>vs our blended price (Command Center, Mar 2026 - STALE)</t>
        </is>
      </c>
      <c r="R81" s="85" t="n">
        <v>358</v>
      </c>
      <c r="S81" s="85" t="n">
        <v>809</v>
      </c>
      <c r="T81" s="90">
        <f>IF(AND(ISNUMBER(K81),ISNUMBER(S81)),K81*S81*52/12,"")</f>
        <v/>
      </c>
      <c r="U81" s="91" t="n">
        <v>4.6</v>
      </c>
      <c r="V81" s="85" t="n">
        <v>25977</v>
      </c>
      <c r="W81" s="92" t="n">
        <v>46307</v>
      </c>
      <c r="X81" s="92" t="n">
        <v>43186</v>
      </c>
      <c r="Y81" s="84" t="inlineStr">
        <is>
          <t>FBA</t>
        </is>
      </c>
      <c r="Z81" s="84" t="inlineStr">
        <is>
          <t>CN</t>
        </is>
      </c>
      <c r="AA81" s="85" t="n"/>
      <c r="AB81" s="85" t="n"/>
      <c r="AC81" s="93" t="n"/>
      <c r="AD81" s="93" t="n"/>
      <c r="AE81" s="32" t="n"/>
      <c r="AF81" s="93" t="n"/>
      <c r="AG81" s="93" t="n"/>
      <c r="AH81" s="93" t="n"/>
      <c r="AI81" s="93" t="n"/>
      <c r="AJ81" s="85" t="n"/>
      <c r="AK81" s="85" t="n"/>
      <c r="AL81" s="85" t="n"/>
      <c r="AM81" s="85" t="n"/>
      <c r="AN81" s="85" t="n"/>
      <c r="AO81" s="85" t="n"/>
      <c r="AP81" s="94" t="n">
        <v>0.9676046059033409</v>
      </c>
      <c r="AQ81" s="89" t="n">
        <v>0.1809191390343223</v>
      </c>
      <c r="AR81" s="95" t="inlineStr">
        <is>
          <t>N</t>
        </is>
      </c>
      <c r="AS81" s="95" t="inlineStr">
        <is>
          <t>none</t>
        </is>
      </c>
      <c r="AT81" s="101" t="n"/>
      <c r="AU81" s="96" t="n">
        <v>27.95</v>
      </c>
      <c r="AV81" s="95" t="inlineStr">
        <is>
          <t>none</t>
        </is>
      </c>
      <c r="AW81" s="95" t="inlineStr">
        <is>
          <t>Y</t>
        </is>
      </c>
      <c r="AX81" s="95" t="inlineStr">
        <is>
          <t>2026-10-13 23:41:00</t>
        </is>
      </c>
      <c r="AY81" s="102" t="n"/>
      <c r="AZ81" s="102" t="n"/>
      <c r="BA81" s="101" t="n"/>
      <c r="BB81" s="101" t="n"/>
      <c r="BC81" s="87">
        <f>IF(AND(ISNUMBER(BA81),ISNUMBER(BB81),N(BA81)&gt;0),1-BB81/BA81,"")</f>
        <v/>
      </c>
      <c r="BD81" s="103" t="n"/>
      <c r="BE81" s="103" t="n"/>
      <c r="BF81" s="100">
        <f>IF(AND(ISNUMBER(BD81),ISNUMBER(BE81),N(BE81)&gt;0),BD81/BE81,"")</f>
        <v/>
      </c>
      <c r="BG81" s="102" t="n"/>
      <c r="BH81" s="102" t="n"/>
    </row>
    <row r="82" ht="62" customHeight="1">
      <c r="A82" s="10">
        <f>_xlfn.IMAGE("https://images-na.ssl-images-amazon.com/images/I/71cQmB+zfDL.jpg")</f>
        <v/>
      </c>
      <c r="B82" s="84" t="inlineStr">
        <is>
          <t>INOVADAY</t>
        </is>
      </c>
      <c r="C82" s="32" t="inlineStr">
        <is>
          <t>INOVADAY 100% Blackout Curtains for Bedroom Black Out Curtains 84 Inch Long</t>
        </is>
      </c>
      <c r="D82" s="84" t="inlineStr">
        <is>
          <t>Aspirational</t>
        </is>
      </c>
      <c r="E82" s="84" t="inlineStr">
        <is>
          <t>B09MT5BQHW</t>
        </is>
      </c>
      <c r="F82" s="84" t="inlineStr">
        <is>
          <t>B09MT485FQ</t>
        </is>
      </c>
      <c r="G82" s="84" t="n"/>
      <c r="H82" s="84" t="inlineStr">
        <is>
          <t>Black</t>
        </is>
      </c>
      <c r="I82" s="85" t="n">
        <v>194</v>
      </c>
      <c r="J82" s="32" t="inlineStr"/>
      <c r="K82" s="86" t="n">
        <v>28.33</v>
      </c>
      <c r="L82" s="86" t="n">
        <v>34.95</v>
      </c>
      <c r="M82" s="87">
        <f>IF(AND(ISNUMBER(L82),ISNUMBER(K82),N(K82)&gt;0),L82/K82-1,"")</f>
        <v/>
      </c>
      <c r="N82" s="88">
        <f>IF(M82="","No List Price",IF(M82&lt;=0,"At/below price",IF(M82&lt;=0.12,"&lt;=12% STR zone",IF(M82&lt;=0.25,"12-25%","&gt;25% over"))))</f>
        <v/>
      </c>
      <c r="O82" s="86" t="n">
        <v>29.82333333333333</v>
      </c>
      <c r="P82" s="89">
        <f>IF(AND(ISNUMBER(K82),ISNUMBER(O82),N(O82)&gt;0),K82/O82-1,"")</f>
        <v/>
      </c>
      <c r="Q82" s="32" t="inlineStr">
        <is>
          <t>vs our blended price (Command Center, Mar 2026 - STALE)</t>
        </is>
      </c>
      <c r="R82" s="85" t="n">
        <v>1543</v>
      </c>
      <c r="S82" s="85" t="n">
        <v>347</v>
      </c>
      <c r="T82" s="90">
        <f>IF(AND(ISNUMBER(K82),ISNUMBER(S82)),K82*S82*52/12,"")</f>
        <v/>
      </c>
      <c r="U82" s="91" t="n">
        <v>4.5</v>
      </c>
      <c r="V82" s="85" t="n">
        <v>5371</v>
      </c>
      <c r="W82" s="92" t="n">
        <v>46307</v>
      </c>
      <c r="X82" s="92" t="n">
        <v>44531</v>
      </c>
      <c r="Y82" s="84" t="inlineStr">
        <is>
          <t>FBA</t>
        </is>
      </c>
      <c r="Z82" s="84" t="inlineStr">
        <is>
          <t>CN</t>
        </is>
      </c>
      <c r="AA82" s="85" t="n"/>
      <c r="AB82" s="85" t="n"/>
      <c r="AC82" s="93" t="n"/>
      <c r="AD82" s="93" t="n"/>
      <c r="AE82" s="32" t="n"/>
      <c r="AF82" s="93" t="n"/>
      <c r="AG82" s="93" t="n"/>
      <c r="AH82" s="93" t="n"/>
      <c r="AI82" s="93" t="n"/>
      <c r="AJ82" s="85" t="n"/>
      <c r="AK82" s="85" t="n"/>
      <c r="AL82" s="85" t="n"/>
      <c r="AM82" s="85" t="n"/>
      <c r="AN82" s="85" t="n"/>
      <c r="AO82" s="85" t="n"/>
      <c r="AP82" s="94" t="n">
        <v>0.483405141801998</v>
      </c>
      <c r="AQ82" s="89" t="n">
        <v>0.1320495185694635</v>
      </c>
      <c r="AR82" s="95" t="inlineStr">
        <is>
          <t>Y</t>
        </is>
      </c>
      <c r="AS82" s="95" t="inlineStr">
        <is>
          <t>Typical price</t>
        </is>
      </c>
      <c r="AT82" s="96" t="n">
        <v>34.95</v>
      </c>
      <c r="AU82" s="96" t="n">
        <v>28.33</v>
      </c>
      <c r="AV82" s="95" t="inlineStr">
        <is>
          <t>Limited time deal</t>
        </is>
      </c>
      <c r="AW82" s="95" t="inlineStr">
        <is>
          <t>Y</t>
        </is>
      </c>
      <c r="AX82" s="95" t="inlineStr">
        <is>
          <t>2026-10-13 23:41:18</t>
        </is>
      </c>
      <c r="AY82" s="102" t="n"/>
      <c r="AZ82" s="102" t="n"/>
      <c r="BA82" s="101" t="n"/>
      <c r="BB82" s="101" t="n"/>
      <c r="BC82" s="87">
        <f>IF(AND(ISNUMBER(BA82),ISNUMBER(BB82),N(BA82)&gt;0),1-BB82/BA82,"")</f>
        <v/>
      </c>
      <c r="BD82" s="103" t="n"/>
      <c r="BE82" s="103" t="n"/>
      <c r="BF82" s="100">
        <f>IF(AND(ISNUMBER(BD82),ISNUMBER(BE82),N(BE82)&gt;0),BD82/BE82,"")</f>
        <v/>
      </c>
      <c r="BG82" s="102" t="n"/>
      <c r="BH82" s="102" t="n"/>
    </row>
    <row r="83" ht="62" customHeight="1">
      <c r="A83" s="10">
        <f>_xlfn.IMAGE("https://images-na.ssl-images-amazon.com/images/I/813-ZpIkpEL.jpg")</f>
        <v/>
      </c>
      <c r="B83" s="84" t="inlineStr">
        <is>
          <t>NICETOWN</t>
        </is>
      </c>
      <c r="C83" s="32" t="inlineStr">
        <is>
          <t>NICETOWN Natural 100% Blackout Linen Curtains 84 inch Long Burg for Living Room, 1 Pair, 52" Width Each Panel, Farmhouse Thick Completely Blackout Window Treatment Thermal Insulated Drapes</t>
        </is>
      </c>
      <c r="D83" s="84" t="inlineStr">
        <is>
          <t>Aspirational</t>
        </is>
      </c>
      <c r="E83" s="84" t="inlineStr">
        <is>
          <t>B0D3XTPMX3</t>
        </is>
      </c>
      <c r="F83" s="84" t="inlineStr">
        <is>
          <t>B0B7DX7C51</t>
        </is>
      </c>
      <c r="G83" s="84" t="n"/>
      <c r="H83" s="84" t="inlineStr">
        <is>
          <t>Linen</t>
        </is>
      </c>
      <c r="I83" s="85" t="n">
        <v>537</v>
      </c>
      <c r="J83" s="32" t="inlineStr"/>
      <c r="K83" s="86" t="n">
        <v>18.88</v>
      </c>
      <c r="L83" s="86" t="n">
        <v>27.29</v>
      </c>
      <c r="M83" s="87">
        <f>IF(AND(ISNUMBER(L83),ISNUMBER(K83),N(K83)&gt;0),L83/K83-1,"")</f>
        <v/>
      </c>
      <c r="N83" s="88">
        <f>IF(M83="","No List Price",IF(M83&lt;=0,"At/below price",IF(M83&lt;=0.12,"&lt;=12% STR zone",IF(M83&lt;=0.25,"12-25%","&gt;25% over"))))</f>
        <v/>
      </c>
      <c r="O83" s="86" t="n">
        <v>29.82333333333333</v>
      </c>
      <c r="P83" s="89">
        <f>IF(AND(ISNUMBER(K83),ISNUMBER(O83),N(O83)&gt;0),K83/O83-1,"")</f>
        <v/>
      </c>
      <c r="Q83" s="32" t="inlineStr">
        <is>
          <t>vs our blended price (Command Center, Mar 2026 - STALE)</t>
        </is>
      </c>
      <c r="R83" s="85" t="n">
        <v>2750</v>
      </c>
      <c r="S83" s="85" t="n">
        <v>347</v>
      </c>
      <c r="T83" s="90">
        <f>IF(AND(ISNUMBER(K83),ISNUMBER(S83)),K83*S83*52/12,"")</f>
        <v/>
      </c>
      <c r="U83" s="91" t="n">
        <v>4.5</v>
      </c>
      <c r="V83" s="85" t="n">
        <v>4378</v>
      </c>
      <c r="W83" s="92" t="n">
        <v>46307</v>
      </c>
      <c r="X83" s="92" t="n">
        <v>44765</v>
      </c>
      <c r="Y83" s="84" t="inlineStr">
        <is>
          <t>FBA</t>
        </is>
      </c>
      <c r="Z83" s="84" t="inlineStr">
        <is>
          <t>US</t>
        </is>
      </c>
      <c r="AA83" s="85" t="n"/>
      <c r="AB83" s="85" t="n"/>
      <c r="AC83" s="93" t="n"/>
      <c r="AD83" s="93" t="n"/>
      <c r="AE83" s="32" t="n"/>
      <c r="AF83" s="93" t="n"/>
      <c r="AG83" s="93" t="n"/>
      <c r="AH83" s="93" t="n"/>
      <c r="AI83" s="93" t="n"/>
      <c r="AJ83" s="85" t="n"/>
      <c r="AK83" s="85" t="n"/>
      <c r="AL83" s="85" t="n"/>
      <c r="AM83" s="85" t="n"/>
      <c r="AN83" s="85" t="n"/>
      <c r="AO83" s="85" t="n"/>
      <c r="AP83" s="94" t="n">
        <v>1.039507336115224</v>
      </c>
      <c r="AQ83" s="89" t="n">
        <v>0.3548991726990693</v>
      </c>
      <c r="AR83" s="95" t="inlineStr">
        <is>
          <t>Y</t>
        </is>
      </c>
      <c r="AS83" s="95" t="inlineStr">
        <is>
          <t>List Price</t>
        </is>
      </c>
      <c r="AT83" s="96" t="n">
        <v>27.29</v>
      </c>
      <c r="AU83" s="96" t="n">
        <v>18.88</v>
      </c>
      <c r="AV83" s="95" t="inlineStr">
        <is>
          <t>Limited time deal</t>
        </is>
      </c>
      <c r="AW83" s="95" t="inlineStr">
        <is>
          <t>Y</t>
        </is>
      </c>
      <c r="AX83" s="95" t="inlineStr">
        <is>
          <t>2026-10-13 23:42:06</t>
        </is>
      </c>
      <c r="AY83" s="102" t="n"/>
      <c r="AZ83" s="102" t="n"/>
      <c r="BA83" s="101" t="n"/>
      <c r="BB83" s="101" t="n"/>
      <c r="BC83" s="87">
        <f>IF(AND(ISNUMBER(BA83),ISNUMBER(BB83),N(BA83)&gt;0),1-BB83/BA83,"")</f>
        <v/>
      </c>
      <c r="BD83" s="103" t="n"/>
      <c r="BE83" s="103" t="n"/>
      <c r="BF83" s="100">
        <f>IF(AND(ISNUMBER(BD83),ISNUMBER(BE83),N(BE83)&gt;0),BD83/BE83,"")</f>
        <v/>
      </c>
      <c r="BG83" s="102" t="n"/>
      <c r="BH83" s="102" t="n"/>
    </row>
    <row r="84" ht="62" customHeight="1">
      <c r="A84" s="10">
        <f>_xlfn.IMAGE("https://images-na.ssl-images-amazon.com/images/I/71N3qelasGL.jpg")</f>
        <v/>
      </c>
      <c r="B84" s="84" t="inlineStr">
        <is>
          <t>Yakamok</t>
        </is>
      </c>
      <c r="C84" s="32" t="inlineStr">
        <is>
          <t>Yakamok Natural Linen Textured Curtains 84 Inches Long for Living Room</t>
        </is>
      </c>
      <c r="D84" s="84" t="inlineStr">
        <is>
          <t>Aspirational</t>
        </is>
      </c>
      <c r="E84" s="84" t="inlineStr">
        <is>
          <t>B0CRVBZ5GJ</t>
        </is>
      </c>
      <c r="F84" s="84" t="inlineStr">
        <is>
          <t>B0CRTM5ZDN</t>
        </is>
      </c>
      <c r="G84" s="84" t="n"/>
      <c r="H84" s="84" t="inlineStr">
        <is>
          <t>Linen</t>
        </is>
      </c>
      <c r="I84" s="85" t="n">
        <v>428</v>
      </c>
      <c r="J84" s="32" t="inlineStr"/>
      <c r="K84" s="86" t="n">
        <v>23.99</v>
      </c>
      <c r="L84" s="86" t="n"/>
      <c r="M84" s="87">
        <f>IF(AND(ISNUMBER(L84),ISNUMBER(K84),N(K84)&gt;0),L84/K84-1,"")</f>
        <v/>
      </c>
      <c r="N84" s="88">
        <f>IF(M84="","No List Price",IF(M84&lt;=0,"At/below price",IF(M84&lt;=0.12,"&lt;=12% STR zone",IF(M84&lt;=0.25,"12-25%","&gt;25% over"))))</f>
        <v/>
      </c>
      <c r="O84" s="86" t="n">
        <v>29.82333333333333</v>
      </c>
      <c r="P84" s="89">
        <f>IF(AND(ISNUMBER(K84),ISNUMBER(O84),N(O84)&gt;0),K84/O84-1,"")</f>
        <v/>
      </c>
      <c r="Q84" s="32" t="inlineStr">
        <is>
          <t>vs our blended price (Command Center, Mar 2026 - STALE)</t>
        </is>
      </c>
      <c r="R84" s="85" t="n">
        <v>4776</v>
      </c>
      <c r="S84" s="85" t="n">
        <v>35</v>
      </c>
      <c r="T84" s="90">
        <f>IF(AND(ISNUMBER(K84),ISNUMBER(S84)),K84*S84*52/12,"")</f>
        <v/>
      </c>
      <c r="U84" s="91" t="n">
        <v>4.7</v>
      </c>
      <c r="V84" s="85" t="n">
        <v>22765</v>
      </c>
      <c r="W84" s="92" t="n">
        <v>46307</v>
      </c>
      <c r="X84" s="92" t="n">
        <v>45300</v>
      </c>
      <c r="Y84" s="84" t="inlineStr">
        <is>
          <t>FBA</t>
        </is>
      </c>
      <c r="Z84" s="84" t="inlineStr">
        <is>
          <t>CN</t>
        </is>
      </c>
      <c r="AA84" s="85" t="n"/>
      <c r="AB84" s="85" t="n"/>
      <c r="AC84" s="93" t="n"/>
      <c r="AD84" s="93" t="n"/>
      <c r="AE84" s="32" t="n"/>
      <c r="AF84" s="93" t="n"/>
      <c r="AG84" s="93" t="n"/>
      <c r="AH84" s="93" t="n"/>
      <c r="AI84" s="93" t="n"/>
      <c r="AJ84" s="85" t="n"/>
      <c r="AK84" s="85" t="n"/>
      <c r="AL84" s="85" t="n"/>
      <c r="AM84" s="85" t="n"/>
      <c r="AN84" s="85" t="n"/>
      <c r="AO84" s="85" t="n"/>
      <c r="AP84" s="94" t="n"/>
      <c r="AQ84" s="89" t="n"/>
      <c r="AR84" s="95" t="inlineStr">
        <is>
          <t>N</t>
        </is>
      </c>
      <c r="AS84" s="95" t="inlineStr">
        <is>
          <t>none</t>
        </is>
      </c>
      <c r="AT84" s="101" t="n"/>
      <c r="AU84" s="96" t="n">
        <v>23.99</v>
      </c>
      <c r="AV84" s="95" t="inlineStr">
        <is>
          <t>none</t>
        </is>
      </c>
      <c r="AW84" s="95" t="inlineStr">
        <is>
          <t>Y</t>
        </is>
      </c>
      <c r="AX84" s="95" t="inlineStr">
        <is>
          <t>2026-10-13 23:43:49</t>
        </is>
      </c>
      <c r="AY84" s="102" t="n"/>
      <c r="AZ84" s="102" t="n"/>
      <c r="BA84" s="101" t="n"/>
      <c r="BB84" s="101" t="n"/>
      <c r="BC84" s="87">
        <f>IF(AND(ISNUMBER(BA84),ISNUMBER(BB84),N(BA84)&gt;0),1-BB84/BA84,"")</f>
        <v/>
      </c>
      <c r="BD84" s="103" t="n"/>
      <c r="BE84" s="103" t="n"/>
      <c r="BF84" s="100">
        <f>IF(AND(ISNUMBER(BD84),ISNUMBER(BE84),N(BE84)&gt;0),BD84/BE84,"")</f>
        <v/>
      </c>
      <c r="BG84" s="102" t="n"/>
      <c r="BH84" s="102" t="n"/>
    </row>
    <row r="85" ht="62" customHeight="1">
      <c r="A85" s="10">
        <f>_xlfn.IMAGE("https://images-na.ssl-images-amazon.com/images/I/812ffz+BwYL.jpg")</f>
        <v/>
      </c>
      <c r="B85" s="84" t="inlineStr">
        <is>
          <t>Guken</t>
        </is>
      </c>
      <c r="C85" s="32" t="inlineStr">
        <is>
          <t>Guken Cream Linen Blackout Curtains 84 Inch Length 2 Panels Set for Living Room Bedroom Back Tab Thermal Insulated 100% Black Out Drapes Room Darkening Window Curtain Ivory Natural Beige</t>
        </is>
      </c>
      <c r="D85" s="84" t="inlineStr">
        <is>
          <t>Beatable</t>
        </is>
      </c>
      <c r="E85" s="84" t="inlineStr">
        <is>
          <t>B0CYLVSHZV</t>
        </is>
      </c>
      <c r="F85" s="84" t="inlineStr">
        <is>
          <t>B0CYLS2C62</t>
        </is>
      </c>
      <c r="G85" s="84" t="n"/>
      <c r="H85" s="84" t="inlineStr">
        <is>
          <t>Black</t>
        </is>
      </c>
      <c r="I85" s="85" t="n">
        <v>379</v>
      </c>
      <c r="J85" s="32" t="inlineStr"/>
      <c r="K85" s="86" t="n">
        <v>17.86</v>
      </c>
      <c r="L85" s="86" t="n">
        <v>18.8</v>
      </c>
      <c r="M85" s="87">
        <f>IF(AND(ISNUMBER(L85),ISNUMBER(K85),N(K85)&gt;0),L85/K85-1,"")</f>
        <v/>
      </c>
      <c r="N85" s="88">
        <f>IF(M85="","No List Price",IF(M85&lt;=0,"At/below price",IF(M85&lt;=0.12,"&lt;=12% STR zone",IF(M85&lt;=0.25,"12-25%","&gt;25% over"))))</f>
        <v/>
      </c>
      <c r="O85" s="86" t="n">
        <v>29.82333333333333</v>
      </c>
      <c r="P85" s="89">
        <f>IF(AND(ISNUMBER(K85),ISNUMBER(O85),N(O85)&gt;0),K85/O85-1,"")</f>
        <v/>
      </c>
      <c r="Q85" s="32" t="inlineStr">
        <is>
          <t>vs our blended price (Command Center, Mar 2026 - STALE)</t>
        </is>
      </c>
      <c r="R85" s="85" t="n">
        <v>983</v>
      </c>
      <c r="S85" s="85" t="n">
        <v>2079</v>
      </c>
      <c r="T85" s="90">
        <f>IF(AND(ISNUMBER(K85),ISNUMBER(S85)),K85*S85*52/12,"")</f>
        <v/>
      </c>
      <c r="U85" s="91" t="n">
        <v>4.5</v>
      </c>
      <c r="V85" s="85" t="n">
        <v>2791</v>
      </c>
      <c r="W85" s="92" t="n">
        <v>46307</v>
      </c>
      <c r="X85" s="92" t="n">
        <v>45371</v>
      </c>
      <c r="Y85" s="84" t="inlineStr">
        <is>
          <t>FBA</t>
        </is>
      </c>
      <c r="Z85" s="84" t="inlineStr">
        <is>
          <t>CN</t>
        </is>
      </c>
      <c r="AA85" s="85" t="n"/>
      <c r="AB85" s="85" t="n"/>
      <c r="AC85" s="93" t="n"/>
      <c r="AD85" s="93" t="n"/>
      <c r="AE85" s="32" t="n"/>
      <c r="AF85" s="93" t="n"/>
      <c r="AG85" s="93" t="n"/>
      <c r="AH85" s="93" t="n"/>
      <c r="AI85" s="93" t="n"/>
      <c r="AJ85" s="85" t="n"/>
      <c r="AK85" s="85" t="n"/>
      <c r="AL85" s="85" t="n"/>
      <c r="AM85" s="85" t="n"/>
      <c r="AN85" s="85" t="n"/>
      <c r="AO85" s="85" t="n"/>
      <c r="AP85" s="94" t="n">
        <v>0.4432346665207638</v>
      </c>
      <c r="AQ85" s="89" t="n">
        <v>0.4241932576167295</v>
      </c>
      <c r="AR85" s="95" t="inlineStr">
        <is>
          <t>Y</t>
        </is>
      </c>
      <c r="AS85" s="95" t="inlineStr">
        <is>
          <t>Typical price</t>
        </is>
      </c>
      <c r="AT85" s="96" t="n">
        <v>18.8</v>
      </c>
      <c r="AU85" s="96" t="n">
        <v>17.86</v>
      </c>
      <c r="AV85" s="95" t="inlineStr">
        <is>
          <t>none</t>
        </is>
      </c>
      <c r="AW85" s="95" t="inlineStr">
        <is>
          <t>Y</t>
        </is>
      </c>
      <c r="AX85" s="95" t="inlineStr">
        <is>
          <t>2026-10-13 23:40:57</t>
        </is>
      </c>
      <c r="AY85" s="102" t="n"/>
      <c r="AZ85" s="102" t="n"/>
      <c r="BA85" s="101" t="n"/>
      <c r="BB85" s="101" t="n"/>
      <c r="BC85" s="87">
        <f>IF(AND(ISNUMBER(BA85),ISNUMBER(BB85),N(BA85)&gt;0),1-BB85/BA85,"")</f>
        <v/>
      </c>
      <c r="BD85" s="103" t="n"/>
      <c r="BE85" s="103" t="n"/>
      <c r="BF85" s="100">
        <f>IF(AND(ISNUMBER(BD85),ISNUMBER(BE85),N(BE85)&gt;0),BD85/BE85,"")</f>
        <v/>
      </c>
      <c r="BG85" s="102" t="n"/>
      <c r="BH85" s="102" t="n"/>
    </row>
    <row r="86" ht="62" customHeight="1">
      <c r="A86" s="10">
        <f>_xlfn.IMAGE("https://images-na.ssl-images-amazon.com/images/I/814g2JKCJuL.jpg")</f>
        <v/>
      </c>
      <c r="B86" s="84" t="inlineStr">
        <is>
          <t>BGment</t>
        </is>
      </c>
      <c r="C86" s="32" t="inlineStr">
        <is>
          <t>BGment Oatmeal Linen Curtains 84 Inch Length 2 Panels Set for Living Room</t>
        </is>
      </c>
      <c r="D86" s="84" t="inlineStr">
        <is>
          <t>Beatable</t>
        </is>
      </c>
      <c r="E86" s="84" t="inlineStr">
        <is>
          <t>B0CJHW1J7V</t>
        </is>
      </c>
      <c r="F86" s="84" t="inlineStr">
        <is>
          <t>B0CJHZYHGB</t>
        </is>
      </c>
      <c r="G86" s="84" t="n"/>
      <c r="H86" s="84" t="inlineStr">
        <is>
          <t>Linen</t>
        </is>
      </c>
      <c r="I86" s="85" t="n">
        <v>93</v>
      </c>
      <c r="J86" s="32" t="inlineStr"/>
      <c r="K86" s="86" t="n">
        <v>21.29</v>
      </c>
      <c r="L86" s="86" t="n"/>
      <c r="M86" s="87">
        <f>IF(AND(ISNUMBER(L86),ISNUMBER(K86),N(K86)&gt;0),L86/K86-1,"")</f>
        <v/>
      </c>
      <c r="N86" s="88">
        <f>IF(M86="","No List Price",IF(M86&lt;=0,"At/below price",IF(M86&lt;=0.12,"&lt;=12% STR zone",IF(M86&lt;=0.25,"12-25%","&gt;25% over"))))</f>
        <v/>
      </c>
      <c r="O86" s="86" t="n">
        <v>29.82333333333333</v>
      </c>
      <c r="P86" s="89">
        <f>IF(AND(ISNUMBER(K86),ISNUMBER(O86),N(O86)&gt;0),K86/O86-1,"")</f>
        <v/>
      </c>
      <c r="Q86" s="32" t="inlineStr">
        <is>
          <t>vs our blended price (Command Center, Mar 2026 - STALE)</t>
        </is>
      </c>
      <c r="R86" s="85" t="n">
        <v>10367</v>
      </c>
      <c r="S86" s="85" t="n">
        <v>347</v>
      </c>
      <c r="T86" s="90">
        <f>IF(AND(ISNUMBER(K86),ISNUMBER(S86)),K86*S86*52/12,"")</f>
        <v/>
      </c>
      <c r="U86" s="91" t="n">
        <v>4.6</v>
      </c>
      <c r="V86" s="85" t="n">
        <v>718</v>
      </c>
      <c r="W86" s="92" t="n">
        <v>46307</v>
      </c>
      <c r="X86" s="92" t="n">
        <v>45359</v>
      </c>
      <c r="Y86" s="84" t="inlineStr">
        <is>
          <t>FBA</t>
        </is>
      </c>
      <c r="Z86" s="84" t="inlineStr">
        <is>
          <t>CN</t>
        </is>
      </c>
      <c r="AA86" s="85" t="n"/>
      <c r="AB86" s="85" t="n"/>
      <c r="AC86" s="93" t="n"/>
      <c r="AD86" s="93" t="n"/>
      <c r="AE86" s="32" t="n"/>
      <c r="AF86" s="93" t="n"/>
      <c r="AG86" s="93" t="n"/>
      <c r="AH86" s="93" t="n"/>
      <c r="AI86" s="93" t="n"/>
      <c r="AJ86" s="85" t="n"/>
      <c r="AK86" s="85" t="n"/>
      <c r="AL86" s="85" t="n"/>
      <c r="AM86" s="85" t="n"/>
      <c r="AN86" s="85" t="n"/>
      <c r="AO86" s="85" t="n"/>
      <c r="AP86" s="94" t="n">
        <v>0.7805755395683452</v>
      </c>
      <c r="AQ86" s="89" t="n">
        <v>-0.03581871345029242</v>
      </c>
      <c r="AR86" s="95" t="inlineStr">
        <is>
          <t>N</t>
        </is>
      </c>
      <c r="AS86" s="95" t="inlineStr">
        <is>
          <t>none</t>
        </is>
      </c>
      <c r="AT86" s="101" t="n"/>
      <c r="AU86" s="96" t="n">
        <v>21.29</v>
      </c>
      <c r="AV86" s="95" t="inlineStr">
        <is>
          <t>none</t>
        </is>
      </c>
      <c r="AW86" s="95" t="inlineStr">
        <is>
          <t>Y</t>
        </is>
      </c>
      <c r="AX86" s="95" t="inlineStr">
        <is>
          <t>2026-10-13 23:39:42</t>
        </is>
      </c>
      <c r="AY86" s="102" t="n"/>
      <c r="AZ86" s="102" t="n"/>
      <c r="BA86" s="101" t="n"/>
      <c r="BB86" s="101" t="n"/>
      <c r="BC86" s="87">
        <f>IF(AND(ISNUMBER(BA86),ISNUMBER(BB86),N(BA86)&gt;0),1-BB86/BA86,"")</f>
        <v/>
      </c>
      <c r="BD86" s="103" t="n"/>
      <c r="BE86" s="103" t="n"/>
      <c r="BF86" s="100">
        <f>IF(AND(ISNUMBER(BD86),ISNUMBER(BE86),N(BE86)&gt;0),BD86/BE86,"")</f>
        <v/>
      </c>
      <c r="BG86" s="102" t="n"/>
      <c r="BH86" s="102" t="n"/>
    </row>
    <row r="87" ht="62" customHeight="1">
      <c r="A87" s="10">
        <f>_xlfn.IMAGE("https://images-na.ssl-images-amazon.com/images/I/71v8QaOCutL.jpg")</f>
        <v/>
      </c>
      <c r="B87" s="84" t="inlineStr">
        <is>
          <t>Pitalk</t>
        </is>
      </c>
      <c r="C87" s="32" t="inlineStr">
        <is>
          <t>100% Blackout Curtains 84 Inch Length 2 Panels Set Neutral Boho Linen Farmhouse for Bedroom Windows Living Room Darkening Thermal Insulated Drapes Natural Cream Ivory 7ft Long Back Tab Pleated Pocket</t>
        </is>
      </c>
      <c r="D87" s="84" t="inlineStr">
        <is>
          <t>Beatable</t>
        </is>
      </c>
      <c r="E87" s="84" t="inlineStr">
        <is>
          <t>B0DG84J1H5</t>
        </is>
      </c>
      <c r="F87" s="84" t="inlineStr">
        <is>
          <t>B0DG84XRDW</t>
        </is>
      </c>
      <c r="G87" s="84" t="n"/>
      <c r="H87" s="84" t="inlineStr">
        <is>
          <t>Ivory</t>
        </is>
      </c>
      <c r="I87" s="85" t="n">
        <v>210</v>
      </c>
      <c r="J87" s="32" t="inlineStr"/>
      <c r="K87" s="86" t="n">
        <v>23.98</v>
      </c>
      <c r="L87" s="86" t="n">
        <v>26.98</v>
      </c>
      <c r="M87" s="87">
        <f>IF(AND(ISNUMBER(L87),ISNUMBER(K87),N(K87)&gt;0),L87/K87-1,"")</f>
        <v/>
      </c>
      <c r="N87" s="88">
        <f>IF(M87="","No List Price",IF(M87&lt;=0,"At/below price",IF(M87&lt;=0.12,"&lt;=12% STR zone",IF(M87&lt;=0.25,"12-25%","&gt;25% over"))))</f>
        <v/>
      </c>
      <c r="O87" s="86" t="n">
        <v>29.82333333333333</v>
      </c>
      <c r="P87" s="89">
        <f>IF(AND(ISNUMBER(K87),ISNUMBER(O87),N(O87)&gt;0),K87/O87-1,"")</f>
        <v/>
      </c>
      <c r="Q87" s="32" t="inlineStr">
        <is>
          <t>vs our blended price (Command Center, Mar 2026 - STALE)</t>
        </is>
      </c>
      <c r="R87" s="85" t="n">
        <v>4498</v>
      </c>
      <c r="S87" s="85" t="n">
        <v>347</v>
      </c>
      <c r="T87" s="90">
        <f>IF(AND(ISNUMBER(K87),ISNUMBER(S87)),K87*S87*52/12,"")</f>
        <v/>
      </c>
      <c r="U87" s="91" t="n">
        <v>4.4</v>
      </c>
      <c r="V87" s="85" t="n">
        <v>1608</v>
      </c>
      <c r="W87" s="92" t="n">
        <v>46307</v>
      </c>
      <c r="X87" s="92" t="n">
        <v>45541</v>
      </c>
      <c r="Y87" s="84" t="inlineStr">
        <is>
          <t>FBA</t>
        </is>
      </c>
      <c r="Z87" s="84" t="inlineStr">
        <is>
          <t>CN</t>
        </is>
      </c>
      <c r="AA87" s="85" t="n"/>
      <c r="AB87" s="85" t="n"/>
      <c r="AC87" s="93" t="n"/>
      <c r="AD87" s="93" t="n"/>
      <c r="AE87" s="32" t="n"/>
      <c r="AF87" s="93" t="n"/>
      <c r="AG87" s="93" t="n"/>
      <c r="AH87" s="93" t="n"/>
      <c r="AI87" s="93" t="n"/>
      <c r="AJ87" s="85" t="n"/>
      <c r="AK87" s="85" t="n"/>
      <c r="AL87" s="85" t="n"/>
      <c r="AM87" s="85" t="n"/>
      <c r="AN87" s="85" t="n"/>
      <c r="AO87" s="85" t="n"/>
      <c r="AP87" s="94" t="n">
        <v>1.253755431409063</v>
      </c>
      <c r="AQ87" s="89" t="n">
        <v>-0.3093273668018459</v>
      </c>
      <c r="AR87" s="95" t="inlineStr">
        <is>
          <t>Y</t>
        </is>
      </c>
      <c r="AS87" s="95" t="inlineStr">
        <is>
          <t>Typical price</t>
        </is>
      </c>
      <c r="AT87" s="96" t="n">
        <v>26.98</v>
      </c>
      <c r="AU87" s="96" t="n">
        <v>23.98</v>
      </c>
      <c r="AV87" s="95" t="inlineStr">
        <is>
          <t>none</t>
        </is>
      </c>
      <c r="AW87" s="95" t="inlineStr">
        <is>
          <t>Y</t>
        </is>
      </c>
      <c r="AX87" s="95" t="inlineStr">
        <is>
          <t>2026-10-13 23:42:31</t>
        </is>
      </c>
      <c r="AY87" s="102" t="n"/>
      <c r="AZ87" s="102" t="n"/>
      <c r="BA87" s="101" t="n"/>
      <c r="BB87" s="101" t="n"/>
      <c r="BC87" s="87">
        <f>IF(AND(ISNUMBER(BA87),ISNUMBER(BB87),N(BA87)&gt;0),1-BB87/BA87,"")</f>
        <v/>
      </c>
      <c r="BD87" s="103" t="n"/>
      <c r="BE87" s="103" t="n"/>
      <c r="BF87" s="100">
        <f>IF(AND(ISNUMBER(BD87),ISNUMBER(BE87),N(BE87)&gt;0),BD87/BE87,"")</f>
        <v/>
      </c>
      <c r="BG87" s="102" t="n"/>
      <c r="BH87" s="102" t="n"/>
    </row>
    <row r="88" ht="62" customHeight="1">
      <c r="A88" s="39" t="inlineStr">
        <is>
          <t>IMAGE MISSING</t>
        </is>
      </c>
      <c r="B88" s="84" t="inlineStr">
        <is>
          <t>Topfinel</t>
        </is>
      </c>
      <c r="C88" s="32" t="inlineStr">
        <is>
          <t>Topfinel Cream Linen Blackout Curtains 84 Inch Long for Bedroom Living Room, Ivo</t>
        </is>
      </c>
      <c r="D88" s="84" t="inlineStr">
        <is>
          <t>Beatable</t>
        </is>
      </c>
      <c r="E88" s="84" t="inlineStr">
        <is>
          <t>B0F6YR5VMZ</t>
        </is>
      </c>
      <c r="F88" s="84" t="inlineStr">
        <is>
          <t>B0DFWPKBG1</t>
        </is>
      </c>
      <c r="G88" s="84" t="n"/>
      <c r="H88" s="84" t="inlineStr">
        <is>
          <t>Cream</t>
        </is>
      </c>
      <c r="I88" s="85" t="n"/>
      <c r="J88" s="32" t="inlineStr"/>
      <c r="K88" s="86" t="n">
        <v>28.04</v>
      </c>
      <c r="L88" s="86" t="n">
        <v>32.99</v>
      </c>
      <c r="M88" s="87">
        <f>IF(AND(ISNUMBER(L88),ISNUMBER(K88),N(K88)&gt;0),L88/K88-1,"")</f>
        <v/>
      </c>
      <c r="N88" s="88">
        <f>IF(M88="","No List Price",IF(M88&lt;=0,"At/below price",IF(M88&lt;=0.12,"&lt;=12% STR zone",IF(M88&lt;=0.25,"12-25%","&gt;25% over"))))</f>
        <v/>
      </c>
      <c r="O88" s="86" t="n">
        <v>29.82333333333333</v>
      </c>
      <c r="P88" s="89">
        <f>IF(AND(ISNUMBER(K88),ISNUMBER(O88),N(O88)&gt;0),K88/O88-1,"")</f>
        <v/>
      </c>
      <c r="Q88" s="32" t="inlineStr">
        <is>
          <t>vs our blended price (Command Center, Mar 2026 - STALE)</t>
        </is>
      </c>
      <c r="R88" s="85" t="n">
        <v>2135</v>
      </c>
      <c r="S88" s="85" t="n">
        <v>347</v>
      </c>
      <c r="T88" s="90">
        <f>IF(AND(ISNUMBER(K88),ISNUMBER(S88)),K88*S88*52/12,"")</f>
        <v/>
      </c>
      <c r="U88" s="91" t="n">
        <v>4.3</v>
      </c>
      <c r="V88" s="85" t="n">
        <v>1639</v>
      </c>
      <c r="W88" s="92" t="n">
        <v>46307</v>
      </c>
      <c r="X88" s="92" t="n"/>
      <c r="Y88" s="84" t="n"/>
      <c r="Z88" s="84" t="n"/>
      <c r="AA88" s="85" t="n"/>
      <c r="AB88" s="85" t="n"/>
      <c r="AC88" s="93" t="n"/>
      <c r="AD88" s="93" t="n"/>
      <c r="AE88" s="32" t="n"/>
      <c r="AF88" s="93" t="n"/>
      <c r="AG88" s="93" t="n"/>
      <c r="AH88" s="93" t="n"/>
      <c r="AI88" s="93" t="n"/>
      <c r="AJ88" s="85" t="n"/>
      <c r="AK88" s="85" t="n"/>
      <c r="AL88" s="85" t="n"/>
      <c r="AM88" s="85" t="n"/>
      <c r="AN88" s="85" t="n"/>
      <c r="AO88" s="85" t="n"/>
      <c r="AP88" s="94" t="n"/>
      <c r="AQ88" s="89" t="n"/>
      <c r="AR88" s="95" t="inlineStr">
        <is>
          <t>Y</t>
        </is>
      </c>
      <c r="AS88" s="95" t="inlineStr">
        <is>
          <t>Typical price</t>
        </is>
      </c>
      <c r="AT88" s="96" t="n">
        <v>32.99</v>
      </c>
      <c r="AU88" s="96" t="n">
        <v>28.04</v>
      </c>
      <c r="AV88" s="95" t="inlineStr">
        <is>
          <t>Limited time deal</t>
        </is>
      </c>
      <c r="AW88" s="95" t="inlineStr">
        <is>
          <t>Y</t>
        </is>
      </c>
      <c r="AX88" s="95" t="inlineStr">
        <is>
          <t>2026-10-13 23:43:26</t>
        </is>
      </c>
      <c r="AY88" s="102" t="n"/>
      <c r="AZ88" s="102" t="n"/>
      <c r="BA88" s="101" t="n"/>
      <c r="BB88" s="101" t="n"/>
      <c r="BC88" s="87">
        <f>IF(AND(ISNUMBER(BA88),ISNUMBER(BB88),N(BA88)&gt;0),1-BB88/BA88,"")</f>
        <v/>
      </c>
      <c r="BD88" s="103" t="n"/>
      <c r="BE88" s="103" t="n"/>
      <c r="BF88" s="100">
        <f>IF(AND(ISNUMBER(BD88),ISNUMBER(BE88),N(BE88)&gt;0),BD88/BE88,"")</f>
        <v/>
      </c>
      <c r="BG88" s="102" t="n"/>
      <c r="BH88" s="102" t="n"/>
    </row>
    <row r="89" ht="62" customHeight="1">
      <c r="A89" s="39" t="inlineStr">
        <is>
          <t>IMAGE MISSING</t>
        </is>
      </c>
      <c r="B89" s="84" t="inlineStr">
        <is>
          <t>YoungsTex</t>
        </is>
      </c>
      <c r="C89" s="32" t="inlineStr">
        <is>
          <t>Linen Curtains</t>
        </is>
      </c>
      <c r="D89" s="84" t="inlineStr">
        <is>
          <t>Beatable</t>
        </is>
      </c>
      <c r="E89" s="84" t="inlineStr">
        <is>
          <t>B0B5684GHJ</t>
        </is>
      </c>
      <c r="F89" s="84" t="inlineStr">
        <is>
          <t>B09Q2YTRL3</t>
        </is>
      </c>
      <c r="G89" s="84" t="n"/>
      <c r="H89" s="84" t="inlineStr">
        <is>
          <t>Linen</t>
        </is>
      </c>
      <c r="I89" s="85" t="n"/>
      <c r="J89" s="32" t="inlineStr"/>
      <c r="K89" s="86" t="n">
        <v>19.58</v>
      </c>
      <c r="L89" s="86" t="n"/>
      <c r="M89" s="87">
        <f>IF(AND(ISNUMBER(L89),ISNUMBER(K89),N(K89)&gt;0),L89/K89-1,"")</f>
        <v/>
      </c>
      <c r="N89" s="88">
        <f>IF(M89="","No List Price",IF(M89&lt;=0,"At/below price",IF(M89&lt;=0.12,"&lt;=12% STR zone",IF(M89&lt;=0.25,"12-25%","&gt;25% over"))))</f>
        <v/>
      </c>
      <c r="O89" s="86" t="n">
        <v>29.82333333333333</v>
      </c>
      <c r="P89" s="89">
        <f>IF(AND(ISNUMBER(K89),ISNUMBER(O89),N(O89)&gt;0),K89/O89-1,"")</f>
        <v/>
      </c>
      <c r="Q89" s="32" t="inlineStr">
        <is>
          <t>vs our blended price (Command Center, Mar 2026 - STALE)</t>
        </is>
      </c>
      <c r="R89" s="85" t="n">
        <v>5384</v>
      </c>
      <c r="S89" s="85" t="n">
        <v>208</v>
      </c>
      <c r="T89" s="90">
        <f>IF(AND(ISNUMBER(K89),ISNUMBER(S89)),K89*S89*52/12,"")</f>
        <v/>
      </c>
      <c r="U89" s="91" t="n">
        <v>4.7</v>
      </c>
      <c r="V89" s="85" t="n">
        <v>2019</v>
      </c>
      <c r="W89" s="92" t="n">
        <v>46307</v>
      </c>
      <c r="X89" s="92" t="n"/>
      <c r="Y89" s="84" t="n"/>
      <c r="Z89" s="84" t="n"/>
      <c r="AA89" s="85" t="n"/>
      <c r="AB89" s="85" t="n"/>
      <c r="AC89" s="93" t="n"/>
      <c r="AD89" s="93" t="n"/>
      <c r="AE89" s="32" t="n"/>
      <c r="AF89" s="93" t="n"/>
      <c r="AG89" s="93" t="n"/>
      <c r="AH89" s="93" t="n"/>
      <c r="AI89" s="93" t="n"/>
      <c r="AJ89" s="85" t="n"/>
      <c r="AK89" s="85" t="n"/>
      <c r="AL89" s="85" t="n"/>
      <c r="AM89" s="85" t="n"/>
      <c r="AN89" s="85" t="n"/>
      <c r="AO89" s="85" t="n"/>
      <c r="AP89" s="94" t="n">
        <v>0.7720746590093323</v>
      </c>
      <c r="AQ89" s="89" t="n">
        <v>0.05566750629722939</v>
      </c>
      <c r="AR89" s="95" t="inlineStr">
        <is>
          <t>Y</t>
        </is>
      </c>
      <c r="AS89" s="95" t="inlineStr">
        <is>
          <t>List Price</t>
        </is>
      </c>
      <c r="AT89" s="96" t="n">
        <v>21.76</v>
      </c>
      <c r="AU89" s="96" t="n">
        <v>19.58</v>
      </c>
      <c r="AV89" s="95" t="inlineStr">
        <is>
          <t>none</t>
        </is>
      </c>
      <c r="AW89" s="95" t="inlineStr">
        <is>
          <t>Y</t>
        </is>
      </c>
      <c r="AX89" s="95" t="inlineStr">
        <is>
          <t>2026-10-13 23:43:58</t>
        </is>
      </c>
      <c r="AY89" s="102" t="n"/>
      <c r="AZ89" s="102" t="n"/>
      <c r="BA89" s="101" t="n"/>
      <c r="BB89" s="101" t="n"/>
      <c r="BC89" s="87">
        <f>IF(AND(ISNUMBER(BA89),ISNUMBER(BB89),N(BA89)&gt;0),1-BB89/BA89,"")</f>
        <v/>
      </c>
      <c r="BD89" s="103" t="n"/>
      <c r="BE89" s="103" t="n"/>
      <c r="BF89" s="100">
        <f>IF(AND(ISNUMBER(BD89),ISNUMBER(BE89),N(BE89)&gt;0),BD89/BE89,"")</f>
        <v/>
      </c>
      <c r="BG89" s="102" t="n"/>
      <c r="BH89" s="102" t="n"/>
    </row>
    <row r="90" ht="62" customHeight="1">
      <c r="A90" s="10">
        <f>_xlfn.IMAGE("https://images-na.ssl-images-amazon.com/images/I/913VjImt8xL.jpg")</f>
        <v/>
      </c>
      <c r="B90" s="84" t="inlineStr">
        <is>
          <t>CUCRAF</t>
        </is>
      </c>
      <c r="C90" s="32" t="inlineStr">
        <is>
          <t>CUCRAF 100% Blackout Window Curtains 84 inches Long 2 Panels Set, Faux Linen Look Thermal Insulated Grommet Drapes, Room Darkening Curtain for Bedroom Living Room(W52 x L84 Inch, Light Khaki)</t>
        </is>
      </c>
      <c r="D90" s="84" t="inlineStr">
        <is>
          <t>Beatable</t>
        </is>
      </c>
      <c r="E90" s="84" t="inlineStr">
        <is>
          <t>B0D7MDYKGV</t>
        </is>
      </c>
      <c r="F90" s="84" t="inlineStr">
        <is>
          <t>B08V8HD2WT</t>
        </is>
      </c>
      <c r="G90" s="84" t="n"/>
      <c r="H90" s="84" t="inlineStr">
        <is>
          <t>Light Khaki</t>
        </is>
      </c>
      <c r="I90" s="85" t="n">
        <v>86</v>
      </c>
      <c r="J90" s="32" t="inlineStr"/>
      <c r="K90" s="86" t="n">
        <v>23.99</v>
      </c>
      <c r="L90" s="86" t="n">
        <v>27.99</v>
      </c>
      <c r="M90" s="87">
        <f>IF(AND(ISNUMBER(L90),ISNUMBER(K90),N(K90)&gt;0),L90/K90-1,"")</f>
        <v/>
      </c>
      <c r="N90" s="88">
        <f>IF(M90="","No List Price",IF(M90&lt;=0,"At/below price",IF(M90&lt;=0.12,"&lt;=12% STR zone",IF(M90&lt;=0.25,"12-25%","&gt;25% over"))))</f>
        <v/>
      </c>
      <c r="O90" s="86" t="n">
        <v>29.82333333333333</v>
      </c>
      <c r="P90" s="89">
        <f>IF(AND(ISNUMBER(K90),ISNUMBER(O90),N(O90)&gt;0),K90/O90-1,"")</f>
        <v/>
      </c>
      <c r="Q90" s="32" t="inlineStr">
        <is>
          <t>vs our blended price (Command Center, Mar 2026 - STALE)</t>
        </is>
      </c>
      <c r="R90" s="85" t="n">
        <v>26182</v>
      </c>
      <c r="S90" s="85" t="n">
        <v>173</v>
      </c>
      <c r="T90" s="90">
        <f>IF(AND(ISNUMBER(K90),ISNUMBER(S90)),K90*S90*52/12,"")</f>
        <v/>
      </c>
      <c r="U90" s="91" t="n">
        <v>4.7</v>
      </c>
      <c r="V90" s="85" t="n">
        <v>2808</v>
      </c>
      <c r="W90" s="92" t="n">
        <v>46307</v>
      </c>
      <c r="X90" s="92" t="n">
        <v>44228</v>
      </c>
      <c r="Y90" s="84" t="inlineStr">
        <is>
          <t>FBA</t>
        </is>
      </c>
      <c r="Z90" s="84" t="inlineStr">
        <is>
          <t>CN</t>
        </is>
      </c>
      <c r="AA90" s="85" t="n"/>
      <c r="AB90" s="85" t="n"/>
      <c r="AC90" s="93" t="n"/>
      <c r="AD90" s="93" t="n"/>
      <c r="AE90" s="32" t="n"/>
      <c r="AF90" s="93" t="n"/>
      <c r="AG90" s="93" t="n"/>
      <c r="AH90" s="93" t="n"/>
      <c r="AI90" s="93" t="n"/>
      <c r="AJ90" s="85" t="n"/>
      <c r="AK90" s="85" t="n"/>
      <c r="AL90" s="85" t="n"/>
      <c r="AM90" s="85" t="n"/>
      <c r="AN90" s="85" t="n"/>
      <c r="AO90" s="85" t="n"/>
      <c r="AP90" s="94" t="n">
        <v>0.6864216054013503</v>
      </c>
      <c r="AQ90" s="89" t="n">
        <v>-0.4312089023773393</v>
      </c>
      <c r="AR90" s="95" t="inlineStr">
        <is>
          <t>Y</t>
        </is>
      </c>
      <c r="AS90" s="95" t="inlineStr">
        <is>
          <t>List Price</t>
        </is>
      </c>
      <c r="AT90" s="96" t="n">
        <v>27.99</v>
      </c>
      <c r="AU90" s="96" t="n">
        <v>23.99</v>
      </c>
      <c r="AV90" s="95" t="inlineStr">
        <is>
          <t>none</t>
        </is>
      </c>
      <c r="AW90" s="95" t="inlineStr">
        <is>
          <t>Y</t>
        </is>
      </c>
      <c r="AX90" s="95" t="inlineStr">
        <is>
          <t>2026-10-13 23:39:51</t>
        </is>
      </c>
      <c r="AY90" s="102" t="n"/>
      <c r="AZ90" s="102" t="n"/>
      <c r="BA90" s="101" t="n"/>
      <c r="BB90" s="101" t="n"/>
      <c r="BC90" s="87">
        <f>IF(AND(ISNUMBER(BA90),ISNUMBER(BB90),N(BA90)&gt;0),1-BB90/BA90,"")</f>
        <v/>
      </c>
      <c r="BD90" s="103" t="n"/>
      <c r="BE90" s="103" t="n"/>
      <c r="BF90" s="100">
        <f>IF(AND(ISNUMBER(BD90),ISNUMBER(BE90),N(BE90)&gt;0),BD90/BE90,"")</f>
        <v/>
      </c>
      <c r="BG90" s="102" t="n"/>
      <c r="BH90" s="102" t="n"/>
    </row>
    <row r="91" ht="62" customHeight="1">
      <c r="A91" s="10">
        <f>_xlfn.IMAGE("https://images-na.ssl-images-amazon.com/images/I/81mz6Jz1-XL.jpg")</f>
        <v/>
      </c>
      <c r="B91" s="84" t="inlineStr">
        <is>
          <t>Lajode</t>
        </is>
      </c>
      <c r="C91" s="32" t="inlineStr">
        <is>
          <t>Lajode Natural Linen Blackout Curtains for Bedroom - 52x84 Inch 2 Panels</t>
        </is>
      </c>
      <c r="D91" s="84" t="inlineStr">
        <is>
          <t>Beatable</t>
        </is>
      </c>
      <c r="E91" s="84" t="inlineStr">
        <is>
          <t>B0CX3LSG5D</t>
        </is>
      </c>
      <c r="F91" s="84" t="inlineStr">
        <is>
          <t>B0CX47TFJ4</t>
        </is>
      </c>
      <c r="G91" s="84" t="n"/>
      <c r="H91" s="84" t="inlineStr">
        <is>
          <t>Linen</t>
        </is>
      </c>
      <c r="I91" s="85" t="n">
        <v>130</v>
      </c>
      <c r="J91" s="32" t="inlineStr"/>
      <c r="K91" s="86" t="n">
        <v>29.94</v>
      </c>
      <c r="L91" s="86" t="n"/>
      <c r="M91" s="87">
        <f>IF(AND(ISNUMBER(L91),ISNUMBER(K91),N(K91)&gt;0),L91/K91-1,"")</f>
        <v/>
      </c>
      <c r="N91" s="88">
        <f>IF(M91="","No List Price",IF(M91&lt;=0,"At/below price",IF(M91&lt;=0.12,"&lt;=12% STR zone",IF(M91&lt;=0.25,"12-25%","&gt;25% over"))))</f>
        <v/>
      </c>
      <c r="O91" s="86" t="n">
        <v>29.82333333333333</v>
      </c>
      <c r="P91" s="89">
        <f>IF(AND(ISNUMBER(K91),ISNUMBER(O91),N(O91)&gt;0),K91/O91-1,"")</f>
        <v/>
      </c>
      <c r="Q91" s="32" t="inlineStr">
        <is>
          <t>vs our blended price (Command Center, Mar 2026 - STALE)</t>
        </is>
      </c>
      <c r="R91" s="85" t="n">
        <v>13252</v>
      </c>
      <c r="S91" s="85" t="n">
        <v>92</v>
      </c>
      <c r="T91" s="90">
        <f>IF(AND(ISNUMBER(K91),ISNUMBER(S91)),K91*S91*52/12,"")</f>
        <v/>
      </c>
      <c r="U91" s="91" t="n">
        <v>4.6</v>
      </c>
      <c r="V91" s="85" t="n">
        <v>1408</v>
      </c>
      <c r="W91" s="92" t="n">
        <v>46307</v>
      </c>
      <c r="X91" s="92" t="n">
        <v>45434</v>
      </c>
      <c r="Y91" s="84" t="inlineStr">
        <is>
          <t>FBA</t>
        </is>
      </c>
      <c r="Z91" s="84" t="inlineStr">
        <is>
          <t>US</t>
        </is>
      </c>
      <c r="AA91" s="85" t="n"/>
      <c r="AB91" s="85" t="n"/>
      <c r="AC91" s="93" t="n"/>
      <c r="AD91" s="93" t="n"/>
      <c r="AE91" s="32" t="n"/>
      <c r="AF91" s="93" t="n"/>
      <c r="AG91" s="93" t="n"/>
      <c r="AH91" s="93" t="n"/>
      <c r="AI91" s="93" t="n"/>
      <c r="AJ91" s="85" t="n"/>
      <c r="AK91" s="85" t="n"/>
      <c r="AL91" s="85" t="n"/>
      <c r="AM91" s="85" t="n"/>
      <c r="AN91" s="85" t="n"/>
      <c r="AO91" s="85" t="n"/>
      <c r="AP91" s="94" t="n">
        <v>1.373060211049038</v>
      </c>
      <c r="AQ91" s="89" t="n">
        <v>-0.4498869630746043</v>
      </c>
      <c r="AR91" s="95" t="inlineStr">
        <is>
          <t>N</t>
        </is>
      </c>
      <c r="AS91" s="95" t="inlineStr">
        <is>
          <t>none</t>
        </is>
      </c>
      <c r="AT91" s="101" t="n"/>
      <c r="AU91" s="96" t="n">
        <v>29.94</v>
      </c>
      <c r="AV91" s="95" t="inlineStr">
        <is>
          <t>none</t>
        </is>
      </c>
      <c r="AW91" s="95" t="inlineStr">
        <is>
          <t>Y</t>
        </is>
      </c>
      <c r="AX91" s="95" t="inlineStr">
        <is>
          <t>2026-10-13 23:41:31</t>
        </is>
      </c>
      <c r="AY91" s="102" t="n"/>
      <c r="AZ91" s="102" t="n"/>
      <c r="BA91" s="101" t="n"/>
      <c r="BB91" s="101" t="n"/>
      <c r="BC91" s="87">
        <f>IF(AND(ISNUMBER(BA91),ISNUMBER(BB91),N(BA91)&gt;0),1-BB91/BA91,"")</f>
        <v/>
      </c>
      <c r="BD91" s="103" t="n"/>
      <c r="BE91" s="103" t="n"/>
      <c r="BF91" s="100">
        <f>IF(AND(ISNUMBER(BD91),ISNUMBER(BE91),N(BE91)&gt;0),BD91/BE91,"")</f>
        <v/>
      </c>
      <c r="BG91" s="102" t="n"/>
      <c r="BH91" s="102" t="n"/>
    </row>
    <row r="92" ht="62" customHeight="1">
      <c r="A92" s="10">
        <f>_xlfn.IMAGE("https://images-na.ssl-images-amazon.com/images/I/814g0Iz3A0L.jpg")</f>
        <v/>
      </c>
      <c r="B92" s="84" t="inlineStr">
        <is>
          <t>Threadmade</t>
        </is>
      </c>
      <c r="C92" s="32" t="inlineStr">
        <is>
          <t>Threadmade Brighton Windowpane Plaid Blackout Window Curtain Panel, Linen - 52" W x 84" L</t>
        </is>
      </c>
      <c r="D92" s="84" t="inlineStr">
        <is>
          <t>Beatable</t>
        </is>
      </c>
      <c r="E92" s="84" t="inlineStr">
        <is>
          <t>B0H8T2BYZK</t>
        </is>
      </c>
      <c r="F92" s="84" t="inlineStr">
        <is>
          <t>B08N891RBV</t>
        </is>
      </c>
      <c r="G92" s="84" t="n"/>
      <c r="H92" s="84" t="inlineStr">
        <is>
          <t>Linen</t>
        </is>
      </c>
      <c r="I92" s="85" t="n">
        <v>32</v>
      </c>
      <c r="J92" s="32" t="inlineStr"/>
      <c r="K92" s="86" t="n">
        <v>36.29</v>
      </c>
      <c r="L92" s="86" t="n">
        <v>44.99</v>
      </c>
      <c r="M92" s="87">
        <f>IF(AND(ISNUMBER(L92),ISNUMBER(K92),N(K92)&gt;0),L92/K92-1,"")</f>
        <v/>
      </c>
      <c r="N92" s="88">
        <f>IF(M92="","No List Price",IF(M92&lt;=0,"At/below price",IF(M92&lt;=0.12,"&lt;=12% STR zone",IF(M92&lt;=0.25,"12-25%","&gt;25% over"))))</f>
        <v/>
      </c>
      <c r="O92" s="86" t="n">
        <v>29.82333333333333</v>
      </c>
      <c r="P92" s="89">
        <f>IF(AND(ISNUMBER(K92),ISNUMBER(O92),N(O92)&gt;0),K92/O92-1,"")</f>
        <v/>
      </c>
      <c r="Q92" s="32" t="inlineStr">
        <is>
          <t>vs our blended price (Command Center, Mar 2026 - STALE)</t>
        </is>
      </c>
      <c r="R92" s="85" t="n">
        <v>16354</v>
      </c>
      <c r="S92" s="85" t="n">
        <v>92</v>
      </c>
      <c r="T92" s="90">
        <f>IF(AND(ISNUMBER(K92),ISNUMBER(S92)),K92*S92*52/12,"")</f>
        <v/>
      </c>
      <c r="U92" s="91" t="n">
        <v>4.5</v>
      </c>
      <c r="V92" s="85" t="n">
        <v>2281</v>
      </c>
      <c r="W92" s="92" t="n">
        <v>46307</v>
      </c>
      <c r="X92" s="92" t="n">
        <v>44146</v>
      </c>
      <c r="Y92" s="84" t="inlineStr">
        <is>
          <t>AMZ</t>
        </is>
      </c>
      <c r="Z92" s="84" t="inlineStr">
        <is>
          <t>(Amazon)</t>
        </is>
      </c>
      <c r="AA92" s="85" t="n"/>
      <c r="AB92" s="85" t="n"/>
      <c r="AC92" s="93" t="n"/>
      <c r="AD92" s="93" t="n"/>
      <c r="AE92" s="32" t="n"/>
      <c r="AF92" s="93" t="n"/>
      <c r="AG92" s="93" t="n"/>
      <c r="AH92" s="93" t="n"/>
      <c r="AI92" s="93" t="n"/>
      <c r="AJ92" s="85" t="n"/>
      <c r="AK92" s="85" t="n"/>
      <c r="AL92" s="85" t="n"/>
      <c r="AM92" s="85" t="n"/>
      <c r="AN92" s="85" t="n"/>
      <c r="AO92" s="85" t="n"/>
      <c r="AP92" s="94" t="n"/>
      <c r="AQ92" s="89" t="n"/>
      <c r="AR92" s="95" t="inlineStr">
        <is>
          <t>Y</t>
        </is>
      </c>
      <c r="AS92" s="95" t="inlineStr">
        <is>
          <t>List Price</t>
        </is>
      </c>
      <c r="AT92" s="96" t="n">
        <v>44.99</v>
      </c>
      <c r="AU92" s="96" t="n">
        <v>36.29</v>
      </c>
      <c r="AV92" s="95" t="inlineStr">
        <is>
          <t>coupon $15.48</t>
        </is>
      </c>
      <c r="AW92" s="95" t="inlineStr">
        <is>
          <t>Y</t>
        </is>
      </c>
      <c r="AX92" s="95" t="inlineStr">
        <is>
          <t>2026-10-13 23:43:23</t>
        </is>
      </c>
      <c r="AY92" s="102" t="n"/>
      <c r="AZ92" s="102" t="n"/>
      <c r="BA92" s="101" t="n"/>
      <c r="BB92" s="101" t="n"/>
      <c r="BC92" s="87">
        <f>IF(AND(ISNUMBER(BA92),ISNUMBER(BB92),N(BA92)&gt;0),1-BB92/BA92,"")</f>
        <v/>
      </c>
      <c r="BD92" s="103" t="n"/>
      <c r="BE92" s="103" t="n"/>
      <c r="BF92" s="100">
        <f>IF(AND(ISNUMBER(BD92),ISNUMBER(BE92),N(BE92)&gt;0),BD92/BE92,"")</f>
        <v/>
      </c>
      <c r="BG92" s="102" t="n"/>
      <c r="BH92" s="102" t="n"/>
    </row>
    <row r="93" ht="62" customHeight="1">
      <c r="A93" s="10">
        <f>_xlfn.IMAGE("https://images-na.ssl-images-amazon.com/images/I/81tA9iHmfeL.jpg")</f>
        <v/>
      </c>
      <c r="B93" s="84" t="inlineStr">
        <is>
          <t>Joydeco</t>
        </is>
      </c>
      <c r="C93" s="32" t="inlineStr">
        <is>
          <t>Joydeco Linen Curtains 96 inch Length 2 Panel Set, Light Filtering Curtain for Living Room Bedroom, 52 inch Wide Drapes with Rod Pocket Back Tab (96" Lx52 W, Ivory on Linen)</t>
        </is>
      </c>
      <c r="D93" s="84" t="inlineStr">
        <is>
          <t>Poor</t>
        </is>
      </c>
      <c r="E93" s="84" t="inlineStr">
        <is>
          <t>B0DBM44C7Y</t>
        </is>
      </c>
      <c r="F93" s="84" t="inlineStr">
        <is>
          <t>B0BYD1BPNB</t>
        </is>
      </c>
      <c r="G93" s="84" t="n"/>
      <c r="H93" s="84" t="inlineStr">
        <is>
          <t>Ivory on Linen</t>
        </is>
      </c>
      <c r="I93" s="85" t="n">
        <v>126</v>
      </c>
      <c r="J93" s="32" t="inlineStr"/>
      <c r="K93" s="86" t="n">
        <v>32.28</v>
      </c>
      <c r="L93" s="86" t="n">
        <v>42.99</v>
      </c>
      <c r="M93" s="87">
        <f>IF(AND(ISNUMBER(L93),ISNUMBER(K93),N(K93)&gt;0),L93/K93-1,"")</f>
        <v/>
      </c>
      <c r="N93" s="88">
        <f>IF(M93="","No List Price",IF(M93&lt;=0,"At/below price",IF(M93&lt;=0.12,"&lt;=12% STR zone",IF(M93&lt;=0.25,"12-25%","&gt;25% over"))))</f>
        <v/>
      </c>
      <c r="O93" s="86" t="n">
        <v>29.82333333333333</v>
      </c>
      <c r="P93" s="89">
        <f>IF(AND(ISNUMBER(K93),ISNUMBER(O93),N(O93)&gt;0),K93/O93-1,"")</f>
        <v/>
      </c>
      <c r="Q93" s="32" t="inlineStr">
        <is>
          <t>vs our blended price (Command Center, Mar 2026 - STALE)</t>
        </is>
      </c>
      <c r="R93" s="85" t="n">
        <v>5349</v>
      </c>
      <c r="S93" s="85" t="n">
        <v>347</v>
      </c>
      <c r="T93" s="90">
        <f>IF(AND(ISNUMBER(K93),ISNUMBER(S93)),K93*S93*52/12,"")</f>
        <v/>
      </c>
      <c r="U93" s="91" t="n">
        <v>4.7</v>
      </c>
      <c r="V93" s="85" t="n">
        <v>1430</v>
      </c>
      <c r="W93" s="92" t="n">
        <v>46307</v>
      </c>
      <c r="X93" s="92" t="n">
        <v>44999</v>
      </c>
      <c r="Y93" s="84" t="inlineStr">
        <is>
          <t>FBA</t>
        </is>
      </c>
      <c r="Z93" s="84" t="inlineStr">
        <is>
          <t>CN</t>
        </is>
      </c>
      <c r="AA93" s="85" t="n"/>
      <c r="AB93" s="85" t="n"/>
      <c r="AC93" s="93" t="n"/>
      <c r="AD93" s="93" t="n"/>
      <c r="AE93" s="32" t="n"/>
      <c r="AF93" s="93" t="n"/>
      <c r="AG93" s="93" t="n"/>
      <c r="AH93" s="93" t="n"/>
      <c r="AI93" s="93" t="n"/>
      <c r="AJ93" s="85" t="n"/>
      <c r="AK93" s="85" t="n"/>
      <c r="AL93" s="85" t="n"/>
      <c r="AM93" s="85" t="n"/>
      <c r="AN93" s="85" t="n"/>
      <c r="AO93" s="85" t="n"/>
      <c r="AP93" s="94" t="n"/>
      <c r="AQ93" s="89" t="n"/>
      <c r="AR93" s="95" t="inlineStr">
        <is>
          <t>Y</t>
        </is>
      </c>
      <c r="AS93" s="95" t="inlineStr">
        <is>
          <t>List Price</t>
        </is>
      </c>
      <c r="AT93" s="96" t="n">
        <v>42.99</v>
      </c>
      <c r="AU93" s="96" t="n">
        <v>32.28</v>
      </c>
      <c r="AV93" s="95" t="inlineStr">
        <is>
          <t>Limited time deal</t>
        </is>
      </c>
      <c r="AW93" s="95" t="inlineStr">
        <is>
          <t>Y</t>
        </is>
      </c>
      <c r="AX93" s="95" t="inlineStr">
        <is>
          <t>2026-10-13 23:41:25</t>
        </is>
      </c>
      <c r="AY93" s="102" t="n"/>
      <c r="AZ93" s="102" t="n"/>
      <c r="BA93" s="101" t="n"/>
      <c r="BB93" s="101" t="n"/>
      <c r="BC93" s="87">
        <f>IF(AND(ISNUMBER(BA93),ISNUMBER(BB93),N(BA93)&gt;0),1-BB93/BA93,"")</f>
        <v/>
      </c>
      <c r="BD93" s="103" t="n"/>
      <c r="BE93" s="103" t="n"/>
      <c r="BF93" s="100">
        <f>IF(AND(ISNUMBER(BD93),ISNUMBER(BE93),N(BE93)&gt;0),BD93/BE93,"")</f>
        <v/>
      </c>
      <c r="BG93" s="102" t="n"/>
      <c r="BH93" s="102" t="n"/>
    </row>
    <row r="94" ht="62" customHeight="1">
      <c r="A94" s="10">
        <f>_xlfn.IMAGE("https://images-na.ssl-images-amazon.com/images/I/81dOAC5a8JL.jpg")</f>
        <v/>
      </c>
      <c r="B94" s="84" t="inlineStr">
        <is>
          <t>RYB HOME</t>
        </is>
      </c>
      <c r="C94" s="32" t="inlineStr">
        <is>
          <t>RYB HOME Natural Beige 100% Blackout Curtains for Bedroom 84 Inch Long</t>
        </is>
      </c>
      <c r="D94" s="84" t="inlineStr">
        <is>
          <t>Poor</t>
        </is>
      </c>
      <c r="E94" s="84" t="inlineStr">
        <is>
          <t>B0C7GWSQ7G</t>
        </is>
      </c>
      <c r="F94" s="84" t="inlineStr">
        <is>
          <t>B0C7GTHJP6</t>
        </is>
      </c>
      <c r="G94" s="84" t="n"/>
      <c r="H94" s="84" t="inlineStr">
        <is>
          <t>Beige</t>
        </is>
      </c>
      <c r="I94" s="85" t="n">
        <v>140</v>
      </c>
      <c r="J94" s="32" t="inlineStr"/>
      <c r="K94" s="86" t="n">
        <v>21.33</v>
      </c>
      <c r="L94" s="86" t="n">
        <v>29.85</v>
      </c>
      <c r="M94" s="87">
        <f>IF(AND(ISNUMBER(L94),ISNUMBER(K94),N(K94)&gt;0),L94/K94-1,"")</f>
        <v/>
      </c>
      <c r="N94" s="88">
        <f>IF(M94="","No List Price",IF(M94&lt;=0,"At/below price",IF(M94&lt;=0.12,"&lt;=12% STR zone",IF(M94&lt;=0.25,"12-25%","&gt;25% over"))))</f>
        <v/>
      </c>
      <c r="O94" s="86" t="n">
        <v>29.82333333333333</v>
      </c>
      <c r="P94" s="89">
        <f>IF(AND(ISNUMBER(K94),ISNUMBER(O94),N(O94)&gt;0),K94/O94-1,"")</f>
        <v/>
      </c>
      <c r="Q94" s="32" t="inlineStr">
        <is>
          <t>vs our blended price (Command Center, Mar 2026 - STALE)</t>
        </is>
      </c>
      <c r="R94" s="85" t="n">
        <v>3194</v>
      </c>
      <c r="S94" s="85" t="n">
        <v>347</v>
      </c>
      <c r="T94" s="90">
        <f>IF(AND(ISNUMBER(K94),ISNUMBER(S94)),K94*S94*52/12,"")</f>
        <v/>
      </c>
      <c r="U94" s="91" t="n">
        <v>4.5</v>
      </c>
      <c r="V94" s="85" t="n">
        <v>1072</v>
      </c>
      <c r="W94" s="92" t="n">
        <v>46307</v>
      </c>
      <c r="X94" s="92" t="n">
        <v>45085</v>
      </c>
      <c r="Y94" s="84" t="inlineStr">
        <is>
          <t>FBA</t>
        </is>
      </c>
      <c r="Z94" s="84" t="inlineStr">
        <is>
          <t>CN</t>
        </is>
      </c>
      <c r="AA94" s="85" t="n"/>
      <c r="AB94" s="85" t="n"/>
      <c r="AC94" s="93" t="n"/>
      <c r="AD94" s="93" t="n"/>
      <c r="AE94" s="32" t="n"/>
      <c r="AF94" s="93" t="n"/>
      <c r="AG94" s="93" t="n"/>
      <c r="AH94" s="93" t="n"/>
      <c r="AI94" s="93" t="n"/>
      <c r="AJ94" s="85" t="n"/>
      <c r="AK94" s="85" t="n"/>
      <c r="AL94" s="85" t="n"/>
      <c r="AM94" s="85" t="n"/>
      <c r="AN94" s="85" t="n"/>
      <c r="AO94" s="85" t="n"/>
      <c r="AP94" s="94" t="n"/>
      <c r="AQ94" s="89" t="n"/>
      <c r="AR94" s="95" t="inlineStr">
        <is>
          <t>Y</t>
        </is>
      </c>
      <c r="AS94" s="95" t="inlineStr">
        <is>
          <t>List Price</t>
        </is>
      </c>
      <c r="AT94" s="96" t="n">
        <v>29.85</v>
      </c>
      <c r="AU94" s="96" t="n">
        <v>21.33</v>
      </c>
      <c r="AV94" s="95" t="inlineStr">
        <is>
          <t>Limited time deal</t>
        </is>
      </c>
      <c r="AW94" s="95" t="inlineStr">
        <is>
          <t>Y</t>
        </is>
      </c>
      <c r="AX94" s="95" t="inlineStr">
        <is>
          <t>2026-10-13 23:42:37</t>
        </is>
      </c>
      <c r="AY94" s="102" t="n"/>
      <c r="AZ94" s="102" t="n"/>
      <c r="BA94" s="101" t="n"/>
      <c r="BB94" s="101" t="n"/>
      <c r="BC94" s="87">
        <f>IF(AND(ISNUMBER(BA94),ISNUMBER(BB94),N(BA94)&gt;0),1-BB94/BA94,"")</f>
        <v/>
      </c>
      <c r="BD94" s="103" t="n"/>
      <c r="BE94" s="103" t="n"/>
      <c r="BF94" s="100">
        <f>IF(AND(ISNUMBER(BD94),ISNUMBER(BE94),N(BE94)&gt;0),BD94/BE94,"")</f>
        <v/>
      </c>
      <c r="BG94" s="102" t="n"/>
      <c r="BH94" s="102" t="n"/>
    </row>
    <row r="95" ht="62" customHeight="1">
      <c r="A95" s="10">
        <f>_xlfn.IMAGE("https://images-na.ssl-images-amazon.com/images/I/81YrpBfe+XL.jpg")</f>
        <v/>
      </c>
      <c r="B95" s="84" t="inlineStr">
        <is>
          <t>Jowels</t>
        </is>
      </c>
      <c r="C95" s="32" t="inlineStr">
        <is>
          <t>Jowels Natural Linen Grommet Curtains 84 Inch Long 2 Panels for Living Room</t>
        </is>
      </c>
      <c r="D95" s="84" t="inlineStr">
        <is>
          <t>Poor</t>
        </is>
      </c>
      <c r="E95" s="84" t="inlineStr">
        <is>
          <t>B0CX1RMCK5</t>
        </is>
      </c>
      <c r="F95" s="84" t="inlineStr">
        <is>
          <t>B0CWWWFZ16</t>
        </is>
      </c>
      <c r="G95" s="84" t="n"/>
      <c r="H95" s="84" t="inlineStr">
        <is>
          <t>Linen</t>
        </is>
      </c>
      <c r="I95" s="85" t="n">
        <v>483</v>
      </c>
      <c r="J95" s="32" t="inlineStr"/>
      <c r="K95" s="86" t="n">
        <v>20.99</v>
      </c>
      <c r="L95" s="86" t="n"/>
      <c r="M95" s="87">
        <f>IF(AND(ISNUMBER(L95),ISNUMBER(K95),N(K95)&gt;0),L95/K95-1,"")</f>
        <v/>
      </c>
      <c r="N95" s="88">
        <f>IF(M95="","No List Price",IF(M95&lt;=0,"At/below price",IF(M95&lt;=0.12,"&lt;=12% STR zone",IF(M95&lt;=0.25,"12-25%","&gt;25% over"))))</f>
        <v/>
      </c>
      <c r="O95" s="86" t="n">
        <v>29.82333333333333</v>
      </c>
      <c r="P95" s="89">
        <f>IF(AND(ISNUMBER(K95),ISNUMBER(O95),N(O95)&gt;0),K95/O95-1,"")</f>
        <v/>
      </c>
      <c r="Q95" s="32" t="inlineStr">
        <is>
          <t>vs our blended price (Command Center, Mar 2026 - STALE)</t>
        </is>
      </c>
      <c r="R95" s="85" t="n">
        <v>4213</v>
      </c>
      <c r="S95" s="85" t="n">
        <v>197</v>
      </c>
      <c r="T95" s="90">
        <f>IF(AND(ISNUMBER(K95),ISNUMBER(S95)),K95*S95*52/12,"")</f>
        <v/>
      </c>
      <c r="U95" s="91" t="n">
        <v>4.6</v>
      </c>
      <c r="V95" s="85" t="n">
        <v>1089</v>
      </c>
      <c r="W95" s="92" t="n">
        <v>46307</v>
      </c>
      <c r="X95" s="92" t="n">
        <v>45353</v>
      </c>
      <c r="Y95" s="84" t="inlineStr">
        <is>
          <t>FBA</t>
        </is>
      </c>
      <c r="Z95" s="84" t="inlineStr">
        <is>
          <t>CN</t>
        </is>
      </c>
      <c r="AA95" s="85" t="n"/>
      <c r="AB95" s="85" t="n"/>
      <c r="AC95" s="93" t="n"/>
      <c r="AD95" s="93" t="n"/>
      <c r="AE95" s="32" t="n"/>
      <c r="AF95" s="93" t="n"/>
      <c r="AG95" s="93" t="n"/>
      <c r="AH95" s="93" t="n"/>
      <c r="AI95" s="93" t="n"/>
      <c r="AJ95" s="85" t="n"/>
      <c r="AK95" s="85" t="n"/>
      <c r="AL95" s="85" t="n"/>
      <c r="AM95" s="85" t="n"/>
      <c r="AN95" s="85" t="n"/>
      <c r="AO95" s="85" t="n"/>
      <c r="AP95" s="94" t="n"/>
      <c r="AQ95" s="89" t="n"/>
      <c r="AR95" s="95" t="inlineStr">
        <is>
          <t>N</t>
        </is>
      </c>
      <c r="AS95" s="95" t="inlineStr">
        <is>
          <t>none</t>
        </is>
      </c>
      <c r="AT95" s="101" t="n"/>
      <c r="AU95" s="96" t="n">
        <v>20.99</v>
      </c>
      <c r="AV95" s="95" t="inlineStr">
        <is>
          <t>none</t>
        </is>
      </c>
      <c r="AW95" s="95" t="inlineStr">
        <is>
          <t>Y</t>
        </is>
      </c>
      <c r="AX95" s="95" t="inlineStr">
        <is>
          <t>2026-10-13 23:41:21</t>
        </is>
      </c>
      <c r="AY95" s="102" t="n"/>
      <c r="AZ95" s="102" t="n"/>
      <c r="BA95" s="101" t="n"/>
      <c r="BB95" s="101" t="n"/>
      <c r="BC95" s="87">
        <f>IF(AND(ISNUMBER(BA95),ISNUMBER(BB95),N(BA95)&gt;0),1-BB95/BA95,"")</f>
        <v/>
      </c>
      <c r="BD95" s="103" t="n"/>
      <c r="BE95" s="103" t="n"/>
      <c r="BF95" s="100">
        <f>IF(AND(ISNUMBER(BD95),ISNUMBER(BE95),N(BE95)&gt;0),BD95/BE95,"")</f>
        <v/>
      </c>
      <c r="BG95" s="102" t="n"/>
      <c r="BH95" s="102" t="n"/>
    </row>
    <row r="96" ht="62" customHeight="1">
      <c r="A96" s="10">
        <f>_xlfn.IMAGE("https://images-na.ssl-images-amazon.com/images/I/71iWOFTvsgL.jpg")</f>
        <v/>
      </c>
      <c r="B96" s="84" t="inlineStr">
        <is>
          <t>Zyvola Store</t>
        </is>
      </c>
      <c r="C96" s="32" t="inlineStr">
        <is>
          <t>Zyvola 100% Blackout Curtains 84 inch Length Faux Linen (W52 x L84, Beige)</t>
        </is>
      </c>
      <c r="D96" s="84" t="inlineStr">
        <is>
          <t>Poor</t>
        </is>
      </c>
      <c r="E96" s="84" t="inlineStr">
        <is>
          <t>B0GYNL4FXW</t>
        </is>
      </c>
      <c r="F96" s="84" t="inlineStr">
        <is>
          <t>B0F538X5VQ</t>
        </is>
      </c>
      <c r="G96" s="84" t="n"/>
      <c r="H96" s="84" t="inlineStr">
        <is>
          <t>Beige</t>
        </is>
      </c>
      <c r="I96" s="85" t="n">
        <v>97</v>
      </c>
      <c r="J96" s="32" t="inlineStr"/>
      <c r="K96" s="86" t="n">
        <v>23.99</v>
      </c>
      <c r="L96" s="86" t="n"/>
      <c r="M96" s="87">
        <f>IF(AND(ISNUMBER(L96),ISNUMBER(K96),N(K96)&gt;0),L96/K96-1,"")</f>
        <v/>
      </c>
      <c r="N96" s="88">
        <f>IF(M96="","No List Price",IF(M96&lt;=0,"At/below price",IF(M96&lt;=0.12,"&lt;=12% STR zone",IF(M96&lt;=0.25,"12-25%","&gt;25% over"))))</f>
        <v/>
      </c>
      <c r="O96" s="86" t="n">
        <v>29.82333333333333</v>
      </c>
      <c r="P96" s="89">
        <f>IF(AND(ISNUMBER(K96),ISNUMBER(O96),N(O96)&gt;0),K96/O96-1,"")</f>
        <v/>
      </c>
      <c r="Q96" s="32" t="inlineStr">
        <is>
          <t>vs our blended price (Command Center, Mar 2026 - STALE)</t>
        </is>
      </c>
      <c r="R96" s="85" t="n">
        <v>40931</v>
      </c>
      <c r="S96" s="85" t="n">
        <v>92</v>
      </c>
      <c r="T96" s="90">
        <f>IF(AND(ISNUMBER(K96),ISNUMBER(S96)),K96*S96*52/12,"")</f>
        <v/>
      </c>
      <c r="U96" s="91" t="n">
        <v>4.8</v>
      </c>
      <c r="V96" s="85" t="n">
        <v>767</v>
      </c>
      <c r="W96" s="92" t="n">
        <v>46307</v>
      </c>
      <c r="X96" s="92" t="n">
        <v>45763</v>
      </c>
      <c r="Y96" s="84" t="inlineStr">
        <is>
          <t>FBA</t>
        </is>
      </c>
      <c r="Z96" s="84" t="inlineStr">
        <is>
          <t>CN</t>
        </is>
      </c>
      <c r="AA96" s="85" t="n"/>
      <c r="AB96" s="85" t="n"/>
      <c r="AC96" s="93" t="n"/>
      <c r="AD96" s="93" t="n"/>
      <c r="AE96" s="32" t="n"/>
      <c r="AF96" s="93" t="n"/>
      <c r="AG96" s="93" t="n"/>
      <c r="AH96" s="93" t="n"/>
      <c r="AI96" s="93" t="n"/>
      <c r="AJ96" s="85" t="n"/>
      <c r="AK96" s="85" t="n"/>
      <c r="AL96" s="85" t="n"/>
      <c r="AM96" s="85" t="n"/>
      <c r="AN96" s="85" t="n"/>
      <c r="AO96" s="85" t="n"/>
      <c r="AP96" s="94" t="n"/>
      <c r="AQ96" s="89" t="n"/>
      <c r="AR96" s="95" t="inlineStr">
        <is>
          <t>N</t>
        </is>
      </c>
      <c r="AS96" s="95" t="inlineStr">
        <is>
          <t>none</t>
        </is>
      </c>
      <c r="AT96" s="101" t="n"/>
      <c r="AU96" s="96" t="n">
        <v>23.99</v>
      </c>
      <c r="AV96" s="95" t="inlineStr">
        <is>
          <t>none</t>
        </is>
      </c>
      <c r="AW96" s="95" t="inlineStr">
        <is>
          <t>Y</t>
        </is>
      </c>
      <c r="AX96" s="95" t="inlineStr">
        <is>
          <t>2026-10-13 23:44:07</t>
        </is>
      </c>
      <c r="AY96" s="102" t="n"/>
      <c r="AZ96" s="102" t="n"/>
      <c r="BA96" s="101" t="n"/>
      <c r="BB96" s="101" t="n"/>
      <c r="BC96" s="87">
        <f>IF(AND(ISNUMBER(BA96),ISNUMBER(BB96),N(BA96)&gt;0),1-BB96/BA96,"")</f>
        <v/>
      </c>
      <c r="BD96" s="103" t="n"/>
      <c r="BE96" s="103" t="n"/>
      <c r="BF96" s="100">
        <f>IF(AND(ISNUMBER(BD96),ISNUMBER(BE96),N(BE96)&gt;0),BD96/BE96,"")</f>
        <v/>
      </c>
      <c r="BG96" s="102" t="n"/>
      <c r="BH96" s="102" t="n"/>
    </row>
    <row r="97" ht="62" customHeight="1">
      <c r="A97" s="10">
        <f>_xlfn.IMAGE("https://images-na.ssl-images-amazon.com/images/I/81WQK0JB0zL.jpg")</f>
        <v/>
      </c>
      <c r="B97" s="84" t="inlineStr">
        <is>
          <t>PONY DANCE</t>
        </is>
      </c>
      <c r="C97" s="32" t="inlineStr">
        <is>
          <t>PONY DANCE Linen Blackout Curtains for Bedroom 84 Inches Long, 2 Panels Set</t>
        </is>
      </c>
      <c r="D97" s="84" t="inlineStr">
        <is>
          <t>Poor</t>
        </is>
      </c>
      <c r="E97" s="84" t="inlineStr">
        <is>
          <t>B0DT64LH8Q</t>
        </is>
      </c>
      <c r="F97" s="84" t="inlineStr">
        <is>
          <t>B0DT5T2BXX</t>
        </is>
      </c>
      <c r="G97" s="84" t="n"/>
      <c r="H97" s="84" t="inlineStr">
        <is>
          <t>Linen</t>
        </is>
      </c>
      <c r="I97" s="85" t="n">
        <v>83</v>
      </c>
      <c r="J97" s="32" t="inlineStr"/>
      <c r="K97" s="86" t="n">
        <v>22.97</v>
      </c>
      <c r="L97" s="86" t="n"/>
      <c r="M97" s="87">
        <f>IF(AND(ISNUMBER(L97),ISNUMBER(K97),N(K97)&gt;0),L97/K97-1,"")</f>
        <v/>
      </c>
      <c r="N97" s="88">
        <f>IF(M97="","No List Price",IF(M97&lt;=0,"At/below price",IF(M97&lt;=0.12,"&lt;=12% STR zone",IF(M97&lt;=0.25,"12-25%","&gt;25% over"))))</f>
        <v/>
      </c>
      <c r="O97" s="86" t="n">
        <v>29.82333333333333</v>
      </c>
      <c r="P97" s="89">
        <f>IF(AND(ISNUMBER(K97),ISNUMBER(O97),N(O97)&gt;0),K97/O97-1,"")</f>
        <v/>
      </c>
      <c r="Q97" s="32" t="inlineStr">
        <is>
          <t>vs our blended price (Command Center, Mar 2026 - STALE)</t>
        </is>
      </c>
      <c r="R97" s="85" t="n">
        <v>71182</v>
      </c>
      <c r="S97" s="85" t="n">
        <v>81</v>
      </c>
      <c r="T97" s="90">
        <f>IF(AND(ISNUMBER(K97),ISNUMBER(S97)),K97*S97*52/12,"")</f>
        <v/>
      </c>
      <c r="U97" s="91" t="n">
        <v>4.8</v>
      </c>
      <c r="V97" s="85" t="n">
        <v>267</v>
      </c>
      <c r="W97" s="92" t="n">
        <v>46307</v>
      </c>
      <c r="X97" s="92" t="n">
        <v>45673</v>
      </c>
      <c r="Y97" s="84" t="inlineStr">
        <is>
          <t>FBA</t>
        </is>
      </c>
      <c r="Z97" s="84" t="inlineStr">
        <is>
          <t>CN</t>
        </is>
      </c>
      <c r="AA97" s="85" t="n"/>
      <c r="AB97" s="85" t="n"/>
      <c r="AC97" s="93" t="n"/>
      <c r="AD97" s="93" t="n"/>
      <c r="AE97" s="32" t="n"/>
      <c r="AF97" s="93" t="n"/>
      <c r="AG97" s="93" t="n"/>
      <c r="AH97" s="93" t="n"/>
      <c r="AI97" s="93" t="n"/>
      <c r="AJ97" s="85" t="n"/>
      <c r="AK97" s="85" t="n"/>
      <c r="AL97" s="85" t="n"/>
      <c r="AM97" s="85" t="n"/>
      <c r="AN97" s="85" t="n"/>
      <c r="AO97" s="85" t="n"/>
      <c r="AP97" s="94" t="n"/>
      <c r="AQ97" s="89" t="n"/>
      <c r="AR97" s="95" t="inlineStr">
        <is>
          <t>N</t>
        </is>
      </c>
      <c r="AS97" s="95" t="inlineStr">
        <is>
          <t>none</t>
        </is>
      </c>
      <c r="AT97" s="101" t="n"/>
      <c r="AU97" s="96" t="n">
        <v>22.97</v>
      </c>
      <c r="AV97" s="95" t="inlineStr">
        <is>
          <t>none</t>
        </is>
      </c>
      <c r="AW97" s="95" t="inlineStr">
        <is>
          <t>Y</t>
        </is>
      </c>
      <c r="AX97" s="95" t="inlineStr">
        <is>
          <t>2026-10-13 23:42:28</t>
        </is>
      </c>
      <c r="AY97" s="102" t="n"/>
      <c r="AZ97" s="102" t="n"/>
      <c r="BA97" s="101" t="n"/>
      <c r="BB97" s="101" t="n"/>
      <c r="BC97" s="87">
        <f>IF(AND(ISNUMBER(BA97),ISNUMBER(BB97),N(BA97)&gt;0),1-BB97/BA97,"")</f>
        <v/>
      </c>
      <c r="BD97" s="103" t="n"/>
      <c r="BE97" s="103" t="n"/>
      <c r="BF97" s="100">
        <f>IF(AND(ISNUMBER(BD97),ISNUMBER(BE97),N(BE97)&gt;0),BD97/BE97,"")</f>
        <v/>
      </c>
      <c r="BG97" s="102" t="n"/>
      <c r="BH97" s="102" t="n"/>
    </row>
    <row r="98" ht="62" customHeight="1">
      <c r="A98" s="39" t="inlineStr">
        <is>
          <t>IMAGE MISSING</t>
        </is>
      </c>
      <c r="B98" s="84" t="inlineStr">
        <is>
          <t>Zyvola</t>
        </is>
      </c>
      <c r="C98" s="32" t="inlineStr">
        <is>
          <t>Linen Curtains</t>
        </is>
      </c>
      <c r="D98" s="84" t="inlineStr">
        <is>
          <t>Poor</t>
        </is>
      </c>
      <c r="E98" s="84" t="inlineStr">
        <is>
          <t>B0GMBGGXCX</t>
        </is>
      </c>
      <c r="F98" s="84" t="inlineStr">
        <is>
          <t>B0F534LNF4</t>
        </is>
      </c>
      <c r="G98" s="84" t="n"/>
      <c r="H98" s="84" t="inlineStr">
        <is>
          <t>Linen</t>
        </is>
      </c>
      <c r="I98" s="85" t="n"/>
      <c r="J98" s="32" t="inlineStr"/>
      <c r="K98" s="86" t="n">
        <v>42.99</v>
      </c>
      <c r="L98" s="86" t="n"/>
      <c r="M98" s="87">
        <f>IF(AND(ISNUMBER(L98),ISNUMBER(K98),N(K98)&gt;0),L98/K98-1,"")</f>
        <v/>
      </c>
      <c r="N98" s="88">
        <f>IF(M98="","No List Price",IF(M98&lt;=0,"At/below price",IF(M98&lt;=0.12,"&lt;=12% STR zone",IF(M98&lt;=0.25,"12-25%","&gt;25% over"))))</f>
        <v/>
      </c>
      <c r="O98" s="86" t="n">
        <v>29.82333333333333</v>
      </c>
      <c r="P98" s="89">
        <f>IF(AND(ISNUMBER(K98),ISNUMBER(O98),N(O98)&gt;0),K98/O98-1,"")</f>
        <v/>
      </c>
      <c r="Q98" s="32" t="inlineStr">
        <is>
          <t>vs our blended price (Command Center, Mar 2026 - STALE)</t>
        </is>
      </c>
      <c r="R98" s="85" t="n">
        <v>5171084</v>
      </c>
      <c r="S98" s="85" t="n">
        <v>5</v>
      </c>
      <c r="T98" s="90">
        <f>IF(AND(ISNUMBER(K98),ISNUMBER(S98)),K98*S98*52/12,"")</f>
        <v/>
      </c>
      <c r="U98" s="91" t="n">
        <v>4.7</v>
      </c>
      <c r="V98" s="85" t="n">
        <v>4</v>
      </c>
      <c r="W98" s="92" t="n">
        <v>46307</v>
      </c>
      <c r="X98" s="92" t="n"/>
      <c r="Y98" s="84" t="n"/>
      <c r="Z98" s="84" t="n"/>
      <c r="AA98" s="85" t="n"/>
      <c r="AB98" s="85" t="n"/>
      <c r="AC98" s="93" t="n"/>
      <c r="AD98" s="93" t="n"/>
      <c r="AE98" s="32" t="n"/>
      <c r="AF98" s="93" t="n"/>
      <c r="AG98" s="93" t="n"/>
      <c r="AH98" s="93" t="n"/>
      <c r="AI98" s="93" t="n"/>
      <c r="AJ98" s="85" t="n"/>
      <c r="AK98" s="85" t="n"/>
      <c r="AL98" s="85" t="n"/>
      <c r="AM98" s="85" t="n"/>
      <c r="AN98" s="85" t="n"/>
      <c r="AO98" s="85" t="n"/>
      <c r="AP98" s="94" t="n"/>
      <c r="AQ98" s="89" t="n"/>
      <c r="AR98" s="95" t="inlineStr">
        <is>
          <t>N</t>
        </is>
      </c>
      <c r="AS98" s="95" t="inlineStr">
        <is>
          <t>none</t>
        </is>
      </c>
      <c r="AT98" s="101" t="n"/>
      <c r="AU98" s="101" t="n"/>
      <c r="AV98" s="95" t="inlineStr">
        <is>
          <t>none</t>
        </is>
      </c>
      <c r="AW98" s="95" t="inlineStr">
        <is>
          <t>N</t>
        </is>
      </c>
      <c r="AX98" s="95" t="inlineStr">
        <is>
          <t>2026-10-13 23:44:04</t>
        </is>
      </c>
      <c r="AY98" s="102" t="n"/>
      <c r="AZ98" s="102" t="n"/>
      <c r="BA98" s="101" t="n"/>
      <c r="BB98" s="101" t="n"/>
      <c r="BC98" s="87">
        <f>IF(AND(ISNUMBER(BA98),ISNUMBER(BB98),N(BA98)&gt;0),1-BB98/BA98,"")</f>
        <v/>
      </c>
      <c r="BD98" s="103" t="n"/>
      <c r="BE98" s="103" t="n"/>
      <c r="BF98" s="100">
        <f>IF(AND(ISNUMBER(BD98),ISNUMBER(BE98),N(BE98)&gt;0),BD98/BE98,"")</f>
        <v/>
      </c>
      <c r="BG98" s="102" t="n"/>
      <c r="BH98" s="102" t="n"/>
    </row>
    <row r="100" ht="20" customHeight="1">
      <c r="A100" s="54" t="inlineStr">
        <is>
          <t>5 · WHAT THIS MEANS FOR BFCM</t>
        </is>
      </c>
    </row>
    <row r="101" ht="30" customHeight="1">
      <c r="A101" s="104" t="inlineStr">
        <is>
          <t>•  Who sells most: MIULEE ~3,464/wk at $25.95; 100% Blackout Shield ~2,079/wk at $32.97 (List $39.99, +21%); Nanspring ~2,079/wk at $13.98; Guken ~2,079/wk at $17.86 (List $18.80, +5%); H.VERSAILTEX ~809/wk at $27.95. Tracked rivals ~13,914 units/wk; we sell ~3/wk (0.0% of the tracked set).</t>
        </is>
      </c>
    </row>
    <row r="102" ht="18" customHeight="1">
      <c r="A102" s="104" t="inlineStr">
        <is>
          <t>•  Strikethrough: 10 of 21 rivals set a List Price above price; 1 within 12%: Guken +5%.</t>
        </is>
      </c>
    </row>
    <row r="103" ht="18" customHeight="1">
      <c r="A103" s="104" t="inlineStr">
        <is>
          <t>•  Price: 16 of 21 rivals sit below our price today (same size where the title states one). Cheapest strong rivals: Nanspring $13.98, Guken $17.86, NICETOWN $18.88, YoungsTex $19.58.</t>
        </is>
      </c>
    </row>
    <row r="104" ht="30" customHeight="1">
      <c r="A104" s="104" t="inlineStr">
        <is>
          <t>•  Strikethrough on the page today (Oct 13 check): 12 of 21 checked rivals show one: MIULEE List Price $27.73 vs $25.95 (+7%), 100% Blackout Shield List Price $39.99 vs $32.97 (+21%), INOVADAY Typical price $34.95 vs $28.33 (+23%) with deal, NICETOWN List Price $27.29 vs $18.88 (+45%) with deal, Guken Typical price $18.80 vs $17.86 (+5%), Pitalk Typical price $26.98 vs $23.98 (+13%).</t>
        </is>
      </c>
    </row>
    <row r="105" ht="18" customHeight="1">
      <c r="A105" s="104" t="inlineStr">
        <is>
          <t>•  21 rivals not in the Keepa pulls yet (yellow BFCM 2025 columns) - remaining P2 batches, AGENT_PROMPTS Prompt 2.</t>
        </is>
      </c>
    </row>
  </sheetData>
  <autoFilter ref="B77:BH98"/>
  <mergeCells count="65">
    <mergeCell ref="A15:BH15"/>
    <mergeCell ref="L5:Q5"/>
    <mergeCell ref="A1:BH1"/>
    <mergeCell ref="A103:BH103"/>
    <mergeCell ref="Q11:T11"/>
    <mergeCell ref="L8:Q8"/>
    <mergeCell ref="A61:BH61"/>
    <mergeCell ref="L4:Q4"/>
    <mergeCell ref="D7:I7"/>
    <mergeCell ref="A13:D13"/>
    <mergeCell ref="AR76:AX76"/>
    <mergeCell ref="I13:L13"/>
    <mergeCell ref="A16:BH16"/>
    <mergeCell ref="D4:I4"/>
    <mergeCell ref="L10:Q10"/>
    <mergeCell ref="E12:H12"/>
    <mergeCell ref="Q13:T13"/>
    <mergeCell ref="X76:Z76"/>
    <mergeCell ref="D9:I9"/>
    <mergeCell ref="A75:BH75"/>
    <mergeCell ref="U12:X12"/>
    <mergeCell ref="L9:Q9"/>
    <mergeCell ref="Q12:T12"/>
    <mergeCell ref="A62:C62"/>
    <mergeCell ref="A11:D11"/>
    <mergeCell ref="A69:C69"/>
    <mergeCell ref="A74:BH74"/>
    <mergeCell ref="I11:L11"/>
    <mergeCell ref="A3:BH3"/>
    <mergeCell ref="L6:Q6"/>
    <mergeCell ref="D8:I8"/>
    <mergeCell ref="A4:B9"/>
    <mergeCell ref="AY76:BH76"/>
    <mergeCell ref="T6:Y6"/>
    <mergeCell ref="A101:BH101"/>
    <mergeCell ref="A68:C68"/>
    <mergeCell ref="A63:C63"/>
    <mergeCell ref="A105:BH105"/>
    <mergeCell ref="A104:BH104"/>
    <mergeCell ref="D5:I5"/>
    <mergeCell ref="A71:BH71"/>
    <mergeCell ref="M11:P11"/>
    <mergeCell ref="A67:C67"/>
    <mergeCell ref="A76:H76"/>
    <mergeCell ref="U11:X11"/>
    <mergeCell ref="A100:BH100"/>
    <mergeCell ref="K76:W76"/>
    <mergeCell ref="E13:H13"/>
    <mergeCell ref="A64:C64"/>
    <mergeCell ref="D10:I10"/>
    <mergeCell ref="L7:Q7"/>
    <mergeCell ref="T5:Y5"/>
    <mergeCell ref="A72:BH72"/>
    <mergeCell ref="A12:D12"/>
    <mergeCell ref="M13:P13"/>
    <mergeCell ref="I12:L12"/>
    <mergeCell ref="U13:X13"/>
    <mergeCell ref="A102:BH102"/>
    <mergeCell ref="A70:C70"/>
    <mergeCell ref="M12:P12"/>
    <mergeCell ref="T4:Y4"/>
    <mergeCell ref="D6:I6"/>
    <mergeCell ref="E11:H11"/>
    <mergeCell ref="A65:C65"/>
    <mergeCell ref="AA76:AQ76"/>
  </mergeCells>
  <conditionalFormatting sqref="N78:N98">
    <cfRule type="expression" priority="1" dxfId="1">
      <formula>N78="&lt;=12% STR zone"</formula>
    </cfRule>
  </conditionalFormatting>
  <conditionalFormatting sqref="W78:W98">
    <cfRule type="expression" priority="2" dxfId="0">
      <formula>AND(ISNUMBER(W78),W78&lt;DATE(2026,10,6))</formula>
    </cfRule>
  </conditionalFormatting>
  <conditionalFormatting sqref="Q78:Q98">
    <cfRule type="expression" priority="3" dxfId="0">
      <formula>ISNUMBER(SEARCH("STALE",Q78))</formula>
    </cfRule>
  </conditionalFormatting>
  <conditionalFormatting sqref="P78:P98">
    <cfRule type="expression" priority="4" dxfId="0">
      <formula>AND(ISNUMBER(P78),P78&lt;0)</formula>
    </cfRule>
  </conditionalFormatting>
  <dataValidations count="3">
    <dataValidation sqref="AR78:AR98 BG78:BG98" showDropDown="0" showInputMessage="0" showErrorMessage="0" allowBlank="1" type="list">
      <formula1>"Y,N"</formula1>
    </dataValidation>
    <dataValidation sqref="AS78:AS98" showDropDown="0" showInputMessage="0" showErrorMessage="0" allowBlank="1" type="list">
      <formula1>"List Price,Typical price,Was price,None"</formula1>
    </dataValidation>
    <dataValidation sqref="AY78:AY98"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5.xml><?xml version="1.0" encoding="utf-8"?>
<worksheet xmlns="http://schemas.openxmlformats.org/spreadsheetml/2006/main">
  <sheetPr>
    <outlinePr summaryBelow="1" summaryRight="1"/>
    <pageSetUpPr/>
  </sheetPr>
  <dimension ref="A1:BH69"/>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Beach Towel  ·  Amazon.com (US)  ·  Other  ·  BFCM role: Other  ·  Scope: Other</t>
        </is>
      </c>
    </row>
    <row r="2">
      <c r="A2" s="53" t="inlineStr">
        <is>
          <t>← Dashboard</t>
        </is>
      </c>
    </row>
    <row r="3" ht="20" customHeight="1">
      <c r="A3" s="54" t="inlineStr">
        <is>
          <t>1 · OUR PRODUCT</t>
        </is>
      </c>
    </row>
    <row r="4" ht="34" customHeight="1">
      <c r="A4" s="10">
        <f>_xlfn.IMAGE("https://images-na.ssl-images-amazon.com/images/I/81ZamyVE0yL.jpg")</f>
        <v/>
      </c>
      <c r="C4" s="11" t="inlineStr">
        <is>
          <t>Title</t>
        </is>
      </c>
      <c r="D4" s="12" t="inlineStr">
        <is>
          <t>DECOLURE Turkish Beach Towel Oversized 39x73 Inch - 100% Turkish Cotton, Quick Dry and Sand Free Beach Towels for Travel - Lightweight, Absorbent &amp; Soft Peshtemal Towel - (Gray Wave)</t>
        </is>
      </c>
      <c r="K4" s="11" t="inlineStr">
        <is>
          <t>Sizes</t>
        </is>
      </c>
      <c r="L4" s="55" t="inlineStr">
        <is>
          <t>39" x 73"</t>
        </is>
      </c>
      <c r="S4" s="11" t="inlineStr">
        <is>
          <t>Break-even ACoS</t>
        </is>
      </c>
      <c r="T4" s="55" t="inlineStr">
        <is>
          <t>26%</t>
        </is>
      </c>
    </row>
    <row r="5" ht="22" customHeight="1">
      <c r="C5" s="11" t="inlineStr">
        <is>
          <t>Brand</t>
        </is>
      </c>
      <c r="D5" s="55" t="inlineStr">
        <is>
          <t>Decolure</t>
        </is>
      </c>
      <c r="K5" s="11" t="inlineStr">
        <is>
          <t>Colours</t>
        </is>
      </c>
      <c r="L5" s="55" t="inlineStr">
        <is>
          <t>Cyan, Gray, Light Cyan, Light Gray, Med Cyan, Med Gray, Silver Gray</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Not checked yet - AGENT_PROMPTS Prompt 12</t>
        </is>
      </c>
      <c r="S6" s="11" t="inlineStr">
        <is>
          <t>Command Center product ASIN</t>
        </is>
      </c>
      <c r="T6" s="55" t="inlineStr">
        <is>
          <t>B0DQ8NHCYM (one of our child ASINs, not the Amazon parent)</t>
        </is>
      </c>
    </row>
    <row r="7" ht="22" customHeight="1">
      <c r="C7" s="11" t="inlineStr">
        <is>
          <t>Parent ASIN (Amazon)</t>
        </is>
      </c>
      <c r="D7" s="55" t="inlineStr">
        <is>
          <t>B0GZVXL6DZ</t>
        </is>
      </c>
      <c r="K7" s="11" t="inlineStr">
        <is>
          <t>Rating / reviews now</t>
        </is>
      </c>
      <c r="L7" s="55" t="inlineStr">
        <is>
          <t>Not checked yet</t>
        </is>
      </c>
    </row>
    <row r="8" ht="22" customHeight="1">
      <c r="C8" s="11" t="inlineStr">
        <is>
          <t>Best-selling child ASIN</t>
        </is>
      </c>
      <c r="D8" s="55" t="inlineStr">
        <is>
          <t>B0DQ92K585</t>
        </is>
      </c>
      <c r="K8" s="11" t="inlineStr">
        <is>
          <t>Live prices held</t>
        </is>
      </c>
      <c r="L8" s="55" t="inlineStr">
        <is>
          <t>1 of 14 variations</t>
        </is>
      </c>
    </row>
    <row r="9" ht="22" customHeight="1">
      <c r="C9" s="11" t="inlineStr">
        <is>
          <t>Stage</t>
        </is>
      </c>
      <c r="D9" s="55" t="inlineStr">
        <is>
          <t>Liquidation</t>
        </is>
      </c>
      <c r="K9" s="11" t="inlineStr">
        <is>
          <t>Blended price (Command Center)</t>
        </is>
      </c>
      <c r="L9" s="55" t="inlineStr">
        <is>
          <t>$21.45 - fee feed as of 2026-03-30, STALE</t>
        </is>
      </c>
    </row>
    <row r="10">
      <c r="C10" s="11" t="inlineStr">
        <is>
          <t>Total variations (SKUs)</t>
        </is>
      </c>
      <c r="D10" s="55" t="n">
        <v>14</v>
      </c>
      <c r="K10" s="11" t="inlineStr">
        <is>
          <t>Contribution / unit</t>
        </is>
      </c>
      <c r="L10" s="55" t="inlineStr">
        <is>
          <t>$5.47</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13</t>
        </is>
      </c>
      <c r="Q12" s="57" t="inlineStr">
        <is>
          <t>11</t>
        </is>
      </c>
      <c r="U12" s="57" t="inlineStr">
        <is>
          <t>0</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(14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_xlfn.IMAGE("https://m.media-amazon.com/images/I/91p6pT8SwCL.jpg")</f>
        <v/>
      </c>
      <c r="B18" s="32" t="inlineStr">
        <is>
          <t>B0DQ97GSMF</t>
        </is>
      </c>
      <c r="C18" s="32" t="inlineStr">
        <is>
          <t>BEACH-TOWEL-PT-WAVE-CYAN</t>
        </is>
      </c>
      <c r="D18" s="32" t="inlineStr">
        <is>
          <t>DECOLURE Turkish Beach Towel Oversized 39x73 Inch - 100% Turkish Cotton, Quick Dry and Sand Free Beach Towels for Travel - Lightweight, Absorbent &amp; Soft Peshtemal Towel - (Cyan Wave)</t>
        </is>
      </c>
      <c r="E18" s="32" t="inlineStr">
        <is>
          <t>39" x 73"</t>
        </is>
      </c>
      <c r="F18" s="32" t="inlineStr">
        <is>
          <t>Cyan</t>
        </is>
      </c>
      <c r="G18" s="60" t="n">
        <v>19.99</v>
      </c>
      <c r="H18" s="32" t="inlineStr">
        <is>
          <t>Data Dive, 2026-10-13</t>
        </is>
      </c>
      <c r="I18" s="61" t="n">
        <v>19.95</v>
      </c>
      <c r="J18" s="62" t="inlineStr">
        <is>
          <t>2026-03-30</t>
        </is>
      </c>
      <c r="K18" s="33" t="n">
        <v>4.28</v>
      </c>
      <c r="L18" s="63" t="n">
        <v>0.2145363408521304</v>
      </c>
      <c r="M18" s="64" t="n">
        <v>1</v>
      </c>
      <c r="N18" s="32" t="inlineStr">
        <is>
          <t>Active</t>
        </is>
      </c>
      <c r="O18" s="32" t="n"/>
      <c r="P18" s="65" t="n"/>
      <c r="Q18" s="64" t="n"/>
      <c r="R18" s="64" t="n"/>
      <c r="S18" s="64" t="n"/>
      <c r="T18" s="32" t="n"/>
    </row>
    <row r="19" ht="62" customHeight="1">
      <c r="A19" s="10">
        <f>_xlfn.IMAGE("https://m.media-amazon.com/images/I/91z8spBwpvL.jpg")</f>
        <v/>
      </c>
      <c r="B19" s="32" t="inlineStr">
        <is>
          <t>B0DQ92K585</t>
        </is>
      </c>
      <c r="C19" s="32" t="inlineStr">
        <is>
          <t>BEACH-TOWEL-PT-WAVE-GRAY</t>
        </is>
      </c>
      <c r="D19" s="32" t="inlineStr">
        <is>
          <t>DECOLURE Turkish Beach Towel Oversized 39x73 Inch - 100% Turkish Cotton, Quick Dry and Sand Free Beach Towels for Travel - Lightweight, Absorbent &amp; Soft Peshtemal Towel - (Gray Wave)</t>
        </is>
      </c>
      <c r="E19" s="32" t="inlineStr">
        <is>
          <t>39" x 73"</t>
        </is>
      </c>
      <c r="F19" s="32" t="inlineStr">
        <is>
          <t>Gray</t>
        </is>
      </c>
      <c r="G19" s="33" t="n"/>
      <c r="H19" s="32" t="n"/>
      <c r="I19" s="61" t="n">
        <v>22.95</v>
      </c>
      <c r="J19" s="62" t="inlineStr">
        <is>
          <t>2026-03-30</t>
        </is>
      </c>
      <c r="K19" s="33" t="n">
        <v>6.669999999999998</v>
      </c>
      <c r="L19" s="63" t="n">
        <v>0.290631808278867</v>
      </c>
      <c r="M19" s="64" t="n">
        <v>1</v>
      </c>
      <c r="N19" s="32" t="inlineStr">
        <is>
          <t>Active</t>
        </is>
      </c>
      <c r="O19" s="32" t="n"/>
      <c r="P19" s="65" t="n"/>
      <c r="Q19" s="64" t="n"/>
      <c r="R19" s="64" t="n"/>
      <c r="S19" s="64" t="n"/>
      <c r="T19" s="32" t="n"/>
    </row>
    <row r="20" ht="62" customHeight="1">
      <c r="A20" s="10">
        <f>_xlfn.IMAGE("https://m.media-amazon.com/images/I/91YqAehMXnL.jpg")</f>
        <v/>
      </c>
      <c r="B20" s="32" t="inlineStr">
        <is>
          <t>B0DQ8NHCYM</t>
        </is>
      </c>
      <c r="C20" s="32" t="inlineStr">
        <is>
          <t>BEACH-TOWEL-PT-DIAMOND-CYAN</t>
        </is>
      </c>
      <c r="D20" s="32" t="inlineStr">
        <is>
          <t>DECOLURE Turkish Beach Towel Oversized 39x73 Inch - 100% Turkish Cotton, Quick Dry and Sand Free Beach Towels for Travel - Lightweight, Absorbent &amp; Soft Peshtemal Towel - (Cyan Diamond)</t>
        </is>
      </c>
      <c r="E20" s="32" t="inlineStr">
        <is>
          <t>39" x 73"</t>
        </is>
      </c>
      <c r="F20" s="32" t="inlineStr">
        <is>
          <t>Cyan</t>
        </is>
      </c>
      <c r="G20" s="33" t="n"/>
      <c r="H20" s="32" t="n"/>
      <c r="I20" s="61" t="n">
        <v>22.95</v>
      </c>
      <c r="J20" s="62" t="inlineStr">
        <is>
          <t>2026-03-30</t>
        </is>
      </c>
      <c r="K20" s="33" t="n">
        <v>6.579999999999997</v>
      </c>
      <c r="L20" s="63" t="n">
        <v>0.286710239651416</v>
      </c>
      <c r="M20" s="64" t="n">
        <v>0</v>
      </c>
      <c r="N20" s="32" t="inlineStr">
        <is>
          <t>Active</t>
        </is>
      </c>
      <c r="O20" s="32" t="n"/>
      <c r="P20" s="65" t="n"/>
      <c r="Q20" s="64" t="n"/>
      <c r="R20" s="64" t="n"/>
      <c r="S20" s="64" t="n"/>
      <c r="T20" s="32" t="n"/>
    </row>
    <row r="21" ht="62" customHeight="1">
      <c r="A21" s="10">
        <f>_xlfn.IMAGE("https://m.media-amazon.com/images/I/91xbIQAZZvL.jpg")</f>
        <v/>
      </c>
      <c r="B21" s="32" t="inlineStr">
        <is>
          <t>B0DQ95SWCM</t>
        </is>
      </c>
      <c r="C21" s="32" t="inlineStr">
        <is>
          <t>BEACH-TOWEL-PT-DIAMOND-GRAY</t>
        </is>
      </c>
      <c r="D21" s="32" t="inlineStr">
        <is>
          <t>DECOLURE Turkish Beach Towel Oversized 39x73 Inch - 100% Turkish Cotton, Quick Dry and Sand Free Beach Towels for Travel - Lightweight, Absorbent &amp; Soft Peshtemal Towel - (Grey Diamond)</t>
        </is>
      </c>
      <c r="E21" s="32" t="inlineStr">
        <is>
          <t>39" x 73"</t>
        </is>
      </c>
      <c r="F21" s="32" t="inlineStr">
        <is>
          <t>Gray</t>
        </is>
      </c>
      <c r="G21" s="33" t="n"/>
      <c r="H21" s="32" t="n"/>
      <c r="I21" s="61" t="n">
        <v>22.95</v>
      </c>
      <c r="J21" s="62" t="inlineStr">
        <is>
          <t>2026-03-30</t>
        </is>
      </c>
      <c r="K21" s="33" t="n">
        <v>6.719999999999998</v>
      </c>
      <c r="L21" s="63" t="n">
        <v>0.2928104575163398</v>
      </c>
      <c r="M21" s="64" t="n">
        <v>0</v>
      </c>
      <c r="N21" s="32" t="inlineStr">
        <is>
          <t>Active</t>
        </is>
      </c>
      <c r="O21" s="32" t="n"/>
      <c r="P21" s="65" t="n"/>
      <c r="Q21" s="64" t="n"/>
      <c r="R21" s="64" t="n"/>
      <c r="S21" s="64" t="n"/>
      <c r="T21" s="32" t="n"/>
    </row>
    <row r="22" ht="62" customHeight="1">
      <c r="A22" s="10">
        <f>_xlfn.IMAGE("https://m.media-amazon.com/images/I/91YqAehMXnL.jpg")</f>
        <v/>
      </c>
      <c r="B22" s="32" t="inlineStr">
        <is>
          <t>B0DQ96PNRN</t>
        </is>
      </c>
      <c r="C22" s="32" t="inlineStr">
        <is>
          <t>BEACH-TOWEL-PT-DIAMOND-LIGHT-CYAN</t>
        </is>
      </c>
      <c r="D22" s="32" t="inlineStr">
        <is>
          <t>DECOLURE Turkish Beach Towel Oversized 39x73 Inch - 100% Turkish Cotton, Quick Dry and Sand Free Beach Towels for Travel - Lightweight, Absorbent &amp; Soft Peshtemal Towel - (Light Cyan Diamond)</t>
        </is>
      </c>
      <c r="E22" s="32" t="inlineStr">
        <is>
          <t>39" x 73"</t>
        </is>
      </c>
      <c r="F22" s="32" t="inlineStr">
        <is>
          <t>Light Cyan</t>
        </is>
      </c>
      <c r="G22" s="33" t="n"/>
      <c r="H22" s="32" t="n"/>
      <c r="I22" s="33" t="n"/>
      <c r="J22" s="32" t="n"/>
      <c r="K22" s="33" t="n"/>
      <c r="L22" s="63" t="n"/>
      <c r="M22" s="64" t="n"/>
      <c r="N22" s="32" t="inlineStr">
        <is>
          <t>Inactive</t>
        </is>
      </c>
      <c r="O22" s="32" t="n"/>
      <c r="P22" s="65" t="n"/>
      <c r="Q22" s="64" t="n"/>
      <c r="R22" s="64" t="n"/>
      <c r="S22" s="64" t="n"/>
      <c r="T22" s="32" t="n"/>
    </row>
    <row r="23" ht="62" customHeight="1">
      <c r="A23" s="10">
        <f>_xlfn.IMAGE("https://m.media-amazon.com/images/I/91YqAehMXnL.jpg")</f>
        <v/>
      </c>
      <c r="B23" s="32" t="inlineStr">
        <is>
          <t>B0DQ96ZNYB</t>
        </is>
      </c>
      <c r="C23" s="32" t="inlineStr">
        <is>
          <t>BEACH-TOWEL-PT-WAVE-LIGHT-CYAN</t>
        </is>
      </c>
      <c r="D23" s="32" t="inlineStr">
        <is>
          <t>DECOLURE Turkish Beach Towel Oversized 39x73 Inch - 100% Turkish Cotton, Quick Dry and Sand Free Beach Towels for Travel - Lightweight, Absorbent &amp; Soft Peshtemal Towel - (Light Cyan Wave)</t>
        </is>
      </c>
      <c r="E23" s="32" t="inlineStr">
        <is>
          <t>39" x 73"</t>
        </is>
      </c>
      <c r="F23" s="32" t="inlineStr">
        <is>
          <t>Light Cyan</t>
        </is>
      </c>
      <c r="G23" s="33" t="n"/>
      <c r="H23" s="32" t="n"/>
      <c r="I23" s="33" t="n"/>
      <c r="J23" s="32" t="n"/>
      <c r="K23" s="33" t="n"/>
      <c r="L23" s="63" t="n"/>
      <c r="M23" s="64" t="n"/>
      <c r="N23" s="32" t="inlineStr">
        <is>
          <t>Inactive</t>
        </is>
      </c>
      <c r="O23" s="32" t="n"/>
      <c r="P23" s="65" t="n"/>
      <c r="Q23" s="64" t="n"/>
      <c r="R23" s="64" t="n"/>
      <c r="S23" s="64" t="n"/>
      <c r="T23" s="32" t="n"/>
    </row>
    <row r="24" ht="62" customHeight="1">
      <c r="A24" s="10">
        <f>_xlfn.IMAGE("https://m.media-amazon.com/images/I/91YqAehMXnL.jpg")</f>
        <v/>
      </c>
      <c r="B24" s="32" t="inlineStr">
        <is>
          <t>B0DQ96DS95</t>
        </is>
      </c>
      <c r="C24" s="32" t="inlineStr">
        <is>
          <t>BEACH-TOWEL-PT-DIAMOND-LIGHT-GRAY</t>
        </is>
      </c>
      <c r="D24" s="32" t="inlineStr">
        <is>
          <t>DECOLURE Turkish Beach Towel Oversized 39x73 Inch - 100% Turkish Cotton, Quick Dry and Sand Free Beach Towels for Travel - Lightweight, Absorbent &amp; Soft Peshtemal Towel - (Light Gray Diamond)</t>
        </is>
      </c>
      <c r="E24" s="32" t="inlineStr">
        <is>
          <t>39" x 73"</t>
        </is>
      </c>
      <c r="F24" s="32" t="inlineStr">
        <is>
          <t>Light Gray</t>
        </is>
      </c>
      <c r="G24" s="33" t="n"/>
      <c r="H24" s="32" t="n"/>
      <c r="I24" s="61" t="n">
        <v>22.95</v>
      </c>
      <c r="J24" s="62" t="inlineStr">
        <is>
          <t>2026-03-30</t>
        </is>
      </c>
      <c r="K24" s="33" t="n"/>
      <c r="L24" s="63" t="n"/>
      <c r="M24" s="64" t="n"/>
      <c r="N24" s="32" t="inlineStr">
        <is>
          <t>Inactive</t>
        </is>
      </c>
      <c r="O24" s="32" t="n"/>
      <c r="P24" s="65" t="n"/>
      <c r="Q24" s="64" t="n"/>
      <c r="R24" s="64" t="n"/>
      <c r="S24" s="64" t="n"/>
      <c r="T24" s="32" t="n"/>
    </row>
    <row r="25" ht="62" customHeight="1">
      <c r="A25" s="10">
        <f>_xlfn.IMAGE("https://m.media-amazon.com/images/I/91YqAehMXnL.jpg")</f>
        <v/>
      </c>
      <c r="B25" s="32" t="inlineStr">
        <is>
          <t>B0DQ976XLV</t>
        </is>
      </c>
      <c r="C25" s="32" t="inlineStr">
        <is>
          <t>BEACH-TOWEL-PT-WAVE-LIGHT-GRAY</t>
        </is>
      </c>
      <c r="D25" s="32" t="inlineStr">
        <is>
          <t>DECOLURE Turkish Beach Towel Oversized 39x73 Inch - 100% Turkish Cotton, Quick Dry and Sand Free Beach Towels for Travel - Lightweight, Absorbent &amp; Soft Peshtemal Towel - (Light Gray Wave)</t>
        </is>
      </c>
      <c r="E25" s="32" t="inlineStr">
        <is>
          <t>39" x 73"</t>
        </is>
      </c>
      <c r="F25" s="32" t="inlineStr">
        <is>
          <t>Light Gray</t>
        </is>
      </c>
      <c r="G25" s="33" t="n"/>
      <c r="H25" s="32" t="n"/>
      <c r="I25" s="33" t="n"/>
      <c r="J25" s="32" t="n"/>
      <c r="K25" s="33" t="n"/>
      <c r="L25" s="63" t="n"/>
      <c r="M25" s="64" t="n"/>
      <c r="N25" s="32" t="inlineStr">
        <is>
          <t>Inactive</t>
        </is>
      </c>
      <c r="O25" s="32" t="n"/>
      <c r="P25" s="65" t="n"/>
      <c r="Q25" s="64" t="n"/>
      <c r="R25" s="64" t="n"/>
      <c r="S25" s="64" t="n"/>
      <c r="T25" s="32" t="n"/>
    </row>
    <row r="26" ht="62" customHeight="1">
      <c r="A26" s="10">
        <f>_xlfn.IMAGE("https://m.media-amazon.com/images/I/91YqAehMXnL.jpg")</f>
        <v/>
      </c>
      <c r="B26" s="32" t="inlineStr">
        <is>
          <t>B0DQ94XB91</t>
        </is>
      </c>
      <c r="C26" s="32" t="inlineStr">
        <is>
          <t>BEACH-TOWEL-PT-DIAMOND-MED-CYAN</t>
        </is>
      </c>
      <c r="D26" s="32" t="inlineStr">
        <is>
          <t>DECOLURE Turkish Beach Towel Oversized 39x73 Inch - 100% Turkish Cotton, Quick Dry and Sand Free Beach Towels for Travel - Lightweight, Absorbent &amp; Soft Peshtemal Towel - (Med Cyan Diamond)</t>
        </is>
      </c>
      <c r="E26" s="32" t="inlineStr">
        <is>
          <t>39" x 73"</t>
        </is>
      </c>
      <c r="F26" s="32" t="inlineStr">
        <is>
          <t>Med Cyan</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_xlfn.IMAGE("https://m.media-amazon.com/images/I/91YqAehMXnL.jpg")</f>
        <v/>
      </c>
      <c r="B27" s="32" t="inlineStr">
        <is>
          <t>B0DQ96FSJT</t>
        </is>
      </c>
      <c r="C27" s="32" t="inlineStr">
        <is>
          <t>BEACH-TOWEL-PT-WAVE-MED-CYAN</t>
        </is>
      </c>
      <c r="D27" s="32" t="inlineStr">
        <is>
          <t>DECOLURE Turkish Beach Towel Oversized 39x73 Inch - 100% Turkish Cotton, Quick Dry and Sand Free Beach Towels for Travel - Lightweight, Absorbent &amp; Soft Peshtemal Towel - (Med Cyan Wave)</t>
        </is>
      </c>
      <c r="E27" s="32" t="inlineStr">
        <is>
          <t>39" x 73"</t>
        </is>
      </c>
      <c r="F27" s="32" t="inlineStr">
        <is>
          <t>Med Cyan</t>
        </is>
      </c>
      <c r="G27" s="33" t="n"/>
      <c r="H27" s="32" t="n"/>
      <c r="I27" s="33" t="n"/>
      <c r="J27" s="32" t="n"/>
      <c r="K27" s="33" t="n"/>
      <c r="L27" s="63" t="n"/>
      <c r="M27" s="64" t="n"/>
      <c r="N27" s="32" t="inlineStr">
        <is>
          <t>Inactive</t>
        </is>
      </c>
      <c r="O27" s="32" t="n"/>
      <c r="P27" s="65" t="n"/>
      <c r="Q27" s="64" t="n"/>
      <c r="R27" s="64" t="n"/>
      <c r="S27" s="64" t="n"/>
      <c r="T27" s="32" t="n"/>
    </row>
    <row r="28" ht="62" customHeight="1">
      <c r="A28" s="10">
        <f>_xlfn.IMAGE("https://m.media-amazon.com/images/I/91YqAehMXnL.jpg")</f>
        <v/>
      </c>
      <c r="B28" s="32" t="inlineStr">
        <is>
          <t>B0DQ98S3CF</t>
        </is>
      </c>
      <c r="C28" s="32" t="inlineStr">
        <is>
          <t>BEACH-TOWEL-PT-DIAMOND-MED-GRAY</t>
        </is>
      </c>
      <c r="D28" s="32" t="inlineStr">
        <is>
          <t>DECOLURE Turkish Beach Towel Oversized 39x73 Inch - 100% Turkish Cotton, Quick Dry and Sand Free Beach Towels for Travel - Lightweight, Absorbent &amp; Soft Peshtemal Towel - (Med Gray Diamond)</t>
        </is>
      </c>
      <c r="E28" s="32" t="inlineStr">
        <is>
          <t>39" x 73"</t>
        </is>
      </c>
      <c r="F28" s="32" t="inlineStr">
        <is>
          <t>Med Gray</t>
        </is>
      </c>
      <c r="G28" s="33" t="n"/>
      <c r="H28" s="32" t="n"/>
      <c r="I28" s="33" t="n"/>
      <c r="J28" s="32" t="n"/>
      <c r="K28" s="33" t="n"/>
      <c r="L28" s="63" t="n"/>
      <c r="M28" s="64" t="n"/>
      <c r="N28" s="32" t="inlineStr">
        <is>
          <t>Inactive</t>
        </is>
      </c>
      <c r="O28" s="32" t="n"/>
      <c r="P28" s="65" t="n"/>
      <c r="Q28" s="64" t="n"/>
      <c r="R28" s="64" t="n"/>
      <c r="S28" s="64" t="n"/>
      <c r="T28" s="32" t="n"/>
    </row>
    <row r="29" ht="62" customHeight="1">
      <c r="A29" s="10">
        <f>_xlfn.IMAGE("https://m.media-amazon.com/images/I/91YqAehMXnL.jpg")</f>
        <v/>
      </c>
      <c r="B29" s="32" t="inlineStr">
        <is>
          <t>B0DQ8ZK6C7</t>
        </is>
      </c>
      <c r="C29" s="32" t="inlineStr">
        <is>
          <t>BEACH-TOWEL-PT-WAVE-MED-GRAY</t>
        </is>
      </c>
      <c r="D29" s="32" t="inlineStr">
        <is>
          <t>DECOLURE Turkish Beach Towel Oversized 39x73 Inch - 100% Turkish Cotton, Quick Dry and Sand Free Beach Towels for Travel - Lightweight, Absorbent &amp; Soft Peshtemal Towel - (Med Gray Wave)</t>
        </is>
      </c>
      <c r="E29" s="32" t="inlineStr">
        <is>
          <t>39" x 73"</t>
        </is>
      </c>
      <c r="F29" s="32" t="inlineStr">
        <is>
          <t>Med Gray</t>
        </is>
      </c>
      <c r="G29" s="33" t="n"/>
      <c r="H29" s="32" t="n"/>
      <c r="I29" s="33" t="n"/>
      <c r="J29" s="32" t="n"/>
      <c r="K29" s="33" t="n"/>
      <c r="L29" s="63" t="n"/>
      <c r="M29" s="64" t="n"/>
      <c r="N29" s="32" t="inlineStr">
        <is>
          <t>Inactive</t>
        </is>
      </c>
      <c r="O29" s="32" t="n"/>
      <c r="P29" s="65" t="n"/>
      <c r="Q29" s="64" t="n"/>
      <c r="R29" s="64" t="n"/>
      <c r="S29" s="64" t="n"/>
      <c r="T29" s="32" t="n"/>
    </row>
    <row r="30" ht="62" customHeight="1">
      <c r="A30" s="10">
        <f>_xlfn.IMAGE("https://m.media-amazon.com/images/I/91YqAehMXnL.jpg")</f>
        <v/>
      </c>
      <c r="B30" s="32" t="inlineStr">
        <is>
          <t>B0DQ97MB6L</t>
        </is>
      </c>
      <c r="C30" s="32" t="inlineStr">
        <is>
          <t>BEACH-TOWEL-PT-DIAMOND-SILVER-GRAY</t>
        </is>
      </c>
      <c r="D30" s="32" t="inlineStr">
        <is>
          <t>DECOLURE Turkish Beach Towel Oversized 39x73 Inch - 100% Turkish Cotton, Quick Dry and Sand Free Beach Towels for Travel - Lightweight, Absorbent &amp; Soft Peshtemal Towel - (Silver Gray Diamond)</t>
        </is>
      </c>
      <c r="E30" s="32" t="inlineStr">
        <is>
          <t>39" x 73"</t>
        </is>
      </c>
      <c r="F30" s="32" t="inlineStr">
        <is>
          <t>Silver Gray</t>
        </is>
      </c>
      <c r="G30" s="33" t="n"/>
      <c r="H30" s="32" t="n"/>
      <c r="I30" s="33" t="n"/>
      <c r="J30" s="32" t="n"/>
      <c r="K30" s="33" t="n"/>
      <c r="L30" s="63" t="n"/>
      <c r="M30" s="64" t="n"/>
      <c r="N30" s="32" t="inlineStr">
        <is>
          <t>Inactive</t>
        </is>
      </c>
      <c r="O30" s="32" t="n"/>
      <c r="P30" s="65" t="n"/>
      <c r="Q30" s="64" t="n"/>
      <c r="R30" s="64" t="n"/>
      <c r="S30" s="64" t="n"/>
      <c r="T30" s="32" t="n"/>
    </row>
    <row r="31" ht="62" customHeight="1">
      <c r="A31" s="10">
        <f>_xlfn.IMAGE("https://m.media-amazon.com/images/I/91YqAehMXnL.jpg")</f>
        <v/>
      </c>
      <c r="B31" s="32" t="inlineStr">
        <is>
          <t>B0DQ95V68T</t>
        </is>
      </c>
      <c r="C31" s="32" t="inlineStr">
        <is>
          <t>BEACH-TOWEL-PT-WAVE-SILVER-GRAY</t>
        </is>
      </c>
      <c r="D31" s="32" t="inlineStr">
        <is>
          <t>DECOLURE Turkish Beach Towel Oversized 39x73 Inch - 100% Turkish Cotton, Quick Dry and Sand Free Beach Towels for Travel - Lightweight, Absorbent &amp; Soft Peshtemal Towel - (Silver Gray Wave)</t>
        </is>
      </c>
      <c r="E31" s="32" t="inlineStr">
        <is>
          <t>39" x 73"</t>
        </is>
      </c>
      <c r="F31" s="32" t="inlineStr">
        <is>
          <t>Silver Gray</t>
        </is>
      </c>
      <c r="G31" s="33" t="n"/>
      <c r="H31" s="32" t="n"/>
      <c r="I31" s="33" t="n"/>
      <c r="J31" s="32" t="n"/>
      <c r="K31" s="33" t="n"/>
      <c r="L31" s="63" t="n"/>
      <c r="M31" s="64" t="n"/>
      <c r="N31" s="32" t="inlineStr">
        <is>
          <t>Inactive</t>
        </is>
      </c>
      <c r="O31" s="32" t="n"/>
      <c r="P31" s="65" t="n"/>
      <c r="Q31" s="64" t="n"/>
      <c r="R31" s="64" t="n"/>
      <c r="S31" s="64" t="n"/>
      <c r="T31" s="32" t="n"/>
    </row>
    <row r="33" ht="20" customHeight="1">
      <c r="A33" s="54" t="inlineStr">
        <is>
          <t>3 · OUR BFCM 2025 RESULT &amp; EVENT VISIBILITY</t>
        </is>
      </c>
    </row>
    <row r="34">
      <c r="A34" s="67" t="inlineStr">
        <is>
          <t>Window</t>
        </is>
      </c>
      <c r="B34" s="68" t="n"/>
      <c r="C34" s="69" t="n"/>
      <c r="D34" s="67" t="inlineStr">
        <is>
          <t>Ad spend</t>
        </is>
      </c>
      <c r="E34" s="67" t="inlineStr">
        <is>
          <t>Ad sales</t>
        </is>
      </c>
      <c r="F34" s="67" t="inlineStr">
        <is>
          <t>ACoS</t>
        </is>
      </c>
      <c r="G34" s="67" t="inlineStr">
        <is>
          <t>TACoS</t>
        </is>
      </c>
      <c r="H34" s="67" t="inlineStr">
        <is>
          <t>Total sales (derived)</t>
        </is>
      </c>
      <c r="J34" s="67" t="inlineStr">
        <is>
          <t>Ad orders</t>
        </is>
      </c>
      <c r="K34" s="67" t="inlineStr">
        <is>
          <t>CVR</t>
        </is>
      </c>
    </row>
    <row r="35">
      <c r="A35" s="70" t="inlineStr">
        <is>
          <t>Pre-event Oct 21 - Nov 19, 2025 (30d)</t>
        </is>
      </c>
      <c r="B35" s="68" t="n"/>
      <c r="C35" s="69" t="n"/>
      <c r="D35" s="71" t="n">
        <v>0</v>
      </c>
      <c r="E35" s="71" t="n">
        <v>0</v>
      </c>
      <c r="F35" s="72" t="n"/>
      <c r="G35" s="72" t="n">
        <v>0</v>
      </c>
      <c r="H35" s="71" t="n"/>
      <c r="J35" s="73" t="n">
        <v>0</v>
      </c>
      <c r="K35" s="74" t="n"/>
    </row>
    <row r="36">
      <c r="A36" s="70" t="inlineStr">
        <is>
          <t>BFCM week Nov 20 - Dec 1, 2025 (12d)</t>
        </is>
      </c>
      <c r="B36" s="68" t="n"/>
      <c r="C36" s="69" t="n"/>
      <c r="D36" s="71" t="n">
        <v>0</v>
      </c>
      <c r="E36" s="71" t="n">
        <v>0</v>
      </c>
      <c r="F36" s="72" t="n"/>
      <c r="G36" s="72" t="n"/>
      <c r="H36" s="71" t="n"/>
      <c r="J36" s="73" t="n">
        <v>0</v>
      </c>
      <c r="K36" s="74" t="n"/>
    </row>
    <row r="37">
      <c r="A37" s="70" t="inlineStr">
        <is>
          <t>December 2 - 31, 2025 (30d)</t>
        </is>
      </c>
      <c r="B37" s="68" t="n"/>
      <c r="C37" s="69" t="n"/>
      <c r="D37" s="71" t="n">
        <v>0</v>
      </c>
      <c r="E37" s="71" t="n">
        <v>0</v>
      </c>
      <c r="F37" s="72" t="n"/>
      <c r="G37" s="72" t="n"/>
      <c r="H37" s="71" t="n"/>
      <c r="J37" s="73" t="n">
        <v>0</v>
      </c>
      <c r="K37" s="74" t="n"/>
    </row>
    <row r="39">
      <c r="A39" s="67" t="inlineStr">
        <is>
          <t>Actual sales (SellerBoard)</t>
        </is>
      </c>
      <c r="B39" s="68" t="n"/>
      <c r="C39" s="69" t="n"/>
      <c r="D39" s="67" t="inlineStr">
        <is>
          <t>Sales</t>
        </is>
      </c>
      <c r="E39" s="67" t="inlineStr">
        <is>
          <t>Units</t>
        </is>
      </c>
      <c r="F39" s="67" t="inlineStr">
        <is>
          <t>Organic units</t>
        </is>
      </c>
      <c r="G39" s="67" t="inlineStr">
        <is>
          <t>Ad units</t>
        </is>
      </c>
      <c r="H39" s="67" t="inlineStr">
        <is>
          <t>Ad cost</t>
        </is>
      </c>
      <c r="J39" s="67" t="inlineStr">
        <is>
          <t>TACoS (actual)</t>
        </is>
      </c>
      <c r="K39" s="67" t="inlineStr">
        <is>
          <t>Sessions</t>
        </is>
      </c>
      <c r="L39" s="67" t="inlineStr">
        <is>
          <t>Unit session %</t>
        </is>
      </c>
      <c r="M39" s="67" t="inlineStr">
        <is>
          <t>Avg price</t>
        </is>
      </c>
      <c r="N39" s="67" t="inlineStr">
        <is>
          <t>Refunds</t>
        </is>
      </c>
    </row>
    <row r="40">
      <c r="A40" s="70" t="inlineStr">
        <is>
          <t>Pre-event Oct 21 - Nov 19, 2025 (30d)</t>
        </is>
      </c>
      <c r="B40" s="68" t="n"/>
      <c r="C40" s="69" t="n"/>
      <c r="D40" s="71" t="n">
        <v>59.85</v>
      </c>
      <c r="E40" s="73" t="n">
        <v>3</v>
      </c>
      <c r="F40" s="73" t="n">
        <v>3</v>
      </c>
      <c r="G40" s="73" t="n">
        <v>0</v>
      </c>
      <c r="H40" s="71" t="n">
        <v>0</v>
      </c>
      <c r="J40" s="75" t="n">
        <v>0</v>
      </c>
      <c r="K40" s="73" t="n">
        <v>33</v>
      </c>
      <c r="L40" s="75" t="n">
        <v>0.09090909090909091</v>
      </c>
      <c r="M40" s="76" t="n">
        <v>19.95</v>
      </c>
      <c r="N40" s="73" t="n">
        <v>0</v>
      </c>
    </row>
    <row r="41">
      <c r="A41" s="70" t="inlineStr">
        <is>
          <t>BFCM week Nov 20 - Dec 1, 2025 (12d)</t>
        </is>
      </c>
      <c r="B41" s="68" t="n"/>
      <c r="C41" s="69" t="n"/>
      <c r="D41" s="71" t="n">
        <v>0</v>
      </c>
      <c r="E41" s="73" t="n">
        <v>0</v>
      </c>
      <c r="F41" s="73" t="n">
        <v>0</v>
      </c>
      <c r="G41" s="73" t="n">
        <v>0</v>
      </c>
      <c r="H41" s="71" t="n">
        <v>0</v>
      </c>
      <c r="J41" s="75" t="n"/>
      <c r="K41" s="73" t="n">
        <v>25</v>
      </c>
      <c r="L41" s="75" t="n">
        <v>0</v>
      </c>
      <c r="M41" s="76" t="n"/>
      <c r="N41" s="73" t="n">
        <v>0</v>
      </c>
    </row>
    <row r="42">
      <c r="A42" s="70" t="inlineStr">
        <is>
          <t>December 2 - 31, 2025 (30d)</t>
        </is>
      </c>
      <c r="B42" s="68" t="n"/>
      <c r="C42" s="69" t="n"/>
      <c r="D42" s="71" t="n">
        <v>0</v>
      </c>
      <c r="E42" s="73" t="n">
        <v>0</v>
      </c>
      <c r="F42" s="73" t="n">
        <v>0</v>
      </c>
      <c r="G42" s="73" t="n">
        <v>0</v>
      </c>
      <c r="H42" s="71" t="n">
        <v>0</v>
      </c>
      <c r="J42" s="75" t="n"/>
      <c r="K42" s="73" t="n">
        <v>21</v>
      </c>
      <c r="L42" s="75" t="n">
        <v>0</v>
      </c>
      <c r="M42" s="76" t="n"/>
      <c r="N42" s="73" t="n">
        <v>0</v>
      </c>
    </row>
    <row r="43">
      <c r="A43" s="59" t="inlineStr">
        <is>
          <t>SellerBoard, Ecotero account, Amazon parent B0GZVXL6DZ plus any of this product's child ASINs SellerBoard lists on their own, UTC days. Lift above uses these actual sales.</t>
        </is>
      </c>
    </row>
    <row r="44">
      <c r="A44" s="59" t="inlineStr">
        <is>
          <t>No Command Center visibility history for our best child ASIN.</t>
        </is>
      </c>
    </row>
    <row r="46" ht="20" customHeight="1">
      <c r="A46" s="54" t="inlineStr">
        <is>
          <t>4 · COMPETITOR LANDSCAPE (13 mapped)</t>
        </is>
      </c>
    </row>
    <row r="47">
      <c r="A47" s="59" t="inlineStr">
        <is>
          <t>Sorted by tier, then estimated weekly units. Green = Command Center price/sales; blue = Data Dive listing; purple = Command Center search strategy (ASINsight); yellow = fill from Keepa / page check.</t>
        </is>
      </c>
    </row>
    <row r="48">
      <c r="A48" s="78" t="inlineStr">
        <is>
          <t>COMPETITOR</t>
        </is>
      </c>
      <c r="I48" s="79" t="inlineStr">
        <is>
          <t>LISTING - Data Dive</t>
        </is>
      </c>
      <c r="J48" s="80" t="inlineStr">
        <is>
          <t>SEARCH STRATEGY - Command Center ASINsight</t>
        </is>
      </c>
      <c r="K48" s="81" t="inlineStr">
        <is>
          <t>PRICE &amp; SALES - Command Center snapshot (date per row)</t>
        </is>
      </c>
      <c r="X48" s="79" t="inlineStr">
        <is>
          <t>LISTING - Data Dive</t>
        </is>
      </c>
      <c r="AA48" s="80" t="inlineStr">
        <is>
          <t>SEARCH STRATEGY - Command Center ASINsight</t>
        </is>
      </c>
      <c r="AR48" s="82" t="inlineStr">
        <is>
          <t>STR NOW - Amazon page check (Oct 13, P1 + P2)</t>
        </is>
      </c>
      <c r="AY48" s="83" t="inlineStr">
        <is>
          <t>BFCM 2025 - Keepa (P1 filled; yellow = not pulled yet)</t>
        </is>
      </c>
    </row>
    <row r="49" ht="48" customHeight="1">
      <c r="A49" s="22" t="inlineStr">
        <is>
          <t>Image</t>
        </is>
      </c>
      <c r="B49" s="22" t="inlineStr">
        <is>
          <t>Brand</t>
        </is>
      </c>
      <c r="C49" s="22" t="inlineStr">
        <is>
          <t>Product title</t>
        </is>
      </c>
      <c r="D49" s="22" t="inlineStr">
        <is>
          <t>Tier</t>
        </is>
      </c>
      <c r="E49" s="22" t="inlineStr">
        <is>
          <t>Parent ASIN</t>
        </is>
      </c>
      <c r="F49" s="22" t="inlineStr">
        <is>
          <t>Tracked child ASIN</t>
        </is>
      </c>
      <c r="G49" s="22" t="inlineStr">
        <is>
          <t>Size (title)</t>
        </is>
      </c>
      <c r="H49" s="22" t="inlineStr">
        <is>
          <t>Colour (title)</t>
        </is>
      </c>
      <c r="I49" s="22" t="inlineStr">
        <is>
          <t>Variations</t>
        </is>
      </c>
      <c r="J49" s="22" t="inlineStr">
        <is>
          <t>Hero child ASINs (share of their visibility)</t>
        </is>
      </c>
      <c r="K49" s="22" t="inlineStr">
        <is>
          <t>Price ($)</t>
        </is>
      </c>
      <c r="L49" s="22" t="inlineStr">
        <is>
          <t>List Price ($)</t>
        </is>
      </c>
      <c r="M49" s="22" t="inlineStr">
        <is>
          <t>List Price % over</t>
        </is>
      </c>
      <c r="N49" s="22" t="inlineStr">
        <is>
          <t>STR band</t>
        </is>
      </c>
      <c r="O49" s="22" t="inlineStr">
        <is>
          <t>Our price, same size ($)</t>
        </is>
      </c>
      <c r="P49" s="22" t="inlineStr">
        <is>
          <t>Their price vs ours</t>
        </is>
      </c>
      <c r="Q49" s="22" t="inlineStr">
        <is>
          <t>Comparison basis</t>
        </is>
      </c>
      <c r="R49" s="22" t="inlineStr">
        <is>
          <t>BSR</t>
        </is>
      </c>
      <c r="S49" s="22" t="inlineStr">
        <is>
          <t>Est weekly units</t>
        </is>
      </c>
      <c r="T49" s="22" t="inlineStr">
        <is>
          <t>Est monthly revenue ($)</t>
        </is>
      </c>
      <c r="U49" s="22" t="inlineStr">
        <is>
          <t>Rating</t>
        </is>
      </c>
      <c r="V49" s="22" t="inlineStr">
        <is>
          <t>Reviews</t>
        </is>
      </c>
      <c r="W49" s="22" t="inlineStr">
        <is>
          <t>Snapshot date</t>
        </is>
      </c>
      <c r="X49" s="22" t="inlineStr">
        <is>
          <t>Listed</t>
        </is>
      </c>
      <c r="Y49" s="22" t="inlineStr">
        <is>
          <t>Fulfil.</t>
        </is>
      </c>
      <c r="Z49" s="22" t="inlineStr">
        <is>
          <t>Seller country</t>
        </is>
      </c>
      <c r="AA49" s="22" t="inlineStr">
        <is>
          <t>ASINsight 7d traffic</t>
        </is>
      </c>
      <c r="AB49" s="22" t="inlineStr">
        <is>
          <t>Keywords ranked</t>
        </is>
      </c>
      <c r="AC49" s="22" t="inlineStr">
        <is>
          <t>Organic share of traffic</t>
        </is>
      </c>
      <c r="AD49" s="22" t="inlineStr">
        <is>
          <t>Ad share of traffic</t>
        </is>
      </c>
      <c r="AE49" s="22" t="inlineStr">
        <is>
          <t>Top keyword</t>
        </is>
      </c>
      <c r="AF49" s="22" t="inlineStr">
        <is>
          <t>SP reach</t>
        </is>
      </c>
      <c r="AG49" s="22" t="inlineStr">
        <is>
          <t>SB reach</t>
        </is>
      </c>
      <c r="AH49" s="22" t="inlineStr">
        <is>
          <t>SB video reach</t>
        </is>
      </c>
      <c r="AI49" s="22" t="inlineStr">
        <is>
          <t>Amazon's Choice reach</t>
        </is>
      </c>
      <c r="AJ49" s="22" t="inlineStr">
        <is>
          <t>Shared keywords</t>
        </is>
      </c>
      <c r="AK49" s="22" t="inlineStr">
        <is>
          <t>We win</t>
        </is>
      </c>
      <c r="AL49" s="22" t="inlineStr">
        <is>
          <t>We lose</t>
        </is>
      </c>
      <c r="AM49" s="22" t="inlineStr">
        <is>
          <t>Their keywords we miss</t>
        </is>
      </c>
      <c r="AN49" s="22" t="inlineStr">
        <is>
          <t>KWs they advertise, we don't</t>
        </is>
      </c>
      <c r="AO49" s="22" t="inlineStr">
        <is>
          <t>KWs they out-advertise us</t>
        </is>
      </c>
      <c r="AP49" s="22" t="inlineStr">
        <is>
          <t>Prime Day 2026 organic vis lift</t>
        </is>
      </c>
      <c r="AQ49" s="22" t="inlineStr">
        <is>
          <t>Organic trend (Aug-Sep vs Q2)</t>
        </is>
      </c>
      <c r="AR49" s="22" t="inlineStr">
        <is>
          <t>STR showing now? (Y/N)</t>
        </is>
      </c>
      <c r="AS49" s="22" t="inlineStr">
        <is>
          <t>STR label</t>
        </is>
      </c>
      <c r="AT49" s="22" t="inlineStr">
        <is>
          <t>Strikethrough price ($)</t>
        </is>
      </c>
      <c r="AU49" s="22" t="inlineStr">
        <is>
          <t>Page price at check ($)</t>
        </is>
      </c>
      <c r="AV49" s="22" t="inlineStr">
        <is>
          <t>Deal / coupon now</t>
        </is>
      </c>
      <c r="AW49" s="22" t="inlineStr">
        <is>
          <t>Orderable now (Y/N)</t>
        </is>
      </c>
      <c r="AX49" s="22" t="inlineStr">
        <is>
          <t>Checked (ET)</t>
        </is>
      </c>
      <c r="AY49" s="22" t="inlineStr">
        <is>
          <t>BFCM 2025 deal type</t>
        </is>
      </c>
      <c r="AZ49" s="22" t="inlineStr">
        <is>
          <t>BFCM 2025 deal dates</t>
        </is>
      </c>
      <c r="BA49" s="22" t="inlineStr">
        <is>
          <t>Pre-event price ($)</t>
        </is>
      </c>
      <c r="BB49" s="22" t="inlineStr">
        <is>
          <t>BFCM 2025 low ($)</t>
        </is>
      </c>
      <c r="BC49" s="22" t="inlineStr">
        <is>
          <t>BFCM 2025 discount</t>
        </is>
      </c>
      <c r="BD49" s="22" t="inlineStr">
        <is>
          <t>BSR pre-event</t>
        </is>
      </c>
      <c r="BE49" s="22" t="inlineStr">
        <is>
          <t>BSR BFCM wk</t>
        </is>
      </c>
      <c r="BF49" s="22" t="inlineStr">
        <is>
          <t>BSR lift (x)</t>
        </is>
      </c>
      <c r="BG49" s="22" t="inlineStr">
        <is>
          <t>OOS in BFCM? (Y/N)</t>
        </is>
      </c>
      <c r="BH49" s="22" t="inlineStr">
        <is>
          <t>Notes</t>
        </is>
      </c>
    </row>
    <row r="50" ht="62" customHeight="1">
      <c r="A50" s="10">
        <f>_xlfn.IMAGE("https://images-na.ssl-images-amazon.com/images/I/811qaBHyr7L.jpg")</f>
        <v/>
      </c>
      <c r="B50" s="84" t="inlineStr">
        <is>
          <t>Chakir Turkish</t>
        </is>
      </c>
      <c r="C50" s="32" t="inlineStr">
        <is>
          <t>WETCAT Turkish Beach Towel Oversized (38"x71") 100% Turkish Cotton, Made in Turkey - Sand Free, Extra Large, Ultra Soft, Quick Drying, Compact &amp; Lightweight for Travel - Aqua</t>
        </is>
      </c>
      <c r="D50" s="84" t="inlineStr">
        <is>
          <t>Aspirational</t>
        </is>
      </c>
      <c r="E50" s="84" t="inlineStr">
        <is>
          <t>B0DCV7WBJM</t>
        </is>
      </c>
      <c r="F50" s="84" t="inlineStr">
        <is>
          <t>B07M67HRKS</t>
        </is>
      </c>
      <c r="G50" s="84" t="n"/>
      <c r="H50" s="84" t="inlineStr">
        <is>
          <t>Sand</t>
        </is>
      </c>
      <c r="I50" s="85" t="n">
        <v>38</v>
      </c>
      <c r="J50" s="32" t="inlineStr"/>
      <c r="K50" s="86" t="n">
        <v>23.99</v>
      </c>
      <c r="L50" s="86" t="n"/>
      <c r="M50" s="87">
        <f>IF(AND(ISNUMBER(L50),ISNUMBER(K50),N(K50)&gt;0),L50/K50-1,"")</f>
        <v/>
      </c>
      <c r="N50" s="88">
        <f>IF(M50="","No List Price",IF(M50&lt;=0,"At/below price",IF(M50&lt;=0.12,"&lt;=12% STR zone",IF(M50&lt;=0.25,"12-25%","&gt;25% over"))))</f>
        <v/>
      </c>
      <c r="O50" s="86" t="n">
        <v>21.45</v>
      </c>
      <c r="P50" s="89">
        <f>IF(AND(ISNUMBER(K50),ISNUMBER(O50),N(O50)&gt;0),K50/O50-1,"")</f>
        <v/>
      </c>
      <c r="Q50" s="32" t="inlineStr">
        <is>
          <t>vs our blended price (Command Center, Mar 2026 - STALE)</t>
        </is>
      </c>
      <c r="R50" s="85" t="n">
        <v>17159</v>
      </c>
      <c r="S50" s="85" t="n">
        <v>81</v>
      </c>
      <c r="T50" s="90">
        <f>IF(AND(ISNUMBER(K50),ISNUMBER(S50)),K50*S50*52/12,"")</f>
        <v/>
      </c>
      <c r="U50" s="91" t="n">
        <v>4.6</v>
      </c>
      <c r="V50" s="85" t="n">
        <v>13408</v>
      </c>
      <c r="W50" s="92" t="n">
        <v>46307</v>
      </c>
      <c r="X50" s="92" t="n">
        <v>43290</v>
      </c>
      <c r="Y50" s="84" t="inlineStr">
        <is>
          <t>FBA</t>
        </is>
      </c>
      <c r="Z50" s="84" t="inlineStr">
        <is>
          <t>US</t>
        </is>
      </c>
      <c r="AA50" s="85" t="n"/>
      <c r="AB50" s="85" t="n"/>
      <c r="AC50" s="93" t="n"/>
      <c r="AD50" s="93" t="n"/>
      <c r="AE50" s="32" t="n"/>
      <c r="AF50" s="93" t="n"/>
      <c r="AG50" s="93" t="n"/>
      <c r="AH50" s="93" t="n"/>
      <c r="AI50" s="93" t="n"/>
      <c r="AJ50" s="85" t="n"/>
      <c r="AK50" s="85" t="n"/>
      <c r="AL50" s="85" t="n"/>
      <c r="AM50" s="85" t="n"/>
      <c r="AN50" s="85" t="n"/>
      <c r="AO50" s="85" t="n"/>
      <c r="AP50" s="94" t="n"/>
      <c r="AQ50" s="89" t="n"/>
      <c r="AR50" s="95" t="inlineStr">
        <is>
          <t>N</t>
        </is>
      </c>
      <c r="AS50" s="95" t="inlineStr">
        <is>
          <t>none</t>
        </is>
      </c>
      <c r="AT50" s="101" t="n"/>
      <c r="AU50" s="96" t="n">
        <v>23.99</v>
      </c>
      <c r="AV50" s="95" t="inlineStr">
        <is>
          <t>none</t>
        </is>
      </c>
      <c r="AW50" s="95" t="inlineStr">
        <is>
          <t>Y</t>
        </is>
      </c>
      <c r="AX50" s="95" t="inlineStr">
        <is>
          <t>2026-10-13 23:40:01</t>
        </is>
      </c>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39" t="inlineStr">
        <is>
          <t>IMAGE MISSING</t>
        </is>
      </c>
      <c r="B51" s="84" t="inlineStr">
        <is>
          <t>Mebien touche de la nature</t>
        </is>
      </c>
      <c r="C51" s="32" t="inlineStr">
        <is>
          <t>Turkish Beach Towel</t>
        </is>
      </c>
      <c r="D51" s="84" t="inlineStr">
        <is>
          <t>Aspirational</t>
        </is>
      </c>
      <c r="E51" s="84" t="inlineStr">
        <is>
          <t>B07GFB5R1G</t>
        </is>
      </c>
      <c r="F51" s="84" t="inlineStr">
        <is>
          <t>B09WDMDJCH</t>
        </is>
      </c>
      <c r="G51" s="84" t="n"/>
      <c r="H51" s="84" t="n"/>
      <c r="I51" s="85" t="n"/>
      <c r="J51" s="32" t="inlineStr"/>
      <c r="K51" s="86" t="n">
        <v>19.99</v>
      </c>
      <c r="L51" s="86" t="n">
        <v>19.99</v>
      </c>
      <c r="M51" s="87">
        <f>IF(AND(ISNUMBER(L51),ISNUMBER(K51),N(K51)&gt;0),L51/K51-1,"")</f>
        <v/>
      </c>
      <c r="N51" s="88">
        <f>IF(M51="","No List Price",IF(M51&lt;=0,"At/below price",IF(M51&lt;=0.12,"&lt;=12% STR zone",IF(M51&lt;=0.25,"12-25%","&gt;25% over"))))</f>
        <v/>
      </c>
      <c r="O51" s="86" t="n">
        <v>21.45</v>
      </c>
      <c r="P51" s="89">
        <f>IF(AND(ISNUMBER(K51),ISNUMBER(O51),N(O51)&gt;0),K51/O51-1,"")</f>
        <v/>
      </c>
      <c r="Q51" s="32" t="inlineStr">
        <is>
          <t>vs our blended price (Command Center, Mar 2026 - STALE)</t>
        </is>
      </c>
      <c r="R51" s="85" t="n">
        <v>356269</v>
      </c>
      <c r="S51" s="85" t="n">
        <v>5</v>
      </c>
      <c r="T51" s="90">
        <f>IF(AND(ISNUMBER(K51),ISNUMBER(S51)),K51*S51*52/12,"")</f>
        <v/>
      </c>
      <c r="U51" s="91" t="n">
        <v>4.5</v>
      </c>
      <c r="V51" s="85" t="n">
        <v>2252</v>
      </c>
      <c r="W51" s="92" t="n">
        <v>46307</v>
      </c>
      <c r="X51" s="92" t="n"/>
      <c r="Y51" s="84" t="n"/>
      <c r="Z51" s="84" t="n"/>
      <c r="AA51" s="85" t="n"/>
      <c r="AB51" s="85" t="n"/>
      <c r="AC51" s="93" t="n"/>
      <c r="AD51" s="93" t="n"/>
      <c r="AE51" s="32" t="n"/>
      <c r="AF51" s="93" t="n"/>
      <c r="AG51" s="93" t="n"/>
      <c r="AH51" s="93" t="n"/>
      <c r="AI51" s="93" t="n"/>
      <c r="AJ51" s="85" t="n"/>
      <c r="AK51" s="85" t="n"/>
      <c r="AL51" s="85" t="n"/>
      <c r="AM51" s="85" t="n"/>
      <c r="AN51" s="85" t="n"/>
      <c r="AO51" s="85" t="n"/>
      <c r="AP51" s="94" t="n"/>
      <c r="AQ51" s="89" t="n"/>
      <c r="AR51" s="95" t="inlineStr">
        <is>
          <t>N</t>
        </is>
      </c>
      <c r="AS51" s="95" t="inlineStr">
        <is>
          <t>none</t>
        </is>
      </c>
      <c r="AT51" s="101" t="n"/>
      <c r="AU51" s="96" t="n">
        <v>19.99</v>
      </c>
      <c r="AV51" s="95" t="inlineStr">
        <is>
          <t>none</t>
        </is>
      </c>
      <c r="AW51" s="95" t="inlineStr">
        <is>
          <t>Y</t>
        </is>
      </c>
      <c r="AX51" s="95" t="inlineStr">
        <is>
          <t>2026-10-13 23:41:59</t>
        </is>
      </c>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39" t="inlineStr">
        <is>
          <t>IMAGE MISSING</t>
        </is>
      </c>
      <c r="B52" s="84" t="inlineStr">
        <is>
          <t>Nature Is Gift</t>
        </is>
      </c>
      <c r="C52" s="32" t="inlineStr">
        <is>
          <t>Turkish Beach Towel</t>
        </is>
      </c>
      <c r="D52" s="84" t="inlineStr">
        <is>
          <t>Aspirational</t>
        </is>
      </c>
      <c r="E52" s="84" t="inlineStr">
        <is>
          <t>B00JQFVKUO</t>
        </is>
      </c>
      <c r="F52" s="84" t="inlineStr">
        <is>
          <t>B017NZZG12</t>
        </is>
      </c>
      <c r="G52" s="84" t="n"/>
      <c r="H52" s="84" t="n"/>
      <c r="I52" s="85" t="n"/>
      <c r="J52" s="32" t="inlineStr"/>
      <c r="K52" s="86" t="n">
        <v>13.99</v>
      </c>
      <c r="L52" s="86" t="n">
        <v>17.99</v>
      </c>
      <c r="M52" s="87">
        <f>IF(AND(ISNUMBER(L52),ISNUMBER(K52),N(K52)&gt;0),L52/K52-1,"")</f>
        <v/>
      </c>
      <c r="N52" s="88">
        <f>IF(M52="","No List Price",IF(M52&lt;=0,"At/below price",IF(M52&lt;=0.12,"&lt;=12% STR zone",IF(M52&lt;=0.25,"12-25%","&gt;25% over"))))</f>
        <v/>
      </c>
      <c r="O52" s="86" t="n">
        <v>21.45</v>
      </c>
      <c r="P52" s="89">
        <f>IF(AND(ISNUMBER(K52),ISNUMBER(O52),N(O52)&gt;0),K52/O52-1,"")</f>
        <v/>
      </c>
      <c r="Q52" s="32" t="inlineStr">
        <is>
          <t>vs our blended price (Command Center, Mar 2026 - STALE)</t>
        </is>
      </c>
      <c r="R52" s="85" t="n">
        <v>408785</v>
      </c>
      <c r="S52" s="85" t="n">
        <v>5</v>
      </c>
      <c r="T52" s="90">
        <f>IF(AND(ISNUMBER(K52),ISNUMBER(S52)),K52*S52*52/12,"")</f>
        <v/>
      </c>
      <c r="U52" s="91" t="n">
        <v>4.6</v>
      </c>
      <c r="V52" s="85" t="n">
        <v>1901</v>
      </c>
      <c r="W52" s="92" t="n">
        <v>46307</v>
      </c>
      <c r="X52" s="92" t="n"/>
      <c r="Y52" s="84" t="n"/>
      <c r="Z52" s="84" t="n"/>
      <c r="AA52" s="85" t="n"/>
      <c r="AB52" s="85" t="n"/>
      <c r="AC52" s="93" t="n"/>
      <c r="AD52" s="93" t="n"/>
      <c r="AE52" s="32" t="n"/>
      <c r="AF52" s="93" t="n"/>
      <c r="AG52" s="93" t="n"/>
      <c r="AH52" s="93" t="n"/>
      <c r="AI52" s="93" t="n"/>
      <c r="AJ52" s="85" t="n"/>
      <c r="AK52" s="85" t="n"/>
      <c r="AL52" s="85" t="n"/>
      <c r="AM52" s="85" t="n"/>
      <c r="AN52" s="85" t="n"/>
      <c r="AO52" s="85" t="n"/>
      <c r="AP52" s="94" t="n"/>
      <c r="AQ52" s="89" t="n"/>
      <c r="AR52" s="95" t="inlineStr">
        <is>
          <t>Y</t>
        </is>
      </c>
      <c r="AS52" s="95" t="inlineStr">
        <is>
          <t>List Price</t>
        </is>
      </c>
      <c r="AT52" s="96" t="n">
        <v>17.99</v>
      </c>
      <c r="AU52" s="96" t="n">
        <v>13.99</v>
      </c>
      <c r="AV52" s="95" t="inlineStr">
        <is>
          <t>none</t>
        </is>
      </c>
      <c r="AW52" s="95" t="inlineStr">
        <is>
          <t>Y</t>
        </is>
      </c>
      <c r="AX52" s="95" t="inlineStr">
        <is>
          <t>2026-10-13 23:42:15</t>
        </is>
      </c>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10">
        <f>_xlfn.IMAGE("https://images-na.ssl-images-amazon.com/images/I/61cjIHCSQJL.jpg")</f>
        <v/>
      </c>
      <c r="B53" s="84" t="inlineStr">
        <is>
          <t>SMYRNA TURKISH COTTON</t>
        </is>
      </c>
      <c r="C53" s="32" t="inlineStr">
        <is>
          <t>SMYRNA TURKISH COTTON Classical Series Original Turkish Beach Towel | Prewashed, 37 x 71 Inches | Peshtemal and Turkish Bath Towel for SPA, Beach, Pool, Gym and Bathroom</t>
        </is>
      </c>
      <c r="D53" s="84" t="inlineStr">
        <is>
          <t>Aspirational</t>
        </is>
      </c>
      <c r="E53" s="84" t="inlineStr">
        <is>
          <t>B0D8ZW2F3C</t>
        </is>
      </c>
      <c r="F53" s="84" t="inlineStr">
        <is>
          <t>B0DQKM17ZF</t>
        </is>
      </c>
      <c r="G53" s="84" t="n"/>
      <c r="H53" s="84" t="n"/>
      <c r="I53" s="85" t="n">
        <v>7</v>
      </c>
      <c r="J53" s="32" t="inlineStr"/>
      <c r="K53" s="86" t="n">
        <v>7.99</v>
      </c>
      <c r="L53" s="86" t="n"/>
      <c r="M53" s="87">
        <f>IF(AND(ISNUMBER(L53),ISNUMBER(K53),N(K53)&gt;0),L53/K53-1,"")</f>
        <v/>
      </c>
      <c r="N53" s="88">
        <f>IF(M53="","No List Price",IF(M53&lt;=0,"At/below price",IF(M53&lt;=0.12,"&lt;=12% STR zone",IF(M53&lt;=0.25,"12-25%","&gt;25% over"))))</f>
        <v/>
      </c>
      <c r="O53" s="86" t="n">
        <v>21.45</v>
      </c>
      <c r="P53" s="89">
        <f>IF(AND(ISNUMBER(K53),ISNUMBER(O53),N(O53)&gt;0),K53/O53-1,"")</f>
        <v/>
      </c>
      <c r="Q53" s="32" t="inlineStr">
        <is>
          <t>vs our blended price (Command Center, Mar 2026 - STALE)</t>
        </is>
      </c>
      <c r="R53" s="85" t="n">
        <v>1066252</v>
      </c>
      <c r="S53" s="85" t="n">
        <v>5</v>
      </c>
      <c r="T53" s="90">
        <f>IF(AND(ISNUMBER(K53),ISNUMBER(S53)),K53*S53*52/12,"")</f>
        <v/>
      </c>
      <c r="U53" s="91" t="n">
        <v>4.5</v>
      </c>
      <c r="V53" s="85" t="n">
        <v>4592</v>
      </c>
      <c r="W53" s="92" t="n">
        <v>46307</v>
      </c>
      <c r="X53" s="92" t="n">
        <v>45642</v>
      </c>
      <c r="Y53" s="84" t="inlineStr">
        <is>
          <t>FBM</t>
        </is>
      </c>
      <c r="Z53" s="84" t="inlineStr">
        <is>
          <t>N/A</t>
        </is>
      </c>
      <c r="AA53" s="85" t="n"/>
      <c r="AB53" s="85" t="n"/>
      <c r="AC53" s="93" t="n"/>
      <c r="AD53" s="93" t="n"/>
      <c r="AE53" s="32" t="n"/>
      <c r="AF53" s="93" t="n"/>
      <c r="AG53" s="93" t="n"/>
      <c r="AH53" s="93" t="n"/>
      <c r="AI53" s="93" t="n"/>
      <c r="AJ53" s="85" t="n"/>
      <c r="AK53" s="85" t="n"/>
      <c r="AL53" s="85" t="n"/>
      <c r="AM53" s="85" t="n"/>
      <c r="AN53" s="85" t="n"/>
      <c r="AO53" s="85" t="n"/>
      <c r="AP53" s="94" t="n"/>
      <c r="AQ53" s="89" t="n"/>
      <c r="AR53" s="95" t="inlineStr">
        <is>
          <t>N</t>
        </is>
      </c>
      <c r="AS53" s="95" t="inlineStr">
        <is>
          <t>none</t>
        </is>
      </c>
      <c r="AT53" s="101" t="n"/>
      <c r="AU53" s="101" t="n"/>
      <c r="AV53" s="95" t="inlineStr">
        <is>
          <t>none</t>
        </is>
      </c>
      <c r="AW53" s="95" t="inlineStr">
        <is>
          <t>N</t>
        </is>
      </c>
      <c r="AX53" s="95" t="inlineStr">
        <is>
          <t>2026-10-13 23:42:40</t>
        </is>
      </c>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39" t="inlineStr">
        <is>
          <t>IMAGE MISSING</t>
        </is>
      </c>
      <c r="B54" s="84" t="inlineStr">
        <is>
          <t>Cape Comforts</t>
        </is>
      </c>
      <c r="C54" s="32" t="inlineStr">
        <is>
          <t>Turkish Beach Towel</t>
        </is>
      </c>
      <c r="D54" s="84" t="inlineStr">
        <is>
          <t>Beatable</t>
        </is>
      </c>
      <c r="E54" s="84" t="inlineStr">
        <is>
          <t>B0DGJ9RS81</t>
        </is>
      </c>
      <c r="F54" s="84" t="inlineStr">
        <is>
          <t>B0CNV2LF3N</t>
        </is>
      </c>
      <c r="G54" s="84" t="n"/>
      <c r="H54" s="84" t="n"/>
      <c r="I54" s="85" t="n"/>
      <c r="J54" s="32" t="inlineStr"/>
      <c r="K54" s="86" t="n">
        <v>19.99</v>
      </c>
      <c r="L54" s="86" t="n"/>
      <c r="M54" s="87">
        <f>IF(AND(ISNUMBER(L54),ISNUMBER(K54),N(K54)&gt;0),L54/K54-1,"")</f>
        <v/>
      </c>
      <c r="N54" s="88">
        <f>IF(M54="","No List Price",IF(M54&lt;=0,"At/below price",IF(M54&lt;=0.12,"&lt;=12% STR zone",IF(M54&lt;=0.25,"12-25%","&gt;25% over"))))</f>
        <v/>
      </c>
      <c r="O54" s="86" t="n">
        <v>21.45</v>
      </c>
      <c r="P54" s="89">
        <f>IF(AND(ISNUMBER(K54),ISNUMBER(O54),N(O54)&gt;0),K54/O54-1,"")</f>
        <v/>
      </c>
      <c r="Q54" s="32" t="inlineStr">
        <is>
          <t>vs our blended price (Command Center, Mar 2026 - STALE)</t>
        </is>
      </c>
      <c r="R54" s="85" t="n">
        <v>258092</v>
      </c>
      <c r="S54" s="85" t="n">
        <v>5</v>
      </c>
      <c r="T54" s="90">
        <f>IF(AND(ISNUMBER(K54),ISNUMBER(S54)),K54*S54*52/12,"")</f>
        <v/>
      </c>
      <c r="U54" s="91" t="n">
        <v>4.5</v>
      </c>
      <c r="V54" s="85" t="n">
        <v>444</v>
      </c>
      <c r="W54" s="92" t="n">
        <v>46307</v>
      </c>
      <c r="X54" s="92" t="n"/>
      <c r="Y54" s="84" t="n"/>
      <c r="Z54" s="84" t="n"/>
      <c r="AA54" s="85" t="n"/>
      <c r="AB54" s="85" t="n"/>
      <c r="AC54" s="93" t="n"/>
      <c r="AD54" s="93" t="n"/>
      <c r="AE54" s="32" t="n"/>
      <c r="AF54" s="93" t="n"/>
      <c r="AG54" s="93" t="n"/>
      <c r="AH54" s="93" t="n"/>
      <c r="AI54" s="93" t="n"/>
      <c r="AJ54" s="85" t="n"/>
      <c r="AK54" s="85" t="n"/>
      <c r="AL54" s="85" t="n"/>
      <c r="AM54" s="85" t="n"/>
      <c r="AN54" s="85" t="n"/>
      <c r="AO54" s="85" t="n"/>
      <c r="AP54" s="94" t="n"/>
      <c r="AQ54" s="89" t="n"/>
      <c r="AR54" s="95" t="inlineStr">
        <is>
          <t>N</t>
        </is>
      </c>
      <c r="AS54" s="95" t="inlineStr">
        <is>
          <t>none</t>
        </is>
      </c>
      <c r="AT54" s="101" t="n"/>
      <c r="AU54" s="96" t="n">
        <v>19.99</v>
      </c>
      <c r="AV54" s="95" t="inlineStr">
        <is>
          <t>none</t>
        </is>
      </c>
      <c r="AW54" s="95" t="inlineStr">
        <is>
          <t>Y</t>
        </is>
      </c>
      <c r="AX54" s="95" t="inlineStr">
        <is>
          <t>2026-10-13 23:39:55</t>
        </is>
      </c>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10">
        <f>_xlfn.IMAGE("https://images-na.ssl-images-amazon.com/images/I/71YgUbWvq4L.jpg")</f>
        <v/>
      </c>
      <c r="B55" s="84" t="inlineStr">
        <is>
          <t>Casamollis</t>
        </is>
      </c>
      <c r="C55" s="32" t="inlineStr">
        <is>
          <t>Casamollis Turkish Beach Towel, Prewashed, 100% Cotton, Soft, Absorbent, Quick Dry, Sand Free Large Oversize Beach Towels for Bathroom Camping Yoga Gym Pool Travel Size 39x71 Inches (Blue)</t>
        </is>
      </c>
      <c r="D55" s="84" t="inlineStr">
        <is>
          <t>Beatable</t>
        </is>
      </c>
      <c r="E55" s="84" t="inlineStr">
        <is>
          <t>B0C37T2QLC</t>
        </is>
      </c>
      <c r="F55" s="84" t="inlineStr">
        <is>
          <t>B0BT9RNGDQ</t>
        </is>
      </c>
      <c r="G55" s="84" t="n"/>
      <c r="H55" s="84" t="inlineStr">
        <is>
          <t>Blue</t>
        </is>
      </c>
      <c r="I55" s="85" t="n">
        <v>1</v>
      </c>
      <c r="J55" s="32" t="inlineStr"/>
      <c r="K55" s="86" t="n">
        <v>14.99</v>
      </c>
      <c r="L55" s="86" t="n"/>
      <c r="M55" s="87">
        <f>IF(AND(ISNUMBER(L55),ISNUMBER(K55),N(K55)&gt;0),L55/K55-1,"")</f>
        <v/>
      </c>
      <c r="N55" s="88">
        <f>IF(M55="","No List Price",IF(M55&lt;=0,"At/below price",IF(M55&lt;=0.12,"&lt;=12% STR zone",IF(M55&lt;=0.25,"12-25%","&gt;25% over"))))</f>
        <v/>
      </c>
      <c r="O55" s="86" t="n">
        <v>21.45</v>
      </c>
      <c r="P55" s="89">
        <f>IF(AND(ISNUMBER(K55),ISNUMBER(O55),N(O55)&gt;0),K55/O55-1,"")</f>
        <v/>
      </c>
      <c r="Q55" s="32" t="inlineStr">
        <is>
          <t>vs our blended price (Command Center, Mar 2026 - STALE)</t>
        </is>
      </c>
      <c r="R55" s="85" t="n">
        <v>1836471</v>
      </c>
      <c r="S55" s="85" t="n">
        <v>5</v>
      </c>
      <c r="T55" s="90">
        <f>IF(AND(ISNUMBER(K55),ISNUMBER(S55)),K55*S55*52/12,"")</f>
        <v/>
      </c>
      <c r="U55" s="91" t="n">
        <v>4.4</v>
      </c>
      <c r="V55" s="85" t="n">
        <v>120</v>
      </c>
      <c r="W55" s="92" t="n">
        <v>46307</v>
      </c>
      <c r="X55" s="92" t="n">
        <v>45038</v>
      </c>
      <c r="Y55" s="84" t="inlineStr">
        <is>
          <t>FBM</t>
        </is>
      </c>
      <c r="Z55" s="84" t="inlineStr">
        <is>
          <t>N/A</t>
        </is>
      </c>
      <c r="AA55" s="85" t="n"/>
      <c r="AB55" s="85" t="n"/>
      <c r="AC55" s="93" t="n"/>
      <c r="AD55" s="93" t="n"/>
      <c r="AE55" s="32" t="n"/>
      <c r="AF55" s="93" t="n"/>
      <c r="AG55" s="93" t="n"/>
      <c r="AH55" s="93" t="n"/>
      <c r="AI55" s="93" t="n"/>
      <c r="AJ55" s="85" t="n"/>
      <c r="AK55" s="85" t="n"/>
      <c r="AL55" s="85" t="n"/>
      <c r="AM55" s="85" t="n"/>
      <c r="AN55" s="85" t="n"/>
      <c r="AO55" s="85" t="n"/>
      <c r="AP55" s="94" t="n"/>
      <c r="AQ55" s="89" t="n"/>
      <c r="AR55" s="95" t="inlineStr">
        <is>
          <t>N</t>
        </is>
      </c>
      <c r="AS55" s="95" t="inlineStr">
        <is>
          <t>none</t>
        </is>
      </c>
      <c r="AT55" s="101" t="n"/>
      <c r="AU55" s="101" t="n"/>
      <c r="AV55" s="95" t="inlineStr">
        <is>
          <t>none</t>
        </is>
      </c>
      <c r="AW55" s="95" t="inlineStr">
        <is>
          <t>N</t>
        </is>
      </c>
      <c r="AX55" s="95" t="inlineStr">
        <is>
          <t>2026-10-13 23:39:58</t>
        </is>
      </c>
      <c r="AY55" s="102" t="n"/>
      <c r="AZ55" s="102" t="n"/>
      <c r="BA55" s="101" t="n"/>
      <c r="BB55" s="101" t="n"/>
      <c r="BC55" s="87">
        <f>IF(AND(ISNUMBER(BA55),ISNUMBER(BB55),N(BA55)&gt;0),1-BB55/BA55,"")</f>
        <v/>
      </c>
      <c r="BD55" s="103" t="n"/>
      <c r="BE55" s="103" t="n"/>
      <c r="BF55" s="100">
        <f>IF(AND(ISNUMBER(BD55),ISNUMBER(BE55),N(BE55)&gt;0),BD55/BE55,"")</f>
        <v/>
      </c>
      <c r="BG55" s="102" t="n"/>
      <c r="BH55" s="102" t="n"/>
    </row>
    <row r="56" ht="62" customHeight="1">
      <c r="A56" s="10">
        <f>_xlfn.IMAGE("https://images-na.ssl-images-amazon.com/images/I/91uCRX1VnEL.jpg")</f>
        <v/>
      </c>
      <c r="B56" s="84" t="inlineStr">
        <is>
          <t>FESHKA</t>
        </is>
      </c>
      <c r="C56" s="32" t="inlineStr">
        <is>
          <t>FESHKA Sand Proof Turkish Beach Towel – Oversized, Quick Dry &amp; Lightweight Travel Towel - 100% Organic Cotton Beach Blanket - Perfect for Bath, Pool &amp; Picnic | Damask (Rust/Beige)</t>
        </is>
      </c>
      <c r="D56" s="84" t="inlineStr">
        <is>
          <t>Beatable</t>
        </is>
      </c>
      <c r="E56" s="84" t="inlineStr">
        <is>
          <t>B0CCFV2DPC</t>
        </is>
      </c>
      <c r="F56" s="84" t="inlineStr">
        <is>
          <t>B0B2KVR9RB</t>
        </is>
      </c>
      <c r="G56" s="84" t="n"/>
      <c r="H56" s="84" t="inlineStr">
        <is>
          <t>Rust/Beige</t>
        </is>
      </c>
      <c r="I56" s="85" t="n">
        <v>34</v>
      </c>
      <c r="J56" s="32" t="inlineStr"/>
      <c r="K56" s="86" t="n">
        <v>14.99</v>
      </c>
      <c r="L56" s="86" t="n"/>
      <c r="M56" s="87">
        <f>IF(AND(ISNUMBER(L56),ISNUMBER(K56),N(K56)&gt;0),L56/K56-1,"")</f>
        <v/>
      </c>
      <c r="N56" s="88">
        <f>IF(M56="","No List Price",IF(M56&lt;=0,"At/below price",IF(M56&lt;=0.12,"&lt;=12% STR zone",IF(M56&lt;=0.25,"12-25%","&gt;25% over"))))</f>
        <v/>
      </c>
      <c r="O56" s="86" t="n">
        <v>21.45</v>
      </c>
      <c r="P56" s="89">
        <f>IF(AND(ISNUMBER(K56),ISNUMBER(O56),N(O56)&gt;0),K56/O56-1,"")</f>
        <v/>
      </c>
      <c r="Q56" s="32" t="inlineStr">
        <is>
          <t>vs our blended price (Command Center, Mar 2026 - STALE)</t>
        </is>
      </c>
      <c r="R56" s="85" t="n">
        <v>843146</v>
      </c>
      <c r="S56" s="85" t="n">
        <v>5</v>
      </c>
      <c r="T56" s="90">
        <f>IF(AND(ISNUMBER(K56),ISNUMBER(S56)),K56*S56*52/12,"")</f>
        <v/>
      </c>
      <c r="U56" s="91" t="n">
        <v>4.4</v>
      </c>
      <c r="V56" s="85" t="n">
        <v>500</v>
      </c>
      <c r="W56" s="92" t="n">
        <v>46307</v>
      </c>
      <c r="X56" s="92" t="n">
        <v>44465</v>
      </c>
      <c r="Y56" s="84" t="inlineStr">
        <is>
          <t>FBM</t>
        </is>
      </c>
      <c r="Z56" s="84" t="inlineStr">
        <is>
          <t>N/A</t>
        </is>
      </c>
      <c r="AA56" s="85" t="n"/>
      <c r="AB56" s="85" t="n"/>
      <c r="AC56" s="93" t="n"/>
      <c r="AD56" s="93" t="n"/>
      <c r="AE56" s="32" t="n"/>
      <c r="AF56" s="93" t="n"/>
      <c r="AG56" s="93" t="n"/>
      <c r="AH56" s="93" t="n"/>
      <c r="AI56" s="93" t="n"/>
      <c r="AJ56" s="85" t="n"/>
      <c r="AK56" s="85" t="n"/>
      <c r="AL56" s="85" t="n"/>
      <c r="AM56" s="85" t="n"/>
      <c r="AN56" s="85" t="n"/>
      <c r="AO56" s="85" t="n"/>
      <c r="AP56" s="94" t="n"/>
      <c r="AQ56" s="89" t="n"/>
      <c r="AR56" s="95" t="inlineStr">
        <is>
          <t>N</t>
        </is>
      </c>
      <c r="AS56" s="95" t="inlineStr">
        <is>
          <t>none</t>
        </is>
      </c>
      <c r="AT56" s="101" t="n"/>
      <c r="AU56" s="101" t="n"/>
      <c r="AV56" s="95" t="inlineStr">
        <is>
          <t>none</t>
        </is>
      </c>
      <c r="AW56" s="95" t="inlineStr">
        <is>
          <t>N</t>
        </is>
      </c>
      <c r="AX56" s="95" t="inlineStr">
        <is>
          <t>2026-10-13 23:40:28</t>
        </is>
      </c>
      <c r="AY56" s="102" t="n"/>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10">
        <f>_xlfn.IMAGE("https://images-na.ssl-images-amazon.com/images/I/91Lbax4bMGL.jpg")</f>
        <v/>
      </c>
      <c r="B57" s="84" t="inlineStr">
        <is>
          <t>Goroly Home</t>
        </is>
      </c>
      <c r="C57" s="32" t="inlineStr">
        <is>
          <t>Goroly Home Cotton Turkish Peshtemal Beach Towel, Extra Large, Thin Quick Dry Sand Free Pool &amp; Swim Towel, Bathing Blanket, Travel Essentials, (Pista Green, 36x71 Inches)</t>
        </is>
      </c>
      <c r="D57" s="84" t="inlineStr">
        <is>
          <t>Beatable</t>
        </is>
      </c>
      <c r="E57" s="84" t="inlineStr">
        <is>
          <t>B0CX5JQN29</t>
        </is>
      </c>
      <c r="F57" s="84" t="inlineStr">
        <is>
          <t>B08WS5MYK8</t>
        </is>
      </c>
      <c r="G57" s="84" t="n"/>
      <c r="H57" s="84" t="inlineStr">
        <is>
          <t>Pista Green</t>
        </is>
      </c>
      <c r="I57" s="85" t="n">
        <v>17</v>
      </c>
      <c r="J57" s="32" t="inlineStr"/>
      <c r="K57" s="86" t="n">
        <v>14.99</v>
      </c>
      <c r="L57" s="86" t="n"/>
      <c r="M57" s="87">
        <f>IF(AND(ISNUMBER(L57),ISNUMBER(K57),N(K57)&gt;0),L57/K57-1,"")</f>
        <v/>
      </c>
      <c r="N57" s="88">
        <f>IF(M57="","No List Price",IF(M57&lt;=0,"At/below price",IF(M57&lt;=0.12,"&lt;=12% STR zone",IF(M57&lt;=0.25,"12-25%","&gt;25% over"))))</f>
        <v/>
      </c>
      <c r="O57" s="86" t="n">
        <v>21.45</v>
      </c>
      <c r="P57" s="89">
        <f>IF(AND(ISNUMBER(K57),ISNUMBER(O57),N(O57)&gt;0),K57/O57-1,"")</f>
        <v/>
      </c>
      <c r="Q57" s="32" t="inlineStr">
        <is>
          <t>vs our blended price (Command Center, Mar 2026 - STALE)</t>
        </is>
      </c>
      <c r="R57" s="85" t="n">
        <v>2046442</v>
      </c>
      <c r="S57" s="85" t="n">
        <v>5</v>
      </c>
      <c r="T57" s="90">
        <f>IF(AND(ISNUMBER(K57),ISNUMBER(S57)),K57*S57*52/12,"")</f>
        <v/>
      </c>
      <c r="U57" s="91" t="n">
        <v>4.4</v>
      </c>
      <c r="V57" s="85" t="n">
        <v>206</v>
      </c>
      <c r="W57" s="92" t="n">
        <v>46307</v>
      </c>
      <c r="X57" s="92" t="n">
        <v>44743</v>
      </c>
      <c r="Y57" s="84" t="inlineStr">
        <is>
          <t>FBM</t>
        </is>
      </c>
      <c r="Z57" s="84" t="inlineStr">
        <is>
          <t>N/A</t>
        </is>
      </c>
      <c r="AA57" s="85" t="n"/>
      <c r="AB57" s="85" t="n"/>
      <c r="AC57" s="93" t="n"/>
      <c r="AD57" s="93" t="n"/>
      <c r="AE57" s="32" t="n"/>
      <c r="AF57" s="93" t="n"/>
      <c r="AG57" s="93" t="n"/>
      <c r="AH57" s="93" t="n"/>
      <c r="AI57" s="93" t="n"/>
      <c r="AJ57" s="85" t="n"/>
      <c r="AK57" s="85" t="n"/>
      <c r="AL57" s="85" t="n"/>
      <c r="AM57" s="85" t="n"/>
      <c r="AN57" s="85" t="n"/>
      <c r="AO57" s="85" t="n"/>
      <c r="AP57" s="94" t="n"/>
      <c r="AQ57" s="89" t="n"/>
      <c r="AR57" s="95" t="inlineStr">
        <is>
          <t>N</t>
        </is>
      </c>
      <c r="AS57" s="95" t="inlineStr">
        <is>
          <t>none</t>
        </is>
      </c>
      <c r="AT57" s="101" t="n"/>
      <c r="AU57" s="96" t="n">
        <v>29.99</v>
      </c>
      <c r="AV57" s="95" t="inlineStr">
        <is>
          <t>none</t>
        </is>
      </c>
      <c r="AW57" s="95" t="inlineStr">
        <is>
          <t>Y</t>
        </is>
      </c>
      <c r="AX57" s="95" t="inlineStr">
        <is>
          <t>2026-10-13 23:48:10</t>
        </is>
      </c>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39" t="inlineStr">
        <is>
          <t>IMAGE MISSING</t>
        </is>
      </c>
      <c r="B58" s="84" t="inlineStr">
        <is>
          <t>Organic Cotton Mart</t>
        </is>
      </c>
      <c r="C58" s="32" t="inlineStr">
        <is>
          <t>Turkish Beach Towel</t>
        </is>
      </c>
      <c r="D58" s="84" t="inlineStr">
        <is>
          <t>Beatable</t>
        </is>
      </c>
      <c r="E58" s="84" t="inlineStr">
        <is>
          <t>B095ZRFXH5</t>
        </is>
      </c>
      <c r="F58" s="84" t="inlineStr">
        <is>
          <t>B0961CH4WH</t>
        </is>
      </c>
      <c r="G58" s="84" t="n"/>
      <c r="H58" s="84" t="n"/>
      <c r="I58" s="85" t="n"/>
      <c r="J58" s="32" t="inlineStr"/>
      <c r="K58" s="86" t="n">
        <v>19.99</v>
      </c>
      <c r="L58" s="86" t="n"/>
      <c r="M58" s="87">
        <f>IF(AND(ISNUMBER(L58),ISNUMBER(K58),N(K58)&gt;0),L58/K58-1,"")</f>
        <v/>
      </c>
      <c r="N58" s="88">
        <f>IF(M58="","No List Price",IF(M58&lt;=0,"At/below price",IF(M58&lt;=0.12,"&lt;=12% STR zone",IF(M58&lt;=0.25,"12-25%","&gt;25% over"))))</f>
        <v/>
      </c>
      <c r="O58" s="86" t="n">
        <v>21.45</v>
      </c>
      <c r="P58" s="89">
        <f>IF(AND(ISNUMBER(K58),ISNUMBER(O58),N(O58)&gt;0),K58/O58-1,"")</f>
        <v/>
      </c>
      <c r="Q58" s="32" t="inlineStr">
        <is>
          <t>vs our blended price (Command Center, Mar 2026 - STALE)</t>
        </is>
      </c>
      <c r="R58" s="85" t="n">
        <v>1082549</v>
      </c>
      <c r="S58" s="85" t="n">
        <v>5</v>
      </c>
      <c r="T58" s="90">
        <f>IF(AND(ISNUMBER(K58),ISNUMBER(S58)),K58*S58*52/12,"")</f>
        <v/>
      </c>
      <c r="U58" s="91" t="n">
        <v>4.4</v>
      </c>
      <c r="V58" s="85" t="n">
        <v>72</v>
      </c>
      <c r="W58" s="92" t="n">
        <v>46307</v>
      </c>
      <c r="X58" s="92" t="n"/>
      <c r="Y58" s="84" t="n"/>
      <c r="Z58" s="84" t="n"/>
      <c r="AA58" s="85" t="n"/>
      <c r="AB58" s="85" t="n"/>
      <c r="AC58" s="93" t="n"/>
      <c r="AD58" s="93" t="n"/>
      <c r="AE58" s="32" t="n"/>
      <c r="AF58" s="93" t="n"/>
      <c r="AG58" s="93" t="n"/>
      <c r="AH58" s="93" t="n"/>
      <c r="AI58" s="93" t="n"/>
      <c r="AJ58" s="85" t="n"/>
      <c r="AK58" s="85" t="n"/>
      <c r="AL58" s="85" t="n"/>
      <c r="AM58" s="85" t="n"/>
      <c r="AN58" s="85" t="n"/>
      <c r="AO58" s="85" t="n"/>
      <c r="AP58" s="94" t="n"/>
      <c r="AQ58" s="89" t="n"/>
      <c r="AR58" s="95" t="inlineStr">
        <is>
          <t>N</t>
        </is>
      </c>
      <c r="AS58" s="95" t="inlineStr">
        <is>
          <t>none</t>
        </is>
      </c>
      <c r="AT58" s="101" t="n"/>
      <c r="AU58" s="96" t="n">
        <v>19.99</v>
      </c>
      <c r="AV58" s="95" t="inlineStr">
        <is>
          <t>none</t>
        </is>
      </c>
      <c r="AW58" s="95" t="inlineStr">
        <is>
          <t>Y</t>
        </is>
      </c>
      <c r="AX58" s="95" t="inlineStr">
        <is>
          <t>2026-10-13 23:42:19</t>
        </is>
      </c>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39" t="inlineStr">
        <is>
          <t>IMAGE MISSING</t>
        </is>
      </c>
      <c r="B59" s="84" t="inlineStr">
        <is>
          <t>PARK&amp;OZ</t>
        </is>
      </c>
      <c r="C59" s="32" t="inlineStr">
        <is>
          <t>Turkish Beach Towel</t>
        </is>
      </c>
      <c r="D59" s="84" t="inlineStr">
        <is>
          <t>Beatable</t>
        </is>
      </c>
      <c r="E59" s="84" t="inlineStr">
        <is>
          <t>B0DTSTCQF8</t>
        </is>
      </c>
      <c r="F59" s="84" t="inlineStr">
        <is>
          <t>B0BN99CBK2</t>
        </is>
      </c>
      <c r="G59" s="84" t="n"/>
      <c r="H59" s="84" t="n"/>
      <c r="I59" s="85" t="n"/>
      <c r="J59" s="32" t="inlineStr"/>
      <c r="K59" s="86" t="n">
        <v>14.99</v>
      </c>
      <c r="L59" s="86" t="n"/>
      <c r="M59" s="87">
        <f>IF(AND(ISNUMBER(L59),ISNUMBER(K59),N(K59)&gt;0),L59/K59-1,"")</f>
        <v/>
      </c>
      <c r="N59" s="88">
        <f>IF(M59="","No List Price",IF(M59&lt;=0,"At/below price",IF(M59&lt;=0.12,"&lt;=12% STR zone",IF(M59&lt;=0.25,"12-25%","&gt;25% over"))))</f>
        <v/>
      </c>
      <c r="O59" s="86" t="n">
        <v>21.45</v>
      </c>
      <c r="P59" s="89">
        <f>IF(AND(ISNUMBER(K59),ISNUMBER(O59),N(O59)&gt;0),K59/O59-1,"")</f>
        <v/>
      </c>
      <c r="Q59" s="32" t="inlineStr">
        <is>
          <t>vs our blended price (Command Center, Mar 2026 - STALE)</t>
        </is>
      </c>
      <c r="R59" s="85" t="n">
        <v>491392</v>
      </c>
      <c r="S59" s="85" t="n">
        <v>5</v>
      </c>
      <c r="T59" s="90">
        <f>IF(AND(ISNUMBER(K59),ISNUMBER(S59)),K59*S59*52/12,"")</f>
        <v/>
      </c>
      <c r="U59" s="91" t="n">
        <v>4.4</v>
      </c>
      <c r="V59" s="85" t="n">
        <v>290</v>
      </c>
      <c r="W59" s="92" t="n">
        <v>46307</v>
      </c>
      <c r="X59" s="92" t="n"/>
      <c r="Y59" s="84" t="n"/>
      <c r="Z59" s="84" t="n"/>
      <c r="AA59" s="85" t="n"/>
      <c r="AB59" s="85" t="n"/>
      <c r="AC59" s="93" t="n"/>
      <c r="AD59" s="93" t="n"/>
      <c r="AE59" s="32" t="n"/>
      <c r="AF59" s="93" t="n"/>
      <c r="AG59" s="93" t="n"/>
      <c r="AH59" s="93" t="n"/>
      <c r="AI59" s="93" t="n"/>
      <c r="AJ59" s="85" t="n"/>
      <c r="AK59" s="85" t="n"/>
      <c r="AL59" s="85" t="n"/>
      <c r="AM59" s="85" t="n"/>
      <c r="AN59" s="85" t="n"/>
      <c r="AO59" s="85" t="n"/>
      <c r="AP59" s="94" t="n"/>
      <c r="AQ59" s="89" t="n"/>
      <c r="AR59" s="95" t="inlineStr">
        <is>
          <t>N</t>
        </is>
      </c>
      <c r="AS59" s="95" t="inlineStr">
        <is>
          <t>none</t>
        </is>
      </c>
      <c r="AT59" s="101" t="n"/>
      <c r="AU59" s="96" t="n">
        <v>14.99</v>
      </c>
      <c r="AV59" s="95" t="inlineStr">
        <is>
          <t>none</t>
        </is>
      </c>
      <c r="AW59" s="95" t="inlineStr">
        <is>
          <t>Y</t>
        </is>
      </c>
      <c r="AX59" s="95" t="inlineStr">
        <is>
          <t>2026-10-13 23:42:22</t>
        </is>
      </c>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10">
        <f>_xlfn.IMAGE("https://images-na.ssl-images-amazon.com/images/I/91GQPkdw4dL.jpg")</f>
        <v/>
      </c>
      <c r="B60" s="84" t="inlineStr">
        <is>
          <t>Your Choice</t>
        </is>
      </c>
      <c r="C60" s="32" t="inlineStr">
        <is>
          <t>Your Choice Turkish Beach Towel (71x41) - 100% Cotton Turkish Towel, Sand Free Quick Dry Oversized, Lightweight Compact Travel Towel - Color Navy</t>
        </is>
      </c>
      <c r="D60" s="84" t="inlineStr">
        <is>
          <t>Beatable</t>
        </is>
      </c>
      <c r="E60" s="84" t="inlineStr">
        <is>
          <t>B0B3DGBF86</t>
        </is>
      </c>
      <c r="F60" s="84" t="inlineStr">
        <is>
          <t>B09VC8ZM91</t>
        </is>
      </c>
      <c r="G60" s="84" t="n"/>
      <c r="H60" s="84" t="inlineStr">
        <is>
          <t>Navy</t>
        </is>
      </c>
      <c r="I60" s="85" t="n">
        <v>1</v>
      </c>
      <c r="J60" s="32" t="inlineStr"/>
      <c r="K60" s="86" t="n">
        <v>17.99</v>
      </c>
      <c r="L60" s="86" t="n"/>
      <c r="M60" s="87">
        <f>IF(AND(ISNUMBER(L60),ISNUMBER(K60),N(K60)&gt;0),L60/K60-1,"")</f>
        <v/>
      </c>
      <c r="N60" s="88">
        <f>IF(M60="","No List Price",IF(M60&lt;=0,"At/below price",IF(M60&lt;=0.12,"&lt;=12% STR zone",IF(M60&lt;=0.25,"12-25%","&gt;25% over"))))</f>
        <v/>
      </c>
      <c r="O60" s="86" t="n">
        <v>21.45</v>
      </c>
      <c r="P60" s="89">
        <f>IF(AND(ISNUMBER(K60),ISNUMBER(O60),N(O60)&gt;0),K60/O60-1,"")</f>
        <v/>
      </c>
      <c r="Q60" s="32" t="inlineStr">
        <is>
          <t>vs our blended price (Command Center, Mar 2026 - STALE)</t>
        </is>
      </c>
      <c r="R60" s="85" t="n">
        <v>1308648</v>
      </c>
      <c r="S60" s="85" t="n">
        <v>5</v>
      </c>
      <c r="T60" s="90">
        <f>IF(AND(ISNUMBER(K60),ISNUMBER(S60)),K60*S60*52/12,"")</f>
        <v/>
      </c>
      <c r="U60" s="91" t="n">
        <v>4.5</v>
      </c>
      <c r="V60" s="85" t="n">
        <v>315</v>
      </c>
      <c r="W60" s="92" t="n">
        <v>46307</v>
      </c>
      <c r="X60" s="92" t="n">
        <v>44631</v>
      </c>
      <c r="Y60" s="84" t="inlineStr">
        <is>
          <t>FBA</t>
        </is>
      </c>
      <c r="Z60" s="84" t="inlineStr">
        <is>
          <t>US</t>
        </is>
      </c>
      <c r="AA60" s="85" t="n"/>
      <c r="AB60" s="85" t="n"/>
      <c r="AC60" s="93" t="n"/>
      <c r="AD60" s="93" t="n"/>
      <c r="AE60" s="32" t="n"/>
      <c r="AF60" s="93" t="n"/>
      <c r="AG60" s="93" t="n"/>
      <c r="AH60" s="93" t="n"/>
      <c r="AI60" s="93" t="n"/>
      <c r="AJ60" s="85" t="n"/>
      <c r="AK60" s="85" t="n"/>
      <c r="AL60" s="85" t="n"/>
      <c r="AM60" s="85" t="n"/>
      <c r="AN60" s="85" t="n"/>
      <c r="AO60" s="85" t="n"/>
      <c r="AP60" s="94" t="n"/>
      <c r="AQ60" s="89" t="n"/>
      <c r="AR60" s="95" t="inlineStr">
        <is>
          <t>N</t>
        </is>
      </c>
      <c r="AS60" s="95" t="inlineStr">
        <is>
          <t>none</t>
        </is>
      </c>
      <c r="AT60" s="101" t="n"/>
      <c r="AU60" s="96" t="n">
        <v>17.99</v>
      </c>
      <c r="AV60" s="95" t="inlineStr">
        <is>
          <t>none</t>
        </is>
      </c>
      <c r="AW60" s="95" t="inlineStr">
        <is>
          <t>Y</t>
        </is>
      </c>
      <c r="AX60" s="95" t="inlineStr">
        <is>
          <t>2026-10-13 23:44:01</t>
        </is>
      </c>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39" t="inlineStr">
        <is>
          <t>IMAGE MISSING</t>
        </is>
      </c>
      <c r="B61" s="84" t="inlineStr">
        <is>
          <t>Salt Earth</t>
        </is>
      </c>
      <c r="C61" s="32" t="inlineStr">
        <is>
          <t>36"x72" Cotton Turkish Quick Dry Sand Free Beach Towel 4 Pack (Alloy) | Salt Ear</t>
        </is>
      </c>
      <c r="D61" s="84" t="inlineStr">
        <is>
          <t>Untiered</t>
        </is>
      </c>
      <c r="E61" s="84" t="inlineStr">
        <is>
          <t>B0GTL61VXL</t>
        </is>
      </c>
      <c r="F61" s="84" t="inlineStr">
        <is>
          <t>B0F3X5N9F3</t>
        </is>
      </c>
      <c r="G61" s="84" t="n"/>
      <c r="H61" s="84" t="inlineStr">
        <is>
          <t>Sand</t>
        </is>
      </c>
      <c r="I61" s="85" t="n"/>
      <c r="J61" s="32" t="inlineStr"/>
      <c r="K61" s="86" t="n">
        <v>24.95</v>
      </c>
      <c r="L61" s="86" t="n"/>
      <c r="M61" s="87">
        <f>IF(AND(ISNUMBER(L61),ISNUMBER(K61),N(K61)&gt;0),L61/K61-1,"")</f>
        <v/>
      </c>
      <c r="N61" s="88">
        <f>IF(M61="","No List Price",IF(M61&lt;=0,"At/below price",IF(M61&lt;=0.12,"&lt;=12% STR zone",IF(M61&lt;=0.25,"12-25%","&gt;25% over"))))</f>
        <v/>
      </c>
      <c r="O61" s="86" t="n">
        <v>21.45</v>
      </c>
      <c r="P61" s="89">
        <f>IF(AND(ISNUMBER(K61),ISNUMBER(O61),N(O61)&gt;0),K61/O61-1,"")</f>
        <v/>
      </c>
      <c r="Q61" s="32" t="inlineStr">
        <is>
          <t>vs our blended price (Command Center, Mar 2026 - STALE)</t>
        </is>
      </c>
      <c r="R61" s="85" t="n">
        <v>47829</v>
      </c>
      <c r="S61" s="85" t="n">
        <v>18</v>
      </c>
      <c r="T61" s="90">
        <f>IF(AND(ISNUMBER(K61),ISNUMBER(S61)),K61*S61*52/12,"")</f>
        <v/>
      </c>
      <c r="U61" s="91" t="n">
        <v>4.4</v>
      </c>
      <c r="V61" s="85" t="n">
        <v>488</v>
      </c>
      <c r="W61" s="92" t="n">
        <v>46307</v>
      </c>
      <c r="X61" s="92" t="n"/>
      <c r="Y61" s="84" t="n"/>
      <c r="Z61" s="84" t="n"/>
      <c r="AA61" s="85" t="n"/>
      <c r="AB61" s="85" t="n"/>
      <c r="AC61" s="93" t="n"/>
      <c r="AD61" s="93" t="n"/>
      <c r="AE61" s="32" t="n"/>
      <c r="AF61" s="93" t="n"/>
      <c r="AG61" s="93" t="n"/>
      <c r="AH61" s="93" t="n"/>
      <c r="AI61" s="93" t="n"/>
      <c r="AJ61" s="85" t="n"/>
      <c r="AK61" s="85" t="n"/>
      <c r="AL61" s="85" t="n"/>
      <c r="AM61" s="85" t="n"/>
      <c r="AN61" s="85" t="n"/>
      <c r="AO61" s="85" t="n"/>
      <c r="AP61" s="94" t="n"/>
      <c r="AQ61" s="89" t="n"/>
      <c r="AR61" s="95" t="inlineStr">
        <is>
          <t>N</t>
        </is>
      </c>
      <c r="AS61" s="95" t="inlineStr">
        <is>
          <t>none</t>
        </is>
      </c>
      <c r="AT61" s="101" t="n"/>
      <c r="AU61" s="96" t="n">
        <v>21.59</v>
      </c>
      <c r="AV61" s="95" t="inlineStr">
        <is>
          <t>none</t>
        </is>
      </c>
      <c r="AW61" s="95" t="inlineStr">
        <is>
          <t>Y</t>
        </is>
      </c>
      <c r="AX61" s="95" t="inlineStr">
        <is>
          <t>2026-10-13 23:42:56</t>
        </is>
      </c>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10">
        <f>_xlfn.IMAGE("https://images-na.ssl-images-amazon.com/images/I/81O9gYOQIhL.jpg")</f>
        <v/>
      </c>
      <c r="B62" s="84" t="inlineStr">
        <is>
          <t>SUNSPUN LINENS</t>
        </is>
      </c>
      <c r="C62" s="32" t="inlineStr">
        <is>
          <t>SUNSPUN LINENS Turkish Beach Towel, 39x63in Extra Large Quick Dry Cotton Oversized Turkish Bath Towel &amp; Blanket for Adults (Aqua)</t>
        </is>
      </c>
      <c r="D62" s="84" t="inlineStr">
        <is>
          <t>Untiered</t>
        </is>
      </c>
      <c r="E62" s="84" t="inlineStr">
        <is>
          <t>B0CBMMBZ67</t>
        </is>
      </c>
      <c r="F62" s="84" t="inlineStr">
        <is>
          <t>B085Y7YSVZ</t>
        </is>
      </c>
      <c r="G62" s="84" t="n"/>
      <c r="H62" s="84" t="inlineStr">
        <is>
          <t>Aqua</t>
        </is>
      </c>
      <c r="I62" s="85" t="n">
        <v>1</v>
      </c>
      <c r="J62" s="32" t="inlineStr"/>
      <c r="K62" s="86" t="n">
        <v>14.99</v>
      </c>
      <c r="L62" s="86" t="n"/>
      <c r="M62" s="87">
        <f>IF(AND(ISNUMBER(L62),ISNUMBER(K62),N(K62)&gt;0),L62/K62-1,"")</f>
        <v/>
      </c>
      <c r="N62" s="88">
        <f>IF(M62="","No List Price",IF(M62&lt;=0,"At/below price",IF(M62&lt;=0.12,"&lt;=12% STR zone",IF(M62&lt;=0.25,"12-25%","&gt;25% over"))))</f>
        <v/>
      </c>
      <c r="O62" s="86" t="n">
        <v>21.45</v>
      </c>
      <c r="P62" s="89">
        <f>IF(AND(ISNUMBER(K62),ISNUMBER(O62),N(O62)&gt;0),K62/O62-1,"")</f>
        <v/>
      </c>
      <c r="Q62" s="32" t="inlineStr">
        <is>
          <t>vs our blended price (Command Center, Mar 2026 - STALE)</t>
        </is>
      </c>
      <c r="R62" s="85" t="n">
        <v>1938053</v>
      </c>
      <c r="S62" s="85" t="n">
        <v>5</v>
      </c>
      <c r="T62" s="90">
        <f>IF(AND(ISNUMBER(K62),ISNUMBER(S62)),K62*S62*52/12,"")</f>
        <v/>
      </c>
      <c r="U62" s="91" t="n">
        <v>4.4</v>
      </c>
      <c r="V62" s="85" t="n">
        <v>745</v>
      </c>
      <c r="W62" s="92" t="n">
        <v>46307</v>
      </c>
      <c r="X62" s="92" t="n">
        <v>44022</v>
      </c>
      <c r="Y62" s="84" t="inlineStr">
        <is>
          <t>FBM</t>
        </is>
      </c>
      <c r="Z62" s="84" t="inlineStr">
        <is>
          <t>N/A</t>
        </is>
      </c>
      <c r="AA62" s="85" t="n"/>
      <c r="AB62" s="85" t="n"/>
      <c r="AC62" s="93" t="n"/>
      <c r="AD62" s="93" t="n"/>
      <c r="AE62" s="32" t="n"/>
      <c r="AF62" s="93" t="n"/>
      <c r="AG62" s="93" t="n"/>
      <c r="AH62" s="93" t="n"/>
      <c r="AI62" s="93" t="n"/>
      <c r="AJ62" s="85" t="n"/>
      <c r="AK62" s="85" t="n"/>
      <c r="AL62" s="85" t="n"/>
      <c r="AM62" s="85" t="n"/>
      <c r="AN62" s="85" t="n"/>
      <c r="AO62" s="85" t="n"/>
      <c r="AP62" s="94" t="n"/>
      <c r="AQ62" s="89" t="n"/>
      <c r="AR62" s="95" t="inlineStr">
        <is>
          <t>N</t>
        </is>
      </c>
      <c r="AS62" s="95" t="inlineStr">
        <is>
          <t>none</t>
        </is>
      </c>
      <c r="AT62" s="101" t="n"/>
      <c r="AU62" s="101" t="n"/>
      <c r="AV62" s="95" t="inlineStr">
        <is>
          <t>none</t>
        </is>
      </c>
      <c r="AW62" s="95" t="inlineStr">
        <is>
          <t>N</t>
        </is>
      </c>
      <c r="AX62" s="95" t="inlineStr">
        <is>
          <t>2026-10-13 23:42:52</t>
        </is>
      </c>
      <c r="AY62" s="102" t="n"/>
      <c r="AZ62" s="102" t="n"/>
      <c r="BA62" s="101" t="n"/>
      <c r="BB62" s="101" t="n"/>
      <c r="BC62" s="87">
        <f>IF(AND(ISNUMBER(BA62),ISNUMBER(BB62),N(BA62)&gt;0),1-BB62/BA62,"")</f>
        <v/>
      </c>
      <c r="BD62" s="103" t="n"/>
      <c r="BE62" s="103" t="n"/>
      <c r="BF62" s="100">
        <f>IF(AND(ISNUMBER(BD62),ISNUMBER(BE62),N(BE62)&gt;0),BD62/BE62,"")</f>
        <v/>
      </c>
      <c r="BG62" s="102" t="n"/>
      <c r="BH62" s="102" t="n"/>
    </row>
    <row r="64" ht="20" customHeight="1">
      <c r="A64" s="54" t="inlineStr">
        <is>
          <t>5 · WHAT THIS MEANS FOR BFCM</t>
        </is>
      </c>
    </row>
    <row r="65" ht="30" customHeight="1">
      <c r="A65" s="104" t="inlineStr">
        <is>
          <t>•  Who sells most: Chakir Turkish ~81/wk at $23.99; Salt Earth ~18/wk at $24.95; Mebien touche de la nature ~5/wk at $19.99; Nature Is Gift ~5/wk at $13.99 (List $17.99, +29%); SMYRNA TURKISH COTTON ~5/wk at $7.99. Tracked rivals ~154 units/wk; we sell ~0/wk (0.3% of the tracked set).</t>
        </is>
      </c>
    </row>
    <row r="66" ht="18" customHeight="1">
      <c r="A66" s="104" t="inlineStr">
        <is>
          <t>•  Strikethrough: 1 of 13 rivals set a List Price above price; 0 within 12%.</t>
        </is>
      </c>
    </row>
    <row r="67" ht="30" customHeight="1">
      <c r="A67" s="104" t="inlineStr">
        <is>
          <t>•  Price: 11 of 13 rivals sit below our price today (same size where the title states one). Cheapest strong rivals: SMYRNA TURKISH COTTON $7.99, Nature Is Gift $13.99, Casamollis $14.99, FESHKA $14.99.</t>
        </is>
      </c>
    </row>
    <row r="68" ht="18" customHeight="1">
      <c r="A68" s="104" t="inlineStr">
        <is>
          <t>•  Strikethrough on the page today (Oct 13 check): 1 of 13 checked rivals show one: Nature Is Gift List Price $17.99 vs $13.99 (+29%).</t>
        </is>
      </c>
    </row>
    <row r="69" ht="18" customHeight="1">
      <c r="A69" s="104" t="inlineStr">
        <is>
          <t>•  13 rivals not in the Keepa pulls yet (yellow BFCM 2025 columns) - remaining P2 batches, AGENT_PROMPTS Prompt 2.</t>
        </is>
      </c>
    </row>
  </sheetData>
  <autoFilter ref="B49:BH62"/>
  <mergeCells count="65">
    <mergeCell ref="A15:BH15"/>
    <mergeCell ref="A48:H48"/>
    <mergeCell ref="A41:C41"/>
    <mergeCell ref="A64:BH64"/>
    <mergeCell ref="A37:C37"/>
    <mergeCell ref="AY48:BH48"/>
    <mergeCell ref="L5:Q5"/>
    <mergeCell ref="K48:W48"/>
    <mergeCell ref="A1:BH1"/>
    <mergeCell ref="Q11:T11"/>
    <mergeCell ref="L8:Q8"/>
    <mergeCell ref="L4:Q4"/>
    <mergeCell ref="D7:I7"/>
    <mergeCell ref="A13:D13"/>
    <mergeCell ref="A69:BH69"/>
    <mergeCell ref="I13:L13"/>
    <mergeCell ref="A42:C42"/>
    <mergeCell ref="A65:BH65"/>
    <mergeCell ref="A16:BH16"/>
    <mergeCell ref="D4:I4"/>
    <mergeCell ref="L10:Q10"/>
    <mergeCell ref="E12:H12"/>
    <mergeCell ref="Q13:T13"/>
    <mergeCell ref="AA48:AQ48"/>
    <mergeCell ref="A66:BH66"/>
    <mergeCell ref="D9:I9"/>
    <mergeCell ref="A46:BH46"/>
    <mergeCell ref="U12:X12"/>
    <mergeCell ref="L9:Q9"/>
    <mergeCell ref="Q12:T12"/>
    <mergeCell ref="A11:D11"/>
    <mergeCell ref="A35:C35"/>
    <mergeCell ref="I11:L11"/>
    <mergeCell ref="A3:BH3"/>
    <mergeCell ref="L6:Q6"/>
    <mergeCell ref="D8:I8"/>
    <mergeCell ref="A4:B9"/>
    <mergeCell ref="T6:Y6"/>
    <mergeCell ref="D5:I5"/>
    <mergeCell ref="A33:BH33"/>
    <mergeCell ref="A40:C40"/>
    <mergeCell ref="A47:BH47"/>
    <mergeCell ref="M11:P11"/>
    <mergeCell ref="AR48:AX48"/>
    <mergeCell ref="U11:X11"/>
    <mergeCell ref="A34:C34"/>
    <mergeCell ref="A39:C39"/>
    <mergeCell ref="X48:Z48"/>
    <mergeCell ref="E13:H13"/>
    <mergeCell ref="D10:I10"/>
    <mergeCell ref="L7:Q7"/>
    <mergeCell ref="T5:Y5"/>
    <mergeCell ref="A36:C36"/>
    <mergeCell ref="A43:BH43"/>
    <mergeCell ref="A12:D12"/>
    <mergeCell ref="M13:P13"/>
    <mergeCell ref="A68:BH68"/>
    <mergeCell ref="I12:L12"/>
    <mergeCell ref="U13:X13"/>
    <mergeCell ref="A44:BH44"/>
    <mergeCell ref="M12:P12"/>
    <mergeCell ref="T4:Y4"/>
    <mergeCell ref="D6:I6"/>
    <mergeCell ref="E11:H11"/>
    <mergeCell ref="A67:BH67"/>
  </mergeCells>
  <conditionalFormatting sqref="N50:N62">
    <cfRule type="expression" priority="1" dxfId="1">
      <formula>N50="&lt;=12% STR zone"</formula>
    </cfRule>
  </conditionalFormatting>
  <conditionalFormatting sqref="W50:W62">
    <cfRule type="expression" priority="2" dxfId="0">
      <formula>AND(ISNUMBER(W50),W50&lt;DATE(2026,10,6))</formula>
    </cfRule>
  </conditionalFormatting>
  <conditionalFormatting sqref="Q50:Q62">
    <cfRule type="expression" priority="3" dxfId="0">
      <formula>ISNUMBER(SEARCH("STALE",Q50))</formula>
    </cfRule>
  </conditionalFormatting>
  <conditionalFormatting sqref="P50:P62">
    <cfRule type="expression" priority="4" dxfId="0">
      <formula>AND(ISNUMBER(P50),P50&lt;0)</formula>
    </cfRule>
  </conditionalFormatting>
  <dataValidations count="3">
    <dataValidation sqref="AR50:AR62 BG50:BG62" showDropDown="0" showInputMessage="0" showErrorMessage="0" allowBlank="1" type="list">
      <formula1>"Y,N"</formula1>
    </dataValidation>
    <dataValidation sqref="AS50:AS62" showDropDown="0" showInputMessage="0" showErrorMessage="0" allowBlank="1" type="list">
      <formula1>"List Price,Typical price,Was price,None"</formula1>
    </dataValidation>
    <dataValidation sqref="AY50:AY6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6.xml><?xml version="1.0" encoding="utf-8"?>
<worksheet xmlns="http://schemas.openxmlformats.org/spreadsheetml/2006/main">
  <sheetPr>
    <outlinePr summaryBelow="1" summaryRight="1"/>
    <pageSetUpPr/>
  </sheetPr>
  <dimension ref="A1:BH67"/>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Front Door Welcome Sign  ·  Amazon.com (US)  ·  Other  ·  BFCM role: Other  ·  Scope: Other</t>
        </is>
      </c>
    </row>
    <row r="2">
      <c r="A2" s="53" t="inlineStr">
        <is>
          <t>← Dashboard</t>
        </is>
      </c>
    </row>
    <row r="3" ht="20" customHeight="1">
      <c r="A3" s="54" t="inlineStr">
        <is>
          <t>1 · OUR PRODUCT</t>
        </is>
      </c>
    </row>
    <row r="4" ht="34" customHeight="1">
      <c r="A4" s="10">
        <f>_xlfn.IMAGE("https://images-na.ssl-images-amazon.com/images/I/71PaUaKaW9L.jpg")</f>
        <v/>
      </c>
      <c r="C4" s="11" t="inlineStr">
        <is>
          <t>Title</t>
        </is>
      </c>
      <c r="D4" s="12" t="inlineStr">
        <is>
          <t>DECOLURE Welcome Sign for Front Porch - Tall Solid Wood Porch Door Sign with 10 Magnetic Seasonal &amp; Holiday Pieces, Rustic Farmhouse Outdoor Decor for Year Round Welcoming Entryway (Porch Brown)</t>
        </is>
      </c>
      <c r="K4" s="11" t="inlineStr">
        <is>
          <t>Sizes</t>
        </is>
      </c>
      <c r="L4" s="55" t="inlineStr">
        <is>
          <t>One Size</t>
        </is>
      </c>
      <c r="S4" s="11" t="inlineStr">
        <is>
          <t>Break-even ACoS</t>
        </is>
      </c>
      <c r="T4" s="55" t="inlineStr">
        <is>
          <t>3%</t>
        </is>
      </c>
    </row>
    <row r="5" ht="22" customHeight="1">
      <c r="C5" s="11" t="inlineStr">
        <is>
          <t>Brand</t>
        </is>
      </c>
      <c r="D5" s="55" t="inlineStr">
        <is>
          <t>Decolure</t>
        </is>
      </c>
      <c r="K5" s="11" t="inlineStr">
        <is>
          <t>Colours</t>
        </is>
      </c>
      <c r="L5" s="55" t="inlineStr">
        <is>
          <t>Black, Brown, Dark Brown, Midnight Black, Modern Black, Saddle Brown, Wood Brown</t>
        </is>
      </c>
      <c r="S5" s="11" t="inlineStr">
        <is>
          <t>Units last 28 days</t>
        </is>
      </c>
      <c r="T5" s="55" t="inlineStr">
        <is>
          <t>2</t>
        </is>
      </c>
    </row>
    <row r="6" ht="22" customHeight="1">
      <c r="C6" s="11" t="inlineStr">
        <is>
          <t>Marketplace</t>
        </is>
      </c>
      <c r="D6" s="55" t="inlineStr">
        <is>
          <t>Amazon.com (US)</t>
        </is>
      </c>
      <c r="K6" s="11" t="inlineStr">
        <is>
          <t>Price now, best child</t>
        </is>
      </c>
      <c r="L6" s="55" t="inlineStr">
        <is>
          <t>$64.95 (Data Dive, 2026-10-12)</t>
        </is>
      </c>
      <c r="S6" s="11" t="inlineStr">
        <is>
          <t>Command Center product ASIN</t>
        </is>
      </c>
      <c r="T6" s="55" t="inlineStr">
        <is>
          <t>B0DQ83G9MC (one of our child ASINs, not the Amazon parent)</t>
        </is>
      </c>
    </row>
    <row r="7" ht="22" customHeight="1">
      <c r="C7" s="11" t="inlineStr">
        <is>
          <t>Parent ASIN (Amazon)</t>
        </is>
      </c>
      <c r="D7" s="55" t="inlineStr">
        <is>
          <t>B0H1N61MK6</t>
        </is>
      </c>
      <c r="K7" s="11" t="inlineStr">
        <is>
          <t>Rating / reviews now</t>
        </is>
      </c>
      <c r="L7" s="55" t="inlineStr">
        <is>
          <t>4.3 / 40 (Data Dive, 2026-10-12)</t>
        </is>
      </c>
    </row>
    <row r="8" ht="22" customHeight="1">
      <c r="C8" s="11" t="inlineStr">
        <is>
          <t>Best-selling child ASIN</t>
        </is>
      </c>
      <c r="D8" s="55" t="inlineStr">
        <is>
          <t>B0DQ84FD76</t>
        </is>
      </c>
      <c r="K8" s="11" t="inlineStr">
        <is>
          <t>Live prices held</t>
        </is>
      </c>
      <c r="L8" s="55" t="inlineStr">
        <is>
          <t>1 of 7 variations</t>
        </is>
      </c>
    </row>
    <row r="9" ht="22" customHeight="1">
      <c r="C9" s="11" t="inlineStr">
        <is>
          <t>Stage</t>
        </is>
      </c>
      <c r="D9" s="55" t="inlineStr">
        <is>
          <t>Liquidation</t>
        </is>
      </c>
      <c r="K9" s="11" t="inlineStr">
        <is>
          <t>Blended price (Command Center)</t>
        </is>
      </c>
      <c r="L9" s="55" t="inlineStr">
        <is>
          <t>$37.95 - fee feed as of 2026-03-30, STALE</t>
        </is>
      </c>
    </row>
    <row r="10">
      <c r="C10" s="11" t="inlineStr">
        <is>
          <t>Total variations (SKUs)</t>
        </is>
      </c>
      <c r="D10" s="55" t="n">
        <v>7</v>
      </c>
      <c r="K10" s="11" t="inlineStr">
        <is>
          <t>Contribution / unit</t>
        </is>
      </c>
      <c r="L10" s="55" t="inlineStr">
        <is>
          <t>$1.31</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n/a</t>
        </is>
      </c>
      <c r="E12" s="57" t="inlineStr">
        <is>
          <t>n/a</t>
        </is>
      </c>
      <c r="I12" s="57" t="inlineStr">
        <is>
          <t>n/a</t>
        </is>
      </c>
      <c r="M12" s="57" t="inlineStr">
        <is>
          <t>17</t>
        </is>
      </c>
      <c r="Q12" s="57" t="inlineStr">
        <is>
          <t>12</t>
        </is>
      </c>
      <c r="U12" s="57" t="inlineStr">
        <is>
          <t>1</t>
        </is>
      </c>
    </row>
    <row r="13">
      <c r="A13" s="58" t="inlineStr">
        <is>
          <t>no data</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(7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_xlfn.IMAGE("https://m.media-amazon.com/images/I/81ibaKJbtXL.jpg")</f>
        <v/>
      </c>
      <c r="B18" s="32" t="inlineStr">
        <is>
          <t>B0DQ83G9MC</t>
        </is>
      </c>
      <c r="C18" s="32" t="inlineStr">
        <is>
          <t>WELCOME-SIGN-FRONT-PORCH-BLACK</t>
        </is>
      </c>
      <c r="D18" s="32" t="inlineStr">
        <is>
          <t>DECOLURE Welcome Sign for Front Porch - Tall Solid Wood Porch Door Sign with 10 Magnetic Seasonal &amp; Holiday Pieces, Rustic Farmhouse Outdoor Decor for Year Round Welcoming Entryway (Porch Black)</t>
        </is>
      </c>
      <c r="E18" s="32" t="inlineStr">
        <is>
          <t>One Size</t>
        </is>
      </c>
      <c r="F18" s="32" t="inlineStr">
        <is>
          <t>Black</t>
        </is>
      </c>
      <c r="G18" s="33" t="n"/>
      <c r="H18" s="32" t="n"/>
      <c r="I18" s="61" t="n">
        <v>37.95</v>
      </c>
      <c r="J18" s="62" t="inlineStr">
        <is>
          <t>2026-03-30</t>
        </is>
      </c>
      <c r="K18" s="33" t="n">
        <v>1.490000000000006</v>
      </c>
      <c r="L18" s="63" t="n">
        <v>0.03926218708827419</v>
      </c>
      <c r="M18" s="64" t="n">
        <v>1</v>
      </c>
      <c r="N18" s="32" t="inlineStr">
        <is>
          <t>Active</t>
        </is>
      </c>
      <c r="O18" s="32" t="n"/>
      <c r="P18" s="65" t="n"/>
      <c r="Q18" s="64" t="n"/>
      <c r="R18" s="64" t="n"/>
      <c r="S18" s="64" t="n"/>
      <c r="T18" s="32" t="n"/>
    </row>
    <row r="19" ht="62" customHeight="1">
      <c r="A19" s="10">
        <f>_xlfn.IMAGE("https://m.media-amazon.com/images/I/81ibaKJbtXL.jpg")</f>
        <v/>
      </c>
      <c r="B19" s="32" t="inlineStr">
        <is>
          <t>B0DQ84FD76</t>
        </is>
      </c>
      <c r="C19" s="32" t="inlineStr">
        <is>
          <t>WELCOME-SIGN-FRONT-PORCH-BROWN</t>
        </is>
      </c>
      <c r="D19" s="32" t="inlineStr">
        <is>
          <t>DECOLURE Welcome Sign for Front Porch - Tall Solid Wood Porch Door Sign with 10 Magnetic Seasonal &amp; Holiday Pieces, Rustic Farmhouse Outdoor Decor for Year Round Welcoming Entryway (Porch Brown)</t>
        </is>
      </c>
      <c r="E19" s="32" t="inlineStr">
        <is>
          <t>One Size</t>
        </is>
      </c>
      <c r="F19" s="32" t="inlineStr">
        <is>
          <t>Brown</t>
        </is>
      </c>
      <c r="G19" s="60" t="n">
        <v>64.95</v>
      </c>
      <c r="H19" s="32" t="inlineStr">
        <is>
          <t>Data Dive, 2026-10-12</t>
        </is>
      </c>
      <c r="I19" s="61" t="n">
        <v>37.95</v>
      </c>
      <c r="J19" s="62" t="inlineStr">
        <is>
          <t>2026-03-30</t>
        </is>
      </c>
      <c r="K19" s="33" t="n">
        <v>1.130000000000003</v>
      </c>
      <c r="L19" s="63" t="n">
        <v>0.02977602108036897</v>
      </c>
      <c r="M19" s="64" t="n">
        <v>1</v>
      </c>
      <c r="N19" s="32" t="inlineStr">
        <is>
          <t>Inactive</t>
        </is>
      </c>
      <c r="O19" s="32" t="n"/>
      <c r="P19" s="65" t="n"/>
      <c r="Q19" s="64" t="n"/>
      <c r="R19" s="64" t="n"/>
      <c r="S19" s="64" t="n"/>
      <c r="T19" s="32" t="n"/>
    </row>
    <row r="20" ht="62" customHeight="1">
      <c r="A20" s="10">
        <f>_xlfn.IMAGE("https://m.media-amazon.com/images/I/81ibaKJbtXL.jpg")</f>
        <v/>
      </c>
      <c r="B20" s="32" t="inlineStr">
        <is>
          <t>B0DQ81HZ4X</t>
        </is>
      </c>
      <c r="C20" s="32" t="inlineStr">
        <is>
          <t>WELCOME-SIGN-FRONT-PORCH-DARK-BROWN</t>
        </is>
      </c>
      <c r="D20" s="32" t="inlineStr">
        <is>
          <t>DECOLURE Welcome Sign for Front Porch - Tall Solid Wood Porch Door Sign with 10 Magnetic Seasonal &amp; Holiday Pieces, Rustic Farmhouse Outdoor Decor for Year Round Welcoming Entryway (Dark Brown)</t>
        </is>
      </c>
      <c r="E20" s="32" t="inlineStr">
        <is>
          <t>One Size</t>
        </is>
      </c>
      <c r="F20" s="32" t="inlineStr">
        <is>
          <t>Dark Brown</t>
        </is>
      </c>
      <c r="G20" s="33" t="n"/>
      <c r="H20" s="32" t="n"/>
      <c r="I20" s="61" t="n">
        <v>37.95</v>
      </c>
      <c r="J20" s="62" t="inlineStr">
        <is>
          <t>2026-03-30</t>
        </is>
      </c>
      <c r="K20" s="33" t="n"/>
      <c r="L20" s="63" t="n"/>
      <c r="M20" s="64" t="n"/>
      <c r="N20" s="32" t="inlineStr">
        <is>
          <t>Inactive</t>
        </is>
      </c>
      <c r="O20" s="32" t="n"/>
      <c r="P20" s="65" t="n"/>
      <c r="Q20" s="64" t="n"/>
      <c r="R20" s="64" t="n"/>
      <c r="S20" s="64" t="n"/>
      <c r="T20" s="32" t="n"/>
    </row>
    <row r="21" ht="62" customHeight="1">
      <c r="A21" s="10">
        <f>_xlfn.IMAGE("https://m.media-amazon.com/images/I/81ibaKJbtXL.jpg")</f>
        <v/>
      </c>
      <c r="B21" s="32" t="inlineStr">
        <is>
          <t>B0DYFCQ9RJ</t>
        </is>
      </c>
      <c r="C21" s="32" t="inlineStr">
        <is>
          <t>WELCOME-SIGN-FRONT-MIDNIGHT-BLACK</t>
        </is>
      </c>
      <c r="D21" s="32" t="inlineStr">
        <is>
          <t>DECOLURE Welcome Sign for Front Porch - Tall Solid Wood Porch Door Sign with 10 Magnetic Seasonal &amp; Holiday Pieces, Rustic Farmhouse Outdoor Decor for Year Round Welcoming Entryway (Midnight Black)</t>
        </is>
      </c>
      <c r="E21" s="32" t="inlineStr">
        <is>
          <t>One Size</t>
        </is>
      </c>
      <c r="F21" s="32" t="inlineStr">
        <is>
          <t>Midnight Black</t>
        </is>
      </c>
      <c r="G21" s="33" t="n"/>
      <c r="H21" s="32" t="n"/>
      <c r="I21" s="33" t="n"/>
      <c r="J21" s="32" t="n"/>
      <c r="K21" s="33" t="n"/>
      <c r="L21" s="63" t="n"/>
      <c r="M21" s="64" t="n"/>
      <c r="N21" s="32" t="inlineStr">
        <is>
          <t>Inactive</t>
        </is>
      </c>
      <c r="O21" s="32" t="n"/>
      <c r="P21" s="65" t="n"/>
      <c r="Q21" s="64" t="n"/>
      <c r="R21" s="64" t="n"/>
      <c r="S21" s="64" t="n"/>
      <c r="T21" s="32" t="n"/>
    </row>
    <row r="22" ht="62" customHeight="1">
      <c r="A22" s="10">
        <f>_xlfn.IMAGE("https://m.media-amazon.com/images/I/71HdkzedCoL.jpg")</f>
        <v/>
      </c>
      <c r="B22" s="32" t="inlineStr">
        <is>
          <t>B0DQ84NH4D</t>
        </is>
      </c>
      <c r="C22" s="32" t="inlineStr">
        <is>
          <t>WELCOME-SIGN-FRONT-PORCH-MODERN-BLACK</t>
        </is>
      </c>
      <c r="D22" s="32" t="inlineStr">
        <is>
          <t>DECOLURE Welcome Sign for Front Porch - Tall Solid Wood Porch Door Sign with 10 Magnetic Seasonal &amp; Holiday Pieces, Rustic Farmhouse Outdoor Decor for Year Round Welcoming Entryway (Modern Black)</t>
        </is>
      </c>
      <c r="E22" s="32" t="inlineStr">
        <is>
          <t>One Size</t>
        </is>
      </c>
      <c r="F22" s="32" t="inlineStr">
        <is>
          <t>Modern Black</t>
        </is>
      </c>
      <c r="G22" s="33" t="n"/>
      <c r="H22" s="32" t="n"/>
      <c r="I22" s="61" t="n">
        <v>32.95</v>
      </c>
      <c r="J22" s="62" t="inlineStr">
        <is>
          <t>2026-03-30</t>
        </is>
      </c>
      <c r="K22" s="33" t="n"/>
      <c r="L22" s="63" t="n"/>
      <c r="M22" s="64" t="n">
        <v>0</v>
      </c>
      <c r="N22" s="32" t="inlineStr">
        <is>
          <t>Active</t>
        </is>
      </c>
      <c r="O22" s="32" t="n"/>
      <c r="P22" s="65" t="n"/>
      <c r="Q22" s="64" t="n"/>
      <c r="R22" s="64" t="n"/>
      <c r="S22" s="64" t="n"/>
      <c r="T22" s="32" t="n"/>
    </row>
    <row r="23" ht="62" customHeight="1">
      <c r="A23" s="10">
        <f>_xlfn.IMAGE("https://m.media-amazon.com/images/I/71pZ-yRxSuL.jpg")</f>
        <v/>
      </c>
      <c r="B23" s="32" t="inlineStr">
        <is>
          <t>B0DQ81GKN2</t>
        </is>
      </c>
      <c r="C23" s="32" t="inlineStr">
        <is>
          <t>WELCOME-SIGN-FRONT-PORCH-SADDLE-BROWN</t>
        </is>
      </c>
      <c r="D23" s="32" t="inlineStr">
        <is>
          <t>DECOLURE Welcome Sign for Front Porch - Tall Solid Wood Porch Door Sign with 10 Magnetic Seasonal &amp; Holiday Pieces, Rustic Farmhouse Outdoor Decor for Year Round Welcoming Entryway (Saddle Brown)</t>
        </is>
      </c>
      <c r="E23" s="32" t="inlineStr">
        <is>
          <t>One Size</t>
        </is>
      </c>
      <c r="F23" s="32" t="inlineStr">
        <is>
          <t>Saddle Brown</t>
        </is>
      </c>
      <c r="G23" s="33" t="n"/>
      <c r="H23" s="32" t="n"/>
      <c r="I23" s="61" t="n">
        <v>32.95</v>
      </c>
      <c r="J23" s="62" t="inlineStr">
        <is>
          <t>2026-03-30</t>
        </is>
      </c>
      <c r="K23" s="33" t="n"/>
      <c r="L23" s="63" t="n"/>
      <c r="M23" s="64" t="n">
        <v>0</v>
      </c>
      <c r="N23" s="32" t="inlineStr">
        <is>
          <t>Active</t>
        </is>
      </c>
      <c r="O23" s="32" t="n"/>
      <c r="P23" s="65" t="n"/>
      <c r="Q23" s="64" t="n"/>
      <c r="R23" s="64" t="n"/>
      <c r="S23" s="64" t="n"/>
      <c r="T23" s="32" t="n"/>
    </row>
    <row r="24" ht="62" customHeight="1">
      <c r="A24" s="10">
        <f>_xlfn.IMAGE("https://m.media-amazon.com/images/I/81ibaKJbtXL.jpg")</f>
        <v/>
      </c>
      <c r="B24" s="32" t="inlineStr">
        <is>
          <t>B0DYFCR4SS</t>
        </is>
      </c>
      <c r="C24" s="32" t="inlineStr">
        <is>
          <t>WELCOME-SIGN-FRONT-PORCH-WOOD-BROWN</t>
        </is>
      </c>
      <c r="D24" s="32" t="inlineStr">
        <is>
          <t>DECOLURE Welcome Sign for Front Porch - Tall Solid Wood Porch Door Sign with 10 Magnetic Seasonal &amp; Holiday Pieces, Rustic Farmhouse Outdoor Decor for Year Round Welcoming Entryway (Wood Brown)</t>
        </is>
      </c>
      <c r="E24" s="32" t="inlineStr">
        <is>
          <t>One Size</t>
        </is>
      </c>
      <c r="F24" s="32" t="inlineStr">
        <is>
          <t>Wood Brown</t>
        </is>
      </c>
      <c r="G24" s="33" t="n"/>
      <c r="H24" s="32" t="n"/>
      <c r="I24" s="33" t="n"/>
      <c r="J24" s="32" t="n"/>
      <c r="K24" s="33" t="n"/>
      <c r="L24" s="63" t="n"/>
      <c r="M24" s="64" t="n"/>
      <c r="N24" s="32" t="inlineStr">
        <is>
          <t>Inactive</t>
        </is>
      </c>
      <c r="O24" s="32" t="n"/>
      <c r="P24" s="65" t="n"/>
      <c r="Q24" s="64" t="n"/>
      <c r="R24" s="64" t="n"/>
      <c r="S24" s="64" t="n"/>
      <c r="T24" s="32" t="n"/>
    </row>
    <row r="26" ht="20" customHeight="1">
      <c r="A26" s="54" t="inlineStr">
        <is>
          <t>3 · OUR BFCM 2025 RESULT &amp; EVENT VISIBILITY</t>
        </is>
      </c>
    </row>
    <row r="27">
      <c r="A27" s="67" t="inlineStr">
        <is>
          <t>Window</t>
        </is>
      </c>
      <c r="B27" s="68" t="n"/>
      <c r="C27" s="69" t="n"/>
      <c r="D27" s="67" t="inlineStr">
        <is>
          <t>Ad spend</t>
        </is>
      </c>
      <c r="E27" s="67" t="inlineStr">
        <is>
          <t>Ad sales</t>
        </is>
      </c>
      <c r="F27" s="67" t="inlineStr">
        <is>
          <t>ACoS</t>
        </is>
      </c>
      <c r="G27" s="67" t="inlineStr">
        <is>
          <t>TACoS</t>
        </is>
      </c>
      <c r="H27" s="67" t="inlineStr">
        <is>
          <t>Total sales (derived)</t>
        </is>
      </c>
      <c r="J27" s="67" t="inlineStr">
        <is>
          <t>Ad orders</t>
        </is>
      </c>
      <c r="K27" s="67" t="inlineStr">
        <is>
          <t>CVR</t>
        </is>
      </c>
    </row>
    <row r="28">
      <c r="A28" s="70" t="inlineStr">
        <is>
          <t>Pre-event Oct 21 - Nov 19, 2025 (30d)</t>
        </is>
      </c>
      <c r="B28" s="68" t="n"/>
      <c r="C28" s="69" t="n"/>
      <c r="D28" s="71" t="n"/>
      <c r="E28" s="71" t="n"/>
      <c r="F28" s="72" t="n"/>
      <c r="G28" s="72" t="n"/>
      <c r="H28" s="71" t="n"/>
      <c r="J28" s="73" t="n"/>
      <c r="K28" s="74" t="n"/>
    </row>
    <row r="29">
      <c r="A29" s="70" t="inlineStr">
        <is>
          <t>BFCM week Nov 20 - Dec 1, 2025 (12d)</t>
        </is>
      </c>
      <c r="B29" s="68" t="n"/>
      <c r="C29" s="69" t="n"/>
      <c r="D29" s="71" t="n"/>
      <c r="E29" s="71" t="n"/>
      <c r="F29" s="72" t="n"/>
      <c r="G29" s="72" t="n"/>
      <c r="H29" s="71" t="n"/>
      <c r="J29" s="73" t="n"/>
      <c r="K29" s="74" t="n"/>
    </row>
    <row r="30">
      <c r="A30" s="70" t="inlineStr">
        <is>
          <t>December 2 - 31, 2025 (30d)</t>
        </is>
      </c>
      <c r="B30" s="68" t="n"/>
      <c r="C30" s="69" t="n"/>
      <c r="D30" s="71" t="n"/>
      <c r="E30" s="71" t="n"/>
      <c r="F30" s="72" t="n"/>
      <c r="G30" s="72" t="n"/>
      <c r="H30" s="71" t="n"/>
      <c r="J30" s="73" t="n"/>
      <c r="K30" s="74" t="n"/>
    </row>
    <row r="32">
      <c r="A32" s="67" t="inlineStr">
        <is>
          <t>Actual sales (SellerBoard)</t>
        </is>
      </c>
      <c r="B32" s="68" t="n"/>
      <c r="C32" s="69" t="n"/>
      <c r="D32" s="67" t="inlineStr">
        <is>
          <t>Sales</t>
        </is>
      </c>
      <c r="E32" s="67" t="inlineStr">
        <is>
          <t>Units</t>
        </is>
      </c>
      <c r="F32" s="67" t="inlineStr">
        <is>
          <t>Organic units</t>
        </is>
      </c>
      <c r="G32" s="67" t="inlineStr">
        <is>
          <t>Ad units</t>
        </is>
      </c>
      <c r="H32" s="67" t="inlineStr">
        <is>
          <t>Ad cost</t>
        </is>
      </c>
      <c r="J32" s="67" t="inlineStr">
        <is>
          <t>TACoS (actual)</t>
        </is>
      </c>
      <c r="K32" s="67" t="inlineStr">
        <is>
          <t>Sessions</t>
        </is>
      </c>
      <c r="L32" s="67" t="inlineStr">
        <is>
          <t>Unit session %</t>
        </is>
      </c>
      <c r="M32" s="67" t="inlineStr">
        <is>
          <t>Avg price</t>
        </is>
      </c>
      <c r="N32" s="67" t="inlineStr">
        <is>
          <t>Refunds</t>
        </is>
      </c>
    </row>
    <row r="33">
      <c r="A33" s="70" t="inlineStr">
        <is>
          <t>Pre-event Oct 21 - Nov 19, 2025 (30d)</t>
        </is>
      </c>
      <c r="B33" s="68" t="n"/>
      <c r="C33" s="69" t="n"/>
      <c r="D33" s="71" t="n">
        <v>0</v>
      </c>
      <c r="E33" s="73" t="n">
        <v>0</v>
      </c>
      <c r="F33" s="73" t="n">
        <v>0</v>
      </c>
      <c r="G33" s="73" t="n">
        <v>0</v>
      </c>
      <c r="H33" s="71" t="n">
        <v>0</v>
      </c>
      <c r="J33" s="75" t="n"/>
      <c r="K33" s="73" t="n">
        <v>33</v>
      </c>
      <c r="L33" s="75" t="n">
        <v>0</v>
      </c>
      <c r="M33" s="76" t="n"/>
      <c r="N33" s="73" t="n">
        <v>0</v>
      </c>
    </row>
    <row r="34">
      <c r="A34" s="70" t="inlineStr">
        <is>
          <t>BFCM week Nov 20 - Dec 1, 2025 (12d)</t>
        </is>
      </c>
      <c r="B34" s="68" t="n"/>
      <c r="C34" s="69" t="n"/>
      <c r="D34" s="71" t="n">
        <v>0</v>
      </c>
      <c r="E34" s="73" t="n">
        <v>0</v>
      </c>
      <c r="F34" s="73" t="n">
        <v>0</v>
      </c>
      <c r="G34" s="73" t="n">
        <v>0</v>
      </c>
      <c r="H34" s="71" t="n">
        <v>0</v>
      </c>
      <c r="J34" s="75" t="n"/>
      <c r="K34" s="73" t="n">
        <v>16</v>
      </c>
      <c r="L34" s="75" t="n">
        <v>0</v>
      </c>
      <c r="M34" s="76" t="n"/>
      <c r="N34" s="73" t="n">
        <v>0</v>
      </c>
    </row>
    <row r="35">
      <c r="A35" s="70" t="inlineStr">
        <is>
          <t>December 2 - 31, 2025 (30d)</t>
        </is>
      </c>
      <c r="B35" s="68" t="n"/>
      <c r="C35" s="69" t="n"/>
      <c r="D35" s="71" t="n">
        <v>0</v>
      </c>
      <c r="E35" s="73" t="n">
        <v>0</v>
      </c>
      <c r="F35" s="73" t="n">
        <v>0</v>
      </c>
      <c r="G35" s="73" t="n">
        <v>0</v>
      </c>
      <c r="H35" s="71" t="n">
        <v>0.9</v>
      </c>
      <c r="J35" s="75" t="n"/>
      <c r="K35" s="73" t="n">
        <v>18</v>
      </c>
      <c r="L35" s="75" t="n">
        <v>0</v>
      </c>
      <c r="M35" s="76" t="n"/>
      <c r="N35" s="73" t="n">
        <v>0</v>
      </c>
    </row>
    <row r="36">
      <c r="A36" s="59" t="inlineStr">
        <is>
          <t>SellerBoard, Ecotero account, Amazon parent B0H1N61MK6 plus any of this product's child ASINs SellerBoard lists on their own, UTC days. Lift above uses these actual sales.</t>
        </is>
      </c>
    </row>
    <row r="37">
      <c r="A37" s="59" t="inlineStr">
        <is>
          <t>No Command Center visibility history for our best child ASIN.</t>
        </is>
      </c>
    </row>
    <row r="38">
      <c r="A38" s="107" t="inlineStr">
        <is>
          <t>No BFCM 2025 PPC data for this product (not advertised or launched after BFCM 2025).</t>
        </is>
      </c>
    </row>
    <row r="40" ht="20" customHeight="1">
      <c r="A40" s="54" t="inlineStr">
        <is>
          <t>4 · COMPETITOR LANDSCAPE (17 mapped)</t>
        </is>
      </c>
    </row>
    <row r="41">
      <c r="A41" s="59" t="inlineStr">
        <is>
          <t>Sorted by tier, then estimated weekly units. Green = Command Center price/sales; blue = Data Dive listing; purple = Command Center search strategy (ASINsight); yellow = fill from Keepa / page check.</t>
        </is>
      </c>
    </row>
    <row r="42">
      <c r="A42" s="78" t="inlineStr">
        <is>
          <t>COMPETITOR</t>
        </is>
      </c>
      <c r="I42" s="79" t="inlineStr">
        <is>
          <t>LISTING - Data Dive</t>
        </is>
      </c>
      <c r="J42" s="80" t="inlineStr">
        <is>
          <t>SEARCH STRATEGY - Command Center ASINsight</t>
        </is>
      </c>
      <c r="K42" s="81" t="inlineStr">
        <is>
          <t>PRICE &amp; SALES - Command Center snapshot (date per row)</t>
        </is>
      </c>
      <c r="X42" s="79" t="inlineStr">
        <is>
          <t>LISTING - Data Dive</t>
        </is>
      </c>
      <c r="AA42" s="80" t="inlineStr">
        <is>
          <t>SEARCH STRATEGY - Command Center ASINsight</t>
        </is>
      </c>
      <c r="AR42" s="82" t="inlineStr">
        <is>
          <t>STR NOW - Amazon page check (Oct 13, P1 + P2)</t>
        </is>
      </c>
      <c r="AY42" s="83" t="inlineStr">
        <is>
          <t>BFCM 2025 - Keepa (P1 filled; yellow = not pulled yet)</t>
        </is>
      </c>
    </row>
    <row r="43" ht="48" customHeight="1">
      <c r="A43" s="22" t="inlineStr">
        <is>
          <t>Image</t>
        </is>
      </c>
      <c r="B43" s="22" t="inlineStr">
        <is>
          <t>Brand</t>
        </is>
      </c>
      <c r="C43" s="22" t="inlineStr">
        <is>
          <t>Product title</t>
        </is>
      </c>
      <c r="D43" s="22" t="inlineStr">
        <is>
          <t>Tier</t>
        </is>
      </c>
      <c r="E43" s="22" t="inlineStr">
        <is>
          <t>Parent ASIN</t>
        </is>
      </c>
      <c r="F43" s="22" t="inlineStr">
        <is>
          <t>Tracked child ASIN</t>
        </is>
      </c>
      <c r="G43" s="22" t="inlineStr">
        <is>
          <t>Size (title)</t>
        </is>
      </c>
      <c r="H43" s="22" t="inlineStr">
        <is>
          <t>Colour (title)</t>
        </is>
      </c>
      <c r="I43" s="22" t="inlineStr">
        <is>
          <t>Variations</t>
        </is>
      </c>
      <c r="J43" s="22" t="inlineStr">
        <is>
          <t>Hero child ASINs (share of their visibility)</t>
        </is>
      </c>
      <c r="K43" s="22" t="inlineStr">
        <is>
          <t>Price ($)</t>
        </is>
      </c>
      <c r="L43" s="22" t="inlineStr">
        <is>
          <t>List Price ($)</t>
        </is>
      </c>
      <c r="M43" s="22" t="inlineStr">
        <is>
          <t>List Price % over</t>
        </is>
      </c>
      <c r="N43" s="22" t="inlineStr">
        <is>
          <t>STR band</t>
        </is>
      </c>
      <c r="O43" s="22" t="inlineStr">
        <is>
          <t>Our price, same size ($)</t>
        </is>
      </c>
      <c r="P43" s="22" t="inlineStr">
        <is>
          <t>Their price vs ours</t>
        </is>
      </c>
      <c r="Q43" s="22" t="inlineStr">
        <is>
          <t>Comparison basis</t>
        </is>
      </c>
      <c r="R43" s="22" t="inlineStr">
        <is>
          <t>BSR</t>
        </is>
      </c>
      <c r="S43" s="22" t="inlineStr">
        <is>
          <t>Est weekly units</t>
        </is>
      </c>
      <c r="T43" s="22" t="inlineStr">
        <is>
          <t>Est monthly revenue ($)</t>
        </is>
      </c>
      <c r="U43" s="22" t="inlineStr">
        <is>
          <t>Rating</t>
        </is>
      </c>
      <c r="V43" s="22" t="inlineStr">
        <is>
          <t>Reviews</t>
        </is>
      </c>
      <c r="W43" s="22" t="inlineStr">
        <is>
          <t>Snapshot date</t>
        </is>
      </c>
      <c r="X43" s="22" t="inlineStr">
        <is>
          <t>Listed</t>
        </is>
      </c>
      <c r="Y43" s="22" t="inlineStr">
        <is>
          <t>Fulfil.</t>
        </is>
      </c>
      <c r="Z43" s="22" t="inlineStr">
        <is>
          <t>Seller country</t>
        </is>
      </c>
      <c r="AA43" s="22" t="inlineStr">
        <is>
          <t>ASINsight 7d traffic</t>
        </is>
      </c>
      <c r="AB43" s="22" t="inlineStr">
        <is>
          <t>Keywords ranked</t>
        </is>
      </c>
      <c r="AC43" s="22" t="inlineStr">
        <is>
          <t>Organic share of traffic</t>
        </is>
      </c>
      <c r="AD43" s="22" t="inlineStr">
        <is>
          <t>Ad share of traffic</t>
        </is>
      </c>
      <c r="AE43" s="22" t="inlineStr">
        <is>
          <t>Top keyword</t>
        </is>
      </c>
      <c r="AF43" s="22" t="inlineStr">
        <is>
          <t>SP reach</t>
        </is>
      </c>
      <c r="AG43" s="22" t="inlineStr">
        <is>
          <t>SB reach</t>
        </is>
      </c>
      <c r="AH43" s="22" t="inlineStr">
        <is>
          <t>SB video reach</t>
        </is>
      </c>
      <c r="AI43" s="22" t="inlineStr">
        <is>
          <t>Amazon's Choice reach</t>
        </is>
      </c>
      <c r="AJ43" s="22" t="inlineStr">
        <is>
          <t>Shared keywords</t>
        </is>
      </c>
      <c r="AK43" s="22" t="inlineStr">
        <is>
          <t>We win</t>
        </is>
      </c>
      <c r="AL43" s="22" t="inlineStr">
        <is>
          <t>We lose</t>
        </is>
      </c>
      <c r="AM43" s="22" t="inlineStr">
        <is>
          <t>Their keywords we miss</t>
        </is>
      </c>
      <c r="AN43" s="22" t="inlineStr">
        <is>
          <t>KWs they advertise, we don't</t>
        </is>
      </c>
      <c r="AO43" s="22" t="inlineStr">
        <is>
          <t>KWs they out-advertise us</t>
        </is>
      </c>
      <c r="AP43" s="22" t="inlineStr">
        <is>
          <t>Prime Day 2026 organic vis lift</t>
        </is>
      </c>
      <c r="AQ43" s="22" t="inlineStr">
        <is>
          <t>Organic trend (Aug-Sep vs Q2)</t>
        </is>
      </c>
      <c r="AR43" s="22" t="inlineStr">
        <is>
          <t>STR showing now? (Y/N)</t>
        </is>
      </c>
      <c r="AS43" s="22" t="inlineStr">
        <is>
          <t>STR label</t>
        </is>
      </c>
      <c r="AT43" s="22" t="inlineStr">
        <is>
          <t>Strikethrough price ($)</t>
        </is>
      </c>
      <c r="AU43" s="22" t="inlineStr">
        <is>
          <t>Page price at check ($)</t>
        </is>
      </c>
      <c r="AV43" s="22" t="inlineStr">
        <is>
          <t>Deal / coupon now</t>
        </is>
      </c>
      <c r="AW43" s="22" t="inlineStr">
        <is>
          <t>Orderable now (Y/N)</t>
        </is>
      </c>
      <c r="AX43" s="22" t="inlineStr">
        <is>
          <t>Checked (ET)</t>
        </is>
      </c>
      <c r="AY43" s="22" t="inlineStr">
        <is>
          <t>BFCM 2025 deal type</t>
        </is>
      </c>
      <c r="AZ43" s="22" t="inlineStr">
        <is>
          <t>BFCM 2025 deal dates</t>
        </is>
      </c>
      <c r="BA43" s="22" t="inlineStr">
        <is>
          <t>Pre-event price ($)</t>
        </is>
      </c>
      <c r="BB43" s="22" t="inlineStr">
        <is>
          <t>BFCM 2025 low ($)</t>
        </is>
      </c>
      <c r="BC43" s="22" t="inlineStr">
        <is>
          <t>BFCM 2025 discount</t>
        </is>
      </c>
      <c r="BD43" s="22" t="inlineStr">
        <is>
          <t>BSR pre-event</t>
        </is>
      </c>
      <c r="BE43" s="22" t="inlineStr">
        <is>
          <t>BSR BFCM wk</t>
        </is>
      </c>
      <c r="BF43" s="22" t="inlineStr">
        <is>
          <t>BSR lift (x)</t>
        </is>
      </c>
      <c r="BG43" s="22" t="inlineStr">
        <is>
          <t>OOS in BFCM? (Y/N)</t>
        </is>
      </c>
      <c r="BH43" s="22" t="inlineStr">
        <is>
          <t>Notes</t>
        </is>
      </c>
    </row>
    <row r="44" ht="62" customHeight="1">
      <c r="A44" s="10">
        <f>_xlfn.IMAGE("https://images-na.ssl-images-amazon.com/images/I/811UFPxkJoL.jpg")</f>
        <v/>
      </c>
      <c r="B44" s="84" t="inlineStr">
        <is>
          <t>PERFNIQUE</t>
        </is>
      </c>
      <c r="C44" s="32" t="inlineStr">
        <is>
          <t>Perfnique Welcome sign for front porch standing, 47 x 7.9 Inch Wooden Leaner Sign with 10 Interchangeable Designed Icons, Seasonal Decor for Spring Easter Fall Christmas(Black)</t>
        </is>
      </c>
      <c r="D44" s="84" t="inlineStr">
        <is>
          <t>Aspirational</t>
        </is>
      </c>
      <c r="E44" s="84" t="inlineStr">
        <is>
          <t>B0CBV2JW6G</t>
        </is>
      </c>
      <c r="F44" s="84" t="inlineStr">
        <is>
          <t>B09P4228F4</t>
        </is>
      </c>
      <c r="G44" s="84" t="n"/>
      <c r="H44" s="84" t="inlineStr">
        <is>
          <t>Black</t>
        </is>
      </c>
      <c r="I44" s="85" t="n">
        <v>4</v>
      </c>
      <c r="J44" s="32" t="inlineStr"/>
      <c r="K44" s="86" t="n">
        <v>34.99</v>
      </c>
      <c r="L44" s="86" t="n"/>
      <c r="M44" s="87">
        <f>IF(AND(ISNUMBER(L44),ISNUMBER(K44),N(K44)&gt;0),L44/K44-1,"")</f>
        <v/>
      </c>
      <c r="N44" s="88">
        <f>IF(M44="","No List Price",IF(M44&lt;=0,"At/below price",IF(M44&lt;=0.12,"&lt;=12% STR zone",IF(M44&lt;=0.25,"12-25%","&gt;25% over"))))</f>
        <v/>
      </c>
      <c r="O44" s="86" t="n">
        <v>37.95</v>
      </c>
      <c r="P44" s="89">
        <f>IF(AND(ISNUMBER(K44),ISNUMBER(O44),N(O44)&gt;0),K44/O44-1,"")</f>
        <v/>
      </c>
      <c r="Q44" s="32" t="inlineStr">
        <is>
          <t>vs our blended price (Command Center, Mar 2026 - STALE)</t>
        </is>
      </c>
      <c r="R44" s="85" t="n">
        <v>44319</v>
      </c>
      <c r="S44" s="85" t="n">
        <v>104</v>
      </c>
      <c r="T44" s="90">
        <f>IF(AND(ISNUMBER(K44),ISNUMBER(S44)),K44*S44*52/12,"")</f>
        <v/>
      </c>
      <c r="U44" s="91" t="n">
        <v>4.5</v>
      </c>
      <c r="V44" s="85" t="n">
        <v>1039</v>
      </c>
      <c r="W44" s="92" t="n">
        <v>46307</v>
      </c>
      <c r="X44" s="92" t="n">
        <v>44652</v>
      </c>
      <c r="Y44" s="84" t="inlineStr">
        <is>
          <t>FBA</t>
        </is>
      </c>
      <c r="Z44" s="84" t="inlineStr">
        <is>
          <t>HK</t>
        </is>
      </c>
      <c r="AA44" s="85" t="n"/>
      <c r="AB44" s="85" t="n"/>
      <c r="AC44" s="93" t="n"/>
      <c r="AD44" s="93" t="n"/>
      <c r="AE44" s="32" t="n"/>
      <c r="AF44" s="93" t="n"/>
      <c r="AG44" s="93" t="n"/>
      <c r="AH44" s="93" t="n"/>
      <c r="AI44" s="93" t="n"/>
      <c r="AJ44" s="85" t="n"/>
      <c r="AK44" s="85" t="n"/>
      <c r="AL44" s="85" t="n"/>
      <c r="AM44" s="85" t="n"/>
      <c r="AN44" s="85" t="n"/>
      <c r="AO44" s="85" t="n"/>
      <c r="AP44" s="94" t="n"/>
      <c r="AQ44" s="89" t="n"/>
      <c r="AR44" s="95" t="inlineStr">
        <is>
          <t>N</t>
        </is>
      </c>
      <c r="AS44" s="95" t="inlineStr">
        <is>
          <t>none</t>
        </is>
      </c>
      <c r="AT44" s="101" t="n"/>
      <c r="AU44" s="96" t="n">
        <v>34.99</v>
      </c>
      <c r="AV44" s="95" t="inlineStr">
        <is>
          <t>none</t>
        </is>
      </c>
      <c r="AW44" s="95" t="inlineStr">
        <is>
          <t>Y</t>
        </is>
      </c>
      <c r="AX44" s="95" t="inlineStr">
        <is>
          <t>2026-10-13 23:42:25</t>
        </is>
      </c>
      <c r="AY44" s="102" t="n"/>
      <c r="AZ44" s="102" t="n"/>
      <c r="BA44" s="101" t="n"/>
      <c r="BB44" s="101" t="n"/>
      <c r="BC44" s="87">
        <f>IF(AND(ISNUMBER(BA44),ISNUMBER(BB44),N(BA44)&gt;0),1-BB44/BA44,"")</f>
        <v/>
      </c>
      <c r="BD44" s="103" t="n"/>
      <c r="BE44" s="103" t="n"/>
      <c r="BF44" s="100">
        <f>IF(AND(ISNUMBER(BD44),ISNUMBER(BE44),N(BE44)&gt;0),BD44/BE44,"")</f>
        <v/>
      </c>
      <c r="BG44" s="102" t="n"/>
      <c r="BH44" s="102" t="n"/>
    </row>
    <row r="45" ht="62" customHeight="1">
      <c r="A45" s="10">
        <f>_xlfn.IMAGE("https://images-na.ssl-images-amazon.com/images/I/81M6KkWpSrL.jpg")</f>
        <v/>
      </c>
      <c r="B45" s="84" t="inlineStr">
        <is>
          <t>MONJITA</t>
        </is>
      </c>
      <c r="C45" s="32" t="inlineStr">
        <is>
          <t>Monjita Welcome Sign for Front Porch Standing, Interchangeable Wooden Sign with 5 Designed Double-Sided Icons for Front Door, All Seasonal Farmhouse Rustic Modern Porch Decor for Fall Harvest</t>
        </is>
      </c>
      <c r="D45" s="84" t="inlineStr">
        <is>
          <t>Aspirational</t>
        </is>
      </c>
      <c r="E45" s="84" t="inlineStr">
        <is>
          <t>B0BBQDKL36</t>
        </is>
      </c>
      <c r="F45" s="84" t="inlineStr">
        <is>
          <t>B0BBQ84DMS</t>
        </is>
      </c>
      <c r="G45" s="84" t="n"/>
      <c r="H45" s="84" t="n"/>
      <c r="I45" s="85" t="n">
        <v>2</v>
      </c>
      <c r="J45" s="32" t="inlineStr"/>
      <c r="K45" s="86" t="n">
        <v>33.99</v>
      </c>
      <c r="L45" s="86" t="n"/>
      <c r="M45" s="87">
        <f>IF(AND(ISNUMBER(L45),ISNUMBER(K45),N(K45)&gt;0),L45/K45-1,"")</f>
        <v/>
      </c>
      <c r="N45" s="88">
        <f>IF(M45="","No List Price",IF(M45&lt;=0,"At/below price",IF(M45&lt;=0.12,"&lt;=12% STR zone",IF(M45&lt;=0.25,"12-25%","&gt;25% over"))))</f>
        <v/>
      </c>
      <c r="O45" s="86" t="n">
        <v>37.95</v>
      </c>
      <c r="P45" s="89">
        <f>IF(AND(ISNUMBER(K45),ISNUMBER(O45),N(O45)&gt;0),K45/O45-1,"")</f>
        <v/>
      </c>
      <c r="Q45" s="32" t="inlineStr">
        <is>
          <t>vs our blended price (Command Center, Mar 2026 - STALE)</t>
        </is>
      </c>
      <c r="R45" s="85" t="n">
        <v>137133</v>
      </c>
      <c r="S45" s="85" t="n">
        <v>35</v>
      </c>
      <c r="T45" s="90">
        <f>IF(AND(ISNUMBER(K45),ISNUMBER(S45)),K45*S45*52/12,"")</f>
        <v/>
      </c>
      <c r="U45" s="91" t="n">
        <v>4.5</v>
      </c>
      <c r="V45" s="85" t="n">
        <v>498</v>
      </c>
      <c r="W45" s="92" t="n">
        <v>46307</v>
      </c>
      <c r="X45" s="92" t="n">
        <v>44874</v>
      </c>
      <c r="Y45" s="84" t="inlineStr">
        <is>
          <t>FBA</t>
        </is>
      </c>
      <c r="Z45" s="84" t="inlineStr">
        <is>
          <t>CN</t>
        </is>
      </c>
      <c r="AA45" s="85" t="n"/>
      <c r="AB45" s="85" t="n"/>
      <c r="AC45" s="93" t="n"/>
      <c r="AD45" s="93" t="n"/>
      <c r="AE45" s="32" t="n"/>
      <c r="AF45" s="93" t="n"/>
      <c r="AG45" s="93" t="n"/>
      <c r="AH45" s="93" t="n"/>
      <c r="AI45" s="93" t="n"/>
      <c r="AJ45" s="85" t="n"/>
      <c r="AK45" s="85" t="n"/>
      <c r="AL45" s="85" t="n"/>
      <c r="AM45" s="85" t="n"/>
      <c r="AN45" s="85" t="n"/>
      <c r="AO45" s="85" t="n"/>
      <c r="AP45" s="94" t="n"/>
      <c r="AQ45" s="89" t="n"/>
      <c r="AR45" s="95" t="inlineStr">
        <is>
          <t>N</t>
        </is>
      </c>
      <c r="AS45" s="95" t="inlineStr">
        <is>
          <t>none</t>
        </is>
      </c>
      <c r="AT45" s="101" t="n"/>
      <c r="AU45" s="96" t="n">
        <v>33.99</v>
      </c>
      <c r="AV45" s="95" t="inlineStr">
        <is>
          <t>none</t>
        </is>
      </c>
      <c r="AW45" s="95" t="inlineStr">
        <is>
          <t>Y</t>
        </is>
      </c>
      <c r="AX45" s="95" t="inlineStr">
        <is>
          <t>2026-10-13 23:41:53</t>
        </is>
      </c>
      <c r="AY45" s="102" t="n"/>
      <c r="AZ45" s="102" t="n"/>
      <c r="BA45" s="101" t="n"/>
      <c r="BB45" s="101" t="n"/>
      <c r="BC45" s="87">
        <f>IF(AND(ISNUMBER(BA45),ISNUMBER(BB45),N(BA45)&gt;0),1-BB45/BA45,"")</f>
        <v/>
      </c>
      <c r="BD45" s="103" t="n"/>
      <c r="BE45" s="103" t="n"/>
      <c r="BF45" s="100">
        <f>IF(AND(ISNUMBER(BD45),ISNUMBER(BE45),N(BE45)&gt;0),BD45/BE45,"")</f>
        <v/>
      </c>
      <c r="BG45" s="102" t="n"/>
      <c r="BH45" s="102" t="n"/>
    </row>
    <row r="46" ht="62" customHeight="1">
      <c r="A46" s="10">
        <f>_xlfn.IMAGE("https://images-na.ssl-images-amazon.com/images/I/81prHHD5oqL.jpg")</f>
        <v/>
      </c>
      <c r="B46" s="84" t="inlineStr">
        <is>
          <t>Surfapans</t>
        </is>
      </c>
      <c r="C46" s="32" t="inlineStr">
        <is>
          <t>Surfapans Welcome Sign for Front porch Standing 45"X9" Black</t>
        </is>
      </c>
      <c r="D46" s="84" t="inlineStr">
        <is>
          <t>Aspirational</t>
        </is>
      </c>
      <c r="E46" s="84" t="inlineStr">
        <is>
          <t>B0GLG3DN2P</t>
        </is>
      </c>
      <c r="F46" s="84" t="inlineStr">
        <is>
          <t>B0CL5YGW86</t>
        </is>
      </c>
      <c r="G46" s="84" t="n"/>
      <c r="H46" s="84" t="inlineStr">
        <is>
          <t>Black</t>
        </is>
      </c>
      <c r="I46" s="85" t="n">
        <v>8</v>
      </c>
      <c r="J46" s="32" t="inlineStr"/>
      <c r="K46" s="86" t="n">
        <v>40.99</v>
      </c>
      <c r="L46" s="86" t="n"/>
      <c r="M46" s="87">
        <f>IF(AND(ISNUMBER(L46),ISNUMBER(K46),N(K46)&gt;0),L46/K46-1,"")</f>
        <v/>
      </c>
      <c r="N46" s="88">
        <f>IF(M46="","No List Price",IF(M46&lt;=0,"At/below price",IF(M46&lt;=0.12,"&lt;=12% STR zone",IF(M46&lt;=0.25,"12-25%","&gt;25% over"))))</f>
        <v/>
      </c>
      <c r="O46" s="86" t="n">
        <v>37.95</v>
      </c>
      <c r="P46" s="89">
        <f>IF(AND(ISNUMBER(K46),ISNUMBER(O46),N(O46)&gt;0),K46/O46-1,"")</f>
        <v/>
      </c>
      <c r="Q46" s="32" t="inlineStr">
        <is>
          <t>vs our blended price (Command Center, Mar 2026 - STALE)</t>
        </is>
      </c>
      <c r="R46" s="85" t="n">
        <v>146388</v>
      </c>
      <c r="S46" s="85" t="n">
        <v>35</v>
      </c>
      <c r="T46" s="90">
        <f>IF(AND(ISNUMBER(K46),ISNUMBER(S46)),K46*S46*52/12,"")</f>
        <v/>
      </c>
      <c r="U46" s="91" t="n">
        <v>4.4</v>
      </c>
      <c r="V46" s="85" t="n">
        <v>574</v>
      </c>
      <c r="W46" s="92" t="n">
        <v>46307</v>
      </c>
      <c r="X46" s="92" t="n">
        <v>45226</v>
      </c>
      <c r="Y46" s="84" t="inlineStr">
        <is>
          <t>FBA</t>
        </is>
      </c>
      <c r="Z46" s="84" t="inlineStr">
        <is>
          <t>CN</t>
        </is>
      </c>
      <c r="AA46" s="85" t="n"/>
      <c r="AB46" s="85" t="n"/>
      <c r="AC46" s="93" t="n"/>
      <c r="AD46" s="93" t="n"/>
      <c r="AE46" s="32" t="n"/>
      <c r="AF46" s="93" t="n"/>
      <c r="AG46" s="93" t="n"/>
      <c r="AH46" s="93" t="n"/>
      <c r="AI46" s="93" t="n"/>
      <c r="AJ46" s="85" t="n"/>
      <c r="AK46" s="85" t="n"/>
      <c r="AL46" s="85" t="n"/>
      <c r="AM46" s="85" t="n"/>
      <c r="AN46" s="85" t="n"/>
      <c r="AO46" s="85" t="n"/>
      <c r="AP46" s="94" t="n"/>
      <c r="AQ46" s="89" t="n"/>
      <c r="AR46" s="95" t="inlineStr">
        <is>
          <t>N</t>
        </is>
      </c>
      <c r="AS46" s="95" t="inlineStr">
        <is>
          <t>none</t>
        </is>
      </c>
      <c r="AT46" s="101" t="n"/>
      <c r="AU46" s="96" t="n">
        <v>40.99</v>
      </c>
      <c r="AV46" s="95" t="inlineStr">
        <is>
          <t>none</t>
        </is>
      </c>
      <c r="AW46" s="95" t="inlineStr">
        <is>
          <t>Y</t>
        </is>
      </c>
      <c r="AX46" s="95" t="inlineStr">
        <is>
          <t>2026-10-13 23:43:17</t>
        </is>
      </c>
      <c r="AY46" s="102" t="n"/>
      <c r="AZ46" s="102" t="n"/>
      <c r="BA46" s="101" t="n"/>
      <c r="BB46" s="101" t="n"/>
      <c r="BC46" s="87">
        <f>IF(AND(ISNUMBER(BA46),ISNUMBER(BB46),N(BA46)&gt;0),1-BB46/BA46,"")</f>
        <v/>
      </c>
      <c r="BD46" s="103" t="n"/>
      <c r="BE46" s="103" t="n"/>
      <c r="BF46" s="100">
        <f>IF(AND(ISNUMBER(BD46),ISNUMBER(BE46),N(BE46)&gt;0),BD46/BE46,"")</f>
        <v/>
      </c>
      <c r="BG46" s="102" t="n"/>
      <c r="BH46" s="102" t="n"/>
    </row>
    <row r="47" ht="62" customHeight="1">
      <c r="A47" s="39" t="inlineStr">
        <is>
          <t>IMAGE MISSING</t>
        </is>
      </c>
      <c r="B47" s="84" t="inlineStr">
        <is>
          <t>Seimip</t>
        </is>
      </c>
      <c r="C47" s="32" t="inlineStr">
        <is>
          <t>Front Door Welcome Sign</t>
        </is>
      </c>
      <c r="D47" s="84" t="inlineStr">
        <is>
          <t>Beatable</t>
        </is>
      </c>
      <c r="E47" s="84" t="inlineStr">
        <is>
          <t>B0DK6WGD3R</t>
        </is>
      </c>
      <c r="F47" s="84" t="inlineStr">
        <is>
          <t>B0D4Q71SDC</t>
        </is>
      </c>
      <c r="G47" s="84" t="n"/>
      <c r="H47" s="84" t="n"/>
      <c r="I47" s="85" t="n"/>
      <c r="J47" s="32" t="inlineStr"/>
      <c r="K47" s="86" t="n">
        <v>23.99</v>
      </c>
      <c r="L47" s="86" t="n"/>
      <c r="M47" s="87">
        <f>IF(AND(ISNUMBER(L47),ISNUMBER(K47),N(K47)&gt;0),L47/K47-1,"")</f>
        <v/>
      </c>
      <c r="N47" s="88">
        <f>IF(M47="","No List Price",IF(M47&lt;=0,"At/below price",IF(M47&lt;=0.12,"&lt;=12% STR zone",IF(M47&lt;=0.25,"12-25%","&gt;25% over"))))</f>
        <v/>
      </c>
      <c r="O47" s="86" t="n">
        <v>37.95</v>
      </c>
      <c r="P47" s="89">
        <f>IF(AND(ISNUMBER(K47),ISNUMBER(O47),N(O47)&gt;0),K47/O47-1,"")</f>
        <v/>
      </c>
      <c r="Q47" s="32" t="inlineStr">
        <is>
          <t>vs our blended price (Command Center, Mar 2026 - STALE)</t>
        </is>
      </c>
      <c r="R47" s="85" t="n">
        <v>8978</v>
      </c>
      <c r="S47" s="85" t="n">
        <v>104</v>
      </c>
      <c r="T47" s="90">
        <f>IF(AND(ISNUMBER(K47),ISNUMBER(S47)),K47*S47*52/12,"")</f>
        <v/>
      </c>
      <c r="U47" s="91" t="n">
        <v>3.9</v>
      </c>
      <c r="V47" s="85" t="n">
        <v>299</v>
      </c>
      <c r="W47" s="92" t="n">
        <v>46307</v>
      </c>
      <c r="X47" s="92" t="n"/>
      <c r="Y47" s="84" t="n"/>
      <c r="Z47" s="84" t="n"/>
      <c r="AA47" s="85" t="n"/>
      <c r="AB47" s="85" t="n"/>
      <c r="AC47" s="93" t="n"/>
      <c r="AD47" s="93" t="n"/>
      <c r="AE47" s="32" t="n"/>
      <c r="AF47" s="93" t="n"/>
      <c r="AG47" s="93" t="n"/>
      <c r="AH47" s="93" t="n"/>
      <c r="AI47" s="93" t="n"/>
      <c r="AJ47" s="85" t="n"/>
      <c r="AK47" s="85" t="n"/>
      <c r="AL47" s="85" t="n"/>
      <c r="AM47" s="85" t="n"/>
      <c r="AN47" s="85" t="n"/>
      <c r="AO47" s="85" t="n"/>
      <c r="AP47" s="94" t="n"/>
      <c r="AQ47" s="89" t="n"/>
      <c r="AR47" s="95" t="inlineStr">
        <is>
          <t>N</t>
        </is>
      </c>
      <c r="AS47" s="95" t="inlineStr">
        <is>
          <t>none</t>
        </is>
      </c>
      <c r="AT47" s="101" t="n"/>
      <c r="AU47" s="96" t="n">
        <v>23.99</v>
      </c>
      <c r="AV47" s="95" t="inlineStr">
        <is>
          <t>coupon 10%</t>
        </is>
      </c>
      <c r="AW47" s="95" t="inlineStr">
        <is>
          <t>Y</t>
        </is>
      </c>
      <c r="AX47" s="95" t="inlineStr">
        <is>
          <t>2026-10-13 23:43:08</t>
        </is>
      </c>
      <c r="AY47" s="102" t="n"/>
      <c r="AZ47" s="102" t="n"/>
      <c r="BA47" s="101" t="n"/>
      <c r="BB47" s="101" t="n"/>
      <c r="BC47" s="87">
        <f>IF(AND(ISNUMBER(BA47),ISNUMBER(BB47),N(BA47)&gt;0),1-BB47/BA47,"")</f>
        <v/>
      </c>
      <c r="BD47" s="103" t="n"/>
      <c r="BE47" s="103" t="n"/>
      <c r="BF47" s="100">
        <f>IF(AND(ISNUMBER(BD47),ISNUMBER(BE47),N(BE47)&gt;0),BD47/BE47,"")</f>
        <v/>
      </c>
      <c r="BG47" s="102" t="n"/>
      <c r="BH47" s="102" t="n"/>
    </row>
    <row r="48" ht="62" customHeight="1">
      <c r="A48" s="10">
        <f>_xlfn.IMAGE("https://images-na.ssl-images-amazon.com/images/I/71pRDih9AmL.jpg")</f>
        <v/>
      </c>
      <c r="B48" s="84" t="inlineStr">
        <is>
          <t>DOUSUI</t>
        </is>
      </c>
      <c r="C48" s="32" t="inlineStr">
        <is>
          <t>Vertical Wood Welcome Sign for Front Porch Vertical Decorative Sign Front Door Outdoor Indoor Welcome Sign 47.2x7.8 Inch Large Farmhouse Style(white)</t>
        </is>
      </c>
      <c r="D48" s="84" t="inlineStr">
        <is>
          <t>Beatable</t>
        </is>
      </c>
      <c r="E48" s="84" t="inlineStr">
        <is>
          <t>B0FSZBDYV5</t>
        </is>
      </c>
      <c r="F48" s="84" t="inlineStr">
        <is>
          <t>B0FSZ8GX57</t>
        </is>
      </c>
      <c r="G48" s="84" t="n"/>
      <c r="H48" s="84" t="inlineStr">
        <is>
          <t>white</t>
        </is>
      </c>
      <c r="I48" s="85" t="n">
        <v>3</v>
      </c>
      <c r="J48" s="32" t="inlineStr"/>
      <c r="K48" s="86" t="n">
        <v>24.99</v>
      </c>
      <c r="L48" s="86" t="n"/>
      <c r="M48" s="87">
        <f>IF(AND(ISNUMBER(L48),ISNUMBER(K48),N(K48)&gt;0),L48/K48-1,"")</f>
        <v/>
      </c>
      <c r="N48" s="88">
        <f>IF(M48="","No List Price",IF(M48&lt;=0,"At/below price",IF(M48&lt;=0.12,"&lt;=12% STR zone",IF(M48&lt;=0.25,"12-25%","&gt;25% over"))))</f>
        <v/>
      </c>
      <c r="O48" s="86" t="n">
        <v>37.95</v>
      </c>
      <c r="P48" s="89">
        <f>IF(AND(ISNUMBER(K48),ISNUMBER(O48),N(O48)&gt;0),K48/O48-1,"")</f>
        <v/>
      </c>
      <c r="Q48" s="32" t="inlineStr">
        <is>
          <t>vs our blended price (Command Center, Mar 2026 - STALE)</t>
        </is>
      </c>
      <c r="R48" s="85" t="n">
        <v>65913</v>
      </c>
      <c r="S48" s="85" t="n">
        <v>81</v>
      </c>
      <c r="T48" s="90">
        <f>IF(AND(ISNUMBER(K48),ISNUMBER(S48)),K48*S48*52/12,"")</f>
        <v/>
      </c>
      <c r="U48" s="91" t="n">
        <v>3.6</v>
      </c>
      <c r="V48" s="85" t="n">
        <v>139</v>
      </c>
      <c r="W48" s="92" t="n">
        <v>46307</v>
      </c>
      <c r="X48" s="92" t="n">
        <v>45963</v>
      </c>
      <c r="Y48" s="84" t="inlineStr">
        <is>
          <t>FBA</t>
        </is>
      </c>
      <c r="Z48" s="84" t="inlineStr">
        <is>
          <t>CN</t>
        </is>
      </c>
      <c r="AA48" s="85" t="n"/>
      <c r="AB48" s="85" t="n"/>
      <c r="AC48" s="93" t="n"/>
      <c r="AD48" s="93" t="n"/>
      <c r="AE48" s="32" t="n"/>
      <c r="AF48" s="93" t="n"/>
      <c r="AG48" s="93" t="n"/>
      <c r="AH48" s="93" t="n"/>
      <c r="AI48" s="93" t="n"/>
      <c r="AJ48" s="85" t="n"/>
      <c r="AK48" s="85" t="n"/>
      <c r="AL48" s="85" t="n"/>
      <c r="AM48" s="85" t="n"/>
      <c r="AN48" s="85" t="n"/>
      <c r="AO48" s="85" t="n"/>
      <c r="AP48" s="94" t="n"/>
      <c r="AQ48" s="89" t="n"/>
      <c r="AR48" s="95" t="inlineStr">
        <is>
          <t>N</t>
        </is>
      </c>
      <c r="AS48" s="95" t="inlineStr">
        <is>
          <t>none</t>
        </is>
      </c>
      <c r="AT48" s="101" t="n"/>
      <c r="AU48" s="96" t="n">
        <v>24.99</v>
      </c>
      <c r="AV48" s="95" t="inlineStr">
        <is>
          <t>none</t>
        </is>
      </c>
      <c r="AW48" s="95" t="inlineStr">
        <is>
          <t>Y</t>
        </is>
      </c>
      <c r="AX48" s="95" t="inlineStr">
        <is>
          <t>2026-10-13 23:40:10</t>
        </is>
      </c>
      <c r="AY48" s="102" t="n"/>
      <c r="AZ48" s="102" t="n"/>
      <c r="BA48" s="101" t="n"/>
      <c r="BB48" s="101" t="n"/>
      <c r="BC48" s="87">
        <f>IF(AND(ISNUMBER(BA48),ISNUMBER(BB48),N(BA48)&gt;0),1-BB48/BA48,"")</f>
        <v/>
      </c>
      <c r="BD48" s="103" t="n"/>
      <c r="BE48" s="103" t="n"/>
      <c r="BF48" s="100">
        <f>IF(AND(ISNUMBER(BD48),ISNUMBER(BE48),N(BE48)&gt;0),BD48/BE48,"")</f>
        <v/>
      </c>
      <c r="BG48" s="102" t="n"/>
      <c r="BH48" s="102" t="n"/>
    </row>
    <row r="49" ht="62" customHeight="1">
      <c r="A49" s="10">
        <f>_xlfn.IMAGE("https://images-na.ssl-images-amazon.com/images/I/81Z4WE5vHsL.jpg")</f>
        <v/>
      </c>
      <c r="B49" s="84" t="inlineStr">
        <is>
          <t>TQianJiang</t>
        </is>
      </c>
      <c r="C49" s="32" t="inlineStr">
        <is>
          <t>Interchangeable Welcome Sign for Front Porch Standing 47"X8" Wood</t>
        </is>
      </c>
      <c r="D49" s="84" t="inlineStr">
        <is>
          <t>Beatable</t>
        </is>
      </c>
      <c r="E49" s="84" t="inlineStr">
        <is>
          <t>B0D2XCKW3D</t>
        </is>
      </c>
      <c r="F49" s="84" t="inlineStr">
        <is>
          <t>B0D2X1FT1X</t>
        </is>
      </c>
      <c r="G49" s="84" t="n"/>
      <c r="H49" s="84" t="n"/>
      <c r="I49" s="85" t="n">
        <v>3</v>
      </c>
      <c r="J49" s="32" t="inlineStr"/>
      <c r="K49" s="86" t="n">
        <v>34.99</v>
      </c>
      <c r="L49" s="86" t="n"/>
      <c r="M49" s="87">
        <f>IF(AND(ISNUMBER(L49),ISNUMBER(K49),N(K49)&gt;0),L49/K49-1,"")</f>
        <v/>
      </c>
      <c r="N49" s="88">
        <f>IF(M49="","No List Price",IF(M49&lt;=0,"At/below price",IF(M49&lt;=0.12,"&lt;=12% STR zone",IF(M49&lt;=0.25,"12-25%","&gt;25% over"))))</f>
        <v/>
      </c>
      <c r="O49" s="86" t="n">
        <v>37.95</v>
      </c>
      <c r="P49" s="89">
        <f>IF(AND(ISNUMBER(K49),ISNUMBER(O49),N(O49)&gt;0),K49/O49-1,"")</f>
        <v/>
      </c>
      <c r="Q49" s="32" t="inlineStr">
        <is>
          <t>vs our blended price (Command Center, Mar 2026 - STALE)</t>
        </is>
      </c>
      <c r="R49" s="85" t="n">
        <v>202496</v>
      </c>
      <c r="S49" s="85" t="n">
        <v>35</v>
      </c>
      <c r="T49" s="90">
        <f>IF(AND(ISNUMBER(K49),ISNUMBER(S49)),K49*S49*52/12,"")</f>
        <v/>
      </c>
      <c r="U49" s="91" t="n">
        <v>3.8</v>
      </c>
      <c r="V49" s="85" t="n">
        <v>221</v>
      </c>
      <c r="W49" s="92" t="n">
        <v>46307</v>
      </c>
      <c r="X49" s="92" t="n">
        <v>45442</v>
      </c>
      <c r="Y49" s="84" t="inlineStr">
        <is>
          <t>FBA</t>
        </is>
      </c>
      <c r="Z49" s="84" t="inlineStr">
        <is>
          <t>CN</t>
        </is>
      </c>
      <c r="AA49" s="85" t="n"/>
      <c r="AB49" s="85" t="n"/>
      <c r="AC49" s="93" t="n"/>
      <c r="AD49" s="93" t="n"/>
      <c r="AE49" s="32" t="n"/>
      <c r="AF49" s="93" t="n"/>
      <c r="AG49" s="93" t="n"/>
      <c r="AH49" s="93" t="n"/>
      <c r="AI49" s="93" t="n"/>
      <c r="AJ49" s="85" t="n"/>
      <c r="AK49" s="85" t="n"/>
      <c r="AL49" s="85" t="n"/>
      <c r="AM49" s="85" t="n"/>
      <c r="AN49" s="85" t="n"/>
      <c r="AO49" s="85" t="n"/>
      <c r="AP49" s="94" t="n"/>
      <c r="AQ49" s="89" t="n"/>
      <c r="AR49" s="95" t="inlineStr">
        <is>
          <t>N</t>
        </is>
      </c>
      <c r="AS49" s="95" t="inlineStr">
        <is>
          <t>none</t>
        </is>
      </c>
      <c r="AT49" s="101" t="n"/>
      <c r="AU49" s="96" t="n">
        <v>34.99</v>
      </c>
      <c r="AV49" s="95" t="inlineStr">
        <is>
          <t>none</t>
        </is>
      </c>
      <c r="AW49" s="95" t="inlineStr">
        <is>
          <t>Y</t>
        </is>
      </c>
      <c r="AX49" s="95" t="inlineStr">
        <is>
          <t>2026-10-13 23:43:20</t>
        </is>
      </c>
      <c r="AY49" s="102" t="n"/>
      <c r="AZ49" s="102" t="n"/>
      <c r="BA49" s="101" t="n"/>
      <c r="BB49" s="101" t="n"/>
      <c r="BC49" s="87">
        <f>IF(AND(ISNUMBER(BA49),ISNUMBER(BB49),N(BA49)&gt;0),1-BB49/BA49,"")</f>
        <v/>
      </c>
      <c r="BD49" s="103" t="n"/>
      <c r="BE49" s="103" t="n"/>
      <c r="BF49" s="100">
        <f>IF(AND(ISNUMBER(BD49),ISNUMBER(BE49),N(BE49)&gt;0),BD49/BE49,"")</f>
        <v/>
      </c>
      <c r="BG49" s="102" t="n"/>
      <c r="BH49" s="102" t="n"/>
    </row>
    <row r="50" ht="62" customHeight="1">
      <c r="A50" s="10">
        <f>_xlfn.IMAGE("https://images-na.ssl-images-amazon.com/images/I/81idvhxcZdL.jpg")</f>
        <v/>
      </c>
      <c r="B50" s="84" t="inlineStr">
        <is>
          <t>comurdyo</t>
        </is>
      </c>
      <c r="C50" s="32" t="inlineStr">
        <is>
          <t>comurdyo Welcome-ish Sign for Front porch Standing 45"X9" Wood Black</t>
        </is>
      </c>
      <c r="D50" s="84" t="inlineStr">
        <is>
          <t>Beatable</t>
        </is>
      </c>
      <c r="E50" s="84" t="inlineStr">
        <is>
          <t>B0CLV68M42</t>
        </is>
      </c>
      <c r="F50" s="84" t="inlineStr">
        <is>
          <t>B0CLV2KQ6T</t>
        </is>
      </c>
      <c r="G50" s="84" t="n"/>
      <c r="H50" s="84" t="inlineStr">
        <is>
          <t>Black</t>
        </is>
      </c>
      <c r="I50" s="85" t="n">
        <v>3</v>
      </c>
      <c r="J50" s="32" t="inlineStr"/>
      <c r="K50" s="86" t="n">
        <v>35.69</v>
      </c>
      <c r="L50" s="86" t="n">
        <v>39.89</v>
      </c>
      <c r="M50" s="87">
        <f>IF(AND(ISNUMBER(L50),ISNUMBER(K50),N(K50)&gt;0),L50/K50-1,"")</f>
        <v/>
      </c>
      <c r="N50" s="88">
        <f>IF(M50="","No List Price",IF(M50&lt;=0,"At/below price",IF(M50&lt;=0.12,"&lt;=12% STR zone",IF(M50&lt;=0.25,"12-25%","&gt;25% over"))))</f>
        <v/>
      </c>
      <c r="O50" s="86" t="n">
        <v>37.95</v>
      </c>
      <c r="P50" s="89">
        <f>IF(AND(ISNUMBER(K50),ISNUMBER(O50),N(O50)&gt;0),K50/O50-1,"")</f>
        <v/>
      </c>
      <c r="Q50" s="32" t="inlineStr">
        <is>
          <t>vs our blended price (Command Center, Mar 2026 - STALE)</t>
        </is>
      </c>
      <c r="R50" s="85" t="n">
        <v>62615</v>
      </c>
      <c r="S50" s="85" t="n">
        <v>18</v>
      </c>
      <c r="T50" s="90">
        <f>IF(AND(ISNUMBER(K50),ISNUMBER(S50)),K50*S50*52/12,"")</f>
        <v/>
      </c>
      <c r="U50" s="91" t="n">
        <v>4.2</v>
      </c>
      <c r="V50" s="85" t="n">
        <v>263</v>
      </c>
      <c r="W50" s="92" t="n">
        <v>46307</v>
      </c>
      <c r="X50" s="92" t="n">
        <v>45258</v>
      </c>
      <c r="Y50" s="84" t="inlineStr">
        <is>
          <t>FBA</t>
        </is>
      </c>
      <c r="Z50" s="84" t="inlineStr">
        <is>
          <t>CN</t>
        </is>
      </c>
      <c r="AA50" s="85" t="n"/>
      <c r="AB50" s="85" t="n"/>
      <c r="AC50" s="93" t="n"/>
      <c r="AD50" s="93" t="n"/>
      <c r="AE50" s="32" t="n"/>
      <c r="AF50" s="93" t="n"/>
      <c r="AG50" s="93" t="n"/>
      <c r="AH50" s="93" t="n"/>
      <c r="AI50" s="93" t="n"/>
      <c r="AJ50" s="85" t="n"/>
      <c r="AK50" s="85" t="n"/>
      <c r="AL50" s="85" t="n"/>
      <c r="AM50" s="85" t="n"/>
      <c r="AN50" s="85" t="n"/>
      <c r="AO50" s="85" t="n"/>
      <c r="AP50" s="94" t="n"/>
      <c r="AQ50" s="89" t="n"/>
      <c r="AR50" s="95" t="inlineStr">
        <is>
          <t>Y</t>
        </is>
      </c>
      <c r="AS50" s="95" t="inlineStr">
        <is>
          <t>Typical price</t>
        </is>
      </c>
      <c r="AT50" s="96" t="n">
        <v>39.89</v>
      </c>
      <c r="AU50" s="96" t="n">
        <v>35.69</v>
      </c>
      <c r="AV50" s="95" t="inlineStr">
        <is>
          <t>none</t>
        </is>
      </c>
      <c r="AW50" s="95" t="inlineStr">
        <is>
          <t>Y</t>
        </is>
      </c>
      <c r="AX50" s="95" t="inlineStr">
        <is>
          <t>2026-10-13 23:44:13</t>
        </is>
      </c>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39" t="inlineStr">
        <is>
          <t>IMAGE MISSING</t>
        </is>
      </c>
      <c r="B51" s="84" t="inlineStr">
        <is>
          <t>LianheCy</t>
        </is>
      </c>
      <c r="C51" s="32" t="inlineStr">
        <is>
          <t>Front Door Welcome Sign</t>
        </is>
      </c>
      <c r="D51" s="84" t="inlineStr">
        <is>
          <t>Beatable</t>
        </is>
      </c>
      <c r="E51" s="84" t="inlineStr">
        <is>
          <t>B0FSCRCQQR</t>
        </is>
      </c>
      <c r="F51" s="84" t="inlineStr">
        <is>
          <t>B0FSD5K63B</t>
        </is>
      </c>
      <c r="G51" s="84" t="n"/>
      <c r="H51" s="84" t="n"/>
      <c r="I51" s="85" t="n"/>
      <c r="J51" s="32" t="inlineStr"/>
      <c r="K51" s="86" t="n">
        <v>24.99</v>
      </c>
      <c r="L51" s="86" t="n"/>
      <c r="M51" s="87">
        <f>IF(AND(ISNUMBER(L51),ISNUMBER(K51),N(K51)&gt;0),L51/K51-1,"")</f>
        <v/>
      </c>
      <c r="N51" s="88">
        <f>IF(M51="","No List Price",IF(M51&lt;=0,"At/below price",IF(M51&lt;=0.12,"&lt;=12% STR zone",IF(M51&lt;=0.25,"12-25%","&gt;25% over"))))</f>
        <v/>
      </c>
      <c r="O51" s="86" t="n">
        <v>37.95</v>
      </c>
      <c r="P51" s="89">
        <f>IF(AND(ISNUMBER(K51),ISNUMBER(O51),N(O51)&gt;0),K51/O51-1,"")</f>
        <v/>
      </c>
      <c r="Q51" s="32" t="inlineStr">
        <is>
          <t>vs our blended price (Command Center, Mar 2026 - STALE)</t>
        </is>
      </c>
      <c r="R51" s="85" t="n">
        <v>176481</v>
      </c>
      <c r="S51" s="85" t="n">
        <v>18</v>
      </c>
      <c r="T51" s="90">
        <f>IF(AND(ISNUMBER(K51),ISNUMBER(S51)),K51*S51*52/12,"")</f>
        <v/>
      </c>
      <c r="U51" s="91" t="n">
        <v>4</v>
      </c>
      <c r="V51" s="85" t="n">
        <v>115</v>
      </c>
      <c r="W51" s="92" t="n">
        <v>46307</v>
      </c>
      <c r="X51" s="92" t="n"/>
      <c r="Y51" s="84" t="n"/>
      <c r="Z51" s="84" t="n"/>
      <c r="AA51" s="85" t="n"/>
      <c r="AB51" s="85" t="n"/>
      <c r="AC51" s="93" t="n"/>
      <c r="AD51" s="93" t="n"/>
      <c r="AE51" s="32" t="n"/>
      <c r="AF51" s="93" t="n"/>
      <c r="AG51" s="93" t="n"/>
      <c r="AH51" s="93" t="n"/>
      <c r="AI51" s="93" t="n"/>
      <c r="AJ51" s="85" t="n"/>
      <c r="AK51" s="85" t="n"/>
      <c r="AL51" s="85" t="n"/>
      <c r="AM51" s="85" t="n"/>
      <c r="AN51" s="85" t="n"/>
      <c r="AO51" s="85" t="n"/>
      <c r="AP51" s="94" t="n"/>
      <c r="AQ51" s="89" t="n"/>
      <c r="AR51" s="95" t="inlineStr">
        <is>
          <t>N</t>
        </is>
      </c>
      <c r="AS51" s="95" t="inlineStr">
        <is>
          <t>none</t>
        </is>
      </c>
      <c r="AT51" s="101" t="n"/>
      <c r="AU51" s="96" t="n">
        <v>24.99</v>
      </c>
      <c r="AV51" s="95" t="inlineStr">
        <is>
          <t>none</t>
        </is>
      </c>
      <c r="AW51" s="95" t="inlineStr">
        <is>
          <t>Y</t>
        </is>
      </c>
      <c r="AX51" s="95" t="inlineStr">
        <is>
          <t>2026-10-13 23:41:37</t>
        </is>
      </c>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10">
        <f>_xlfn.IMAGE("https://images-na.ssl-images-amazon.com/images/I/71-ZcYRNwZL.jpg")</f>
        <v/>
      </c>
      <c r="B52" s="84" t="inlineStr">
        <is>
          <t>MODE HOME</t>
        </is>
      </c>
      <c r="C52" s="32" t="inlineStr">
        <is>
          <t>MODE HOME Large Vertical Welcome Sign for Front Door Porch, 47x10 Inch Solid Wood Farmhouse Porch Decor, 3D Raised Letters Rustic Welcome to Our Home Sign with Beads &amp; Bow, No Assembly Required, Whitewashed</t>
        </is>
      </c>
      <c r="D52" s="84" t="inlineStr">
        <is>
          <t>Beatable</t>
        </is>
      </c>
      <c r="E52" s="84" t="inlineStr">
        <is>
          <t>B0BTW5F4LQ</t>
        </is>
      </c>
      <c r="F52" s="84" t="inlineStr">
        <is>
          <t>B0DM8RQ2MV</t>
        </is>
      </c>
      <c r="G52" s="84" t="n"/>
      <c r="H52" s="84" t="n"/>
      <c r="I52" s="85" t="n">
        <v>3</v>
      </c>
      <c r="J52" s="32" t="inlineStr"/>
      <c r="K52" s="86" t="n">
        <v>43.99</v>
      </c>
      <c r="L52" s="86" t="n"/>
      <c r="M52" s="87">
        <f>IF(AND(ISNUMBER(L52),ISNUMBER(K52),N(K52)&gt;0),L52/K52-1,"")</f>
        <v/>
      </c>
      <c r="N52" s="88">
        <f>IF(M52="","No List Price",IF(M52&lt;=0,"At/below price",IF(M52&lt;=0.12,"&lt;=12% STR zone",IF(M52&lt;=0.25,"12-25%","&gt;25% over"))))</f>
        <v/>
      </c>
      <c r="O52" s="86" t="n">
        <v>37.95</v>
      </c>
      <c r="P52" s="89">
        <f>IF(AND(ISNUMBER(K52),ISNUMBER(O52),N(O52)&gt;0),K52/O52-1,"")</f>
        <v/>
      </c>
      <c r="Q52" s="32" t="inlineStr">
        <is>
          <t>vs our blended price (Command Center, Mar 2026 - STALE)</t>
        </is>
      </c>
      <c r="R52" s="85" t="n">
        <v>216901</v>
      </c>
      <c r="S52" s="85" t="n">
        <v>18</v>
      </c>
      <c r="T52" s="90">
        <f>IF(AND(ISNUMBER(K52),ISNUMBER(S52)),K52*S52*52/12,"")</f>
        <v/>
      </c>
      <c r="U52" s="91" t="n">
        <v>4.4</v>
      </c>
      <c r="V52" s="85" t="n">
        <v>312</v>
      </c>
      <c r="W52" s="92" t="n">
        <v>46307</v>
      </c>
      <c r="X52" s="92" t="n">
        <v>45640</v>
      </c>
      <c r="Y52" s="84" t="inlineStr">
        <is>
          <t>FBA</t>
        </is>
      </c>
      <c r="Z52" s="84" t="inlineStr">
        <is>
          <t>CN</t>
        </is>
      </c>
      <c r="AA52" s="85" t="n"/>
      <c r="AB52" s="85" t="n"/>
      <c r="AC52" s="93" t="n"/>
      <c r="AD52" s="93" t="n"/>
      <c r="AE52" s="32" t="n"/>
      <c r="AF52" s="93" t="n"/>
      <c r="AG52" s="93" t="n"/>
      <c r="AH52" s="93" t="n"/>
      <c r="AI52" s="93" t="n"/>
      <c r="AJ52" s="85" t="n"/>
      <c r="AK52" s="85" t="n"/>
      <c r="AL52" s="85" t="n"/>
      <c r="AM52" s="85" t="n"/>
      <c r="AN52" s="85" t="n"/>
      <c r="AO52" s="85" t="n"/>
      <c r="AP52" s="94" t="n"/>
      <c r="AQ52" s="89" t="n"/>
      <c r="AR52" s="95" t="inlineStr">
        <is>
          <t>N</t>
        </is>
      </c>
      <c r="AS52" s="95" t="inlineStr">
        <is>
          <t>none</t>
        </is>
      </c>
      <c r="AT52" s="101" t="n"/>
      <c r="AU52" s="96" t="n">
        <v>43.99</v>
      </c>
      <c r="AV52" s="95" t="inlineStr">
        <is>
          <t>none</t>
        </is>
      </c>
      <c r="AW52" s="95" t="inlineStr">
        <is>
          <t>Y</t>
        </is>
      </c>
      <c r="AX52" s="95" t="inlineStr">
        <is>
          <t>2026-10-13 23:41:50</t>
        </is>
      </c>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39" t="inlineStr">
        <is>
          <t>IMAGE MISSING</t>
        </is>
      </c>
      <c r="B53" s="84" t="inlineStr">
        <is>
          <t>SRSZHIYUE</t>
        </is>
      </c>
      <c r="C53" s="32" t="inlineStr">
        <is>
          <t>Front Door Welcome Sign</t>
        </is>
      </c>
      <c r="D53" s="84" t="inlineStr">
        <is>
          <t>Beatable</t>
        </is>
      </c>
      <c r="E53" s="84" t="inlineStr">
        <is>
          <t>B0HDS72F19</t>
        </is>
      </c>
      <c r="F53" s="84" t="inlineStr">
        <is>
          <t>B0FLPZN8VF</t>
        </is>
      </c>
      <c r="G53" s="84" t="n"/>
      <c r="H53" s="84" t="n"/>
      <c r="I53" s="85" t="n"/>
      <c r="J53" s="32" t="inlineStr"/>
      <c r="K53" s="86" t="n">
        <v>40.89</v>
      </c>
      <c r="L53" s="86" t="n"/>
      <c r="M53" s="87">
        <f>IF(AND(ISNUMBER(L53),ISNUMBER(K53),N(K53)&gt;0),L53/K53-1,"")</f>
        <v/>
      </c>
      <c r="N53" s="88">
        <f>IF(M53="","No List Price",IF(M53&lt;=0,"At/below price",IF(M53&lt;=0.12,"&lt;=12% STR zone",IF(M53&lt;=0.25,"12-25%","&gt;25% over"))))</f>
        <v/>
      </c>
      <c r="O53" s="86" t="n">
        <v>37.95</v>
      </c>
      <c r="P53" s="89">
        <f>IF(AND(ISNUMBER(K53),ISNUMBER(O53),N(O53)&gt;0),K53/O53-1,"")</f>
        <v/>
      </c>
      <c r="Q53" s="32" t="inlineStr">
        <is>
          <t>vs our blended price (Command Center, Mar 2026 - STALE)</t>
        </is>
      </c>
      <c r="R53" s="85" t="n">
        <v>119925</v>
      </c>
      <c r="S53" s="85" t="n">
        <v>18</v>
      </c>
      <c r="T53" s="90">
        <f>IF(AND(ISNUMBER(K53),ISNUMBER(S53)),K53*S53*52/12,"")</f>
        <v/>
      </c>
      <c r="U53" s="91" t="n">
        <v>3.9</v>
      </c>
      <c r="V53" s="85" t="n">
        <v>23</v>
      </c>
      <c r="W53" s="92" t="n">
        <v>46307</v>
      </c>
      <c r="X53" s="92" t="n"/>
      <c r="Y53" s="84" t="n"/>
      <c r="Z53" s="84" t="n"/>
      <c r="AA53" s="85" t="n"/>
      <c r="AB53" s="85" t="n"/>
      <c r="AC53" s="93" t="n"/>
      <c r="AD53" s="93" t="n"/>
      <c r="AE53" s="32" t="n"/>
      <c r="AF53" s="93" t="n"/>
      <c r="AG53" s="93" t="n"/>
      <c r="AH53" s="93" t="n"/>
      <c r="AI53" s="93" t="n"/>
      <c r="AJ53" s="85" t="n"/>
      <c r="AK53" s="85" t="n"/>
      <c r="AL53" s="85" t="n"/>
      <c r="AM53" s="85" t="n"/>
      <c r="AN53" s="85" t="n"/>
      <c r="AO53" s="85" t="n"/>
      <c r="AP53" s="94" t="n"/>
      <c r="AQ53" s="89" t="n"/>
      <c r="AR53" s="95" t="inlineStr">
        <is>
          <t>N</t>
        </is>
      </c>
      <c r="AS53" s="95" t="inlineStr">
        <is>
          <t>none</t>
        </is>
      </c>
      <c r="AT53" s="101" t="n"/>
      <c r="AU53" s="96" t="n">
        <v>40.89</v>
      </c>
      <c r="AV53" s="95" t="inlineStr">
        <is>
          <t>none</t>
        </is>
      </c>
      <c r="AW53" s="95" t="inlineStr">
        <is>
          <t>Y</t>
        </is>
      </c>
      <c r="AX53" s="95" t="inlineStr">
        <is>
          <t>2026-10-13 23:42:50</t>
        </is>
      </c>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10">
        <f>_xlfn.IMAGE("https://images-na.ssl-images-amazon.com/images/I/71pQygIBqtL.jpg")</f>
        <v/>
      </c>
      <c r="B54" s="84" t="inlineStr">
        <is>
          <t>Yalikop</t>
        </is>
      </c>
      <c r="C54" s="32" t="inlineStr">
        <is>
          <t>Yalikop Interchangeable Welcome Sign for Front Porch 47 x 7.9'', Wood Color</t>
        </is>
      </c>
      <c r="D54" s="84" t="inlineStr">
        <is>
          <t>Beatable</t>
        </is>
      </c>
      <c r="E54" s="84" t="inlineStr">
        <is>
          <t>B0FCS2QVKW</t>
        </is>
      </c>
      <c r="F54" s="84" t="inlineStr">
        <is>
          <t>B0FCRYV96S</t>
        </is>
      </c>
      <c r="G54" s="84" t="n"/>
      <c r="H54" s="84" t="n"/>
      <c r="I54" s="85" t="n">
        <v>2</v>
      </c>
      <c r="J54" s="32" t="inlineStr"/>
      <c r="K54" s="86" t="n">
        <v>39.99</v>
      </c>
      <c r="L54" s="86" t="n"/>
      <c r="M54" s="87">
        <f>IF(AND(ISNUMBER(L54),ISNUMBER(K54),N(K54)&gt;0),L54/K54-1,"")</f>
        <v/>
      </c>
      <c r="N54" s="88">
        <f>IF(M54="","No List Price",IF(M54&lt;=0,"At/below price",IF(M54&lt;=0.12,"&lt;=12% STR zone",IF(M54&lt;=0.25,"12-25%","&gt;25% over"))))</f>
        <v/>
      </c>
      <c r="O54" s="86" t="n">
        <v>37.95</v>
      </c>
      <c r="P54" s="89">
        <f>IF(AND(ISNUMBER(K54),ISNUMBER(O54),N(O54)&gt;0),K54/O54-1,"")</f>
        <v/>
      </c>
      <c r="Q54" s="32" t="inlineStr">
        <is>
          <t>vs our blended price (Command Center, Mar 2026 - STALE)</t>
        </is>
      </c>
      <c r="R54" s="85" t="n">
        <v>245605</v>
      </c>
      <c r="S54" s="85" t="n">
        <v>18</v>
      </c>
      <c r="T54" s="90">
        <f>IF(AND(ISNUMBER(K54),ISNUMBER(S54)),K54*S54*52/12,"")</f>
        <v/>
      </c>
      <c r="U54" s="91" t="n">
        <v>3.8</v>
      </c>
      <c r="V54" s="85" t="n">
        <v>51</v>
      </c>
      <c r="W54" s="92" t="n">
        <v>46307</v>
      </c>
      <c r="X54" s="92" t="n">
        <v>45819</v>
      </c>
      <c r="Y54" s="84" t="inlineStr">
        <is>
          <t>FBA</t>
        </is>
      </c>
      <c r="Z54" s="84" t="inlineStr">
        <is>
          <t>CN</t>
        </is>
      </c>
      <c r="AA54" s="85" t="n"/>
      <c r="AB54" s="85" t="n"/>
      <c r="AC54" s="93" t="n"/>
      <c r="AD54" s="93" t="n"/>
      <c r="AE54" s="32" t="n"/>
      <c r="AF54" s="93" t="n"/>
      <c r="AG54" s="93" t="n"/>
      <c r="AH54" s="93" t="n"/>
      <c r="AI54" s="93" t="n"/>
      <c r="AJ54" s="85" t="n"/>
      <c r="AK54" s="85" t="n"/>
      <c r="AL54" s="85" t="n"/>
      <c r="AM54" s="85" t="n"/>
      <c r="AN54" s="85" t="n"/>
      <c r="AO54" s="85" t="n"/>
      <c r="AP54" s="94" t="n"/>
      <c r="AQ54" s="89" t="n"/>
      <c r="AR54" s="95" t="inlineStr">
        <is>
          <t>N</t>
        </is>
      </c>
      <c r="AS54" s="95" t="inlineStr">
        <is>
          <t>none</t>
        </is>
      </c>
      <c r="AT54" s="101" t="n"/>
      <c r="AU54" s="96" t="n">
        <v>39.99</v>
      </c>
      <c r="AV54" s="95" t="inlineStr">
        <is>
          <t>none</t>
        </is>
      </c>
      <c r="AW54" s="95" t="inlineStr">
        <is>
          <t>Y</t>
        </is>
      </c>
      <c r="AX54" s="95" t="inlineStr">
        <is>
          <t>2026-10-13 23:43:52</t>
        </is>
      </c>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10">
        <f>_xlfn.IMAGE("https://images-na.ssl-images-amazon.com/images/I/8173SwtzP6L.jpg")</f>
        <v/>
      </c>
      <c r="B55" s="84" t="inlineStr">
        <is>
          <t>Consevisen</t>
        </is>
      </c>
      <c r="C55" s="32" t="inlineStr">
        <is>
          <t>Consevisen Welcome Sign for Front Door Porch Standing, Interchangeable 47 x 7.9 Inch Outdoor Vertical Wooden Welcome Sign with 12 Seasonal Icons for Spring Fall Christmas Easter Farmhouse Home Decor</t>
        </is>
      </c>
      <c r="D55" s="84" t="inlineStr">
        <is>
          <t>Beatable</t>
        </is>
      </c>
      <c r="E55" s="84" t="inlineStr">
        <is>
          <t>B0CKVSC1SZ</t>
        </is>
      </c>
      <c r="F55" s="84" t="inlineStr">
        <is>
          <t>B0CKVPXJ8Z</t>
        </is>
      </c>
      <c r="G55" s="84" t="n"/>
      <c r="H55" s="84" t="n"/>
      <c r="I55" s="85" t="n">
        <v>1</v>
      </c>
      <c r="J55" s="32" t="inlineStr"/>
      <c r="K55" s="86" t="n">
        <v>31.99</v>
      </c>
      <c r="L55" s="86" t="n"/>
      <c r="M55" s="87">
        <f>IF(AND(ISNUMBER(L55),ISNUMBER(K55),N(K55)&gt;0),L55/K55-1,"")</f>
        <v/>
      </c>
      <c r="N55" s="88">
        <f>IF(M55="","No List Price",IF(M55&lt;=0,"At/below price",IF(M55&lt;=0.12,"&lt;=12% STR zone",IF(M55&lt;=0.25,"12-25%","&gt;25% over"))))</f>
        <v/>
      </c>
      <c r="O55" s="86" t="n">
        <v>37.95</v>
      </c>
      <c r="P55" s="89">
        <f>IF(AND(ISNUMBER(K55),ISNUMBER(O55),N(O55)&gt;0),K55/O55-1,"")</f>
        <v/>
      </c>
      <c r="Q55" s="32" t="inlineStr">
        <is>
          <t>vs our blended price (Command Center, Mar 2026 - STALE)</t>
        </is>
      </c>
      <c r="R55" s="85" t="n">
        <v>736260</v>
      </c>
      <c r="S55" s="85" t="n">
        <v>5</v>
      </c>
      <c r="T55" s="90">
        <f>IF(AND(ISNUMBER(K55),ISNUMBER(S55)),K55*S55*52/12,"")</f>
        <v/>
      </c>
      <c r="U55" s="91" t="n">
        <v>3.5</v>
      </c>
      <c r="V55" s="85" t="n">
        <v>198</v>
      </c>
      <c r="W55" s="92" t="n">
        <v>46307</v>
      </c>
      <c r="X55" s="92" t="n">
        <v>45246</v>
      </c>
      <c r="Y55" s="84" t="inlineStr">
        <is>
          <t>FBM</t>
        </is>
      </c>
      <c r="Z55" s="84" t="inlineStr">
        <is>
          <t>N/A</t>
        </is>
      </c>
      <c r="AA55" s="85" t="n"/>
      <c r="AB55" s="85" t="n"/>
      <c r="AC55" s="93" t="n"/>
      <c r="AD55" s="93" t="n"/>
      <c r="AE55" s="32" t="n"/>
      <c r="AF55" s="93" t="n"/>
      <c r="AG55" s="93" t="n"/>
      <c r="AH55" s="93" t="n"/>
      <c r="AI55" s="93" t="n"/>
      <c r="AJ55" s="85" t="n"/>
      <c r="AK55" s="85" t="n"/>
      <c r="AL55" s="85" t="n"/>
      <c r="AM55" s="85" t="n"/>
      <c r="AN55" s="85" t="n"/>
      <c r="AO55" s="85" t="n"/>
      <c r="AP55" s="94" t="n"/>
      <c r="AQ55" s="89" t="n"/>
      <c r="AR55" s="95" t="inlineStr">
        <is>
          <t>N</t>
        </is>
      </c>
      <c r="AS55" s="95" t="inlineStr">
        <is>
          <t>none</t>
        </is>
      </c>
      <c r="AT55" s="101" t="n"/>
      <c r="AU55" s="101" t="n"/>
      <c r="AV55" s="95" t="inlineStr">
        <is>
          <t>none</t>
        </is>
      </c>
      <c r="AW55" s="95" t="inlineStr">
        <is>
          <t>N</t>
        </is>
      </c>
      <c r="AX55" s="95" t="inlineStr">
        <is>
          <t>2026-10-13 23:40:04</t>
        </is>
      </c>
      <c r="AY55" s="102" t="n"/>
      <c r="AZ55" s="102" t="n"/>
      <c r="BA55" s="101" t="n"/>
      <c r="BB55" s="101" t="n"/>
      <c r="BC55" s="87">
        <f>IF(AND(ISNUMBER(BA55),ISNUMBER(BB55),N(BA55)&gt;0),1-BB55/BA55,"")</f>
        <v/>
      </c>
      <c r="BD55" s="103" t="n"/>
      <c r="BE55" s="103" t="n"/>
      <c r="BF55" s="100">
        <f>IF(AND(ISNUMBER(BD55),ISNUMBER(BE55),N(BE55)&gt;0),BD55/BE55,"")</f>
        <v/>
      </c>
      <c r="BG55" s="102" t="n"/>
      <c r="BH55" s="102" t="n"/>
    </row>
    <row r="56" ht="62" customHeight="1">
      <c r="A56" s="39" t="inlineStr">
        <is>
          <t>IMAGE MISSING</t>
        </is>
      </c>
      <c r="B56" s="84" t="inlineStr">
        <is>
          <t>flowtorely</t>
        </is>
      </c>
      <c r="C56" s="32" t="inlineStr">
        <is>
          <t>Front Door Welcome Sign</t>
        </is>
      </c>
      <c r="D56" s="84" t="inlineStr">
        <is>
          <t>Beatable</t>
        </is>
      </c>
      <c r="E56" s="84" t="inlineStr">
        <is>
          <t>B0GMWJVN14</t>
        </is>
      </c>
      <c r="F56" s="84" t="inlineStr">
        <is>
          <t>B0D5HJM483</t>
        </is>
      </c>
      <c r="G56" s="84" t="n"/>
      <c r="H56" s="84" t="n"/>
      <c r="I56" s="85" t="n"/>
      <c r="J56" s="32" t="inlineStr"/>
      <c r="K56" s="86" t="n">
        <v>40.99</v>
      </c>
      <c r="L56" s="86" t="n"/>
      <c r="M56" s="87">
        <f>IF(AND(ISNUMBER(L56),ISNUMBER(K56),N(K56)&gt;0),L56/K56-1,"")</f>
        <v/>
      </c>
      <c r="N56" s="88">
        <f>IF(M56="","No List Price",IF(M56&lt;=0,"At/below price",IF(M56&lt;=0.12,"&lt;=12% STR zone",IF(M56&lt;=0.25,"12-25%","&gt;25% over"))))</f>
        <v/>
      </c>
      <c r="O56" s="86" t="n">
        <v>37.95</v>
      </c>
      <c r="P56" s="89">
        <f>IF(AND(ISNUMBER(K56),ISNUMBER(O56),N(O56)&gt;0),K56/O56-1,"")</f>
        <v/>
      </c>
      <c r="Q56" s="32" t="inlineStr">
        <is>
          <t>vs our blended price (Command Center, Mar 2026 - STALE)</t>
        </is>
      </c>
      <c r="R56" s="85" t="n">
        <v>203350</v>
      </c>
      <c r="S56" s="85" t="n">
        <v>5</v>
      </c>
      <c r="T56" s="90">
        <f>IF(AND(ISNUMBER(K56),ISNUMBER(S56)),K56*S56*52/12,"")</f>
        <v/>
      </c>
      <c r="U56" s="91" t="n">
        <v>4.5</v>
      </c>
      <c r="V56" s="85" t="n">
        <v>557</v>
      </c>
      <c r="W56" s="92" t="n">
        <v>46307</v>
      </c>
      <c r="X56" s="92" t="n"/>
      <c r="Y56" s="84" t="n"/>
      <c r="Z56" s="84" t="n"/>
      <c r="AA56" s="85" t="n"/>
      <c r="AB56" s="85" t="n"/>
      <c r="AC56" s="93" t="n"/>
      <c r="AD56" s="93" t="n"/>
      <c r="AE56" s="32" t="n"/>
      <c r="AF56" s="93" t="n"/>
      <c r="AG56" s="93" t="n"/>
      <c r="AH56" s="93" t="n"/>
      <c r="AI56" s="93" t="n"/>
      <c r="AJ56" s="85" t="n"/>
      <c r="AK56" s="85" t="n"/>
      <c r="AL56" s="85" t="n"/>
      <c r="AM56" s="85" t="n"/>
      <c r="AN56" s="85" t="n"/>
      <c r="AO56" s="85" t="n"/>
      <c r="AP56" s="94" t="n"/>
      <c r="AQ56" s="89" t="n"/>
      <c r="AR56" s="95" t="inlineStr">
        <is>
          <t>N</t>
        </is>
      </c>
      <c r="AS56" s="95" t="inlineStr">
        <is>
          <t>none</t>
        </is>
      </c>
      <c r="AT56" s="101" t="n"/>
      <c r="AU56" s="96" t="n">
        <v>40.99</v>
      </c>
      <c r="AV56" s="95" t="inlineStr">
        <is>
          <t>none</t>
        </is>
      </c>
      <c r="AW56" s="95" t="inlineStr">
        <is>
          <t>Y</t>
        </is>
      </c>
      <c r="AX56" s="95" t="inlineStr">
        <is>
          <t>2026-10-13 23:44:16</t>
        </is>
      </c>
      <c r="AY56" s="102" t="n"/>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10">
        <f>_xlfn.IMAGE("https://images-na.ssl-images-amazon.com/images/I/81l+mEjvGuL.jpg")</f>
        <v/>
      </c>
      <c r="B57" s="84" t="inlineStr">
        <is>
          <t>Hentonwell</t>
        </is>
      </c>
      <c r="C57" s="32" t="inlineStr">
        <is>
          <t>Welcome Porch Sign Decor,Hanging Wooden Door Sign,Rustic Porch Standing Decorative Signs,Vertical Plaques for Front Door,Farmhouse Outdoor Indoor Welcome Sign 47.2"H（Black）</t>
        </is>
      </c>
      <c r="D57" s="84" t="inlineStr">
        <is>
          <t>Beatable</t>
        </is>
      </c>
      <c r="E57" s="84" t="inlineStr">
        <is>
          <t>B0FHWJW2GJ</t>
        </is>
      </c>
      <c r="F57" s="84" t="inlineStr">
        <is>
          <t>B0FHWKTVFW</t>
        </is>
      </c>
      <c r="G57" s="84" t="n"/>
      <c r="H57" s="84" t="inlineStr">
        <is>
          <t>Black</t>
        </is>
      </c>
      <c r="I57" s="85" t="n">
        <v>1</v>
      </c>
      <c r="J57" s="32" t="inlineStr"/>
      <c r="K57" s="86" t="n">
        <v>23.99</v>
      </c>
      <c r="L57" s="86" t="n">
        <v>26.99</v>
      </c>
      <c r="M57" s="87">
        <f>IF(AND(ISNUMBER(L57),ISNUMBER(K57),N(K57)&gt;0),L57/K57-1,"")</f>
        <v/>
      </c>
      <c r="N57" s="88">
        <f>IF(M57="","No List Price",IF(M57&lt;=0,"At/below price",IF(M57&lt;=0.12,"&lt;=12% STR zone",IF(M57&lt;=0.25,"12-25%","&gt;25% over"))))</f>
        <v/>
      </c>
      <c r="O57" s="86" t="n">
        <v>37.95</v>
      </c>
      <c r="P57" s="89">
        <f>IF(AND(ISNUMBER(K57),ISNUMBER(O57),N(O57)&gt;0),K57/O57-1,"")</f>
        <v/>
      </c>
      <c r="Q57" s="32" t="inlineStr">
        <is>
          <t>vs our blended price (Command Center, Mar 2026 - STALE)</t>
        </is>
      </c>
      <c r="R57" s="85" t="n">
        <v>854564</v>
      </c>
      <c r="S57" s="85" t="n">
        <v>5</v>
      </c>
      <c r="T57" s="90">
        <f>IF(AND(ISNUMBER(K57),ISNUMBER(S57)),K57*S57*52/12,"")</f>
        <v/>
      </c>
      <c r="U57" s="91" t="n">
        <v>4</v>
      </c>
      <c r="V57" s="85" t="n">
        <v>54</v>
      </c>
      <c r="W57" s="92" t="n">
        <v>46307</v>
      </c>
      <c r="X57" s="92" t="n">
        <v>45868</v>
      </c>
      <c r="Y57" s="84" t="inlineStr">
        <is>
          <t>FBA</t>
        </is>
      </c>
      <c r="Z57" s="84" t="inlineStr">
        <is>
          <t>CN</t>
        </is>
      </c>
      <c r="AA57" s="85" t="n"/>
      <c r="AB57" s="85" t="n"/>
      <c r="AC57" s="93" t="n"/>
      <c r="AD57" s="93" t="n"/>
      <c r="AE57" s="32" t="n"/>
      <c r="AF57" s="93" t="n"/>
      <c r="AG57" s="93" t="n"/>
      <c r="AH57" s="93" t="n"/>
      <c r="AI57" s="93" t="n"/>
      <c r="AJ57" s="85" t="n"/>
      <c r="AK57" s="85" t="n"/>
      <c r="AL57" s="85" t="n"/>
      <c r="AM57" s="85" t="n"/>
      <c r="AN57" s="85" t="n"/>
      <c r="AO57" s="85" t="n"/>
      <c r="AP57" s="94" t="n"/>
      <c r="AQ57" s="89" t="n"/>
      <c r="AR57" s="95" t="inlineStr">
        <is>
          <t>Y</t>
        </is>
      </c>
      <c r="AS57" s="95" t="inlineStr">
        <is>
          <t>Typical price</t>
        </is>
      </c>
      <c r="AT57" s="96" t="n">
        <v>26.99</v>
      </c>
      <c r="AU57" s="96" t="n">
        <v>23.99</v>
      </c>
      <c r="AV57" s="95" t="inlineStr">
        <is>
          <t>none</t>
        </is>
      </c>
      <c r="AW57" s="95" t="inlineStr">
        <is>
          <t>Y</t>
        </is>
      </c>
      <c r="AX57" s="95" t="inlineStr">
        <is>
          <t>2026-10-13 23:41:12</t>
        </is>
      </c>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39" t="inlineStr">
        <is>
          <t>IMAGE MISSING</t>
        </is>
      </c>
      <c r="B58" s="84" t="inlineStr">
        <is>
          <t>homuvdok</t>
        </is>
      </c>
      <c r="C58" s="32" t="inlineStr">
        <is>
          <t>Front Door Welcome Sign</t>
        </is>
      </c>
      <c r="D58" s="84" t="inlineStr">
        <is>
          <t>Beatable</t>
        </is>
      </c>
      <c r="E58" s="84" t="inlineStr">
        <is>
          <t>B0G2XD3DW6</t>
        </is>
      </c>
      <c r="F58" s="84" t="inlineStr">
        <is>
          <t>B0FWC4V93F</t>
        </is>
      </c>
      <c r="G58" s="84" t="n"/>
      <c r="H58" s="84" t="n"/>
      <c r="I58" s="85" t="n"/>
      <c r="J58" s="32" t="inlineStr"/>
      <c r="K58" s="86" t="n">
        <v>25.99</v>
      </c>
      <c r="L58" s="86" t="n"/>
      <c r="M58" s="87">
        <f>IF(AND(ISNUMBER(L58),ISNUMBER(K58),N(K58)&gt;0),L58/K58-1,"")</f>
        <v/>
      </c>
      <c r="N58" s="88">
        <f>IF(M58="","No List Price",IF(M58&lt;=0,"At/below price",IF(M58&lt;=0.12,"&lt;=12% STR zone",IF(M58&lt;=0.25,"12-25%","&gt;25% over"))))</f>
        <v/>
      </c>
      <c r="O58" s="86" t="n">
        <v>37.95</v>
      </c>
      <c r="P58" s="89">
        <f>IF(AND(ISNUMBER(K58),ISNUMBER(O58),N(O58)&gt;0),K58/O58-1,"")</f>
        <v/>
      </c>
      <c r="Q58" s="32" t="inlineStr">
        <is>
          <t>vs our blended price (Command Center, Mar 2026 - STALE)</t>
        </is>
      </c>
      <c r="R58" s="85" t="n">
        <v>89173</v>
      </c>
      <c r="S58" s="85" t="n">
        <v>5</v>
      </c>
      <c r="T58" s="90">
        <f>IF(AND(ISNUMBER(K58),ISNUMBER(S58)),K58*S58*52/12,"")</f>
        <v/>
      </c>
      <c r="U58" s="91" t="n">
        <v>4</v>
      </c>
      <c r="V58" s="85" t="n">
        <v>129</v>
      </c>
      <c r="W58" s="92" t="n">
        <v>46307</v>
      </c>
      <c r="X58" s="92" t="n"/>
      <c r="Y58" s="84" t="n"/>
      <c r="Z58" s="84" t="n"/>
      <c r="AA58" s="85" t="n"/>
      <c r="AB58" s="85" t="n"/>
      <c r="AC58" s="93" t="n"/>
      <c r="AD58" s="93" t="n"/>
      <c r="AE58" s="32" t="n"/>
      <c r="AF58" s="93" t="n"/>
      <c r="AG58" s="93" t="n"/>
      <c r="AH58" s="93" t="n"/>
      <c r="AI58" s="93" t="n"/>
      <c r="AJ58" s="85" t="n"/>
      <c r="AK58" s="85" t="n"/>
      <c r="AL58" s="85" t="n"/>
      <c r="AM58" s="85" t="n"/>
      <c r="AN58" s="85" t="n"/>
      <c r="AO58" s="85" t="n"/>
      <c r="AP58" s="94" t="n"/>
      <c r="AQ58" s="89" t="n"/>
      <c r="AR58" s="95" t="inlineStr">
        <is>
          <t>N</t>
        </is>
      </c>
      <c r="AS58" s="95" t="inlineStr">
        <is>
          <t>none</t>
        </is>
      </c>
      <c r="AT58" s="101" t="n"/>
      <c r="AU58" s="96" t="n">
        <v>25.99</v>
      </c>
      <c r="AV58" s="95" t="inlineStr">
        <is>
          <t>none</t>
        </is>
      </c>
      <c r="AW58" s="95" t="inlineStr">
        <is>
          <t>Y</t>
        </is>
      </c>
      <c r="AX58" s="95" t="inlineStr">
        <is>
          <t>2026-10-13 23:44:19</t>
        </is>
      </c>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39" t="inlineStr">
        <is>
          <t>IMAGE MISSING</t>
        </is>
      </c>
      <c r="B59" s="84" t="inlineStr">
        <is>
          <t>RLWangChao</t>
        </is>
      </c>
      <c r="C59" s="32" t="inlineStr">
        <is>
          <t>Front Door Welcome Sign</t>
        </is>
      </c>
      <c r="D59" s="84" t="inlineStr">
        <is>
          <t>Beatable</t>
        </is>
      </c>
      <c r="E59" s="84" t="inlineStr">
        <is>
          <t>B0D1VHD6PY</t>
        </is>
      </c>
      <c r="F59" s="84" t="inlineStr">
        <is>
          <t>B0DG2RHFFV</t>
        </is>
      </c>
      <c r="G59" s="84" t="n"/>
      <c r="H59" s="84" t="n"/>
      <c r="I59" s="85" t="n"/>
      <c r="J59" s="32" t="inlineStr"/>
      <c r="K59" s="86" t="n">
        <v>25.49</v>
      </c>
      <c r="L59" s="86" t="n">
        <v>29.99</v>
      </c>
      <c r="M59" s="87">
        <f>IF(AND(ISNUMBER(L59),ISNUMBER(K59),N(K59)&gt;0),L59/K59-1,"")</f>
        <v/>
      </c>
      <c r="N59" s="88">
        <f>IF(M59="","No List Price",IF(M59&lt;=0,"At/below price",IF(M59&lt;=0.12,"&lt;=12% STR zone",IF(M59&lt;=0.25,"12-25%","&gt;25% over"))))</f>
        <v/>
      </c>
      <c r="O59" s="86" t="n">
        <v>37.95</v>
      </c>
      <c r="P59" s="89">
        <f>IF(AND(ISNUMBER(K59),ISNUMBER(O59),N(O59)&gt;0),K59/O59-1,"")</f>
        <v/>
      </c>
      <c r="Q59" s="32" t="inlineStr">
        <is>
          <t>vs our blended price (Command Center, Mar 2026 - STALE)</t>
        </is>
      </c>
      <c r="R59" s="85" t="n">
        <v>111258</v>
      </c>
      <c r="S59" s="85" t="n">
        <v>5</v>
      </c>
      <c r="T59" s="90">
        <f>IF(AND(ISNUMBER(K59),ISNUMBER(S59)),K59*S59*52/12,"")</f>
        <v/>
      </c>
      <c r="U59" s="91" t="n">
        <v>3.8</v>
      </c>
      <c r="V59" s="85" t="n">
        <v>233</v>
      </c>
      <c r="W59" s="92" t="n">
        <v>46307</v>
      </c>
      <c r="X59" s="92" t="n"/>
      <c r="Y59" s="84" t="n"/>
      <c r="Z59" s="84" t="n"/>
      <c r="AA59" s="85" t="n"/>
      <c r="AB59" s="85" t="n"/>
      <c r="AC59" s="93" t="n"/>
      <c r="AD59" s="93" t="n"/>
      <c r="AE59" s="32" t="n"/>
      <c r="AF59" s="93" t="n"/>
      <c r="AG59" s="93" t="n"/>
      <c r="AH59" s="93" t="n"/>
      <c r="AI59" s="93" t="n"/>
      <c r="AJ59" s="85" t="n"/>
      <c r="AK59" s="85" t="n"/>
      <c r="AL59" s="85" t="n"/>
      <c r="AM59" s="85" t="n"/>
      <c r="AN59" s="85" t="n"/>
      <c r="AO59" s="85" t="n"/>
      <c r="AP59" s="94" t="n"/>
      <c r="AQ59" s="89" t="n"/>
      <c r="AR59" s="95" t="inlineStr">
        <is>
          <t>Y</t>
        </is>
      </c>
      <c r="AS59" s="95" t="inlineStr">
        <is>
          <t>Typical price</t>
        </is>
      </c>
      <c r="AT59" s="96" t="n">
        <v>29.99</v>
      </c>
      <c r="AU59" s="96" t="n">
        <v>25.49</v>
      </c>
      <c r="AV59" s="95" t="inlineStr">
        <is>
          <t>none</t>
        </is>
      </c>
      <c r="AW59" s="95" t="inlineStr">
        <is>
          <t>Y</t>
        </is>
      </c>
      <c r="AX59" s="95" t="inlineStr">
        <is>
          <t>2026-10-13 23:42:34</t>
        </is>
      </c>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10">
        <f>_xlfn.IMAGE("https://images-na.ssl-images-amazon.com/images/I/81CvR4cjzTL.jpg")</f>
        <v/>
      </c>
      <c r="B60" s="84" t="inlineStr">
        <is>
          <t>Dlerom</t>
        </is>
      </c>
      <c r="C60" s="32" t="inlineStr">
        <is>
          <t>Spring Summer Welcome for Front Porch Standing, Daisy Wooden Porch Sign for Front Door Decorations, Rustic Farmhouse Hanging Wall Sign for Spring Home Decor, 47.2"H</t>
        </is>
      </c>
      <c r="D60" s="84" t="inlineStr">
        <is>
          <t>Untiered</t>
        </is>
      </c>
      <c r="E60" s="84" t="inlineStr">
        <is>
          <t>B0GPNMM78R</t>
        </is>
      </c>
      <c r="F60" s="84" t="inlineStr">
        <is>
          <t>B0G82967V2</t>
        </is>
      </c>
      <c r="G60" s="84" t="n"/>
      <c r="H60" s="84" t="n"/>
      <c r="I60" s="85" t="n">
        <v>1</v>
      </c>
      <c r="J60" s="32" t="inlineStr"/>
      <c r="K60" s="86" t="n">
        <v>17.99</v>
      </c>
      <c r="L60" s="86" t="n"/>
      <c r="M60" s="87">
        <f>IF(AND(ISNUMBER(L60),ISNUMBER(K60),N(K60)&gt;0),L60/K60-1,"")</f>
        <v/>
      </c>
      <c r="N60" s="88">
        <f>IF(M60="","No List Price",IF(M60&lt;=0,"At/below price",IF(M60&lt;=0.12,"&lt;=12% STR zone",IF(M60&lt;=0.25,"12-25%","&gt;25% over"))))</f>
        <v/>
      </c>
      <c r="O60" s="86" t="n">
        <v>37.95</v>
      </c>
      <c r="P60" s="89">
        <f>IF(AND(ISNUMBER(K60),ISNUMBER(O60),N(O60)&gt;0),K60/O60-1,"")</f>
        <v/>
      </c>
      <c r="Q60" s="32" t="inlineStr">
        <is>
          <t>vs our blended price (Command Center, Mar 2026 - STALE)</t>
        </is>
      </c>
      <c r="R60" s="85" t="n">
        <v>1671691</v>
      </c>
      <c r="S60" s="85" t="n">
        <v>5</v>
      </c>
      <c r="T60" s="90">
        <f>IF(AND(ISNUMBER(K60),ISNUMBER(S60)),K60*S60*52/12,"")</f>
        <v/>
      </c>
      <c r="U60" s="91" t="n">
        <v>3.9</v>
      </c>
      <c r="V60" s="85" t="n">
        <v>17</v>
      </c>
      <c r="W60" s="92" t="n">
        <v>46307</v>
      </c>
      <c r="X60" s="92" t="n">
        <v>46037</v>
      </c>
      <c r="Y60" s="84" t="inlineStr">
        <is>
          <t>FBM</t>
        </is>
      </c>
      <c r="Z60" s="84" t="inlineStr">
        <is>
          <t>N/A</t>
        </is>
      </c>
      <c r="AA60" s="85" t="n"/>
      <c r="AB60" s="85" t="n"/>
      <c r="AC60" s="93" t="n"/>
      <c r="AD60" s="93" t="n"/>
      <c r="AE60" s="32" t="n"/>
      <c r="AF60" s="93" t="n"/>
      <c r="AG60" s="93" t="n"/>
      <c r="AH60" s="93" t="n"/>
      <c r="AI60" s="93" t="n"/>
      <c r="AJ60" s="85" t="n"/>
      <c r="AK60" s="85" t="n"/>
      <c r="AL60" s="85" t="n"/>
      <c r="AM60" s="85" t="n"/>
      <c r="AN60" s="85" t="n"/>
      <c r="AO60" s="85" t="n"/>
      <c r="AP60" s="94" t="n"/>
      <c r="AQ60" s="89" t="n"/>
      <c r="AR60" s="95" t="inlineStr">
        <is>
          <t>N</t>
        </is>
      </c>
      <c r="AS60" s="95" t="inlineStr">
        <is>
          <t>none</t>
        </is>
      </c>
      <c r="AT60" s="101" t="n"/>
      <c r="AU60" s="101" t="n"/>
      <c r="AV60" s="95" t="inlineStr">
        <is>
          <t>none</t>
        </is>
      </c>
      <c r="AW60" s="95" t="inlineStr">
        <is>
          <t>N</t>
        </is>
      </c>
      <c r="AX60" s="95" t="inlineStr">
        <is>
          <t>2026-10-13 23:40:13</t>
        </is>
      </c>
      <c r="AY60" s="102" t="n"/>
      <c r="AZ60" s="102" t="n"/>
      <c r="BA60" s="101" t="n"/>
      <c r="BB60" s="101" t="n"/>
      <c r="BC60" s="87">
        <f>IF(AND(ISNUMBER(BA60),ISNUMBER(BB60),N(BA60)&gt;0),1-BB60/BA60,"")</f>
        <v/>
      </c>
      <c r="BD60" s="103" t="n"/>
      <c r="BE60" s="103" t="n"/>
      <c r="BF60" s="100">
        <f>IF(AND(ISNUMBER(BD60),ISNUMBER(BE60),N(BE60)&gt;0),BD60/BE60,"")</f>
        <v/>
      </c>
      <c r="BG60" s="102" t="n"/>
      <c r="BH60" s="102" t="n"/>
    </row>
    <row r="62" ht="20" customHeight="1">
      <c r="A62" s="54" t="inlineStr">
        <is>
          <t>5 · WHAT THIS MEANS FOR BFCM</t>
        </is>
      </c>
    </row>
    <row r="63" ht="30" customHeight="1">
      <c r="A63" s="104" t="inlineStr">
        <is>
          <t>•  Who sells most: PERFNIQUE ~104/wk at $34.99; Seimip ~104/wk at $23.99; DOUSUI ~81/wk at $24.99; MONJITA ~35/wk at $33.99; Surfapans ~35/wk at $40.99. Tracked rivals ~514 units/wk; we sell ~0/wk (0.1% of the tracked set).</t>
        </is>
      </c>
    </row>
    <row r="64" ht="18" customHeight="1">
      <c r="A64" s="104" t="inlineStr">
        <is>
          <t>•  Strikethrough: 3 of 17 rivals set a List Price above price; 1 within 12%: comurdyo +12%.</t>
        </is>
      </c>
    </row>
    <row r="65" ht="18" customHeight="1">
      <c r="A65" s="104" t="inlineStr">
        <is>
          <t>•  Price: 12 of 17 rivals sit below our price today (same size where the title states one). Cheapest strong rivals: Seimip $23.99, Hentonwell $23.99, DOUSUI $24.99, LianheCy $24.99.</t>
        </is>
      </c>
    </row>
    <row r="66" ht="30" customHeight="1">
      <c r="A66" s="104" t="inlineStr">
        <is>
          <t>•  Strikethrough on the page today (Oct 13 check): 3 of 17 checked rivals show one: comurdyo Typical price $39.89 vs $35.69 (+12%), Hentonwell Typical price $26.99 vs $23.99 (+13%), RLWangChao Typical price $29.99 vs $25.49 (+18%).</t>
        </is>
      </c>
    </row>
    <row r="67" ht="18" customHeight="1">
      <c r="A67" s="104" t="inlineStr">
        <is>
          <t>•  17 rivals not in the Keepa pulls yet (yellow BFCM 2025 columns) - remaining P2 batches, AGENT_PROMPTS Prompt 2.</t>
        </is>
      </c>
    </row>
  </sheetData>
  <autoFilter ref="B43:BH60"/>
  <mergeCells count="65">
    <mergeCell ref="A15:BH15"/>
    <mergeCell ref="K42:W42"/>
    <mergeCell ref="A64:BH64"/>
    <mergeCell ref="L5:Q5"/>
    <mergeCell ref="A36:BH36"/>
    <mergeCell ref="A1:BH1"/>
    <mergeCell ref="A27:C27"/>
    <mergeCell ref="Q11:T11"/>
    <mergeCell ref="L8:Q8"/>
    <mergeCell ref="L4:Q4"/>
    <mergeCell ref="D7:I7"/>
    <mergeCell ref="A13:D13"/>
    <mergeCell ref="I13:L13"/>
    <mergeCell ref="X42:Z42"/>
    <mergeCell ref="A65:BH65"/>
    <mergeCell ref="A33:C33"/>
    <mergeCell ref="A16:BH16"/>
    <mergeCell ref="D4:I4"/>
    <mergeCell ref="L10:Q10"/>
    <mergeCell ref="E12:H12"/>
    <mergeCell ref="Q13:T13"/>
    <mergeCell ref="A32:C32"/>
    <mergeCell ref="A41:BH41"/>
    <mergeCell ref="D9:I9"/>
    <mergeCell ref="AR42:AX42"/>
    <mergeCell ref="A37:BH37"/>
    <mergeCell ref="U12:X12"/>
    <mergeCell ref="L9:Q9"/>
    <mergeCell ref="Q12:T12"/>
    <mergeCell ref="A66:BH66"/>
    <mergeCell ref="A11:D11"/>
    <mergeCell ref="A29:C29"/>
    <mergeCell ref="A35:C35"/>
    <mergeCell ref="I11:L11"/>
    <mergeCell ref="A3:BH3"/>
    <mergeCell ref="L6:Q6"/>
    <mergeCell ref="D8:I8"/>
    <mergeCell ref="A4:B9"/>
    <mergeCell ref="A28:C28"/>
    <mergeCell ref="T6:Y6"/>
    <mergeCell ref="A26:BH26"/>
    <mergeCell ref="D5:I5"/>
    <mergeCell ref="A42:H42"/>
    <mergeCell ref="M11:P11"/>
    <mergeCell ref="A30:C30"/>
    <mergeCell ref="U11:X11"/>
    <mergeCell ref="A34:C34"/>
    <mergeCell ref="AY42:BH42"/>
    <mergeCell ref="A62:BH62"/>
    <mergeCell ref="E13:H13"/>
    <mergeCell ref="D10:I10"/>
    <mergeCell ref="L7:Q7"/>
    <mergeCell ref="T5:Y5"/>
    <mergeCell ref="A63:BH63"/>
    <mergeCell ref="A12:D12"/>
    <mergeCell ref="M13:P13"/>
    <mergeCell ref="I12:L12"/>
    <mergeCell ref="U13:X13"/>
    <mergeCell ref="M12:P12"/>
    <mergeCell ref="T4:Y4"/>
    <mergeCell ref="A40:BH40"/>
    <mergeCell ref="D6:I6"/>
    <mergeCell ref="E11:H11"/>
    <mergeCell ref="A67:BH67"/>
    <mergeCell ref="AA42:AQ42"/>
  </mergeCells>
  <conditionalFormatting sqref="N44:N60">
    <cfRule type="expression" priority="1" dxfId="1">
      <formula>N44="&lt;=12% STR zone"</formula>
    </cfRule>
  </conditionalFormatting>
  <conditionalFormatting sqref="W44:W60">
    <cfRule type="expression" priority="2" dxfId="0">
      <formula>AND(ISNUMBER(W44),W44&lt;DATE(2026,10,6))</formula>
    </cfRule>
  </conditionalFormatting>
  <conditionalFormatting sqref="Q44:Q60">
    <cfRule type="expression" priority="3" dxfId="0">
      <formula>ISNUMBER(SEARCH("STALE",Q44))</formula>
    </cfRule>
  </conditionalFormatting>
  <conditionalFormatting sqref="P44:P60">
    <cfRule type="expression" priority="4" dxfId="0">
      <formula>AND(ISNUMBER(P44),P44&lt;0)</formula>
    </cfRule>
  </conditionalFormatting>
  <dataValidations count="3">
    <dataValidation sqref="AR44:AR60 BG44:BG60" showDropDown="0" showInputMessage="0" showErrorMessage="0" allowBlank="1" type="list">
      <formula1>"Y,N"</formula1>
    </dataValidation>
    <dataValidation sqref="AS44:AS60" showDropDown="0" showInputMessage="0" showErrorMessage="0" allowBlank="1" type="list">
      <formula1>"List Price,Typical price,Was price,None"</formula1>
    </dataValidation>
    <dataValidation sqref="AY44:AY60"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7.xml><?xml version="1.0" encoding="utf-8"?>
<worksheet xmlns="http://schemas.openxmlformats.org/spreadsheetml/2006/main">
  <sheetPr>
    <outlinePr summaryBelow="1" summaryRight="1"/>
    <pageSetUpPr/>
  </sheetPr>
  <dimension ref="A1:BH80"/>
  <sheetViews>
    <sheetView showGridLines="0" zoomScale="90" workbookViewId="0">
      <pane xSplit="1" ySplit="2" topLeftCell="B3" activePane="bottomRight" state="frozen"/>
      <selection pane="topRight"/>
      <selection pane="bottomLeft"/>
      <selection pane="bottomRight" activeCell="A1" sqref="A1"/>
    </sheetView>
  </sheetViews>
  <sheetFormatPr baseColWidth="8" defaultRowHeight="15"/>
  <cols>
    <col width="11" customWidth="1" min="1" max="1"/>
    <col width="14" customWidth="1" min="2" max="2"/>
    <col width="34" customWidth="1" min="3" max="3"/>
    <col width="9" customWidth="1" min="4" max="4"/>
    <col width="11" customWidth="1" min="5" max="5"/>
    <col width="11" customWidth="1" min="6" max="6"/>
    <col width="8" customWidth="1" min="7" max="7"/>
    <col width="9" customWidth="1" min="8" max="8"/>
    <col width="7" customWidth="1" min="9" max="9"/>
    <col width="26" customWidth="1" min="10" max="10"/>
    <col width="8" customWidth="1" min="11" max="11"/>
    <col width="8" customWidth="1" min="12" max="12"/>
    <col width="7" customWidth="1" min="13" max="13"/>
    <col width="10" customWidth="1" min="14" max="14"/>
    <col width="8" customWidth="1" min="15" max="15"/>
    <col width="7" customWidth="1" min="16" max="16"/>
    <col width="11" customWidth="1" min="17" max="17"/>
    <col width="8" customWidth="1" min="18" max="18"/>
    <col width="7" customWidth="1" min="19" max="19"/>
    <col width="9" customWidth="1" min="20" max="20"/>
    <col width="5" customWidth="1" min="21" max="21"/>
    <col width="7" customWidth="1" min="22" max="22"/>
    <col width="8" customWidth="1" min="23" max="23"/>
    <col width="9" customWidth="1" min="24" max="24"/>
    <col width="5" customWidth="1" min="25" max="25"/>
    <col width="6" customWidth="1" min="26" max="26"/>
    <col width="9" customWidth="1" min="27" max="27"/>
    <col width="7" customWidth="1" min="28" max="28"/>
    <col width="7" customWidth="1" min="29" max="29"/>
    <col width="7" customWidth="1" min="30" max="30"/>
    <col width="14" customWidth="1" min="31" max="31"/>
    <col width="6" customWidth="1" min="32" max="32"/>
    <col width="6" customWidth="1" min="33" max="33"/>
    <col width="6" customWidth="1" min="34" max="34"/>
    <col width="6" customWidth="1" min="35" max="35"/>
    <col width="7" customWidth="1" min="36" max="36"/>
    <col width="6" customWidth="1" min="37" max="37"/>
    <col width="6" customWidth="1" min="38" max="38"/>
    <col width="7" customWidth="1" min="39" max="39"/>
    <col width="7" customWidth="1" min="40" max="40"/>
    <col width="7" customWidth="1" min="41" max="41"/>
    <col width="7" customWidth="1" min="42" max="42"/>
    <col width="7" customWidth="1" min="43" max="43"/>
    <col width="7" customWidth="1" min="44" max="44"/>
    <col width="8" customWidth="1" min="45" max="45"/>
    <col width="8" customWidth="1" min="46" max="46"/>
    <col width="8" customWidth="1" min="47" max="47"/>
    <col width="10" customWidth="1" min="48" max="48"/>
    <col width="6" customWidth="1" min="49" max="49"/>
    <col width="10" customWidth="1" min="50" max="50"/>
    <col width="10" customWidth="1" min="51" max="51"/>
    <col width="10" customWidth="1" min="52" max="52"/>
    <col width="8" customWidth="1" min="53" max="53"/>
    <col width="8" customWidth="1" min="54" max="54"/>
    <col width="7" customWidth="1" min="55" max="55"/>
    <col width="8" customWidth="1" min="56" max="56"/>
    <col width="8" customWidth="1" min="57" max="57"/>
    <col width="6" customWidth="1" min="58" max="58"/>
    <col width="6" customWidth="1" min="59" max="59"/>
    <col width="22" customWidth="1" min="60" max="60"/>
  </cols>
  <sheetData>
    <row r="1" ht="28" customHeight="1">
      <c r="A1" s="52" t="inlineStr">
        <is>
          <t>Decolure Waterproof Chair Cover  ·  Amazon.com (US)  ·  Other  ·  BFCM role: Other  ·  Scope: Other</t>
        </is>
      </c>
    </row>
    <row r="2">
      <c r="A2" s="53" t="inlineStr">
        <is>
          <t>← Dashboard</t>
        </is>
      </c>
    </row>
    <row r="3" ht="20" customHeight="1">
      <c r="A3" s="54" t="inlineStr">
        <is>
          <t>1 · OUR PRODUCT</t>
        </is>
      </c>
    </row>
    <row r="4" ht="34" customHeight="1">
      <c r="A4" s="10">
        <f>_xlfn.IMAGE("https://images-na.ssl-images-amazon.com/images/I/814u78HU6WL.jpg")</f>
        <v/>
      </c>
      <c r="C4" s="11" t="inlineStr">
        <is>
          <t>Title</t>
        </is>
      </c>
      <c r="D4" s="12" t="inlineStr">
        <is>
          <t>Waterproof Dining Chair Covers Set of 6 - 3 Layers Thick Fabric Parsons Chair Slip Covers - Jacquard Kitchen Chair Covers &amp; Stretch Protectors Dining Room, Restaurant - Removable Washable (Chocolate)</t>
        </is>
      </c>
      <c r="K4" s="11" t="inlineStr">
        <is>
          <t>Sizes</t>
        </is>
      </c>
      <c r="L4" s="55" t="inlineStr">
        <is>
          <t>Pack of 4, Pack of 6</t>
        </is>
      </c>
      <c r="S4" s="11" t="inlineStr">
        <is>
          <t>Break-even ACoS</t>
        </is>
      </c>
      <c r="T4" s="55" t="inlineStr">
        <is>
          <t>13%</t>
        </is>
      </c>
    </row>
    <row r="5" ht="22" customHeight="1">
      <c r="C5" s="11" t="inlineStr">
        <is>
          <t>Brand</t>
        </is>
      </c>
      <c r="D5" s="55" t="inlineStr">
        <is>
          <t>Decolure</t>
        </is>
      </c>
      <c r="K5" s="11" t="inlineStr">
        <is>
          <t>Colours</t>
        </is>
      </c>
      <c r="L5" s="55" t="inlineStr">
        <is>
          <t>Beige, Black, Chocolate, Grey, Navy Blue, Wine Red</t>
        </is>
      </c>
      <c r="S5" s="11" t="inlineStr">
        <is>
          <t>Units last 28 days</t>
        </is>
      </c>
      <c r="T5" s="55" t="inlineStr">
        <is>
          <t>30</t>
        </is>
      </c>
    </row>
    <row r="6" ht="22" customHeight="1">
      <c r="C6" s="11" t="inlineStr">
        <is>
          <t>Marketplace</t>
        </is>
      </c>
      <c r="D6" s="55" t="inlineStr">
        <is>
          <t>Amazon.com (US)</t>
        </is>
      </c>
      <c r="K6" s="11" t="inlineStr">
        <is>
          <t>Price now, best child</t>
        </is>
      </c>
      <c r="L6" s="55" t="inlineStr">
        <is>
          <t>$39.99 (Helium 10 Xray, 2026-10-13)</t>
        </is>
      </c>
      <c r="S6" s="11" t="inlineStr">
        <is>
          <t>Command Center product ASIN</t>
        </is>
      </c>
      <c r="T6" s="55" t="inlineStr">
        <is>
          <t>B0CY6QPTVJ (one of our child ASINs, not the Amazon parent)</t>
        </is>
      </c>
    </row>
    <row r="7" ht="22" customHeight="1">
      <c r="C7" s="11" t="inlineStr">
        <is>
          <t>Parent ASIN (Amazon)</t>
        </is>
      </c>
      <c r="D7" s="55" t="inlineStr">
        <is>
          <t>B0FB6DM5X9</t>
        </is>
      </c>
      <c r="K7" s="11" t="inlineStr">
        <is>
          <t>Rating / reviews now</t>
        </is>
      </c>
      <c r="L7" s="55" t="inlineStr">
        <is>
          <t>4.5 / 255 (Helium 10 Xray, 2026-10-13)</t>
        </is>
      </c>
    </row>
    <row r="8" ht="22" customHeight="1">
      <c r="C8" s="11" t="inlineStr">
        <is>
          <t>Best-selling child ASIN</t>
        </is>
      </c>
      <c r="D8" s="55" t="inlineStr">
        <is>
          <t>B0CY63VCW1</t>
        </is>
      </c>
      <c r="K8" s="11" t="inlineStr">
        <is>
          <t>Live prices held</t>
        </is>
      </c>
      <c r="L8" s="55" t="inlineStr">
        <is>
          <t>5 of 12 variations</t>
        </is>
      </c>
    </row>
    <row r="9" ht="22" customHeight="1">
      <c r="C9" s="11" t="inlineStr">
        <is>
          <t>Stage</t>
        </is>
      </c>
      <c r="D9" s="55" t="inlineStr">
        <is>
          <t>Liquidation</t>
        </is>
      </c>
      <c r="K9" s="11" t="inlineStr">
        <is>
          <t>Blended price (Command Center)</t>
        </is>
      </c>
      <c r="L9" s="55" t="inlineStr">
        <is>
          <t>$25.24 - fee feed as of 2026-03-30, STALE</t>
        </is>
      </c>
    </row>
    <row r="10">
      <c r="C10" s="11" t="inlineStr">
        <is>
          <t>Total variations (SKUs)</t>
        </is>
      </c>
      <c r="D10" s="55" t="n">
        <v>12</v>
      </c>
      <c r="K10" s="11" t="inlineStr">
        <is>
          <t>Contribution / unit</t>
        </is>
      </c>
      <c r="L10" s="55" t="inlineStr">
        <is>
          <t>$3.20</t>
        </is>
      </c>
    </row>
    <row r="11">
      <c r="A11" s="56" t="inlineStr">
        <is>
          <t>BFCM 2025 LIFT</t>
        </is>
      </c>
      <c r="E11" s="56" t="inlineStr">
        <is>
          <t>BFCM 2025 TACOS</t>
        </is>
      </c>
      <c r="I11" s="56" t="inlineStr">
        <is>
          <t>DEC 2025 VS PRE-EVENT</t>
        </is>
      </c>
      <c r="M11" s="56" t="inlineStr">
        <is>
          <t>COMPETITORS MAPPED</t>
        </is>
      </c>
      <c r="Q11" s="56" t="inlineStr">
        <is>
          <t>PRICED BELOW US</t>
        </is>
      </c>
      <c r="U11" s="56" t="inlineStr">
        <is>
          <t>LIST PRICE WITHIN 12%</t>
        </is>
      </c>
    </row>
    <row r="12" ht="24" customHeight="1">
      <c r="A12" s="57" t="inlineStr">
        <is>
          <t>0.66x</t>
        </is>
      </c>
      <c r="E12" s="57" t="inlineStr">
        <is>
          <t>n/a</t>
        </is>
      </c>
      <c r="I12" s="57" t="inlineStr">
        <is>
          <t>1.35x</t>
        </is>
      </c>
      <c r="M12" s="57" t="inlineStr">
        <is>
          <t>23</t>
        </is>
      </c>
      <c r="Q12" s="57" t="inlineStr">
        <is>
          <t>14</t>
        </is>
      </c>
      <c r="U12" s="57" t="inlineStr">
        <is>
          <t>0</t>
        </is>
      </c>
    </row>
    <row r="13">
      <c r="A13" s="58" t="inlineStr">
        <is>
          <t>daily sales, BFCM wk vs 30 days before (SellerBoard actual)</t>
        </is>
      </c>
      <c r="E13" s="58" t="inlineStr"/>
      <c r="I13" s="58" t="inlineStr">
        <is>
          <t>December daily sales vs Oct 21-Nov 19</t>
        </is>
      </c>
      <c r="M13" s="58" t="inlineStr">
        <is>
          <t>Command Center map</t>
        </is>
      </c>
      <c r="Q13" s="58" t="inlineStr">
        <is>
          <t>same size, else vs our Queen</t>
        </is>
      </c>
      <c r="U13" s="58" t="inlineStr">
        <is>
          <t>List Price set, &lt;=12% above price</t>
        </is>
      </c>
    </row>
    <row r="15" ht="20" customHeight="1">
      <c r="A15" s="54" t="inlineStr">
        <is>
          <t>2 · OUR VARIATIONS (12 listed)</t>
        </is>
      </c>
    </row>
    <row r="16">
      <c r="A16" s="59" t="inlineStr">
        <is>
          <t>Every SKU / child ASIN with its image, size, colour, price and 28-day units. Images from the Data Dive seller catalog; sizes and colours from the SKU data, else read from the title.</t>
        </is>
      </c>
    </row>
    <row r="17" ht="34" customHeight="1">
      <c r="A17" s="22" t="inlineStr">
        <is>
          <t>Image</t>
        </is>
      </c>
      <c r="B17" s="22" t="inlineStr">
        <is>
          <t>Child ASIN</t>
        </is>
      </c>
      <c r="C17" s="22" t="inlineStr">
        <is>
          <t>SKU</t>
        </is>
      </c>
      <c r="D17" s="22" t="inlineStr">
        <is>
          <t>Title</t>
        </is>
      </c>
      <c r="E17" s="22" t="inlineStr">
        <is>
          <t>Size</t>
        </is>
      </c>
      <c r="F17" s="22" t="inlineStr">
        <is>
          <t>Colour</t>
        </is>
      </c>
      <c r="G17" s="22" t="inlineStr">
        <is>
          <t>Price now ($)</t>
        </is>
      </c>
      <c r="H17" s="22" t="inlineStr">
        <is>
          <t>Price now: source, date</t>
        </is>
      </c>
      <c r="I17" s="22" t="inlineStr">
        <is>
          <t>Command Center price ($)</t>
        </is>
      </c>
      <c r="J17" s="22" t="inlineStr">
        <is>
          <t>CC price date (stale)</t>
        </is>
      </c>
      <c r="K17" s="22" t="inlineStr">
        <is>
          <t>Contribution ($)</t>
        </is>
      </c>
      <c r="L17" s="22" t="inlineStr">
        <is>
          <t>Break-even ACoS</t>
        </is>
      </c>
      <c r="M17" s="22" t="inlineStr">
        <is>
          <t>Units 28d</t>
        </is>
      </c>
      <c r="N17" s="22" t="inlineStr">
        <is>
          <t>Status</t>
        </is>
      </c>
      <c r="O17" s="22" t="inlineStr">
        <is>
          <t>Our hero ASIN? (share of our visibility)</t>
        </is>
      </c>
      <c r="P17" s="22" t="inlineStr">
        <is>
          <t>Rating (H10, review family)</t>
        </is>
      </c>
      <c r="Q17" s="22" t="inlineStr">
        <is>
          <t>Reviews (H10, review family)</t>
        </is>
      </c>
      <c r="R17" s="22" t="inlineStr">
        <is>
          <t>BSR (H10)</t>
        </is>
      </c>
      <c r="S17" s="22" t="inlineStr">
        <is>
          <t>Est units / month (H10)</t>
        </is>
      </c>
      <c r="T17" s="22" t="inlineStr">
        <is>
          <t>Own review family?</t>
        </is>
      </c>
    </row>
    <row r="18" ht="62" customHeight="1">
      <c r="A18" s="10">
        <f>_xlfn.IMAGE("https://m.media-amazon.com/images/I/81LMVkrWZmL.jpg")</f>
        <v/>
      </c>
      <c r="B18" s="32" t="inlineStr">
        <is>
          <t>B0CY63VCW1</t>
        </is>
      </c>
      <c r="C18" s="32" t="inlineStr">
        <is>
          <t>WATERPROOF-CHAIR-COVER-CHOCOLATE-6PCS</t>
        </is>
      </c>
      <c r="D18" s="32" t="inlineStr">
        <is>
          <t>Waterproof Dining Chair Covers Set of 6 - 3 Layers Thick Fabric Parsons Chair Slip Covers - Jacquard Kitchen Chair Covers &amp; Stretch Protectors Dining Room, Restaurant - Removable Washable (Chocolate)</t>
        </is>
      </c>
      <c r="E18" s="32" t="inlineStr">
        <is>
          <t>Pack of 6</t>
        </is>
      </c>
      <c r="F18" s="32" t="inlineStr">
        <is>
          <t>Chocolate</t>
        </is>
      </c>
      <c r="G18" s="60" t="n">
        <v>39.99</v>
      </c>
      <c r="H18" s="32" t="inlineStr">
        <is>
          <t>Helium 10 Xray, 2026-10-13</t>
        </is>
      </c>
      <c r="I18" s="61" t="n">
        <v>20.99</v>
      </c>
      <c r="J18" s="62" t="inlineStr">
        <is>
          <t>2026-03-30</t>
        </is>
      </c>
      <c r="K18" s="33" t="n">
        <v>-0.5300000000000011</v>
      </c>
      <c r="L18" s="63" t="n">
        <v>-0.02525011910433545</v>
      </c>
      <c r="M18" s="64" t="n">
        <v>10</v>
      </c>
      <c r="N18" s="32" t="inlineStr">
        <is>
          <t>Active</t>
        </is>
      </c>
      <c r="O18" s="32" t="n"/>
      <c r="P18" s="65" t="n">
        <v>4.5</v>
      </c>
      <c r="Q18" s="64" t="n">
        <v>255</v>
      </c>
      <c r="R18" s="64" t="n">
        <v>702445</v>
      </c>
      <c r="S18" s="64" t="n">
        <v>1</v>
      </c>
      <c r="T18" s="32" t="n"/>
    </row>
    <row r="19" ht="62" customHeight="1">
      <c r="A19" s="10">
        <f>_xlfn.IMAGE("https://m.media-amazon.com/images/I/91TK2ErRvUL.jpg")</f>
        <v/>
      </c>
      <c r="B19" s="32" t="inlineStr">
        <is>
          <t>B0CY6TMHVW</t>
        </is>
      </c>
      <c r="C19" s="32" t="inlineStr">
        <is>
          <t>WATERPROOF-CHAIR-COVER-BEIGE-6PCS</t>
        </is>
      </c>
      <c r="D19" s="32" t="inlineStr">
        <is>
          <t>Waterproof Dining Chair Covers Set of 6 - 3 Layers Thick Fabric Parsons Chair Slip Covers - Jacquard Kitchen Chair Covers &amp; Stretch Protectors for Dining Room, Restaurant - Removable Washable (Beige)</t>
        </is>
      </c>
      <c r="E19" s="32" t="inlineStr">
        <is>
          <t>Pack of 6</t>
        </is>
      </c>
      <c r="F19" s="32" t="inlineStr">
        <is>
          <t>Beige</t>
        </is>
      </c>
      <c r="G19" s="60" t="n">
        <v>39.99</v>
      </c>
      <c r="H19" s="32" t="inlineStr">
        <is>
          <t>Helium 10 Xray, 2026-10-13</t>
        </is>
      </c>
      <c r="I19" s="61" t="n">
        <v>29.99</v>
      </c>
      <c r="J19" s="62" t="inlineStr">
        <is>
          <t>2026-03-30</t>
        </is>
      </c>
      <c r="K19" s="33" t="n">
        <v>6.51</v>
      </c>
      <c r="L19" s="63" t="n">
        <v>0.2170723574524842</v>
      </c>
      <c r="M19" s="64" t="n">
        <v>9</v>
      </c>
      <c r="N19" s="32" t="inlineStr">
        <is>
          <t>Active</t>
        </is>
      </c>
      <c r="O19" s="32" t="n"/>
      <c r="P19" s="65" t="n">
        <v>4.5</v>
      </c>
      <c r="Q19" s="64" t="n">
        <v>255</v>
      </c>
      <c r="R19" s="64" t="n">
        <v>702445</v>
      </c>
      <c r="S19" s="64" t="n">
        <v>19</v>
      </c>
      <c r="T19" s="32" t="n"/>
    </row>
    <row r="20" ht="62" customHeight="1">
      <c r="A20" s="10">
        <f>_xlfn.IMAGE("https://m.media-amazon.com/images/I/91TK2ErRvUL.jpg")</f>
        <v/>
      </c>
      <c r="B20" s="32" t="inlineStr">
        <is>
          <t>B0CY6Q9G59</t>
        </is>
      </c>
      <c r="C20" s="32" t="inlineStr">
        <is>
          <t>WATERPROOF-CHAIR-COVER-WINE-RED-4PCS</t>
        </is>
      </c>
      <c r="D20" s="32" t="inlineStr">
        <is>
          <t>Waterproof Dining Chair Covers Set of 4 - 3 Layers Thick Fabric Parsons Chair Slip Covers - Jacquard Kitchen Chair Covers &amp; Stretch Protectors Dining Room, Restaurant - Removable Washable (Wine Red)</t>
        </is>
      </c>
      <c r="E20" s="32" t="inlineStr">
        <is>
          <t>Pack of 4</t>
        </is>
      </c>
      <c r="F20" s="32" t="inlineStr">
        <is>
          <t>Wine Red</t>
        </is>
      </c>
      <c r="G20" s="33" t="n"/>
      <c r="H20" s="32" t="n"/>
      <c r="I20" s="61" t="n">
        <v>22.49</v>
      </c>
      <c r="J20" s="62" t="inlineStr">
        <is>
          <t>2026-03-30</t>
        </is>
      </c>
      <c r="K20" s="33" t="n">
        <v>2.059999999999997</v>
      </c>
      <c r="L20" s="63" t="n">
        <v>0.09159626500666951</v>
      </c>
      <c r="M20" s="64" t="n">
        <v>3</v>
      </c>
      <c r="N20" s="32" t="inlineStr">
        <is>
          <t>Inactive</t>
        </is>
      </c>
      <c r="O20" s="32" t="n"/>
      <c r="P20" s="65" t="n"/>
      <c r="Q20" s="64" t="n"/>
      <c r="R20" s="64" t="n"/>
      <c r="S20" s="64" t="n"/>
      <c r="T20" s="32" t="n"/>
    </row>
    <row r="21" ht="62" customHeight="1">
      <c r="A21" s="10">
        <f>_xlfn.IMAGE("https://m.media-amazon.com/images/I/81P7Rlow13L.jpg")</f>
        <v/>
      </c>
      <c r="B21" s="32" t="inlineStr">
        <is>
          <t>B0CY6H87BC</t>
        </is>
      </c>
      <c r="C21" s="32" t="inlineStr">
        <is>
          <t>WATERPROOF-CHAIR-COVER-CHOCOLATE-4PCS</t>
        </is>
      </c>
      <c r="D21" s="32" t="inlineStr">
        <is>
          <t>Waterproof Dining Chair Covers Set of 4 - 3 Layers Thick Fabric Parsons Chair Slip Covers - Jacquard Kitchen Chair Covers &amp; Stretch Protectors Dining Room, Restaurant - Removable Washable (Chocolate)</t>
        </is>
      </c>
      <c r="E21" s="32" t="inlineStr">
        <is>
          <t>Pack of 4</t>
        </is>
      </c>
      <c r="F21" s="32" t="inlineStr">
        <is>
          <t>Chocolate</t>
        </is>
      </c>
      <c r="G21" s="60" t="n">
        <v>29.99</v>
      </c>
      <c r="H21" s="32" t="inlineStr">
        <is>
          <t>Helium 10 Xray, 2026-10-13</t>
        </is>
      </c>
      <c r="I21" s="61" t="n">
        <v>22.49</v>
      </c>
      <c r="J21" s="62" t="inlineStr">
        <is>
          <t>2026-03-30</t>
        </is>
      </c>
      <c r="K21" s="33" t="n">
        <v>3.019999999999996</v>
      </c>
      <c r="L21" s="63" t="n">
        <v>0.1342819030680301</v>
      </c>
      <c r="M21" s="64" t="n">
        <v>2</v>
      </c>
      <c r="N21" s="32" t="inlineStr">
        <is>
          <t>Active</t>
        </is>
      </c>
      <c r="O21" s="32" t="n"/>
      <c r="P21" s="65" t="n">
        <v>4.5</v>
      </c>
      <c r="Q21" s="64" t="n">
        <v>255</v>
      </c>
      <c r="R21" s="64" t="n">
        <v>702445</v>
      </c>
      <c r="S21" s="64" t="n">
        <v>3</v>
      </c>
      <c r="T21" s="32" t="n"/>
    </row>
    <row r="22" ht="62" customHeight="1">
      <c r="A22" s="10">
        <f>_xlfn.IMAGE("https://m.media-amazon.com/images/I/814xhZ7ftXL.jpg")</f>
        <v/>
      </c>
      <c r="B22" s="32" t="inlineStr">
        <is>
          <t>B0CY6H5P5T</t>
        </is>
      </c>
      <c r="C22" s="32" t="inlineStr">
        <is>
          <t>WATERPROOF-CHAIR-COVER-BLACK-6PCS</t>
        </is>
      </c>
      <c r="D22" s="32" t="inlineStr">
        <is>
          <t>Waterproof Dining Chair Covers Set of 6 - 3 Layers Thick Fabric Parsons Chair Slip Covers - Jacquard Kitchen Chair Covers &amp; Stretch Protectors for Dining Room, Restaurant - Removable Washable (Black)</t>
        </is>
      </c>
      <c r="E22" s="32" t="inlineStr">
        <is>
          <t>Pack of 6</t>
        </is>
      </c>
      <c r="F22" s="32" t="inlineStr">
        <is>
          <t>Black</t>
        </is>
      </c>
      <c r="G22" s="60" t="n">
        <v>39.99</v>
      </c>
      <c r="H22" s="32" t="inlineStr">
        <is>
          <t>Helium 10 Xray, 2026-10-13</t>
        </is>
      </c>
      <c r="I22" s="61" t="n">
        <v>29.99</v>
      </c>
      <c r="J22" s="62" t="inlineStr">
        <is>
          <t>2026-03-30</t>
        </is>
      </c>
      <c r="K22" s="33" t="n">
        <v>5.989999999999998</v>
      </c>
      <c r="L22" s="63" t="n">
        <v>0.1997332444148049</v>
      </c>
      <c r="M22" s="64" t="n">
        <v>2</v>
      </c>
      <c r="N22" s="32" t="inlineStr">
        <is>
          <t>Active</t>
        </is>
      </c>
      <c r="O22" s="32" t="n"/>
      <c r="P22" s="65" t="n">
        <v>4.5</v>
      </c>
      <c r="Q22" s="64" t="n">
        <v>255</v>
      </c>
      <c r="R22" s="64" t="n">
        <v>702445</v>
      </c>
      <c r="S22" s="64" t="n">
        <v>11</v>
      </c>
      <c r="T22" s="32" t="n"/>
    </row>
    <row r="23" ht="62" customHeight="1">
      <c r="A23" s="10">
        <f>_xlfn.IMAGE("https://m.media-amazon.com/images/I/91TK2ErRvUL.jpg")</f>
        <v/>
      </c>
      <c r="B23" s="32" t="inlineStr">
        <is>
          <t>B0CY6H5CGX</t>
        </is>
      </c>
      <c r="C23" s="32" t="inlineStr">
        <is>
          <t>WATERPROOF-CHAIR-COVER-WINE-RED-6PCS</t>
        </is>
      </c>
      <c r="D23" s="32" t="inlineStr">
        <is>
          <t>Waterproof Dining Chair Covers Set of 6 - 3 Layers Thick Fabric Parsons Chair Slip Covers - Jacquard Kitchen Chair Covers &amp; Stretch Protectors Dining Room, Restaurant - Removable Washable (Wine Red)</t>
        </is>
      </c>
      <c r="E23" s="32" t="inlineStr">
        <is>
          <t>Pack of 6</t>
        </is>
      </c>
      <c r="F23" s="32" t="inlineStr">
        <is>
          <t>Wine Red</t>
        </is>
      </c>
      <c r="G23" s="33" t="n"/>
      <c r="H23" s="32" t="n"/>
      <c r="I23" s="61" t="n">
        <v>29.99</v>
      </c>
      <c r="J23" s="62" t="inlineStr">
        <is>
          <t>2026-03-30</t>
        </is>
      </c>
      <c r="K23" s="33" t="n">
        <v>6.66</v>
      </c>
      <c r="L23" s="63" t="n">
        <v>0.2220740246748917</v>
      </c>
      <c r="M23" s="64" t="n">
        <v>2</v>
      </c>
      <c r="N23" s="32" t="inlineStr">
        <is>
          <t>Active</t>
        </is>
      </c>
      <c r="O23" s="32" t="n"/>
      <c r="P23" s="65" t="n"/>
      <c r="Q23" s="64" t="n"/>
      <c r="R23" s="64" t="n"/>
      <c r="S23" s="64" t="n"/>
      <c r="T23" s="32" t="n"/>
    </row>
    <row r="24" ht="62" customHeight="1">
      <c r="A24" s="10">
        <f>_xlfn.IMAGE("https://m.media-amazon.com/images/I/91TK2ErRvUL.jpg")</f>
        <v/>
      </c>
      <c r="B24" s="32" t="inlineStr">
        <is>
          <t>B0CY6QPTVJ</t>
        </is>
      </c>
      <c r="C24" s="32" t="inlineStr">
        <is>
          <t>WATERPROOF-CHAIR-COVER-BEIGE-4PCS</t>
        </is>
      </c>
      <c r="D24" s="32" t="inlineStr">
        <is>
          <t>Waterproof Dining Chair Covers Set of 4 - 3 Layers Thick Fabric Parsons Chair Slip Covers - Jacquard Kitchen Chair Covers &amp; Stretch Protectors for Dining Room, Restaurant - Removable Washable (Beige)</t>
        </is>
      </c>
      <c r="E24" s="32" t="inlineStr">
        <is>
          <t>Pack of 4</t>
        </is>
      </c>
      <c r="F24" s="32" t="inlineStr">
        <is>
          <t>Beige</t>
        </is>
      </c>
      <c r="G24" s="33" t="n"/>
      <c r="H24" s="32" t="n"/>
      <c r="I24" s="61" t="n">
        <v>22.49</v>
      </c>
      <c r="J24" s="62" t="inlineStr">
        <is>
          <t>2026-03-30</t>
        </is>
      </c>
      <c r="K24" s="33" t="n">
        <v>2.669999999999996</v>
      </c>
      <c r="L24" s="63" t="n">
        <v>0.118719430858159</v>
      </c>
      <c r="M24" s="64" t="n">
        <v>1</v>
      </c>
      <c r="N24" s="32" t="inlineStr">
        <is>
          <t>Inactive</t>
        </is>
      </c>
      <c r="O24" s="32" t="n"/>
      <c r="P24" s="65" t="n"/>
      <c r="Q24" s="64" t="n"/>
      <c r="R24" s="64" t="n"/>
      <c r="S24" s="64" t="n"/>
      <c r="T24" s="32" t="n"/>
    </row>
    <row r="25" ht="62" customHeight="1">
      <c r="A25" s="10">
        <f>_xlfn.IMAGE("https://m.media-amazon.com/images/I/81SNoF+EXHL.jpg")</f>
        <v/>
      </c>
      <c r="B25" s="32" t="inlineStr">
        <is>
          <t>B0CY6MJBWN</t>
        </is>
      </c>
      <c r="C25" s="32" t="inlineStr">
        <is>
          <t>WATERPROOF-CHAIR-COVER-BLACK-4PCS</t>
        </is>
      </c>
      <c r="D25" s="32" t="inlineStr">
        <is>
          <t>Waterproof Dining Chair Covers Set of 4 - 3 Layers Thick Fabric Parsons Chair Slip Covers - Jacquard Kitchen Chair Covers &amp; Stretch Protectors for Dining Room, Restaurant - Removable Washable (Black)</t>
        </is>
      </c>
      <c r="E25" s="32" t="inlineStr">
        <is>
          <t>Pack of 4</t>
        </is>
      </c>
      <c r="F25" s="32" t="inlineStr">
        <is>
          <t>Black</t>
        </is>
      </c>
      <c r="G25" s="60" t="n">
        <v>29.99</v>
      </c>
      <c r="H25" s="32" t="inlineStr">
        <is>
          <t>Helium 10 Xray, 2026-10-13</t>
        </is>
      </c>
      <c r="I25" s="61" t="n">
        <v>22.49</v>
      </c>
      <c r="J25" s="62" t="inlineStr">
        <is>
          <t>2026-03-30</t>
        </is>
      </c>
      <c r="K25" s="33" t="n">
        <v>2.559999999999999</v>
      </c>
      <c r="L25" s="63" t="n">
        <v>0.1138283681636282</v>
      </c>
      <c r="M25" s="64" t="n">
        <v>1</v>
      </c>
      <c r="N25" s="32" t="inlineStr">
        <is>
          <t>Active</t>
        </is>
      </c>
      <c r="O25" s="32" t="n"/>
      <c r="P25" s="65" t="n">
        <v>4.5</v>
      </c>
      <c r="Q25" s="64" t="n">
        <v>255</v>
      </c>
      <c r="R25" s="64" t="n">
        <v>702445</v>
      </c>
      <c r="S25" s="64" t="n">
        <v>3</v>
      </c>
      <c r="T25" s="32" t="n"/>
    </row>
    <row r="26" ht="62" customHeight="1">
      <c r="A26" s="10">
        <f>_xlfn.IMAGE("https://m.media-amazon.com/images/I/91TK2ErRvUL.jpg")</f>
        <v/>
      </c>
      <c r="B26" s="32" t="inlineStr">
        <is>
          <t>B0CY6TKSGM</t>
        </is>
      </c>
      <c r="C26" s="32" t="inlineStr">
        <is>
          <t>WATERPROOF-CHAIR-COVER-GREY-4PCS</t>
        </is>
      </c>
      <c r="D26" s="32" t="inlineStr">
        <is>
          <t>Waterproof Dining Chair Covers Set of 4 - 3 Layers Thick Fabric Parsons Chair Slip Covers - Jacquard Kitchen Chair Covers &amp; Stretch Protectors for Dining Room, Restaurant - Removable Washable (Grey)</t>
        </is>
      </c>
      <c r="E26" s="32" t="inlineStr">
        <is>
          <t>Pack of 4</t>
        </is>
      </c>
      <c r="F26" s="32" t="inlineStr">
        <is>
          <t>Grey</t>
        </is>
      </c>
      <c r="G26" s="33" t="n"/>
      <c r="H26" s="32" t="n"/>
      <c r="I26" s="33" t="n"/>
      <c r="J26" s="32" t="n"/>
      <c r="K26" s="33" t="n"/>
      <c r="L26" s="63" t="n"/>
      <c r="M26" s="64" t="n"/>
      <c r="N26" s="32" t="inlineStr">
        <is>
          <t>Inactive</t>
        </is>
      </c>
      <c r="O26" s="32" t="n"/>
      <c r="P26" s="65" t="n"/>
      <c r="Q26" s="64" t="n"/>
      <c r="R26" s="64" t="n"/>
      <c r="S26" s="64" t="n"/>
      <c r="T26" s="32" t="n"/>
    </row>
    <row r="27" ht="62" customHeight="1">
      <c r="A27" s="10">
        <f>_xlfn.IMAGE("https://m.media-amazon.com/images/I/91TK2ErRvUL.jpg")</f>
        <v/>
      </c>
      <c r="B27" s="32" t="inlineStr">
        <is>
          <t>B0CY6V73WQ</t>
        </is>
      </c>
      <c r="C27" s="32" t="inlineStr">
        <is>
          <t>WATERPROOF-CHAIR-COVER-NAVY-BLUE-4PCS</t>
        </is>
      </c>
      <c r="D27" s="32" t="inlineStr">
        <is>
          <t>Waterproof Dining Chair Covers Set of 4 - 3 Layers Thick Fabric Parsons Chair Slip Covers - Jacquard Kitchen Chair Covers &amp; Stretch Protectors Dining Room, Restaurant - Removable Washable (Navy Blue)</t>
        </is>
      </c>
      <c r="E27" s="32" t="inlineStr">
        <is>
          <t>Pack of 4</t>
        </is>
      </c>
      <c r="F27" s="32" t="inlineStr">
        <is>
          <t>Navy Blue</t>
        </is>
      </c>
      <c r="G27" s="33" t="n"/>
      <c r="H27" s="32" t="n"/>
      <c r="I27" s="61" t="n">
        <v>22.49</v>
      </c>
      <c r="J27" s="62" t="inlineStr">
        <is>
          <t>2026-03-12</t>
        </is>
      </c>
      <c r="K27" s="33" t="n">
        <v>2.729999999999999</v>
      </c>
      <c r="L27" s="63" t="n">
        <v>0.1213872832369942</v>
      </c>
      <c r="M27" s="64" t="n"/>
      <c r="N27" s="32" t="inlineStr">
        <is>
          <t>Inactive</t>
        </is>
      </c>
      <c r="O27" s="32" t="n"/>
      <c r="P27" s="65" t="n"/>
      <c r="Q27" s="64" t="n"/>
      <c r="R27" s="64" t="n"/>
      <c r="S27" s="64" t="n"/>
      <c r="T27" s="32" t="n"/>
    </row>
    <row r="28" ht="62" customHeight="1">
      <c r="A28" s="10">
        <f>_xlfn.IMAGE("https://m.media-amazon.com/images/I/91TK2ErRvUL.jpg")</f>
        <v/>
      </c>
      <c r="B28" s="32" t="inlineStr">
        <is>
          <t>B0CY6L59XS</t>
        </is>
      </c>
      <c r="C28" s="32" t="inlineStr">
        <is>
          <t>WATERPROOF-CHAIR-COVER-GREY-6PCS</t>
        </is>
      </c>
      <c r="D28" s="32" t="inlineStr">
        <is>
          <t>Waterproof Dining Chair Covers Set of 6 - 3 Layers Thick Fabric Parsons Chair Slip Covers - Jacquard Kitchen Chair Covers &amp; Stretch Protectors for Dining Room, Restaurant - Removable Washable (Grey)</t>
        </is>
      </c>
      <c r="E28" s="32" t="inlineStr">
        <is>
          <t>Pack of 6</t>
        </is>
      </c>
      <c r="F28" s="32" t="inlineStr">
        <is>
          <t>Grey</t>
        </is>
      </c>
      <c r="G28" s="33" t="n"/>
      <c r="H28" s="32" t="n"/>
      <c r="I28" s="61" t="n">
        <v>29.99</v>
      </c>
      <c r="J28" s="62" t="inlineStr">
        <is>
          <t>2026-03-30</t>
        </is>
      </c>
      <c r="K28" s="33" t="n">
        <v>5.92</v>
      </c>
      <c r="L28" s="63" t="n">
        <v>0.1973991330443481</v>
      </c>
      <c r="M28" s="64" t="n"/>
      <c r="N28" s="32" t="inlineStr">
        <is>
          <t>Inactive</t>
        </is>
      </c>
      <c r="O28" s="32" t="n"/>
      <c r="P28" s="65" t="n"/>
      <c r="Q28" s="64" t="n"/>
      <c r="R28" s="64" t="n"/>
      <c r="S28" s="64" t="n"/>
      <c r="T28" s="32" t="n"/>
    </row>
    <row r="29" ht="62" customHeight="1">
      <c r="A29" s="10">
        <f>_xlfn.IMAGE("https://m.media-amazon.com/images/I/91TK2ErRvUL.jpg")</f>
        <v/>
      </c>
      <c r="B29" s="32" t="inlineStr">
        <is>
          <t>B0CY685B6H</t>
        </is>
      </c>
      <c r="C29" s="32" t="inlineStr">
        <is>
          <t>WATERPROOF-CHAIR-COVER-NAVY-BLUE-6PCS</t>
        </is>
      </c>
      <c r="D29" s="32" t="inlineStr">
        <is>
          <t>Waterproof Dining Chair Covers Set of 6 - 3 Layers Thick Fabric Parsons Chair Slip Covers - Jacquard Kitchen Chair Covers &amp; Stretch Protectors Dining Room, Restaurant - Removable Washable (Navy Blue)</t>
        </is>
      </c>
      <c r="E29" s="32" t="inlineStr">
        <is>
          <t>Pack of 6</t>
        </is>
      </c>
      <c r="F29" s="32" t="inlineStr">
        <is>
          <t>Navy Blue</t>
        </is>
      </c>
      <c r="G29" s="33" t="n"/>
      <c r="H29" s="32" t="n"/>
      <c r="I29" s="61" t="n">
        <v>29.99</v>
      </c>
      <c r="J29" s="62" t="inlineStr">
        <is>
          <t>2026-03-30</t>
        </is>
      </c>
      <c r="K29" s="33" t="n">
        <v>6.809999999999997</v>
      </c>
      <c r="L29" s="63" t="n">
        <v>0.227075691897299</v>
      </c>
      <c r="M29" s="64" t="n"/>
      <c r="N29" s="32" t="inlineStr">
        <is>
          <t>Inactive</t>
        </is>
      </c>
      <c r="O29" s="32" t="n"/>
      <c r="P29" s="65" t="n"/>
      <c r="Q29" s="64" t="n"/>
      <c r="R29" s="64" t="n"/>
      <c r="S29" s="64" t="n"/>
      <c r="T29" s="32" t="n"/>
    </row>
    <row r="31" ht="20" customHeight="1">
      <c r="A31" s="54" t="inlineStr">
        <is>
          <t>3 · OUR BFCM 2025 RESULT &amp; EVENT VISIBILITY</t>
        </is>
      </c>
    </row>
    <row r="32">
      <c r="A32" s="67" t="inlineStr">
        <is>
          <t>Window</t>
        </is>
      </c>
      <c r="B32" s="68" t="n"/>
      <c r="C32" s="69" t="n"/>
      <c r="D32" s="67" t="inlineStr">
        <is>
          <t>Ad spend</t>
        </is>
      </c>
      <c r="E32" s="67" t="inlineStr">
        <is>
          <t>Ad sales</t>
        </is>
      </c>
      <c r="F32" s="67" t="inlineStr">
        <is>
          <t>ACoS</t>
        </is>
      </c>
      <c r="G32" s="67" t="inlineStr">
        <is>
          <t>TACoS</t>
        </is>
      </c>
      <c r="H32" s="67" t="inlineStr">
        <is>
          <t>Total sales (derived)</t>
        </is>
      </c>
      <c r="J32" s="67" t="inlineStr">
        <is>
          <t>Ad orders</t>
        </is>
      </c>
      <c r="K32" s="67" t="inlineStr">
        <is>
          <t>CVR</t>
        </is>
      </c>
    </row>
    <row r="33">
      <c r="A33" s="70" t="inlineStr">
        <is>
          <t>Pre-event Oct 21 - Nov 19, 2025 (30d)</t>
        </is>
      </c>
      <c r="B33" s="68" t="n"/>
      <c r="C33" s="69" t="n"/>
      <c r="D33" s="71" t="n"/>
      <c r="E33" s="71" t="n"/>
      <c r="F33" s="72" t="n"/>
      <c r="G33" s="72" t="n"/>
      <c r="H33" s="71" t="n"/>
      <c r="J33" s="73" t="n"/>
      <c r="K33" s="74" t="n"/>
    </row>
    <row r="34">
      <c r="A34" s="70" t="inlineStr">
        <is>
          <t>BFCM week Nov 20 - Dec 1, 2025 (12d)</t>
        </is>
      </c>
      <c r="B34" s="68" t="n"/>
      <c r="C34" s="69" t="n"/>
      <c r="D34" s="71" t="n"/>
      <c r="E34" s="71" t="n"/>
      <c r="F34" s="72" t="n"/>
      <c r="G34" s="72" t="n"/>
      <c r="H34" s="71" t="n"/>
      <c r="J34" s="73" t="n"/>
      <c r="K34" s="74" t="n"/>
    </row>
    <row r="35">
      <c r="A35" s="70" t="inlineStr">
        <is>
          <t>December 2 - 31, 2025 (30d)</t>
        </is>
      </c>
      <c r="B35" s="68" t="n"/>
      <c r="C35" s="69" t="n"/>
      <c r="D35" s="71" t="n"/>
      <c r="E35" s="71" t="n"/>
      <c r="F35" s="72" t="n"/>
      <c r="G35" s="72" t="n"/>
      <c r="H35" s="71" t="n"/>
      <c r="J35" s="73" t="n"/>
      <c r="K35" s="74" t="n"/>
    </row>
    <row r="37">
      <c r="A37" s="67" t="inlineStr">
        <is>
          <t>Actual sales (SellerBoard)</t>
        </is>
      </c>
      <c r="B37" s="68" t="n"/>
      <c r="C37" s="69" t="n"/>
      <c r="D37" s="67" t="inlineStr">
        <is>
          <t>Sales</t>
        </is>
      </c>
      <c r="E37" s="67" t="inlineStr">
        <is>
          <t>Units</t>
        </is>
      </c>
      <c r="F37" s="67" t="inlineStr">
        <is>
          <t>Organic units</t>
        </is>
      </c>
      <c r="G37" s="67" t="inlineStr">
        <is>
          <t>Ad units</t>
        </is>
      </c>
      <c r="H37" s="67" t="inlineStr">
        <is>
          <t>Ad cost</t>
        </is>
      </c>
      <c r="J37" s="67" t="inlineStr">
        <is>
          <t>TACoS (actual)</t>
        </is>
      </c>
      <c r="K37" s="67" t="inlineStr">
        <is>
          <t>Sessions</t>
        </is>
      </c>
      <c r="L37" s="67" t="inlineStr">
        <is>
          <t>Unit session %</t>
        </is>
      </c>
      <c r="M37" s="67" t="inlineStr">
        <is>
          <t>Avg price</t>
        </is>
      </c>
      <c r="N37" s="67" t="inlineStr">
        <is>
          <t>Refunds</t>
        </is>
      </c>
    </row>
    <row r="38">
      <c r="A38" s="70" t="inlineStr">
        <is>
          <t>Pre-event Oct 21 - Nov 19, 2025 (30d)</t>
        </is>
      </c>
      <c r="B38" s="68" t="n"/>
      <c r="C38" s="69" t="n"/>
      <c r="D38" s="71" t="n">
        <v>683.83</v>
      </c>
      <c r="E38" s="73" t="n">
        <v>17</v>
      </c>
      <c r="F38" s="73" t="n">
        <v>17</v>
      </c>
      <c r="G38" s="73" t="n">
        <v>0</v>
      </c>
      <c r="H38" s="71" t="n">
        <v>82.90000000000001</v>
      </c>
      <c r="J38" s="75" t="n">
        <v>0.121228960414138</v>
      </c>
      <c r="K38" s="73" t="n">
        <v>656</v>
      </c>
      <c r="L38" s="75" t="n">
        <v>0.02591463414634146</v>
      </c>
      <c r="M38" s="76" t="n">
        <v>40.22529411764706</v>
      </c>
      <c r="N38" s="73" t="n">
        <v>4</v>
      </c>
    </row>
    <row r="39">
      <c r="A39" s="70" t="inlineStr">
        <is>
          <t>BFCM week Nov 20 - Dec 1, 2025 (12d)</t>
        </is>
      </c>
      <c r="B39" s="68" t="n"/>
      <c r="C39" s="69" t="n"/>
      <c r="D39" s="71" t="n">
        <v>179.95</v>
      </c>
      <c r="E39" s="73" t="n">
        <v>5</v>
      </c>
      <c r="F39" s="73" t="n">
        <v>5</v>
      </c>
      <c r="G39" s="73" t="n">
        <v>0</v>
      </c>
      <c r="H39" s="71" t="n">
        <v>7.79</v>
      </c>
      <c r="J39" s="75" t="n">
        <v>0.04328980272297861</v>
      </c>
      <c r="K39" s="73" t="n">
        <v>193</v>
      </c>
      <c r="L39" s="75" t="n">
        <v>0.02590673575129534</v>
      </c>
      <c r="M39" s="76" t="n">
        <v>35.98999999999999</v>
      </c>
      <c r="N39" s="73" t="n">
        <v>1</v>
      </c>
    </row>
    <row r="40">
      <c r="A40" s="70" t="inlineStr">
        <is>
          <t>December 2 - 31, 2025 (30d)</t>
        </is>
      </c>
      <c r="B40" s="68" t="n"/>
      <c r="C40" s="69" t="n"/>
      <c r="D40" s="71" t="n">
        <v>921.75</v>
      </c>
      <c r="E40" s="73" t="n">
        <v>25</v>
      </c>
      <c r="F40" s="73" t="n">
        <v>16</v>
      </c>
      <c r="G40" s="73" t="n">
        <v>9</v>
      </c>
      <c r="H40" s="71" t="n">
        <v>63.36</v>
      </c>
      <c r="J40" s="75" t="n">
        <v>0.06873881204231082</v>
      </c>
      <c r="K40" s="73" t="n">
        <v>520</v>
      </c>
      <c r="L40" s="75" t="n">
        <v>0.04807692307692309</v>
      </c>
      <c r="M40" s="76" t="n">
        <v>36.87</v>
      </c>
      <c r="N40" s="73" t="n">
        <v>2</v>
      </c>
    </row>
    <row r="41">
      <c r="A41" s="59" t="inlineStr">
        <is>
          <t>SellerBoard, Ecotero account, Amazon parent B0FB6DM5X9 plus any of this product's child ASINs SellerBoard lists on their own, UTC days. Lift above uses these actual sales.</t>
        </is>
      </c>
    </row>
    <row r="42" ht="30" customHeight="1">
      <c r="A42" s="77" t="inlineStr">
        <is>
          <t>Deals we ran or scheduled, Nov 1 - Dec 5, 2025 (DataHub promotions; scheduled deal price not in the feed. Keepa price = lowest Buy Box seen during the deal, an observation for the hero child only, not the scheduled deal price): Best Deal 11-20 to 12-02 (cancelled, 12 variations).</t>
        </is>
      </c>
    </row>
    <row r="43">
      <c r="A43" s="59" t="inlineStr">
        <is>
          <t>No Command Center visibility history for our best child ASIN.</t>
        </is>
      </c>
    </row>
    <row r="44">
      <c r="A44" s="107" t="inlineStr">
        <is>
          <t>No BFCM 2025 PPC data for this product (not advertised or launched after BFCM 2025).</t>
        </is>
      </c>
    </row>
    <row r="46" ht="20" customHeight="1">
      <c r="A46" s="54" t="inlineStr">
        <is>
          <t>4 · COMPETITOR LANDSCAPE (23 mapped)</t>
        </is>
      </c>
    </row>
    <row r="47">
      <c r="A47" s="59" t="inlineStr">
        <is>
          <t>Sorted by tier, then estimated weekly units. Green = Command Center price/sales; blue = Data Dive listing; purple = Command Center search strategy (ASINsight); yellow = fill from Keepa / page check.</t>
        </is>
      </c>
    </row>
    <row r="48">
      <c r="A48" s="78" t="inlineStr">
        <is>
          <t>COMPETITOR</t>
        </is>
      </c>
      <c r="I48" s="79" t="inlineStr">
        <is>
          <t>LISTING - Data Dive</t>
        </is>
      </c>
      <c r="J48" s="80" t="inlineStr">
        <is>
          <t>SEARCH STRATEGY - Command Center ASINsight</t>
        </is>
      </c>
      <c r="K48" s="81" t="inlineStr">
        <is>
          <t>PRICE &amp; SALES - Command Center snapshot (date per row)</t>
        </is>
      </c>
      <c r="X48" s="79" t="inlineStr">
        <is>
          <t>LISTING - Data Dive</t>
        </is>
      </c>
      <c r="AA48" s="80" t="inlineStr">
        <is>
          <t>SEARCH STRATEGY - Command Center ASINsight</t>
        </is>
      </c>
      <c r="AR48" s="82" t="inlineStr">
        <is>
          <t>STR NOW - Amazon page check (Oct 13, P1 + P2)</t>
        </is>
      </c>
      <c r="AY48" s="83" t="inlineStr">
        <is>
          <t>BFCM 2025 - Keepa (P1 filled; yellow = not pulled yet)</t>
        </is>
      </c>
    </row>
    <row r="49" ht="48" customHeight="1">
      <c r="A49" s="22" t="inlineStr">
        <is>
          <t>Image</t>
        </is>
      </c>
      <c r="B49" s="22" t="inlineStr">
        <is>
          <t>Brand</t>
        </is>
      </c>
      <c r="C49" s="22" t="inlineStr">
        <is>
          <t>Product title</t>
        </is>
      </c>
      <c r="D49" s="22" t="inlineStr">
        <is>
          <t>Tier</t>
        </is>
      </c>
      <c r="E49" s="22" t="inlineStr">
        <is>
          <t>Parent ASIN</t>
        </is>
      </c>
      <c r="F49" s="22" t="inlineStr">
        <is>
          <t>Tracked child ASIN</t>
        </is>
      </c>
      <c r="G49" s="22" t="inlineStr">
        <is>
          <t>Size (title)</t>
        </is>
      </c>
      <c r="H49" s="22" t="inlineStr">
        <is>
          <t>Colour (title)</t>
        </is>
      </c>
      <c r="I49" s="22" t="inlineStr">
        <is>
          <t>Variations</t>
        </is>
      </c>
      <c r="J49" s="22" t="inlineStr">
        <is>
          <t>Hero child ASINs (share of their visibility)</t>
        </is>
      </c>
      <c r="K49" s="22" t="inlineStr">
        <is>
          <t>Price ($)</t>
        </is>
      </c>
      <c r="L49" s="22" t="inlineStr">
        <is>
          <t>List Price ($)</t>
        </is>
      </c>
      <c r="M49" s="22" t="inlineStr">
        <is>
          <t>List Price % over</t>
        </is>
      </c>
      <c r="N49" s="22" t="inlineStr">
        <is>
          <t>STR band</t>
        </is>
      </c>
      <c r="O49" s="22" t="inlineStr">
        <is>
          <t>Our price, same size ($)</t>
        </is>
      </c>
      <c r="P49" s="22" t="inlineStr">
        <is>
          <t>Their price vs ours</t>
        </is>
      </c>
      <c r="Q49" s="22" t="inlineStr">
        <is>
          <t>Comparison basis</t>
        </is>
      </c>
      <c r="R49" s="22" t="inlineStr">
        <is>
          <t>BSR</t>
        </is>
      </c>
      <c r="S49" s="22" t="inlineStr">
        <is>
          <t>Est weekly units</t>
        </is>
      </c>
      <c r="T49" s="22" t="inlineStr">
        <is>
          <t>Est monthly revenue ($)</t>
        </is>
      </c>
      <c r="U49" s="22" t="inlineStr">
        <is>
          <t>Rating</t>
        </is>
      </c>
      <c r="V49" s="22" t="inlineStr">
        <is>
          <t>Reviews</t>
        </is>
      </c>
      <c r="W49" s="22" t="inlineStr">
        <is>
          <t>Snapshot date</t>
        </is>
      </c>
      <c r="X49" s="22" t="inlineStr">
        <is>
          <t>Listed</t>
        </is>
      </c>
      <c r="Y49" s="22" t="inlineStr">
        <is>
          <t>Fulfil.</t>
        </is>
      </c>
      <c r="Z49" s="22" t="inlineStr">
        <is>
          <t>Seller country</t>
        </is>
      </c>
      <c r="AA49" s="22" t="inlineStr">
        <is>
          <t>ASINsight 7d traffic</t>
        </is>
      </c>
      <c r="AB49" s="22" t="inlineStr">
        <is>
          <t>Keywords ranked</t>
        </is>
      </c>
      <c r="AC49" s="22" t="inlineStr">
        <is>
          <t>Organic share of traffic</t>
        </is>
      </c>
      <c r="AD49" s="22" t="inlineStr">
        <is>
          <t>Ad share of traffic</t>
        </is>
      </c>
      <c r="AE49" s="22" t="inlineStr">
        <is>
          <t>Top keyword</t>
        </is>
      </c>
      <c r="AF49" s="22" t="inlineStr">
        <is>
          <t>SP reach</t>
        </is>
      </c>
      <c r="AG49" s="22" t="inlineStr">
        <is>
          <t>SB reach</t>
        </is>
      </c>
      <c r="AH49" s="22" t="inlineStr">
        <is>
          <t>SB video reach</t>
        </is>
      </c>
      <c r="AI49" s="22" t="inlineStr">
        <is>
          <t>Amazon's Choice reach</t>
        </is>
      </c>
      <c r="AJ49" s="22" t="inlineStr">
        <is>
          <t>Shared keywords</t>
        </is>
      </c>
      <c r="AK49" s="22" t="inlineStr">
        <is>
          <t>We win</t>
        </is>
      </c>
      <c r="AL49" s="22" t="inlineStr">
        <is>
          <t>We lose</t>
        </is>
      </c>
      <c r="AM49" s="22" t="inlineStr">
        <is>
          <t>Their keywords we miss</t>
        </is>
      </c>
      <c r="AN49" s="22" t="inlineStr">
        <is>
          <t>KWs they advertise, we don't</t>
        </is>
      </c>
      <c r="AO49" s="22" t="inlineStr">
        <is>
          <t>KWs they out-advertise us</t>
        </is>
      </c>
      <c r="AP49" s="22" t="inlineStr">
        <is>
          <t>Prime Day 2026 organic vis lift</t>
        </is>
      </c>
      <c r="AQ49" s="22" t="inlineStr">
        <is>
          <t>Organic trend (Aug-Sep vs Q2)</t>
        </is>
      </c>
      <c r="AR49" s="22" t="inlineStr">
        <is>
          <t>STR showing now? (Y/N)</t>
        </is>
      </c>
      <c r="AS49" s="22" t="inlineStr">
        <is>
          <t>STR label</t>
        </is>
      </c>
      <c r="AT49" s="22" t="inlineStr">
        <is>
          <t>Strikethrough price ($)</t>
        </is>
      </c>
      <c r="AU49" s="22" t="inlineStr">
        <is>
          <t>Page price at check ($)</t>
        </is>
      </c>
      <c r="AV49" s="22" t="inlineStr">
        <is>
          <t>Deal / coupon now</t>
        </is>
      </c>
      <c r="AW49" s="22" t="inlineStr">
        <is>
          <t>Orderable now (Y/N)</t>
        </is>
      </c>
      <c r="AX49" s="22" t="inlineStr">
        <is>
          <t>Checked (ET)</t>
        </is>
      </c>
      <c r="AY49" s="22" t="inlineStr">
        <is>
          <t>BFCM 2025 deal type</t>
        </is>
      </c>
      <c r="AZ49" s="22" t="inlineStr">
        <is>
          <t>BFCM 2025 deal dates</t>
        </is>
      </c>
      <c r="BA49" s="22" t="inlineStr">
        <is>
          <t>Pre-event price ($)</t>
        </is>
      </c>
      <c r="BB49" s="22" t="inlineStr">
        <is>
          <t>BFCM 2025 low ($)</t>
        </is>
      </c>
      <c r="BC49" s="22" t="inlineStr">
        <is>
          <t>BFCM 2025 discount</t>
        </is>
      </c>
      <c r="BD49" s="22" t="inlineStr">
        <is>
          <t>BSR pre-event</t>
        </is>
      </c>
      <c r="BE49" s="22" t="inlineStr">
        <is>
          <t>BSR BFCM wk</t>
        </is>
      </c>
      <c r="BF49" s="22" t="inlineStr">
        <is>
          <t>BSR lift (x)</t>
        </is>
      </c>
      <c r="BG49" s="22" t="inlineStr">
        <is>
          <t>OOS in BFCM? (Y/N)</t>
        </is>
      </c>
      <c r="BH49" s="22" t="inlineStr">
        <is>
          <t>Notes</t>
        </is>
      </c>
    </row>
    <row r="50" ht="62" customHeight="1">
      <c r="A50" s="39" t="inlineStr">
        <is>
          <t>IMAGE MISSING</t>
        </is>
      </c>
      <c r="B50" s="84" t="inlineStr">
        <is>
          <t>BIETYONE</t>
        </is>
      </c>
      <c r="C50" s="32" t="inlineStr">
        <is>
          <t>Waterproof Chair Cover</t>
        </is>
      </c>
      <c r="D50" s="84" t="inlineStr">
        <is>
          <t>Aspirational</t>
        </is>
      </c>
      <c r="E50" s="84" t="inlineStr">
        <is>
          <t>B0D25V1C84</t>
        </is>
      </c>
      <c r="F50" s="84" t="inlineStr">
        <is>
          <t>B0DGGSVWZQ</t>
        </is>
      </c>
      <c r="G50" s="84" t="n"/>
      <c r="H50" s="84" t="n"/>
      <c r="I50" s="85" t="n"/>
      <c r="J50" s="32" t="inlineStr"/>
      <c r="K50" s="86" t="n">
        <v>20.99</v>
      </c>
      <c r="L50" s="86" t="n"/>
      <c r="M50" s="87">
        <f>IF(AND(ISNUMBER(L50),ISNUMBER(K50),N(K50)&gt;0),L50/K50-1,"")</f>
        <v/>
      </c>
      <c r="N50" s="88">
        <f>IF(M50="","No List Price",IF(M50&lt;=0,"At/below price",IF(M50&lt;=0.12,"&lt;=12% STR zone",IF(M50&lt;=0.25,"12-25%","&gt;25% over"))))</f>
        <v/>
      </c>
      <c r="O50" s="86" t="n">
        <v>25.24</v>
      </c>
      <c r="P50" s="89">
        <f>IF(AND(ISNUMBER(K50),ISNUMBER(O50),N(O50)&gt;0),K50/O50-1,"")</f>
        <v/>
      </c>
      <c r="Q50" s="32" t="inlineStr">
        <is>
          <t>vs our blended price (Command Center, Mar 2026 - STALE)</t>
        </is>
      </c>
      <c r="R50" s="85" t="n">
        <v>11189</v>
      </c>
      <c r="S50" s="85" t="n">
        <v>347</v>
      </c>
      <c r="T50" s="90">
        <f>IF(AND(ISNUMBER(K50),ISNUMBER(S50)),K50*S50*52/12,"")</f>
        <v/>
      </c>
      <c r="U50" s="91" t="n">
        <v>4.6</v>
      </c>
      <c r="V50" s="85" t="n">
        <v>1765</v>
      </c>
      <c r="W50" s="92" t="n">
        <v>46307</v>
      </c>
      <c r="X50" s="92" t="n"/>
      <c r="Y50" s="84" t="n"/>
      <c r="Z50" s="84" t="n"/>
      <c r="AA50" s="85" t="n"/>
      <c r="AB50" s="85" t="n"/>
      <c r="AC50" s="93" t="n"/>
      <c r="AD50" s="93" t="n"/>
      <c r="AE50" s="32" t="n"/>
      <c r="AF50" s="93" t="n"/>
      <c r="AG50" s="93" t="n"/>
      <c r="AH50" s="93" t="n"/>
      <c r="AI50" s="93" t="n"/>
      <c r="AJ50" s="85" t="n"/>
      <c r="AK50" s="85" t="n"/>
      <c r="AL50" s="85" t="n"/>
      <c r="AM50" s="85" t="n"/>
      <c r="AN50" s="85" t="n"/>
      <c r="AO50" s="85" t="n"/>
      <c r="AP50" s="94" t="n"/>
      <c r="AQ50" s="89" t="n"/>
      <c r="AR50" s="95" t="inlineStr">
        <is>
          <t>N</t>
        </is>
      </c>
      <c r="AS50" s="95" t="inlineStr">
        <is>
          <t>none</t>
        </is>
      </c>
      <c r="AT50" s="101" t="n"/>
      <c r="AU50" s="96" t="n">
        <v>20.99</v>
      </c>
      <c r="AV50" s="95" t="inlineStr">
        <is>
          <t>none</t>
        </is>
      </c>
      <c r="AW50" s="95" t="inlineStr">
        <is>
          <t>Y</t>
        </is>
      </c>
      <c r="AX50" s="95" t="inlineStr">
        <is>
          <t>2026-10-13 23:39:45</t>
        </is>
      </c>
      <c r="AY50" s="102" t="n"/>
      <c r="AZ50" s="102" t="n"/>
      <c r="BA50" s="101" t="n"/>
      <c r="BB50" s="101" t="n"/>
      <c r="BC50" s="87">
        <f>IF(AND(ISNUMBER(BA50),ISNUMBER(BB50),N(BA50)&gt;0),1-BB50/BA50,"")</f>
        <v/>
      </c>
      <c r="BD50" s="103" t="n"/>
      <c r="BE50" s="103" t="n"/>
      <c r="BF50" s="100">
        <f>IF(AND(ISNUMBER(BD50),ISNUMBER(BE50),N(BE50)&gt;0),BD50/BE50,"")</f>
        <v/>
      </c>
      <c r="BG50" s="102" t="n"/>
      <c r="BH50" s="102" t="n"/>
    </row>
    <row r="51" ht="62" customHeight="1">
      <c r="A51" s="10">
        <f>_xlfn.IMAGE("https://images-na.ssl-images-amazon.com/images/I/71VoH4GIgpL.jpg")</f>
        <v/>
      </c>
      <c r="B51" s="84" t="inlineStr">
        <is>
          <t>Fafua</t>
        </is>
      </c>
      <c r="C51" s="32" t="inlineStr">
        <is>
          <t>Fafua Chair Covers, Stretch Dining Room Chair Covers Set of 6, Removable Washable Dining Chair Slipcovers for Home, Hotel, Banquet</t>
        </is>
      </c>
      <c r="D51" s="84" t="inlineStr">
        <is>
          <t>Aspirational</t>
        </is>
      </c>
      <c r="E51" s="84" t="inlineStr">
        <is>
          <t>B0D6R57FVR</t>
        </is>
      </c>
      <c r="F51" s="84" t="inlineStr">
        <is>
          <t>B0CQ7YQJ5H</t>
        </is>
      </c>
      <c r="G51" s="84" t="n"/>
      <c r="H51" s="84" t="n"/>
      <c r="I51" s="85" t="n">
        <v>71</v>
      </c>
      <c r="J51" s="32" t="inlineStr"/>
      <c r="K51" s="86" t="n">
        <v>19.88</v>
      </c>
      <c r="L51" s="86" t="n"/>
      <c r="M51" s="87">
        <f>IF(AND(ISNUMBER(L51),ISNUMBER(K51),N(K51)&gt;0),L51/K51-1,"")</f>
        <v/>
      </c>
      <c r="N51" s="88">
        <f>IF(M51="","No List Price",IF(M51&lt;=0,"At/below price",IF(M51&lt;=0.12,"&lt;=12% STR zone",IF(M51&lt;=0.25,"12-25%","&gt;25% over"))))</f>
        <v/>
      </c>
      <c r="O51" s="86" t="n">
        <v>25.24</v>
      </c>
      <c r="P51" s="89">
        <f>IF(AND(ISNUMBER(K51),ISNUMBER(O51),N(O51)&gt;0),K51/O51-1,"")</f>
        <v/>
      </c>
      <c r="Q51" s="32" t="inlineStr">
        <is>
          <t>vs our blended price (Command Center, Mar 2026 - STALE)</t>
        </is>
      </c>
      <c r="R51" s="85" t="n">
        <v>18955</v>
      </c>
      <c r="S51" s="85" t="n">
        <v>173</v>
      </c>
      <c r="T51" s="90">
        <f>IF(AND(ISNUMBER(K51),ISNUMBER(S51)),K51*S51*52/12,"")</f>
        <v/>
      </c>
      <c r="U51" s="91" t="n">
        <v>4.6</v>
      </c>
      <c r="V51" s="85" t="n">
        <v>2227</v>
      </c>
      <c r="W51" s="92" t="n">
        <v>46307</v>
      </c>
      <c r="X51" s="92" t="n">
        <v>45274</v>
      </c>
      <c r="Y51" s="84" t="inlineStr">
        <is>
          <t>FBA</t>
        </is>
      </c>
      <c r="Z51" s="84" t="inlineStr">
        <is>
          <t>CN</t>
        </is>
      </c>
      <c r="AA51" s="85" t="n"/>
      <c r="AB51" s="85" t="n"/>
      <c r="AC51" s="93" t="n"/>
      <c r="AD51" s="93" t="n"/>
      <c r="AE51" s="32" t="n"/>
      <c r="AF51" s="93" t="n"/>
      <c r="AG51" s="93" t="n"/>
      <c r="AH51" s="93" t="n"/>
      <c r="AI51" s="93" t="n"/>
      <c r="AJ51" s="85" t="n"/>
      <c r="AK51" s="85" t="n"/>
      <c r="AL51" s="85" t="n"/>
      <c r="AM51" s="85" t="n"/>
      <c r="AN51" s="85" t="n"/>
      <c r="AO51" s="85" t="n"/>
      <c r="AP51" s="94" t="n"/>
      <c r="AQ51" s="89" t="n"/>
      <c r="AR51" s="95" t="inlineStr">
        <is>
          <t>Y</t>
        </is>
      </c>
      <c r="AS51" s="95" t="inlineStr">
        <is>
          <t>List Price</t>
        </is>
      </c>
      <c r="AT51" s="96" t="n">
        <v>18.88</v>
      </c>
      <c r="AU51" s="96" t="n">
        <v>17.89</v>
      </c>
      <c r="AV51" s="95" t="inlineStr">
        <is>
          <t>none</t>
        </is>
      </c>
      <c r="AW51" s="95" t="inlineStr">
        <is>
          <t>Y</t>
        </is>
      </c>
      <c r="AX51" s="95" t="inlineStr">
        <is>
          <t>2026-10-13 23:40:38</t>
        </is>
      </c>
      <c r="AY51" s="102" t="n"/>
      <c r="AZ51" s="102" t="n"/>
      <c r="BA51" s="101" t="n"/>
      <c r="BB51" s="101" t="n"/>
      <c r="BC51" s="87">
        <f>IF(AND(ISNUMBER(BA51),ISNUMBER(BB51),N(BA51)&gt;0),1-BB51/BA51,"")</f>
        <v/>
      </c>
      <c r="BD51" s="103" t="n"/>
      <c r="BE51" s="103" t="n"/>
      <c r="BF51" s="100">
        <f>IF(AND(ISNUMBER(BD51),ISNUMBER(BE51),N(BE51)&gt;0),BD51/BE51,"")</f>
        <v/>
      </c>
      <c r="BG51" s="102" t="n"/>
      <c r="BH51" s="102" t="n"/>
    </row>
    <row r="52" ht="62" customHeight="1">
      <c r="A52" s="10">
        <f>_xlfn.IMAGE("https://images-na.ssl-images-amazon.com/images/I/81jPNujWT9L.jpg")</f>
        <v/>
      </c>
      <c r="B52" s="84" t="inlineStr">
        <is>
          <t>Genina</t>
        </is>
      </c>
      <c r="C52" s="32" t="inlineStr">
        <is>
          <t>Genina Waterproof Dining Chair Covers Set of 4 Parsons Chair Slipcovers</t>
        </is>
      </c>
      <c r="D52" s="84" t="inlineStr">
        <is>
          <t>Aspirational</t>
        </is>
      </c>
      <c r="E52" s="84" t="inlineStr">
        <is>
          <t>B0B136S1FV</t>
        </is>
      </c>
      <c r="F52" s="84" t="inlineStr">
        <is>
          <t>B0B136JQD1</t>
        </is>
      </c>
      <c r="G52" s="84" t="n"/>
      <c r="H52" s="84" t="n"/>
      <c r="I52" s="85" t="n">
        <v>57</v>
      </c>
      <c r="J52" s="32" t="inlineStr"/>
      <c r="K52" s="86" t="n">
        <v>22.07</v>
      </c>
      <c r="L52" s="86" t="n"/>
      <c r="M52" s="87">
        <f>IF(AND(ISNUMBER(L52),ISNUMBER(K52),N(K52)&gt;0),L52/K52-1,"")</f>
        <v/>
      </c>
      <c r="N52" s="88">
        <f>IF(M52="","No List Price",IF(M52&lt;=0,"At/below price",IF(M52&lt;=0.12,"&lt;=12% STR zone",IF(M52&lt;=0.25,"12-25%","&gt;25% over"))))</f>
        <v/>
      </c>
      <c r="O52" s="86" t="n">
        <v>25.24</v>
      </c>
      <c r="P52" s="89">
        <f>IF(AND(ISNUMBER(K52),ISNUMBER(O52),N(O52)&gt;0),K52/O52-1,"")</f>
        <v/>
      </c>
      <c r="Q52" s="32" t="inlineStr">
        <is>
          <t>vs our blended price (Command Center, Mar 2026 - STALE)</t>
        </is>
      </c>
      <c r="R52" s="85" t="n">
        <v>15013</v>
      </c>
      <c r="S52" s="85" t="n">
        <v>173</v>
      </c>
      <c r="T52" s="90">
        <f>IF(AND(ISNUMBER(K52),ISNUMBER(S52)),K52*S52*52/12,"")</f>
        <v/>
      </c>
      <c r="U52" s="91" t="n">
        <v>4.7</v>
      </c>
      <c r="V52" s="85" t="n">
        <v>2930</v>
      </c>
      <c r="W52" s="92" t="n">
        <v>46307</v>
      </c>
      <c r="X52" s="92" t="n">
        <v>44692</v>
      </c>
      <c r="Y52" s="84" t="inlineStr">
        <is>
          <t>FBA</t>
        </is>
      </c>
      <c r="Z52" s="84" t="inlineStr">
        <is>
          <t>CN</t>
        </is>
      </c>
      <c r="AA52" s="85" t="n"/>
      <c r="AB52" s="85" t="n"/>
      <c r="AC52" s="93" t="n"/>
      <c r="AD52" s="93" t="n"/>
      <c r="AE52" s="32" t="n"/>
      <c r="AF52" s="93" t="n"/>
      <c r="AG52" s="93" t="n"/>
      <c r="AH52" s="93" t="n"/>
      <c r="AI52" s="93" t="n"/>
      <c r="AJ52" s="85" t="n"/>
      <c r="AK52" s="85" t="n"/>
      <c r="AL52" s="85" t="n"/>
      <c r="AM52" s="85" t="n"/>
      <c r="AN52" s="85" t="n"/>
      <c r="AO52" s="85" t="n"/>
      <c r="AP52" s="94" t="n"/>
      <c r="AQ52" s="89" t="n"/>
      <c r="AR52" s="95" t="inlineStr">
        <is>
          <t>Y</t>
        </is>
      </c>
      <c r="AS52" s="95" t="inlineStr">
        <is>
          <t>Typical price</t>
        </is>
      </c>
      <c r="AT52" s="96" t="n">
        <v>19.99</v>
      </c>
      <c r="AU52" s="96" t="n">
        <v>18.98</v>
      </c>
      <c r="AV52" s="95" t="inlineStr">
        <is>
          <t>none</t>
        </is>
      </c>
      <c r="AW52" s="95" t="inlineStr">
        <is>
          <t>Y</t>
        </is>
      </c>
      <c r="AX52" s="95" t="inlineStr">
        <is>
          <t>2026-10-13 23:40:41</t>
        </is>
      </c>
      <c r="AY52" s="102" t="n"/>
      <c r="AZ52" s="102" t="n"/>
      <c r="BA52" s="101" t="n"/>
      <c r="BB52" s="101" t="n"/>
      <c r="BC52" s="87">
        <f>IF(AND(ISNUMBER(BA52),ISNUMBER(BB52),N(BA52)&gt;0),1-BB52/BA52,"")</f>
        <v/>
      </c>
      <c r="BD52" s="103" t="n"/>
      <c r="BE52" s="103" t="n"/>
      <c r="BF52" s="100">
        <f>IF(AND(ISNUMBER(BD52),ISNUMBER(BE52),N(BE52)&gt;0),BD52/BE52,"")</f>
        <v/>
      </c>
      <c r="BG52" s="102" t="n"/>
      <c r="BH52" s="102" t="n"/>
    </row>
    <row r="53" ht="62" customHeight="1">
      <c r="A53" s="10">
        <f>_xlfn.IMAGE("https://images-na.ssl-images-amazon.com/images/I/71THLNBLXkL.jpg")</f>
        <v/>
      </c>
      <c r="B53" s="84" t="inlineStr">
        <is>
          <t>Artrello</t>
        </is>
      </c>
      <c r="C53" s="32" t="inlineStr">
        <is>
          <t>Chair Covers for Dining Room - Stretch Chair Slipcovers for Decorative Seat Protector Armless Removable Washable Elastic Dinner Universal Spandex Solid Chair Slip Covers Set (autumn orange,4)</t>
        </is>
      </c>
      <c r="D53" s="84" t="inlineStr">
        <is>
          <t>Aspirational</t>
        </is>
      </c>
      <c r="E53" s="84" t="inlineStr">
        <is>
          <t>B0FSDPTLPL</t>
        </is>
      </c>
      <c r="F53" s="84" t="inlineStr">
        <is>
          <t>B08T761T9S</t>
        </is>
      </c>
      <c r="G53" s="84" t="n"/>
      <c r="H53" s="84" t="inlineStr">
        <is>
          <t>autumn orange</t>
        </is>
      </c>
      <c r="I53" s="85" t="n">
        <v>19</v>
      </c>
      <c r="J53" s="32" t="inlineStr"/>
      <c r="K53" s="86" t="n">
        <v>23.99</v>
      </c>
      <c r="L53" s="86" t="n"/>
      <c r="M53" s="87">
        <f>IF(AND(ISNUMBER(L53),ISNUMBER(K53),N(K53)&gt;0),L53/K53-1,"")</f>
        <v/>
      </c>
      <c r="N53" s="88">
        <f>IF(M53="","No List Price",IF(M53&lt;=0,"At/below price",IF(M53&lt;=0.12,"&lt;=12% STR zone",IF(M53&lt;=0.25,"12-25%","&gt;25% over"))))</f>
        <v/>
      </c>
      <c r="O53" s="86" t="n">
        <v>25.24</v>
      </c>
      <c r="P53" s="89">
        <f>IF(AND(ISNUMBER(K53),ISNUMBER(O53),N(O53)&gt;0),K53/O53-1,"")</f>
        <v/>
      </c>
      <c r="Q53" s="32" t="inlineStr">
        <is>
          <t>vs our blended price (Command Center, Mar 2026 - STALE)</t>
        </is>
      </c>
      <c r="R53" s="85" t="n">
        <v>39894</v>
      </c>
      <c r="S53" s="85" t="n">
        <v>92</v>
      </c>
      <c r="T53" s="90">
        <f>IF(AND(ISNUMBER(K53),ISNUMBER(S53)),K53*S53*52/12,"")</f>
        <v/>
      </c>
      <c r="U53" s="91" t="n">
        <v>4.5</v>
      </c>
      <c r="V53" s="85" t="n">
        <v>4016</v>
      </c>
      <c r="W53" s="92" t="n">
        <v>46307</v>
      </c>
      <c r="X53" s="92" t="n">
        <v>43985</v>
      </c>
      <c r="Y53" s="84" t="inlineStr">
        <is>
          <t>FBA</t>
        </is>
      </c>
      <c r="Z53" s="84" t="inlineStr">
        <is>
          <t>CN</t>
        </is>
      </c>
      <c r="AA53" s="85" t="n"/>
      <c r="AB53" s="85" t="n"/>
      <c r="AC53" s="93" t="n"/>
      <c r="AD53" s="93" t="n"/>
      <c r="AE53" s="32" t="n"/>
      <c r="AF53" s="93" t="n"/>
      <c r="AG53" s="93" t="n"/>
      <c r="AH53" s="93" t="n"/>
      <c r="AI53" s="93" t="n"/>
      <c r="AJ53" s="85" t="n"/>
      <c r="AK53" s="85" t="n"/>
      <c r="AL53" s="85" t="n"/>
      <c r="AM53" s="85" t="n"/>
      <c r="AN53" s="85" t="n"/>
      <c r="AO53" s="85" t="n"/>
      <c r="AP53" s="94" t="n"/>
      <c r="AQ53" s="89" t="n"/>
      <c r="AR53" s="95" t="inlineStr">
        <is>
          <t>N</t>
        </is>
      </c>
      <c r="AS53" s="95" t="inlineStr">
        <is>
          <t>none</t>
        </is>
      </c>
      <c r="AT53" s="101" t="n"/>
      <c r="AU53" s="96" t="n">
        <v>23.99</v>
      </c>
      <c r="AV53" s="95" t="inlineStr">
        <is>
          <t>none</t>
        </is>
      </c>
      <c r="AW53" s="95" t="inlineStr">
        <is>
          <t>Y</t>
        </is>
      </c>
      <c r="AX53" s="95" t="inlineStr">
        <is>
          <t>2026-10-13 23:39:39</t>
        </is>
      </c>
      <c r="AY53" s="102" t="n"/>
      <c r="AZ53" s="102" t="n"/>
      <c r="BA53" s="101" t="n"/>
      <c r="BB53" s="101" t="n"/>
      <c r="BC53" s="87">
        <f>IF(AND(ISNUMBER(BA53),ISNUMBER(BB53),N(BA53)&gt;0),1-BB53/BA53,"")</f>
        <v/>
      </c>
      <c r="BD53" s="103" t="n"/>
      <c r="BE53" s="103" t="n"/>
      <c r="BF53" s="100">
        <f>IF(AND(ISNUMBER(BD53),ISNUMBER(BE53),N(BE53)&gt;0),BD53/BE53,"")</f>
        <v/>
      </c>
      <c r="BG53" s="102" t="n"/>
      <c r="BH53" s="102" t="n"/>
    </row>
    <row r="54" ht="62" customHeight="1">
      <c r="A54" s="10">
        <f>_xlfn.IMAGE("https://images-na.ssl-images-amazon.com/images/I/81LBQiUKrSS.jpg")</f>
        <v/>
      </c>
      <c r="B54" s="84" t="inlineStr">
        <is>
          <t>Easy-Going</t>
        </is>
      </c>
      <c r="C54" s="32" t="inlineStr">
        <is>
          <t>Easy-Going 100% Waterproof Dining Room Chair Covers Set of 6, Large</t>
        </is>
      </c>
      <c r="D54" s="84" t="inlineStr">
        <is>
          <t>Aspirational</t>
        </is>
      </c>
      <c r="E54" s="84" t="inlineStr">
        <is>
          <t>B0D56RHFVV</t>
        </is>
      </c>
      <c r="F54" s="84" t="inlineStr">
        <is>
          <t>B08TT88SXY</t>
        </is>
      </c>
      <c r="G54" s="84" t="n"/>
      <c r="H54" s="84" t="n"/>
      <c r="I54" s="85" t="n">
        <v>74</v>
      </c>
      <c r="J54" s="32" t="inlineStr"/>
      <c r="K54" s="86" t="n">
        <v>25.99</v>
      </c>
      <c r="L54" s="86" t="n"/>
      <c r="M54" s="87">
        <f>IF(AND(ISNUMBER(L54),ISNUMBER(K54),N(K54)&gt;0),L54/K54-1,"")</f>
        <v/>
      </c>
      <c r="N54" s="88">
        <f>IF(M54="","No List Price",IF(M54&lt;=0,"At/below price",IF(M54&lt;=0.12,"&lt;=12% STR zone",IF(M54&lt;=0.25,"12-25%","&gt;25% over"))))</f>
        <v/>
      </c>
      <c r="O54" s="86" t="n">
        <v>25.24</v>
      </c>
      <c r="P54" s="89">
        <f>IF(AND(ISNUMBER(K54),ISNUMBER(O54),N(O54)&gt;0),K54/O54-1,"")</f>
        <v/>
      </c>
      <c r="Q54" s="32" t="inlineStr">
        <is>
          <t>vs our blended price (Command Center, Mar 2026 - STALE)</t>
        </is>
      </c>
      <c r="R54" s="85" t="n">
        <v>25992</v>
      </c>
      <c r="S54" s="85" t="n">
        <v>92</v>
      </c>
      <c r="T54" s="90">
        <f>IF(AND(ISNUMBER(K54),ISNUMBER(S54)),K54*S54*52/12,"")</f>
        <v/>
      </c>
      <c r="U54" s="91" t="n">
        <v>4.6</v>
      </c>
      <c r="V54" s="85" t="n">
        <v>4711</v>
      </c>
      <c r="W54" s="92" t="n">
        <v>46307</v>
      </c>
      <c r="X54" s="92" t="n">
        <v>44219</v>
      </c>
      <c r="Y54" s="84" t="inlineStr">
        <is>
          <t>FBA</t>
        </is>
      </c>
      <c r="Z54" s="84" t="inlineStr">
        <is>
          <t>HK</t>
        </is>
      </c>
      <c r="AA54" s="85" t="n"/>
      <c r="AB54" s="85" t="n"/>
      <c r="AC54" s="93" t="n"/>
      <c r="AD54" s="93" t="n"/>
      <c r="AE54" s="32" t="n"/>
      <c r="AF54" s="93" t="n"/>
      <c r="AG54" s="93" t="n"/>
      <c r="AH54" s="93" t="n"/>
      <c r="AI54" s="93" t="n"/>
      <c r="AJ54" s="85" t="n"/>
      <c r="AK54" s="85" t="n"/>
      <c r="AL54" s="85" t="n"/>
      <c r="AM54" s="85" t="n"/>
      <c r="AN54" s="85" t="n"/>
      <c r="AO54" s="85" t="n"/>
      <c r="AP54" s="94" t="n"/>
      <c r="AQ54" s="89" t="n"/>
      <c r="AR54" s="95" t="inlineStr">
        <is>
          <t>N</t>
        </is>
      </c>
      <c r="AS54" s="95" t="inlineStr">
        <is>
          <t>none</t>
        </is>
      </c>
      <c r="AT54" s="101" t="n"/>
      <c r="AU54" s="96" t="n">
        <v>25.99</v>
      </c>
      <c r="AV54" s="95" t="inlineStr">
        <is>
          <t>coupon 10%</t>
        </is>
      </c>
      <c r="AW54" s="95" t="inlineStr">
        <is>
          <t>Y</t>
        </is>
      </c>
      <c r="AX54" s="95" t="inlineStr">
        <is>
          <t>2026-10-13 23:40:16</t>
        </is>
      </c>
      <c r="AY54" s="102" t="n"/>
      <c r="AZ54" s="102" t="n"/>
      <c r="BA54" s="101" t="n"/>
      <c r="BB54" s="101" t="n"/>
      <c r="BC54" s="87">
        <f>IF(AND(ISNUMBER(BA54),ISNUMBER(BB54),N(BA54)&gt;0),1-BB54/BA54,"")</f>
        <v/>
      </c>
      <c r="BD54" s="103" t="n"/>
      <c r="BE54" s="103" t="n"/>
      <c r="BF54" s="100">
        <f>IF(AND(ISNUMBER(BD54),ISNUMBER(BE54),N(BE54)&gt;0),BD54/BE54,"")</f>
        <v/>
      </c>
      <c r="BG54" s="102" t="n"/>
      <c r="BH54" s="102" t="n"/>
    </row>
    <row r="55" ht="62" customHeight="1">
      <c r="A55" s="39" t="inlineStr">
        <is>
          <t>IMAGE MISSING</t>
        </is>
      </c>
      <c r="B55" s="84" t="inlineStr">
        <is>
          <t>Genina</t>
        </is>
      </c>
      <c r="C55" s="32" t="inlineStr">
        <is>
          <t>Waterproof Chair Cover</t>
        </is>
      </c>
      <c r="D55" s="84" t="inlineStr">
        <is>
          <t>Aspirational</t>
        </is>
      </c>
      <c r="E55" s="84" t="inlineStr">
        <is>
          <t>B0CD2CC5XV</t>
        </is>
      </c>
      <c r="F55" s="84" t="inlineStr">
        <is>
          <t>B095H7XNTP</t>
        </is>
      </c>
      <c r="G55" s="84" t="n"/>
      <c r="H55" s="84" t="n"/>
      <c r="I55" s="85" t="n"/>
      <c r="J55" s="32" t="inlineStr"/>
      <c r="K55" s="86" t="n">
        <v>29.99</v>
      </c>
      <c r="L55" s="86" t="n"/>
      <c r="M55" s="87">
        <f>IF(AND(ISNUMBER(L55),ISNUMBER(K55),N(K55)&gt;0),L55/K55-1,"")</f>
        <v/>
      </c>
      <c r="N55" s="88">
        <f>IF(M55="","No List Price",IF(M55&lt;=0,"At/below price",IF(M55&lt;=0.12,"&lt;=12% STR zone",IF(M55&lt;=0.25,"12-25%","&gt;25% over"))))</f>
        <v/>
      </c>
      <c r="O55" s="86" t="n">
        <v>25.24</v>
      </c>
      <c r="P55" s="89">
        <f>IF(AND(ISNUMBER(K55),ISNUMBER(O55),N(O55)&gt;0),K55/O55-1,"")</f>
        <v/>
      </c>
      <c r="Q55" s="32" t="inlineStr">
        <is>
          <t>vs our blended price (Command Center, Mar 2026 - STALE)</t>
        </is>
      </c>
      <c r="R55" s="85" t="n">
        <v>36868</v>
      </c>
      <c r="S55" s="85" t="n">
        <v>92</v>
      </c>
      <c r="T55" s="90">
        <f>IF(AND(ISNUMBER(K55),ISNUMBER(S55)),K55*S55*52/12,"")</f>
        <v/>
      </c>
      <c r="U55" s="91" t="n">
        <v>4.6</v>
      </c>
      <c r="V55" s="85" t="n">
        <v>2729</v>
      </c>
      <c r="W55" s="92" t="n">
        <v>46307</v>
      </c>
      <c r="X55" s="92" t="n"/>
      <c r="Y55" s="84" t="n"/>
      <c r="Z55" s="84" t="n"/>
      <c r="AA55" s="85" t="n"/>
      <c r="AB55" s="85" t="n"/>
      <c r="AC55" s="93" t="n"/>
      <c r="AD55" s="93" t="n"/>
      <c r="AE55" s="32" t="n"/>
      <c r="AF55" s="93" t="n"/>
      <c r="AG55" s="93" t="n"/>
      <c r="AH55" s="93" t="n"/>
      <c r="AI55" s="93" t="n"/>
      <c r="AJ55" s="85" t="n"/>
      <c r="AK55" s="85" t="n"/>
      <c r="AL55" s="85" t="n"/>
      <c r="AM55" s="85" t="n"/>
      <c r="AN55" s="85" t="n"/>
      <c r="AO55" s="85" t="n"/>
      <c r="AP55" s="94" t="n"/>
      <c r="AQ55" s="89" t="n"/>
      <c r="AR55" s="95" t="inlineStr">
        <is>
          <t>N</t>
        </is>
      </c>
      <c r="AS55" s="95" t="inlineStr">
        <is>
          <t>none</t>
        </is>
      </c>
      <c r="AT55" s="101" t="n"/>
      <c r="AU55" s="96" t="n">
        <v>29.99</v>
      </c>
      <c r="AV55" s="95" t="inlineStr">
        <is>
          <t>none</t>
        </is>
      </c>
      <c r="AW55" s="95" t="inlineStr">
        <is>
          <t>Y</t>
        </is>
      </c>
      <c r="AX55" s="95" t="inlineStr">
        <is>
          <t>2026-10-13 23:40:44</t>
        </is>
      </c>
      <c r="AY55" s="102" t="n"/>
      <c r="AZ55" s="102" t="n"/>
      <c r="BA55" s="101" t="n"/>
      <c r="BB55" s="101" t="n"/>
      <c r="BC55" s="87">
        <f>IF(AND(ISNUMBER(BA55),ISNUMBER(BB55),N(BA55)&gt;0),1-BB55/BA55,"")</f>
        <v/>
      </c>
      <c r="BD55" s="103" t="n"/>
      <c r="BE55" s="103" t="n"/>
      <c r="BF55" s="100">
        <f>IF(AND(ISNUMBER(BD55),ISNUMBER(BE55),N(BE55)&gt;0),BD55/BE55,"")</f>
        <v/>
      </c>
      <c r="BG55" s="102" t="n"/>
      <c r="BH55" s="102" t="n"/>
    </row>
    <row r="56" ht="62" customHeight="1">
      <c r="A56" s="39" t="inlineStr">
        <is>
          <t>IMAGE MISSING</t>
        </is>
      </c>
      <c r="B56" s="84" t="inlineStr">
        <is>
          <t>SearchI</t>
        </is>
      </c>
      <c r="C56" s="32" t="inlineStr">
        <is>
          <t>Waterproof Chair Cover</t>
        </is>
      </c>
      <c r="D56" s="84" t="inlineStr">
        <is>
          <t>Aspirational</t>
        </is>
      </c>
      <c r="E56" s="84" t="inlineStr">
        <is>
          <t>B0DC3S5WV2</t>
        </is>
      </c>
      <c r="F56" s="84" t="inlineStr">
        <is>
          <t>B09FL11K2J</t>
        </is>
      </c>
      <c r="G56" s="84" t="n"/>
      <c r="H56" s="84" t="n"/>
      <c r="I56" s="85" t="n"/>
      <c r="J56" s="32" t="inlineStr"/>
      <c r="K56" s="86" t="n">
        <v>29.99</v>
      </c>
      <c r="L56" s="86" t="n">
        <v>34.99</v>
      </c>
      <c r="M56" s="87">
        <f>IF(AND(ISNUMBER(L56),ISNUMBER(K56),N(K56)&gt;0),L56/K56-1,"")</f>
        <v/>
      </c>
      <c r="N56" s="88">
        <f>IF(M56="","No List Price",IF(M56&lt;=0,"At/below price",IF(M56&lt;=0.12,"&lt;=12% STR zone",IF(M56&lt;=0.25,"12-25%","&gt;25% over"))))</f>
        <v/>
      </c>
      <c r="O56" s="86" t="n">
        <v>25.24</v>
      </c>
      <c r="P56" s="89">
        <f>IF(AND(ISNUMBER(K56),ISNUMBER(O56),N(O56)&gt;0),K56/O56-1,"")</f>
        <v/>
      </c>
      <c r="Q56" s="32" t="inlineStr">
        <is>
          <t>vs our blended price (Command Center, Mar 2026 - STALE)</t>
        </is>
      </c>
      <c r="R56" s="85" t="n">
        <v>10321</v>
      </c>
      <c r="S56" s="85" t="n">
        <v>92</v>
      </c>
      <c r="T56" s="90">
        <f>IF(AND(ISNUMBER(K56),ISNUMBER(S56)),K56*S56*52/12,"")</f>
        <v/>
      </c>
      <c r="U56" s="91" t="n">
        <v>4.6</v>
      </c>
      <c r="V56" s="85" t="n">
        <v>10643</v>
      </c>
      <c r="W56" s="92" t="n">
        <v>46307</v>
      </c>
      <c r="X56" s="92" t="n"/>
      <c r="Y56" s="84" t="n"/>
      <c r="Z56" s="84" t="n"/>
      <c r="AA56" s="85" t="n"/>
      <c r="AB56" s="85" t="n"/>
      <c r="AC56" s="93" t="n"/>
      <c r="AD56" s="93" t="n"/>
      <c r="AE56" s="32" t="n"/>
      <c r="AF56" s="93" t="n"/>
      <c r="AG56" s="93" t="n"/>
      <c r="AH56" s="93" t="n"/>
      <c r="AI56" s="93" t="n"/>
      <c r="AJ56" s="85" t="n"/>
      <c r="AK56" s="85" t="n"/>
      <c r="AL56" s="85" t="n"/>
      <c r="AM56" s="85" t="n"/>
      <c r="AN56" s="85" t="n"/>
      <c r="AO56" s="85" t="n"/>
      <c r="AP56" s="94" t="n"/>
      <c r="AQ56" s="89" t="n"/>
      <c r="AR56" s="95" t="inlineStr">
        <is>
          <t>Y</t>
        </is>
      </c>
      <c r="AS56" s="95" t="inlineStr">
        <is>
          <t>List Price</t>
        </is>
      </c>
      <c r="AT56" s="96" t="n">
        <v>34.99</v>
      </c>
      <c r="AU56" s="96" t="n">
        <v>29.99</v>
      </c>
      <c r="AV56" s="95" t="inlineStr">
        <is>
          <t>none</t>
        </is>
      </c>
      <c r="AW56" s="95" t="inlineStr">
        <is>
          <t>Y</t>
        </is>
      </c>
      <c r="AX56" s="95" t="inlineStr">
        <is>
          <t>2026-10-13 23:42:59</t>
        </is>
      </c>
      <c r="AY56" s="102" t="n"/>
      <c r="AZ56" s="102" t="n"/>
      <c r="BA56" s="101" t="n"/>
      <c r="BB56" s="101" t="n"/>
      <c r="BC56" s="87">
        <f>IF(AND(ISNUMBER(BA56),ISNUMBER(BB56),N(BA56)&gt;0),1-BB56/BA56,"")</f>
        <v/>
      </c>
      <c r="BD56" s="103" t="n"/>
      <c r="BE56" s="103" t="n"/>
      <c r="BF56" s="100">
        <f>IF(AND(ISNUMBER(BD56),ISNUMBER(BE56),N(BE56)&gt;0),BD56/BE56,"")</f>
        <v/>
      </c>
      <c r="BG56" s="102" t="n"/>
      <c r="BH56" s="102" t="n"/>
    </row>
    <row r="57" ht="62" customHeight="1">
      <c r="A57" s="10">
        <f>_xlfn.IMAGE("https://images-na.ssl-images-amazon.com/images/I/71jOUNGjjeL.jpg")</f>
        <v/>
      </c>
      <c r="B57" s="84" t="inlineStr">
        <is>
          <t>Genina</t>
        </is>
      </c>
      <c r="C57" s="32" t="inlineStr">
        <is>
          <t>Waterproof Dining Room Chair Covers, Stretch Parsons Chair Slipcovers</t>
        </is>
      </c>
      <c r="D57" s="84" t="inlineStr">
        <is>
          <t>Aspirational</t>
        </is>
      </c>
      <c r="E57" s="84" t="inlineStr">
        <is>
          <t>B0BYZ5J2G2</t>
        </is>
      </c>
      <c r="F57" s="84" t="inlineStr">
        <is>
          <t>B0B12QRW73</t>
        </is>
      </c>
      <c r="G57" s="84" t="n"/>
      <c r="H57" s="84" t="n"/>
      <c r="I57" s="85" t="n">
        <v>71</v>
      </c>
      <c r="J57" s="32" t="inlineStr"/>
      <c r="K57" s="86" t="n">
        <v>19.99</v>
      </c>
      <c r="L57" s="86" t="n">
        <v>23.99</v>
      </c>
      <c r="M57" s="87">
        <f>IF(AND(ISNUMBER(L57),ISNUMBER(K57),N(K57)&gt;0),L57/K57-1,"")</f>
        <v/>
      </c>
      <c r="N57" s="88">
        <f>IF(M57="","No List Price",IF(M57&lt;=0,"At/below price",IF(M57&lt;=0.12,"&lt;=12% STR zone",IF(M57&lt;=0.25,"12-25%","&gt;25% over"))))</f>
        <v/>
      </c>
      <c r="O57" s="86" t="n">
        <v>25.24</v>
      </c>
      <c r="P57" s="89">
        <f>IF(AND(ISNUMBER(K57),ISNUMBER(O57),N(O57)&gt;0),K57/O57-1,"")</f>
        <v/>
      </c>
      <c r="Q57" s="32" t="inlineStr">
        <is>
          <t>vs our blended price (Command Center, Mar 2026 - STALE)</t>
        </is>
      </c>
      <c r="R57" s="85" t="n">
        <v>36704</v>
      </c>
      <c r="S57" s="85" t="n">
        <v>81</v>
      </c>
      <c r="T57" s="90">
        <f>IF(AND(ISNUMBER(K57),ISNUMBER(S57)),K57*S57*52/12,"")</f>
        <v/>
      </c>
      <c r="U57" s="91" t="n">
        <v>4.7</v>
      </c>
      <c r="V57" s="85" t="n">
        <v>1655</v>
      </c>
      <c r="W57" s="92" t="n">
        <v>46307</v>
      </c>
      <c r="X57" s="92" t="n">
        <v>44692</v>
      </c>
      <c r="Y57" s="84" t="inlineStr">
        <is>
          <t>FBA</t>
        </is>
      </c>
      <c r="Z57" s="84" t="inlineStr">
        <is>
          <t>CN</t>
        </is>
      </c>
      <c r="AA57" s="85" t="n"/>
      <c r="AB57" s="85" t="n"/>
      <c r="AC57" s="93" t="n"/>
      <c r="AD57" s="93" t="n"/>
      <c r="AE57" s="32" t="n"/>
      <c r="AF57" s="93" t="n"/>
      <c r="AG57" s="93" t="n"/>
      <c r="AH57" s="93" t="n"/>
      <c r="AI57" s="93" t="n"/>
      <c r="AJ57" s="85" t="n"/>
      <c r="AK57" s="85" t="n"/>
      <c r="AL57" s="85" t="n"/>
      <c r="AM57" s="85" t="n"/>
      <c r="AN57" s="85" t="n"/>
      <c r="AO57" s="85" t="n"/>
      <c r="AP57" s="94" t="n"/>
      <c r="AQ57" s="89" t="n"/>
      <c r="AR57" s="95" t="inlineStr">
        <is>
          <t>Y</t>
        </is>
      </c>
      <c r="AS57" s="95" t="inlineStr">
        <is>
          <t>List Price</t>
        </is>
      </c>
      <c r="AT57" s="96" t="n">
        <v>23.99</v>
      </c>
      <c r="AU57" s="96" t="n">
        <v>19.99</v>
      </c>
      <c r="AV57" s="95" t="inlineStr">
        <is>
          <t>none</t>
        </is>
      </c>
      <c r="AW57" s="95" t="inlineStr">
        <is>
          <t>Y</t>
        </is>
      </c>
      <c r="AX57" s="95" t="inlineStr">
        <is>
          <t>2026-10-13 23:40:48</t>
        </is>
      </c>
      <c r="AY57" s="102" t="n"/>
      <c r="AZ57" s="102" t="n"/>
      <c r="BA57" s="101" t="n"/>
      <c r="BB57" s="101" t="n"/>
      <c r="BC57" s="87">
        <f>IF(AND(ISNUMBER(BA57),ISNUMBER(BB57),N(BA57)&gt;0),1-BB57/BA57,"")</f>
        <v/>
      </c>
      <c r="BD57" s="103" t="n"/>
      <c r="BE57" s="103" t="n"/>
      <c r="BF57" s="100">
        <f>IF(AND(ISNUMBER(BD57),ISNUMBER(BE57),N(BE57)&gt;0),BD57/BE57,"")</f>
        <v/>
      </c>
      <c r="BG57" s="102" t="n"/>
      <c r="BH57" s="102" t="n"/>
    </row>
    <row r="58" ht="62" customHeight="1">
      <c r="A58" s="10">
        <f>_xlfn.IMAGE("https://images-na.ssl-images-amazon.com/images/I/81w0LNt7hUS.jpg")</f>
        <v/>
      </c>
      <c r="B58" s="84" t="inlineStr">
        <is>
          <t>Genina</t>
        </is>
      </c>
      <c r="C58" s="32" t="inlineStr">
        <is>
          <t>Genina Waterproof Chair Covers for Dining Room Chair Slipcovers Set of 4</t>
        </is>
      </c>
      <c r="D58" s="84" t="inlineStr">
        <is>
          <t>Aspirational</t>
        </is>
      </c>
      <c r="E58" s="84" t="inlineStr">
        <is>
          <t>B0HCPK37ZX</t>
        </is>
      </c>
      <c r="F58" s="84" t="inlineStr">
        <is>
          <t>B08Z3KC7KL</t>
        </is>
      </c>
      <c r="G58" s="84" t="n"/>
      <c r="H58" s="84" t="n"/>
      <c r="I58" s="85" t="n">
        <v>50</v>
      </c>
      <c r="J58" s="32" t="inlineStr"/>
      <c r="K58" s="86" t="n">
        <v>19.99</v>
      </c>
      <c r="L58" s="86" t="n"/>
      <c r="M58" s="87">
        <f>IF(AND(ISNUMBER(L58),ISNUMBER(K58),N(K58)&gt;0),L58/K58-1,"")</f>
        <v/>
      </c>
      <c r="N58" s="88">
        <f>IF(M58="","No List Price",IF(M58&lt;=0,"At/below price",IF(M58&lt;=0.12,"&lt;=12% STR zone",IF(M58&lt;=0.25,"12-25%","&gt;25% over"))))</f>
        <v/>
      </c>
      <c r="O58" s="86" t="n">
        <v>25.24</v>
      </c>
      <c r="P58" s="89">
        <f>IF(AND(ISNUMBER(K58),ISNUMBER(O58),N(O58)&gt;0),K58/O58-1,"")</f>
        <v/>
      </c>
      <c r="Q58" s="32" t="inlineStr">
        <is>
          <t>vs our blended price (Command Center, Mar 2026 - STALE)</t>
        </is>
      </c>
      <c r="R58" s="85" t="n">
        <v>28582</v>
      </c>
      <c r="S58" s="85" t="n">
        <v>81</v>
      </c>
      <c r="T58" s="90">
        <f>IF(AND(ISNUMBER(K58),ISNUMBER(S58)),K58*S58*52/12,"")</f>
        <v/>
      </c>
      <c r="U58" s="91" t="n">
        <v>4.5</v>
      </c>
      <c r="V58" s="85" t="n">
        <v>1786</v>
      </c>
      <c r="W58" s="92" t="n">
        <v>46307</v>
      </c>
      <c r="X58" s="92" t="n">
        <v>44271</v>
      </c>
      <c r="Y58" s="84" t="inlineStr">
        <is>
          <t>FBA</t>
        </is>
      </c>
      <c r="Z58" s="84" t="inlineStr">
        <is>
          <t>CN</t>
        </is>
      </c>
      <c r="AA58" s="85" t="n"/>
      <c r="AB58" s="85" t="n"/>
      <c r="AC58" s="93" t="n"/>
      <c r="AD58" s="93" t="n"/>
      <c r="AE58" s="32" t="n"/>
      <c r="AF58" s="93" t="n"/>
      <c r="AG58" s="93" t="n"/>
      <c r="AH58" s="93" t="n"/>
      <c r="AI58" s="93" t="n"/>
      <c r="AJ58" s="85" t="n"/>
      <c r="AK58" s="85" t="n"/>
      <c r="AL58" s="85" t="n"/>
      <c r="AM58" s="85" t="n"/>
      <c r="AN58" s="85" t="n"/>
      <c r="AO58" s="85" t="n"/>
      <c r="AP58" s="94" t="n"/>
      <c r="AQ58" s="89" t="n"/>
      <c r="AR58" s="95" t="inlineStr">
        <is>
          <t>N</t>
        </is>
      </c>
      <c r="AS58" s="95" t="inlineStr">
        <is>
          <t>none</t>
        </is>
      </c>
      <c r="AT58" s="101" t="n"/>
      <c r="AU58" s="96" t="n">
        <v>19.99</v>
      </c>
      <c r="AV58" s="95" t="inlineStr">
        <is>
          <t>none</t>
        </is>
      </c>
      <c r="AW58" s="95" t="inlineStr">
        <is>
          <t>Y</t>
        </is>
      </c>
      <c r="AX58" s="95" t="inlineStr">
        <is>
          <t>2026-10-13 23:40:51</t>
        </is>
      </c>
      <c r="AY58" s="102" t="n"/>
      <c r="AZ58" s="102" t="n"/>
      <c r="BA58" s="101" t="n"/>
      <c r="BB58" s="101" t="n"/>
      <c r="BC58" s="87">
        <f>IF(AND(ISNUMBER(BA58),ISNUMBER(BB58),N(BA58)&gt;0),1-BB58/BA58,"")</f>
        <v/>
      </c>
      <c r="BD58" s="103" t="n"/>
      <c r="BE58" s="103" t="n"/>
      <c r="BF58" s="100">
        <f>IF(AND(ISNUMBER(BD58),ISNUMBER(BE58),N(BE58)&gt;0),BD58/BE58,"")</f>
        <v/>
      </c>
      <c r="BG58" s="102" t="n"/>
      <c r="BH58" s="102" t="n"/>
    </row>
    <row r="59" ht="62" customHeight="1">
      <c r="A59" s="10">
        <f>_xlfn.IMAGE("https://images-na.ssl-images-amazon.com/images/I/61hYlhWoWsL.jpg")</f>
        <v/>
      </c>
      <c r="B59" s="84" t="inlineStr">
        <is>
          <t>H.VERSAILTEX</t>
        </is>
      </c>
      <c r="C59" s="32" t="inlineStr">
        <is>
          <t>H.VERSAILTEX Dining Chair Covers Stretch for Dining Room Set of 4 Parson Chair Slipcovers Protectors, Soft Thick Solid Velvet Fabric Washable, Taupe</t>
        </is>
      </c>
      <c r="D59" s="84" t="inlineStr">
        <is>
          <t>Aspirational</t>
        </is>
      </c>
      <c r="E59" s="84" t="inlineStr">
        <is>
          <t>B093Q37D94</t>
        </is>
      </c>
      <c r="F59" s="84" t="inlineStr">
        <is>
          <t>B07TKS5LN7</t>
        </is>
      </c>
      <c r="G59" s="84" t="n"/>
      <c r="H59" s="84" t="inlineStr">
        <is>
          <t>Taupe</t>
        </is>
      </c>
      <c r="I59" s="85" t="n">
        <v>37</v>
      </c>
      <c r="J59" s="32" t="inlineStr"/>
      <c r="K59" s="86" t="n">
        <v>31.99</v>
      </c>
      <c r="L59" s="86" t="n"/>
      <c r="M59" s="87">
        <f>IF(AND(ISNUMBER(L59),ISNUMBER(K59),N(K59)&gt;0),L59/K59-1,"")</f>
        <v/>
      </c>
      <c r="N59" s="88">
        <f>IF(M59="","No List Price",IF(M59&lt;=0,"At/below price",IF(M59&lt;=0.12,"&lt;=12% STR zone",IF(M59&lt;=0.25,"12-25%","&gt;25% over"))))</f>
        <v/>
      </c>
      <c r="O59" s="86" t="n">
        <v>25.24</v>
      </c>
      <c r="P59" s="89">
        <f>IF(AND(ISNUMBER(K59),ISNUMBER(O59),N(O59)&gt;0),K59/O59-1,"")</f>
        <v/>
      </c>
      <c r="Q59" s="32" t="inlineStr">
        <is>
          <t>vs our blended price (Command Center, Mar 2026 - STALE)</t>
        </is>
      </c>
      <c r="R59" s="85" t="n">
        <v>16732</v>
      </c>
      <c r="S59" s="85" t="n">
        <v>81</v>
      </c>
      <c r="T59" s="90">
        <f>IF(AND(ISNUMBER(K59),ISNUMBER(S59)),K59*S59*52/12,"")</f>
        <v/>
      </c>
      <c r="U59" s="91" t="n">
        <v>4.5</v>
      </c>
      <c r="V59" s="85" t="n">
        <v>5385</v>
      </c>
      <c r="W59" s="92" t="n">
        <v>46307</v>
      </c>
      <c r="X59" s="92" t="n">
        <v>43677</v>
      </c>
      <c r="Y59" s="84" t="inlineStr">
        <is>
          <t>FBA</t>
        </is>
      </c>
      <c r="Z59" s="84" t="inlineStr">
        <is>
          <t>CN</t>
        </is>
      </c>
      <c r="AA59" s="85" t="n"/>
      <c r="AB59" s="85" t="n"/>
      <c r="AC59" s="93" t="n"/>
      <c r="AD59" s="93" t="n"/>
      <c r="AE59" s="32" t="n"/>
      <c r="AF59" s="93" t="n"/>
      <c r="AG59" s="93" t="n"/>
      <c r="AH59" s="93" t="n"/>
      <c r="AI59" s="93" t="n"/>
      <c r="AJ59" s="85" t="n"/>
      <c r="AK59" s="85" t="n"/>
      <c r="AL59" s="85" t="n"/>
      <c r="AM59" s="85" t="n"/>
      <c r="AN59" s="85" t="n"/>
      <c r="AO59" s="85" t="n"/>
      <c r="AP59" s="94" t="n"/>
      <c r="AQ59" s="89" t="n"/>
      <c r="AR59" s="95" t="inlineStr">
        <is>
          <t>N</t>
        </is>
      </c>
      <c r="AS59" s="95" t="inlineStr">
        <is>
          <t>none</t>
        </is>
      </c>
      <c r="AT59" s="101" t="n"/>
      <c r="AU59" s="96" t="n">
        <v>31.99</v>
      </c>
      <c r="AV59" s="95" t="inlineStr">
        <is>
          <t>none</t>
        </is>
      </c>
      <c r="AW59" s="95" t="inlineStr">
        <is>
          <t>Y</t>
        </is>
      </c>
      <c r="AX59" s="95" t="inlineStr">
        <is>
          <t>2026-10-13 23:41:03</t>
        </is>
      </c>
      <c r="AY59" s="102" t="n"/>
      <c r="AZ59" s="102" t="n"/>
      <c r="BA59" s="101" t="n"/>
      <c r="BB59" s="101" t="n"/>
      <c r="BC59" s="87">
        <f>IF(AND(ISNUMBER(BA59),ISNUMBER(BB59),N(BA59)&gt;0),1-BB59/BA59,"")</f>
        <v/>
      </c>
      <c r="BD59" s="103" t="n"/>
      <c r="BE59" s="103" t="n"/>
      <c r="BF59" s="100">
        <f>IF(AND(ISNUMBER(BD59),ISNUMBER(BE59),N(BE59)&gt;0),BD59/BE59,"")</f>
        <v/>
      </c>
      <c r="BG59" s="102" t="n"/>
      <c r="BH59" s="102" t="n"/>
    </row>
    <row r="60" ht="62" customHeight="1">
      <c r="A60" s="10">
        <f>_xlfn.IMAGE("https://images-na.ssl-images-amazon.com/images/I/71hMTmCUTeL.jpg")</f>
        <v/>
      </c>
      <c r="B60" s="84" t="inlineStr">
        <is>
          <t>Sufdari</t>
        </is>
      </c>
      <c r="C60" s="32" t="inlineStr">
        <is>
          <t>Sufdari Dining Chair Covers,Kitchen Cover,Parsons Slipcover,Spandex Protectors for Room Stretch Chairs Cover Set of 4 -Gray</t>
        </is>
      </c>
      <c r="D60" s="84" t="inlineStr">
        <is>
          <t>Aspirational</t>
        </is>
      </c>
      <c r="E60" s="84" t="inlineStr">
        <is>
          <t>B0DHVVZF9Q</t>
        </is>
      </c>
      <c r="F60" s="84" t="inlineStr">
        <is>
          <t>B09GPP8TRT</t>
        </is>
      </c>
      <c r="G60" s="84" t="n"/>
      <c r="H60" s="84" t="inlineStr">
        <is>
          <t>Gray</t>
        </is>
      </c>
      <c r="I60" s="85" t="n">
        <v>85</v>
      </c>
      <c r="J60" s="32" t="inlineStr"/>
      <c r="K60" s="86" t="n">
        <v>16.99</v>
      </c>
      <c r="L60" s="86" t="n"/>
      <c r="M60" s="87">
        <f>IF(AND(ISNUMBER(L60),ISNUMBER(K60),N(K60)&gt;0),L60/K60-1,"")</f>
        <v/>
      </c>
      <c r="N60" s="88">
        <f>IF(M60="","No List Price",IF(M60&lt;=0,"At/below price",IF(M60&lt;=0.12,"&lt;=12% STR zone",IF(M60&lt;=0.25,"12-25%","&gt;25% over"))))</f>
        <v/>
      </c>
      <c r="O60" s="86" t="n">
        <v>25.24</v>
      </c>
      <c r="P60" s="89">
        <f>IF(AND(ISNUMBER(K60),ISNUMBER(O60),N(O60)&gt;0),K60/O60-1,"")</f>
        <v/>
      </c>
      <c r="Q60" s="32" t="inlineStr">
        <is>
          <t>vs our blended price (Command Center, Mar 2026 - STALE)</t>
        </is>
      </c>
      <c r="R60" s="85" t="n">
        <v>59347</v>
      </c>
      <c r="S60" s="85" t="n">
        <v>81</v>
      </c>
      <c r="T60" s="90">
        <f>IF(AND(ISNUMBER(K60),ISNUMBER(S60)),K60*S60*52/12,"")</f>
        <v/>
      </c>
      <c r="U60" s="91" t="n">
        <v>4.6</v>
      </c>
      <c r="V60" s="85" t="n">
        <v>2070</v>
      </c>
      <c r="W60" s="92" t="n">
        <v>46307</v>
      </c>
      <c r="X60" s="92" t="n">
        <v>44546</v>
      </c>
      <c r="Y60" s="84" t="inlineStr">
        <is>
          <t>FBA</t>
        </is>
      </c>
      <c r="Z60" s="84" t="inlineStr">
        <is>
          <t>CN</t>
        </is>
      </c>
      <c r="AA60" s="85" t="n"/>
      <c r="AB60" s="85" t="n"/>
      <c r="AC60" s="93" t="n"/>
      <c r="AD60" s="93" t="n"/>
      <c r="AE60" s="32" t="n"/>
      <c r="AF60" s="93" t="n"/>
      <c r="AG60" s="93" t="n"/>
      <c r="AH60" s="93" t="n"/>
      <c r="AI60" s="93" t="n"/>
      <c r="AJ60" s="85" t="n"/>
      <c r="AK60" s="85" t="n"/>
      <c r="AL60" s="85" t="n"/>
      <c r="AM60" s="85" t="n"/>
      <c r="AN60" s="85" t="n"/>
      <c r="AO60" s="85" t="n"/>
      <c r="AP60" s="94" t="n"/>
      <c r="AQ60" s="89" t="n"/>
      <c r="AR60" s="95" t="inlineStr">
        <is>
          <t>N</t>
        </is>
      </c>
      <c r="AS60" s="95" t="inlineStr">
        <is>
          <t>none</t>
        </is>
      </c>
      <c r="AT60" s="101" t="n"/>
      <c r="AU60" s="96" t="n">
        <v>16.99</v>
      </c>
      <c r="AV60" s="95" t="inlineStr">
        <is>
          <t>none</t>
        </is>
      </c>
      <c r="AW60" s="95" t="inlineStr">
        <is>
          <t>Y</t>
        </is>
      </c>
      <c r="AX60" s="95" t="inlineStr">
        <is>
          <t>2026-10-13 23:43:14</t>
        </is>
      </c>
      <c r="AY60" s="102" t="n"/>
      <c r="AZ60" s="102" t="n"/>
      <c r="BA60" s="101" t="n"/>
      <c r="BB60" s="101" t="n"/>
      <c r="BC60" s="87">
        <f>IF(AND(ISNUMBER(BA60),ISNUMBER(BB60),N(BA60)&gt;0),1-BB60/BA60,"")</f>
        <v/>
      </c>
      <c r="BD60" s="103" t="n"/>
      <c r="BE60" s="103" t="n"/>
      <c r="BF60" s="100">
        <f>IF(AND(ISNUMBER(BD60),ISNUMBER(BE60),N(BE60)&gt;0),BD60/BE60,"")</f>
        <v/>
      </c>
      <c r="BG60" s="102" t="n"/>
      <c r="BH60" s="102" t="n"/>
    </row>
    <row r="61" ht="62" customHeight="1">
      <c r="A61" s="10">
        <f>_xlfn.IMAGE("https://images-na.ssl-images-amazon.com/images/I/81OP4LkrvyL.jpg")</f>
        <v/>
      </c>
      <c r="B61" s="84" t="inlineStr">
        <is>
          <t>YUEANG</t>
        </is>
      </c>
      <c r="C61" s="32" t="inlineStr">
        <is>
          <t>YUEANG Dining Chair Covers Set of 6, Stretch Parsons Chair Slipcovers</t>
        </is>
      </c>
      <c r="D61" s="84" t="inlineStr">
        <is>
          <t>Aspirational</t>
        </is>
      </c>
      <c r="E61" s="84" t="inlineStr">
        <is>
          <t>B0CJTP9JFK</t>
        </is>
      </c>
      <c r="F61" s="84" t="inlineStr">
        <is>
          <t>B0BYCSLWR6</t>
        </is>
      </c>
      <c r="G61" s="84" t="n"/>
      <c r="H61" s="84" t="n"/>
      <c r="I61" s="85" t="n">
        <v>38</v>
      </c>
      <c r="J61" s="32" t="inlineStr"/>
      <c r="K61" s="86" t="n">
        <v>29.99</v>
      </c>
      <c r="L61" s="86" t="n"/>
      <c r="M61" s="87">
        <f>IF(AND(ISNUMBER(L61),ISNUMBER(K61),N(K61)&gt;0),L61/K61-1,"")</f>
        <v/>
      </c>
      <c r="N61" s="88">
        <f>IF(M61="","No List Price",IF(M61&lt;=0,"At/below price",IF(M61&lt;=0.12,"&lt;=12% STR zone",IF(M61&lt;=0.25,"12-25%","&gt;25% over"))))</f>
        <v/>
      </c>
      <c r="O61" s="86" t="n">
        <v>25.24</v>
      </c>
      <c r="P61" s="89">
        <f>IF(AND(ISNUMBER(K61),ISNUMBER(O61),N(O61)&gt;0),K61/O61-1,"")</f>
        <v/>
      </c>
      <c r="Q61" s="32" t="inlineStr">
        <is>
          <t>vs our blended price (Command Center, Mar 2026 - STALE)</t>
        </is>
      </c>
      <c r="R61" s="85" t="n">
        <v>33484</v>
      </c>
      <c r="S61" s="85" t="n">
        <v>81</v>
      </c>
      <c r="T61" s="90">
        <f>IF(AND(ISNUMBER(K61),ISNUMBER(S61)),K61*S61*52/12,"")</f>
        <v/>
      </c>
      <c r="U61" s="91" t="n">
        <v>4.6</v>
      </c>
      <c r="V61" s="85" t="n">
        <v>1526</v>
      </c>
      <c r="W61" s="92" t="n">
        <v>46307</v>
      </c>
      <c r="X61" s="92" t="n">
        <v>44999</v>
      </c>
      <c r="Y61" s="84" t="inlineStr">
        <is>
          <t>FBA</t>
        </is>
      </c>
      <c r="Z61" s="84" t="inlineStr">
        <is>
          <t>CN</t>
        </is>
      </c>
      <c r="AA61" s="85" t="n"/>
      <c r="AB61" s="85" t="n"/>
      <c r="AC61" s="93" t="n"/>
      <c r="AD61" s="93" t="n"/>
      <c r="AE61" s="32" t="n"/>
      <c r="AF61" s="93" t="n"/>
      <c r="AG61" s="93" t="n"/>
      <c r="AH61" s="93" t="n"/>
      <c r="AI61" s="93" t="n"/>
      <c r="AJ61" s="85" t="n"/>
      <c r="AK61" s="85" t="n"/>
      <c r="AL61" s="85" t="n"/>
      <c r="AM61" s="85" t="n"/>
      <c r="AN61" s="85" t="n"/>
      <c r="AO61" s="85" t="n"/>
      <c r="AP61" s="94" t="n"/>
      <c r="AQ61" s="89" t="n"/>
      <c r="AR61" s="95" t="inlineStr">
        <is>
          <t>N</t>
        </is>
      </c>
      <c r="AS61" s="95" t="inlineStr">
        <is>
          <t>none</t>
        </is>
      </c>
      <c r="AT61" s="101" t="n"/>
      <c r="AU61" s="96" t="n">
        <v>29.99</v>
      </c>
      <c r="AV61" s="95" t="inlineStr">
        <is>
          <t>none</t>
        </is>
      </c>
      <c r="AW61" s="95" t="inlineStr">
        <is>
          <t>Y</t>
        </is>
      </c>
      <c r="AX61" s="95" t="inlineStr">
        <is>
          <t>2026-10-13 23:43:46</t>
        </is>
      </c>
      <c r="AY61" s="102" t="n"/>
      <c r="AZ61" s="102" t="n"/>
      <c r="BA61" s="101" t="n"/>
      <c r="BB61" s="101" t="n"/>
      <c r="BC61" s="87">
        <f>IF(AND(ISNUMBER(BA61),ISNUMBER(BB61),N(BA61)&gt;0),1-BB61/BA61,"")</f>
        <v/>
      </c>
      <c r="BD61" s="103" t="n"/>
      <c r="BE61" s="103" t="n"/>
      <c r="BF61" s="100">
        <f>IF(AND(ISNUMBER(BD61),ISNUMBER(BE61),N(BE61)&gt;0),BD61/BE61,"")</f>
        <v/>
      </c>
      <c r="BG61" s="102" t="n"/>
      <c r="BH61" s="102" t="n"/>
    </row>
    <row r="62" ht="62" customHeight="1">
      <c r="A62" s="39" t="inlineStr">
        <is>
          <t>IMAGE MISSING</t>
        </is>
      </c>
      <c r="B62" s="84" t="inlineStr">
        <is>
          <t>Howhic</t>
        </is>
      </c>
      <c r="C62" s="32" t="inlineStr">
        <is>
          <t>Waterproof Chair Cover</t>
        </is>
      </c>
      <c r="D62" s="84" t="inlineStr">
        <is>
          <t>Aspirational</t>
        </is>
      </c>
      <c r="E62" s="84" t="inlineStr">
        <is>
          <t>B09645XQZT</t>
        </is>
      </c>
      <c r="F62" s="84" t="inlineStr">
        <is>
          <t>B08GCF617Q</t>
        </is>
      </c>
      <c r="G62" s="84" t="n"/>
      <c r="H62" s="84" t="n"/>
      <c r="I62" s="85" t="n"/>
      <c r="J62" s="32" t="inlineStr"/>
      <c r="K62" s="86" t="n">
        <v>32.99</v>
      </c>
      <c r="L62" s="86" t="n"/>
      <c r="M62" s="87">
        <f>IF(AND(ISNUMBER(L62),ISNUMBER(K62),N(K62)&gt;0),L62/K62-1,"")</f>
        <v/>
      </c>
      <c r="N62" s="88">
        <f>IF(M62="","No List Price",IF(M62&lt;=0,"At/below price",IF(M62&lt;=0.12,"&lt;=12% STR zone",IF(M62&lt;=0.25,"12-25%","&gt;25% over"))))</f>
        <v/>
      </c>
      <c r="O62" s="86" t="n">
        <v>25.24</v>
      </c>
      <c r="P62" s="89">
        <f>IF(AND(ISNUMBER(K62),ISNUMBER(O62),N(O62)&gt;0),K62/O62-1,"")</f>
        <v/>
      </c>
      <c r="Q62" s="32" t="inlineStr">
        <is>
          <t>vs our blended price (Command Center, Mar 2026 - STALE)</t>
        </is>
      </c>
      <c r="R62" s="85" t="n">
        <v>26195</v>
      </c>
      <c r="S62" s="85" t="n">
        <v>35</v>
      </c>
      <c r="T62" s="90">
        <f>IF(AND(ISNUMBER(K62),ISNUMBER(S62)),K62*S62*52/12,"")</f>
        <v/>
      </c>
      <c r="U62" s="91" t="n">
        <v>4.6</v>
      </c>
      <c r="V62" s="85" t="n">
        <v>8870</v>
      </c>
      <c r="W62" s="92" t="n">
        <v>46307</v>
      </c>
      <c r="X62" s="92" t="n"/>
      <c r="Y62" s="84" t="n"/>
      <c r="Z62" s="84" t="n"/>
      <c r="AA62" s="85" t="n"/>
      <c r="AB62" s="85" t="n"/>
      <c r="AC62" s="93" t="n"/>
      <c r="AD62" s="93" t="n"/>
      <c r="AE62" s="32" t="n"/>
      <c r="AF62" s="93" t="n"/>
      <c r="AG62" s="93" t="n"/>
      <c r="AH62" s="93" t="n"/>
      <c r="AI62" s="93" t="n"/>
      <c r="AJ62" s="85" t="n"/>
      <c r="AK62" s="85" t="n"/>
      <c r="AL62" s="85" t="n"/>
      <c r="AM62" s="85" t="n"/>
      <c r="AN62" s="85" t="n"/>
      <c r="AO62" s="85" t="n"/>
      <c r="AP62" s="94" t="n"/>
      <c r="AQ62" s="89" t="n"/>
      <c r="AR62" s="95" t="inlineStr">
        <is>
          <t>N</t>
        </is>
      </c>
      <c r="AS62" s="95" t="inlineStr">
        <is>
          <t>none</t>
        </is>
      </c>
      <c r="AT62" s="101" t="n"/>
      <c r="AU62" s="96" t="n">
        <v>32.99</v>
      </c>
      <c r="AV62" s="95" t="inlineStr">
        <is>
          <t>none</t>
        </is>
      </c>
      <c r="AW62" s="95" t="inlineStr">
        <is>
          <t>Y</t>
        </is>
      </c>
      <c r="AX62" s="95" t="inlineStr">
        <is>
          <t>2026-10-13 23:41:15</t>
        </is>
      </c>
      <c r="AY62" s="102" t="n"/>
      <c r="AZ62" s="102" t="n"/>
      <c r="BA62" s="101" t="n"/>
      <c r="BB62" s="101" t="n"/>
      <c r="BC62" s="87">
        <f>IF(AND(ISNUMBER(BA62),ISNUMBER(BB62),N(BA62)&gt;0),1-BB62/BA62,"")</f>
        <v/>
      </c>
      <c r="BD62" s="103" t="n"/>
      <c r="BE62" s="103" t="n"/>
      <c r="BF62" s="100">
        <f>IF(AND(ISNUMBER(BD62),ISNUMBER(BE62),N(BE62)&gt;0),BD62/BE62,"")</f>
        <v/>
      </c>
      <c r="BG62" s="102" t="n"/>
      <c r="BH62" s="102" t="n"/>
    </row>
    <row r="63" ht="62" customHeight="1">
      <c r="A63" s="10">
        <f>_xlfn.IMAGE("https://images-na.ssl-images-amazon.com/images/I/81ekAED+8mL.jpg")</f>
        <v/>
      </c>
      <c r="B63" s="84" t="inlineStr">
        <is>
          <t>Lalluxy</t>
        </is>
      </c>
      <c r="C63" s="32" t="inlineStr">
        <is>
          <t>Lalluxy Stretchy Washable Parson Dining Chair Covers/Slipcovers Set of 4</t>
        </is>
      </c>
      <c r="D63" s="84" t="inlineStr">
        <is>
          <t>Aspirational</t>
        </is>
      </c>
      <c r="E63" s="84" t="inlineStr">
        <is>
          <t>B0C53PPZMS</t>
        </is>
      </c>
      <c r="F63" s="84" t="inlineStr">
        <is>
          <t>B08FSDPZZP</t>
        </is>
      </c>
      <c r="G63" s="84" t="n"/>
      <c r="H63" s="84" t="n"/>
      <c r="I63" s="85" t="n">
        <v>81</v>
      </c>
      <c r="J63" s="32" t="inlineStr"/>
      <c r="K63" s="86" t="n">
        <v>17.99</v>
      </c>
      <c r="L63" s="86" t="n"/>
      <c r="M63" s="87">
        <f>IF(AND(ISNUMBER(L63),ISNUMBER(K63),N(K63)&gt;0),L63/K63-1,"")</f>
        <v/>
      </c>
      <c r="N63" s="88">
        <f>IF(M63="","No List Price",IF(M63&lt;=0,"At/below price",IF(M63&lt;=0.12,"&lt;=12% STR zone",IF(M63&lt;=0.25,"12-25%","&gt;25% over"))))</f>
        <v/>
      </c>
      <c r="O63" s="86" t="n">
        <v>25.24</v>
      </c>
      <c r="P63" s="89">
        <f>IF(AND(ISNUMBER(K63),ISNUMBER(O63),N(O63)&gt;0),K63/O63-1,"")</f>
        <v/>
      </c>
      <c r="Q63" s="32" t="inlineStr">
        <is>
          <t>vs our blended price (Command Center, Mar 2026 - STALE)</t>
        </is>
      </c>
      <c r="R63" s="85" t="n">
        <v>59235</v>
      </c>
      <c r="S63" s="85" t="n">
        <v>18</v>
      </c>
      <c r="T63" s="90">
        <f>IF(AND(ISNUMBER(K63),ISNUMBER(S63)),K63*S63*52/12,"")</f>
        <v/>
      </c>
      <c r="U63" s="91" t="n">
        <v>4.6</v>
      </c>
      <c r="V63" s="85" t="n">
        <v>3594</v>
      </c>
      <c r="W63" s="92" t="n">
        <v>46307</v>
      </c>
      <c r="X63" s="92" t="n">
        <v>44058</v>
      </c>
      <c r="Y63" s="84" t="inlineStr">
        <is>
          <t>FBA</t>
        </is>
      </c>
      <c r="Z63" s="84" t="inlineStr">
        <is>
          <t>NZ</t>
        </is>
      </c>
      <c r="AA63" s="85" t="n"/>
      <c r="AB63" s="85" t="n"/>
      <c r="AC63" s="93" t="n"/>
      <c r="AD63" s="93" t="n"/>
      <c r="AE63" s="32" t="n"/>
      <c r="AF63" s="93" t="n"/>
      <c r="AG63" s="93" t="n"/>
      <c r="AH63" s="93" t="n"/>
      <c r="AI63" s="93" t="n"/>
      <c r="AJ63" s="85" t="n"/>
      <c r="AK63" s="85" t="n"/>
      <c r="AL63" s="85" t="n"/>
      <c r="AM63" s="85" t="n"/>
      <c r="AN63" s="85" t="n"/>
      <c r="AO63" s="85" t="n"/>
      <c r="AP63" s="94" t="n"/>
      <c r="AQ63" s="89" t="n"/>
      <c r="AR63" s="95" t="inlineStr">
        <is>
          <t>N</t>
        </is>
      </c>
      <c r="AS63" s="95" t="inlineStr">
        <is>
          <t>none</t>
        </is>
      </c>
      <c r="AT63" s="101" t="n"/>
      <c r="AU63" s="96" t="n">
        <v>17.99</v>
      </c>
      <c r="AV63" s="95" t="inlineStr">
        <is>
          <t>none</t>
        </is>
      </c>
      <c r="AW63" s="95" t="inlineStr">
        <is>
          <t>Y</t>
        </is>
      </c>
      <c r="AX63" s="95" t="inlineStr">
        <is>
          <t>2026-10-13 23:41:34</t>
        </is>
      </c>
      <c r="AY63" s="102" t="n"/>
      <c r="AZ63" s="102" t="n"/>
      <c r="BA63" s="101" t="n"/>
      <c r="BB63" s="101" t="n"/>
      <c r="BC63" s="87">
        <f>IF(AND(ISNUMBER(BA63),ISNUMBER(BB63),N(BA63)&gt;0),1-BB63/BA63,"")</f>
        <v/>
      </c>
      <c r="BD63" s="103" t="n"/>
      <c r="BE63" s="103" t="n"/>
      <c r="BF63" s="100">
        <f>IF(AND(ISNUMBER(BD63),ISNUMBER(BE63),N(BE63)&gt;0),BD63/BE63,"")</f>
        <v/>
      </c>
      <c r="BG63" s="102" t="n"/>
      <c r="BH63" s="102" t="n"/>
    </row>
    <row r="64" ht="62" customHeight="1">
      <c r="A64" s="39" t="inlineStr">
        <is>
          <t>IMAGE MISSING</t>
        </is>
      </c>
      <c r="B64" s="84" t="inlineStr">
        <is>
          <t>SearchI</t>
        </is>
      </c>
      <c r="C64" s="32" t="inlineStr">
        <is>
          <t>Waterproof Chair Cover</t>
        </is>
      </c>
      <c r="D64" s="84" t="inlineStr">
        <is>
          <t>Aspirational</t>
        </is>
      </c>
      <c r="E64" s="84" t="inlineStr">
        <is>
          <t>B09GY7YG2P</t>
        </is>
      </c>
      <c r="F64" s="84" t="inlineStr">
        <is>
          <t>B081GQBPRT</t>
        </is>
      </c>
      <c r="G64" s="84" t="n"/>
      <c r="H64" s="84" t="n"/>
      <c r="I64" s="85" t="n"/>
      <c r="J64" s="32" t="inlineStr"/>
      <c r="K64" s="86" t="n">
        <v>22.94</v>
      </c>
      <c r="L64" s="86" t="n">
        <v>26.99</v>
      </c>
      <c r="M64" s="87">
        <f>IF(AND(ISNUMBER(L64),ISNUMBER(K64),N(K64)&gt;0),L64/K64-1,"")</f>
        <v/>
      </c>
      <c r="N64" s="88">
        <f>IF(M64="","No List Price",IF(M64&lt;=0,"At/below price",IF(M64&lt;=0.12,"&lt;=12% STR zone",IF(M64&lt;=0.25,"12-25%","&gt;25% over"))))</f>
        <v/>
      </c>
      <c r="O64" s="86" t="n">
        <v>25.24</v>
      </c>
      <c r="P64" s="89">
        <f>IF(AND(ISNUMBER(K64),ISNUMBER(O64),N(O64)&gt;0),K64/O64-1,"")</f>
        <v/>
      </c>
      <c r="Q64" s="32" t="inlineStr">
        <is>
          <t>vs our blended price (Command Center, Mar 2026 - STALE)</t>
        </is>
      </c>
      <c r="R64" s="85" t="n">
        <v>23786</v>
      </c>
      <c r="S64" s="85" t="n">
        <v>18</v>
      </c>
      <c r="T64" s="90">
        <f>IF(AND(ISNUMBER(K64),ISNUMBER(S64)),K64*S64*52/12,"")</f>
        <v/>
      </c>
      <c r="U64" s="91" t="n">
        <v>4.6</v>
      </c>
      <c r="V64" s="85" t="n">
        <v>5341</v>
      </c>
      <c r="W64" s="92" t="n">
        <v>46307</v>
      </c>
      <c r="X64" s="92" t="n"/>
      <c r="Y64" s="84" t="n"/>
      <c r="Z64" s="84" t="n"/>
      <c r="AA64" s="85" t="n"/>
      <c r="AB64" s="85" t="n"/>
      <c r="AC64" s="93" t="n"/>
      <c r="AD64" s="93" t="n"/>
      <c r="AE64" s="32" t="n"/>
      <c r="AF64" s="93" t="n"/>
      <c r="AG64" s="93" t="n"/>
      <c r="AH64" s="93" t="n"/>
      <c r="AI64" s="93" t="n"/>
      <c r="AJ64" s="85" t="n"/>
      <c r="AK64" s="85" t="n"/>
      <c r="AL64" s="85" t="n"/>
      <c r="AM64" s="85" t="n"/>
      <c r="AN64" s="85" t="n"/>
      <c r="AO64" s="85" t="n"/>
      <c r="AP64" s="94" t="n"/>
      <c r="AQ64" s="89" t="n"/>
      <c r="AR64" s="95" t="inlineStr">
        <is>
          <t>Y</t>
        </is>
      </c>
      <c r="AS64" s="95" t="inlineStr">
        <is>
          <t>List Price</t>
        </is>
      </c>
      <c r="AT64" s="96" t="n">
        <v>26.99</v>
      </c>
      <c r="AU64" s="96" t="n">
        <v>22.94</v>
      </c>
      <c r="AV64" s="95" t="inlineStr">
        <is>
          <t>none</t>
        </is>
      </c>
      <c r="AW64" s="95" t="inlineStr">
        <is>
          <t>Y</t>
        </is>
      </c>
      <c r="AX64" s="95" t="inlineStr">
        <is>
          <t>2026-10-13 23:43:02</t>
        </is>
      </c>
      <c r="AY64" s="102" t="n"/>
      <c r="AZ64" s="102" t="n"/>
      <c r="BA64" s="101" t="n"/>
      <c r="BB64" s="101" t="n"/>
      <c r="BC64" s="87">
        <f>IF(AND(ISNUMBER(BA64),ISNUMBER(BB64),N(BA64)&gt;0),1-BB64/BA64,"")</f>
        <v/>
      </c>
      <c r="BD64" s="103" t="n"/>
      <c r="BE64" s="103" t="n"/>
      <c r="BF64" s="100">
        <f>IF(AND(ISNUMBER(BD64),ISNUMBER(BE64),N(BE64)&gt;0),BD64/BE64,"")</f>
        <v/>
      </c>
      <c r="BG64" s="102" t="n"/>
      <c r="BH64" s="102" t="n"/>
    </row>
    <row r="65" ht="62" customHeight="1">
      <c r="A65" s="10">
        <f>_xlfn.IMAGE("https://images-na.ssl-images-amazon.com/images/I/51EsdapI2HL.jpg")</f>
        <v/>
      </c>
      <c r="B65" s="84" t="inlineStr">
        <is>
          <t>Smiry</t>
        </is>
      </c>
      <c r="C65" s="32" t="inlineStr">
        <is>
          <t>Smiry Velvet Dining Chair Covers, Parsons Chair Slipcovers Set of 4</t>
        </is>
      </c>
      <c r="D65" s="84" t="inlineStr">
        <is>
          <t>Aspirational</t>
        </is>
      </c>
      <c r="E65" s="84" t="inlineStr">
        <is>
          <t>B0D4ZNRN1P</t>
        </is>
      </c>
      <c r="F65" s="84" t="inlineStr">
        <is>
          <t>B077XWCV6D</t>
        </is>
      </c>
      <c r="G65" s="84" t="n"/>
      <c r="H65" s="84" t="n"/>
      <c r="I65" s="85" t="n">
        <v>66</v>
      </c>
      <c r="J65" s="32" t="inlineStr"/>
      <c r="K65" s="86" t="n">
        <v>26.99</v>
      </c>
      <c r="L65" s="86" t="n">
        <v>31.99</v>
      </c>
      <c r="M65" s="87">
        <f>IF(AND(ISNUMBER(L65),ISNUMBER(K65),N(K65)&gt;0),L65/K65-1,"")</f>
        <v/>
      </c>
      <c r="N65" s="88">
        <f>IF(M65="","No List Price",IF(M65&lt;=0,"At/below price",IF(M65&lt;=0.12,"&lt;=12% STR zone",IF(M65&lt;=0.25,"12-25%","&gt;25% over"))))</f>
        <v/>
      </c>
      <c r="O65" s="86" t="n">
        <v>25.24</v>
      </c>
      <c r="P65" s="89">
        <f>IF(AND(ISNUMBER(K65),ISNUMBER(O65),N(O65)&gt;0),K65/O65-1,"")</f>
        <v/>
      </c>
      <c r="Q65" s="32" t="inlineStr">
        <is>
          <t>vs our blended price (Command Center, Mar 2026 - STALE)</t>
        </is>
      </c>
      <c r="R65" s="85" t="n">
        <v>25653</v>
      </c>
      <c r="S65" s="85" t="n">
        <v>18</v>
      </c>
      <c r="T65" s="90">
        <f>IF(AND(ISNUMBER(K65),ISNUMBER(S65)),K65*S65*52/12,"")</f>
        <v/>
      </c>
      <c r="U65" s="91" t="n">
        <v>4.6</v>
      </c>
      <c r="V65" s="85" t="n">
        <v>7521</v>
      </c>
      <c r="W65" s="92" t="n">
        <v>46307</v>
      </c>
      <c r="X65" s="92" t="n">
        <v>43074</v>
      </c>
      <c r="Y65" s="84" t="inlineStr">
        <is>
          <t>FBA</t>
        </is>
      </c>
      <c r="Z65" s="84" t="inlineStr">
        <is>
          <t>CN</t>
        </is>
      </c>
      <c r="AA65" s="85" t="n"/>
      <c r="AB65" s="85" t="n"/>
      <c r="AC65" s="93" t="n"/>
      <c r="AD65" s="93" t="n"/>
      <c r="AE65" s="32" t="n"/>
      <c r="AF65" s="93" t="n"/>
      <c r="AG65" s="93" t="n"/>
      <c r="AH65" s="93" t="n"/>
      <c r="AI65" s="93" t="n"/>
      <c r="AJ65" s="85" t="n"/>
      <c r="AK65" s="85" t="n"/>
      <c r="AL65" s="85" t="n"/>
      <c r="AM65" s="85" t="n"/>
      <c r="AN65" s="85" t="n"/>
      <c r="AO65" s="85" t="n"/>
      <c r="AP65" s="94" t="n"/>
      <c r="AQ65" s="89" t="n"/>
      <c r="AR65" s="95" t="inlineStr">
        <is>
          <t>Y</t>
        </is>
      </c>
      <c r="AS65" s="95" t="inlineStr">
        <is>
          <t>List Price</t>
        </is>
      </c>
      <c r="AT65" s="96" t="n">
        <v>31.99</v>
      </c>
      <c r="AU65" s="96" t="n">
        <v>26.99</v>
      </c>
      <c r="AV65" s="95" t="inlineStr">
        <is>
          <t>none</t>
        </is>
      </c>
      <c r="AW65" s="95" t="inlineStr">
        <is>
          <t>Y</t>
        </is>
      </c>
      <c r="AX65" s="95" t="inlineStr">
        <is>
          <t>2026-10-13 23:43:11</t>
        </is>
      </c>
      <c r="AY65" s="102" t="n"/>
      <c r="AZ65" s="102" t="n"/>
      <c r="BA65" s="101" t="n"/>
      <c r="BB65" s="101" t="n"/>
      <c r="BC65" s="87">
        <f>IF(AND(ISNUMBER(BA65),ISNUMBER(BB65),N(BA65)&gt;0),1-BB65/BA65,"")</f>
        <v/>
      </c>
      <c r="BD65" s="103" t="n"/>
      <c r="BE65" s="103" t="n"/>
      <c r="BF65" s="100">
        <f>IF(AND(ISNUMBER(BD65),ISNUMBER(BE65),N(BE65)&gt;0),BD65/BE65,"")</f>
        <v/>
      </c>
      <c r="BG65" s="102" t="n"/>
      <c r="BH65" s="102" t="n"/>
    </row>
    <row r="66" ht="62" customHeight="1">
      <c r="A66" s="39" t="inlineStr">
        <is>
          <t>IMAGE MISSING</t>
        </is>
      </c>
      <c r="B66" s="84" t="inlineStr">
        <is>
          <t>SPRINGRICO</t>
        </is>
      </c>
      <c r="C66" s="32" t="inlineStr">
        <is>
          <t>Waterproof Chair Cover</t>
        </is>
      </c>
      <c r="D66" s="84" t="inlineStr">
        <is>
          <t>Aspirational</t>
        </is>
      </c>
      <c r="E66" s="84" t="inlineStr">
        <is>
          <t>B08K7PDZ1F</t>
        </is>
      </c>
      <c r="F66" s="84" t="inlineStr">
        <is>
          <t>B08K7LPC9L</t>
        </is>
      </c>
      <c r="G66" s="84" t="n"/>
      <c r="H66" s="84" t="n"/>
      <c r="I66" s="85" t="n"/>
      <c r="J66" s="32" t="inlineStr"/>
      <c r="K66" s="86" t="n">
        <v>25.49</v>
      </c>
      <c r="L66" s="86" t="n"/>
      <c r="M66" s="87">
        <f>IF(AND(ISNUMBER(L66),ISNUMBER(K66),N(K66)&gt;0),L66/K66-1,"")</f>
        <v/>
      </c>
      <c r="N66" s="88">
        <f>IF(M66="","No List Price",IF(M66&lt;=0,"At/below price",IF(M66&lt;=0.12,"&lt;=12% STR zone",IF(M66&lt;=0.25,"12-25%","&gt;25% over"))))</f>
        <v/>
      </c>
      <c r="O66" s="86" t="n">
        <v>25.24</v>
      </c>
      <c r="P66" s="89">
        <f>IF(AND(ISNUMBER(K66),ISNUMBER(O66),N(O66)&gt;0),K66/O66-1,"")</f>
        <v/>
      </c>
      <c r="Q66" s="32" t="inlineStr">
        <is>
          <t>vs our blended price (Command Center, Mar 2026 - STALE)</t>
        </is>
      </c>
      <c r="R66" s="85" t="n">
        <v>24520</v>
      </c>
      <c r="S66" s="85" t="n">
        <v>18</v>
      </c>
      <c r="T66" s="90">
        <f>IF(AND(ISNUMBER(K66),ISNUMBER(S66)),K66*S66*52/12,"")</f>
        <v/>
      </c>
      <c r="U66" s="91" t="n">
        <v>4.7</v>
      </c>
      <c r="V66" s="85" t="n">
        <v>6302</v>
      </c>
      <c r="W66" s="92" t="n">
        <v>46307</v>
      </c>
      <c r="X66" s="92" t="n"/>
      <c r="Y66" s="84" t="n"/>
      <c r="Z66" s="84" t="n"/>
      <c r="AA66" s="85" t="n"/>
      <c r="AB66" s="85" t="n"/>
      <c r="AC66" s="93" t="n"/>
      <c r="AD66" s="93" t="n"/>
      <c r="AE66" s="32" t="n"/>
      <c r="AF66" s="93" t="n"/>
      <c r="AG66" s="93" t="n"/>
      <c r="AH66" s="93" t="n"/>
      <c r="AI66" s="93" t="n"/>
      <c r="AJ66" s="85" t="n"/>
      <c r="AK66" s="85" t="n"/>
      <c r="AL66" s="85" t="n"/>
      <c r="AM66" s="85" t="n"/>
      <c r="AN66" s="85" t="n"/>
      <c r="AO66" s="85" t="n"/>
      <c r="AP66" s="94" t="n"/>
      <c r="AQ66" s="89" t="n"/>
      <c r="AR66" s="95" t="inlineStr">
        <is>
          <t>N</t>
        </is>
      </c>
      <c r="AS66" s="95" t="inlineStr">
        <is>
          <t>none</t>
        </is>
      </c>
      <c r="AT66" s="101" t="n"/>
      <c r="AU66" s="96" t="n">
        <v>25.49</v>
      </c>
      <c r="AV66" s="95" t="inlineStr">
        <is>
          <t>none</t>
        </is>
      </c>
      <c r="AW66" s="95" t="inlineStr">
        <is>
          <t>Y</t>
        </is>
      </c>
      <c r="AX66" s="95" t="inlineStr">
        <is>
          <t>2026-10-13 23:42:43</t>
        </is>
      </c>
      <c r="AY66" s="102" t="n"/>
      <c r="AZ66" s="102" t="n"/>
      <c r="BA66" s="101" t="n"/>
      <c r="BB66" s="101" t="n"/>
      <c r="BC66" s="87">
        <f>IF(AND(ISNUMBER(BA66),ISNUMBER(BB66),N(BA66)&gt;0),1-BB66/BA66,"")</f>
        <v/>
      </c>
      <c r="BD66" s="103" t="n"/>
      <c r="BE66" s="103" t="n"/>
      <c r="BF66" s="100">
        <f>IF(AND(ISNUMBER(BD66),ISNUMBER(BE66),N(BE66)&gt;0),BD66/BE66,"")</f>
        <v/>
      </c>
      <c r="BG66" s="102" t="n"/>
      <c r="BH66" s="102" t="n"/>
    </row>
    <row r="67" ht="62" customHeight="1">
      <c r="A67" s="10">
        <f>_xlfn.IMAGE("https://images-na.ssl-images-amazon.com/images/I/71vREPERc7L.jpg")</f>
        <v/>
      </c>
      <c r="B67" s="84" t="inlineStr">
        <is>
          <t>NORTHERN BROTHERS</t>
        </is>
      </c>
      <c r="C67" s="32" t="inlineStr">
        <is>
          <t>Fafua Stretch Dining Room Chair Covers Set of 6, Removable Washable Chair Covers for Dining Chairs,Dining Room, Hotel, Ceremony</t>
        </is>
      </c>
      <c r="D67" s="84" t="inlineStr">
        <is>
          <t>Beatable</t>
        </is>
      </c>
      <c r="E67" s="84" t="inlineStr">
        <is>
          <t>B0DFY9MKGZ</t>
        </is>
      </c>
      <c r="F67" s="84" t="inlineStr">
        <is>
          <t>B0D59BMBK7</t>
        </is>
      </c>
      <c r="G67" s="84" t="n"/>
      <c r="H67" s="84" t="n"/>
      <c r="I67" s="85" t="n">
        <v>107</v>
      </c>
      <c r="J67" s="32" t="inlineStr"/>
      <c r="K67" s="86" t="n">
        <v>19.1</v>
      </c>
      <c r="L67" s="86" t="n">
        <v>23.88</v>
      </c>
      <c r="M67" s="87">
        <f>IF(AND(ISNUMBER(L67),ISNUMBER(K67),N(K67)&gt;0),L67/K67-1,"")</f>
        <v/>
      </c>
      <c r="N67" s="88">
        <f>IF(M67="","No List Price",IF(M67&lt;=0,"At/below price",IF(M67&lt;=0.12,"&lt;=12% STR zone",IF(M67&lt;=0.25,"12-25%","&gt;25% over"))))</f>
        <v/>
      </c>
      <c r="O67" s="86" t="n">
        <v>25.24</v>
      </c>
      <c r="P67" s="89">
        <f>IF(AND(ISNUMBER(K67),ISNUMBER(O67),N(O67)&gt;0),K67/O67-1,"")</f>
        <v/>
      </c>
      <c r="Q67" s="32" t="inlineStr">
        <is>
          <t>vs our blended price (Command Center, Mar 2026 - STALE)</t>
        </is>
      </c>
      <c r="R67" s="85" t="n">
        <v>60827</v>
      </c>
      <c r="S67" s="85" t="n">
        <v>35</v>
      </c>
      <c r="T67" s="90">
        <f>IF(AND(ISNUMBER(K67),ISNUMBER(S67)),K67*S67*52/12,"")</f>
        <v/>
      </c>
      <c r="U67" s="91" t="n">
        <v>4.6</v>
      </c>
      <c r="V67" s="85" t="n">
        <v>865</v>
      </c>
      <c r="W67" s="92" t="n">
        <v>46307</v>
      </c>
      <c r="X67" s="92" t="n">
        <v>45439</v>
      </c>
      <c r="Y67" s="84" t="inlineStr">
        <is>
          <t>FBA</t>
        </is>
      </c>
      <c r="Z67" s="84" t="inlineStr">
        <is>
          <t>CN</t>
        </is>
      </c>
      <c r="AA67" s="85" t="n"/>
      <c r="AB67" s="85" t="n"/>
      <c r="AC67" s="93" t="n"/>
      <c r="AD67" s="93" t="n"/>
      <c r="AE67" s="32" t="n"/>
      <c r="AF67" s="93" t="n"/>
      <c r="AG67" s="93" t="n"/>
      <c r="AH67" s="93" t="n"/>
      <c r="AI67" s="93" t="n"/>
      <c r="AJ67" s="85" t="n"/>
      <c r="AK67" s="85" t="n"/>
      <c r="AL67" s="85" t="n"/>
      <c r="AM67" s="85" t="n"/>
      <c r="AN67" s="85" t="n"/>
      <c r="AO67" s="85" t="n"/>
      <c r="AP67" s="94" t="n"/>
      <c r="AQ67" s="89" t="n"/>
      <c r="AR67" s="95" t="inlineStr">
        <is>
          <t>Y</t>
        </is>
      </c>
      <c r="AS67" s="95" t="inlineStr">
        <is>
          <t>List Price</t>
        </is>
      </c>
      <c r="AT67" s="96" t="n">
        <v>23.88</v>
      </c>
      <c r="AU67" s="96" t="n">
        <v>19.1</v>
      </c>
      <c r="AV67" s="95" t="inlineStr">
        <is>
          <t>none</t>
        </is>
      </c>
      <c r="AW67" s="95" t="inlineStr">
        <is>
          <t>Y</t>
        </is>
      </c>
      <c r="AX67" s="95" t="inlineStr">
        <is>
          <t>2026-10-13 23:42:09</t>
        </is>
      </c>
      <c r="AY67" s="102" t="n"/>
      <c r="AZ67" s="102" t="n"/>
      <c r="BA67" s="101" t="n"/>
      <c r="BB67" s="101" t="n"/>
      <c r="BC67" s="87">
        <f>IF(AND(ISNUMBER(BA67),ISNUMBER(BB67),N(BA67)&gt;0),1-BB67/BA67,"")</f>
        <v/>
      </c>
      <c r="BD67" s="103" t="n"/>
      <c r="BE67" s="103" t="n"/>
      <c r="BF67" s="100">
        <f>IF(AND(ISNUMBER(BD67),ISNUMBER(BE67),N(BE67)&gt;0),BD67/BE67,"")</f>
        <v/>
      </c>
      <c r="BG67" s="102" t="n"/>
      <c r="BH67" s="102" t="n"/>
    </row>
    <row r="68" ht="62" customHeight="1">
      <c r="A68" s="39" t="inlineStr">
        <is>
          <t>IMAGE MISSING</t>
        </is>
      </c>
      <c r="B68" s="84" t="inlineStr">
        <is>
          <t>Easy-Going</t>
        </is>
      </c>
      <c r="C68" s="32" t="inlineStr">
        <is>
          <t>Waterproof Chair Cover</t>
        </is>
      </c>
      <c r="D68" s="84" t="inlineStr">
        <is>
          <t>Beatable</t>
        </is>
      </c>
      <c r="E68" s="84" t="inlineStr">
        <is>
          <t>B0BNHBKDGJ</t>
        </is>
      </c>
      <c r="F68" s="84" t="inlineStr">
        <is>
          <t>B0BNHCYG6Z</t>
        </is>
      </c>
      <c r="G68" s="84" t="n"/>
      <c r="H68" s="84" t="n"/>
      <c r="I68" s="85" t="n"/>
      <c r="J68" s="32" t="inlineStr"/>
      <c r="K68" s="86" t="n">
        <v>24.99</v>
      </c>
      <c r="L68" s="86" t="n"/>
      <c r="M68" s="87">
        <f>IF(AND(ISNUMBER(L68),ISNUMBER(K68),N(K68)&gt;0),L68/K68-1,"")</f>
        <v/>
      </c>
      <c r="N68" s="88">
        <f>IF(M68="","No List Price",IF(M68&lt;=0,"At/below price",IF(M68&lt;=0.12,"&lt;=12% STR zone",IF(M68&lt;=0.25,"12-25%","&gt;25% over"))))</f>
        <v/>
      </c>
      <c r="O68" s="86" t="n">
        <v>25.24</v>
      </c>
      <c r="P68" s="89">
        <f>IF(AND(ISNUMBER(K68),ISNUMBER(O68),N(O68)&gt;0),K68/O68-1,"")</f>
        <v/>
      </c>
      <c r="Q68" s="32" t="inlineStr">
        <is>
          <t>vs our blended price (Command Center, Mar 2026 - STALE)</t>
        </is>
      </c>
      <c r="R68" s="85" t="n">
        <v>48182</v>
      </c>
      <c r="S68" s="85" t="n">
        <v>18</v>
      </c>
      <c r="T68" s="90">
        <f>IF(AND(ISNUMBER(K68),ISNUMBER(S68)),K68*S68*52/12,"")</f>
        <v/>
      </c>
      <c r="U68" s="91" t="n">
        <v>4.6</v>
      </c>
      <c r="V68" s="85" t="n">
        <v>1034</v>
      </c>
      <c r="W68" s="92" t="n">
        <v>46307</v>
      </c>
      <c r="X68" s="92" t="n"/>
      <c r="Y68" s="84" t="n"/>
      <c r="Z68" s="84" t="n"/>
      <c r="AA68" s="85" t="n"/>
      <c r="AB68" s="85" t="n"/>
      <c r="AC68" s="93" t="n"/>
      <c r="AD68" s="93" t="n"/>
      <c r="AE68" s="32" t="n"/>
      <c r="AF68" s="93" t="n"/>
      <c r="AG68" s="93" t="n"/>
      <c r="AH68" s="93" t="n"/>
      <c r="AI68" s="93" t="n"/>
      <c r="AJ68" s="85" t="n"/>
      <c r="AK68" s="85" t="n"/>
      <c r="AL68" s="85" t="n"/>
      <c r="AM68" s="85" t="n"/>
      <c r="AN68" s="85" t="n"/>
      <c r="AO68" s="85" t="n"/>
      <c r="AP68" s="94" t="n"/>
      <c r="AQ68" s="89" t="n"/>
      <c r="AR68" s="95" t="inlineStr">
        <is>
          <t>N</t>
        </is>
      </c>
      <c r="AS68" s="95" t="inlineStr">
        <is>
          <t>none</t>
        </is>
      </c>
      <c r="AT68" s="101" t="n"/>
      <c r="AU68" s="96" t="n">
        <v>24.99</v>
      </c>
      <c r="AV68" s="95" t="inlineStr">
        <is>
          <t>none</t>
        </is>
      </c>
      <c r="AW68" s="95" t="inlineStr">
        <is>
          <t>Y</t>
        </is>
      </c>
      <c r="AX68" s="95" t="inlineStr">
        <is>
          <t>2026-10-13 23:40:19</t>
        </is>
      </c>
      <c r="AY68" s="102" t="n"/>
      <c r="AZ68" s="102" t="n"/>
      <c r="BA68" s="101" t="n"/>
      <c r="BB68" s="101" t="n"/>
      <c r="BC68" s="87">
        <f>IF(AND(ISNUMBER(BA68),ISNUMBER(BB68),N(BA68)&gt;0),1-BB68/BA68,"")</f>
        <v/>
      </c>
      <c r="BD68" s="103" t="n"/>
      <c r="BE68" s="103" t="n"/>
      <c r="BF68" s="100">
        <f>IF(AND(ISNUMBER(BD68),ISNUMBER(BE68),N(BE68)&gt;0),BD68/BE68,"")</f>
        <v/>
      </c>
      <c r="BG68" s="102" t="n"/>
      <c r="BH68" s="102" t="n"/>
    </row>
    <row r="69" ht="62" customHeight="1">
      <c r="A69" s="39" t="inlineStr">
        <is>
          <t>IMAGE MISSING</t>
        </is>
      </c>
      <c r="B69" s="84" t="inlineStr">
        <is>
          <t>SPRINGRICO</t>
        </is>
      </c>
      <c r="C69" s="32" t="inlineStr">
        <is>
          <t>Waterproof Chair Cover</t>
        </is>
      </c>
      <c r="D69" s="84" t="inlineStr">
        <is>
          <t>Beatable</t>
        </is>
      </c>
      <c r="E69" s="84" t="inlineStr">
        <is>
          <t>B0BLMYTK9C</t>
        </is>
      </c>
      <c r="F69" s="84" t="inlineStr">
        <is>
          <t>B0BLN1DSXW</t>
        </is>
      </c>
      <c r="G69" s="84" t="n"/>
      <c r="H69" s="84" t="n"/>
      <c r="I69" s="85" t="n"/>
      <c r="J69" s="32" t="inlineStr"/>
      <c r="K69" s="86" t="n">
        <v>29.89</v>
      </c>
      <c r="L69" s="86" t="n"/>
      <c r="M69" s="87">
        <f>IF(AND(ISNUMBER(L69),ISNUMBER(K69),N(K69)&gt;0),L69/K69-1,"")</f>
        <v/>
      </c>
      <c r="N69" s="88">
        <f>IF(M69="","No List Price",IF(M69&lt;=0,"At/below price",IF(M69&lt;=0.12,"&lt;=12% STR zone",IF(M69&lt;=0.25,"12-25%","&gt;25% over"))))</f>
        <v/>
      </c>
      <c r="O69" s="86" t="n">
        <v>25.24</v>
      </c>
      <c r="P69" s="89">
        <f>IF(AND(ISNUMBER(K69),ISNUMBER(O69),N(O69)&gt;0),K69/O69-1,"")</f>
        <v/>
      </c>
      <c r="Q69" s="32" t="inlineStr">
        <is>
          <t>vs our blended price (Command Center, Mar 2026 - STALE)</t>
        </is>
      </c>
      <c r="R69" s="85" t="n">
        <v>50244</v>
      </c>
      <c r="S69" s="85" t="n">
        <v>18</v>
      </c>
      <c r="T69" s="90">
        <f>IF(AND(ISNUMBER(K69),ISNUMBER(S69)),K69*S69*52/12,"")</f>
        <v/>
      </c>
      <c r="U69" s="91" t="n">
        <v>4.7</v>
      </c>
      <c r="V69" s="85" t="n">
        <v>1526</v>
      </c>
      <c r="W69" s="92" t="n">
        <v>46307</v>
      </c>
      <c r="X69" s="92" t="n"/>
      <c r="Y69" s="84" t="n"/>
      <c r="Z69" s="84" t="n"/>
      <c r="AA69" s="85" t="n"/>
      <c r="AB69" s="85" t="n"/>
      <c r="AC69" s="93" t="n"/>
      <c r="AD69" s="93" t="n"/>
      <c r="AE69" s="32" t="n"/>
      <c r="AF69" s="93" t="n"/>
      <c r="AG69" s="93" t="n"/>
      <c r="AH69" s="93" t="n"/>
      <c r="AI69" s="93" t="n"/>
      <c r="AJ69" s="85" t="n"/>
      <c r="AK69" s="85" t="n"/>
      <c r="AL69" s="85" t="n"/>
      <c r="AM69" s="85" t="n"/>
      <c r="AN69" s="85" t="n"/>
      <c r="AO69" s="85" t="n"/>
      <c r="AP69" s="94" t="n"/>
      <c r="AQ69" s="89" t="n"/>
      <c r="AR69" s="95" t="inlineStr">
        <is>
          <t>N</t>
        </is>
      </c>
      <c r="AS69" s="95" t="inlineStr">
        <is>
          <t>none</t>
        </is>
      </c>
      <c r="AT69" s="101" t="n"/>
      <c r="AU69" s="96" t="n">
        <v>29.89</v>
      </c>
      <c r="AV69" s="95" t="inlineStr">
        <is>
          <t>none</t>
        </is>
      </c>
      <c r="AW69" s="95" t="inlineStr">
        <is>
          <t>Y</t>
        </is>
      </c>
      <c r="AX69" s="95" t="inlineStr">
        <is>
          <t>2026-10-13 23:42:47</t>
        </is>
      </c>
      <c r="AY69" s="102" t="n"/>
      <c r="AZ69" s="102" t="n"/>
      <c r="BA69" s="101" t="n"/>
      <c r="BB69" s="101" t="n"/>
      <c r="BC69" s="87">
        <f>IF(AND(ISNUMBER(BA69),ISNUMBER(BB69),N(BA69)&gt;0),1-BB69/BA69,"")</f>
        <v/>
      </c>
      <c r="BD69" s="103" t="n"/>
      <c r="BE69" s="103" t="n"/>
      <c r="BF69" s="100">
        <f>IF(AND(ISNUMBER(BD69),ISNUMBER(BE69),N(BE69)&gt;0),BD69/BE69,"")</f>
        <v/>
      </c>
      <c r="BG69" s="102" t="n"/>
      <c r="BH69" s="102" t="n"/>
    </row>
    <row r="70" ht="62" customHeight="1">
      <c r="A70" s="39" t="inlineStr">
        <is>
          <t>IMAGE MISSING</t>
        </is>
      </c>
      <c r="B70" s="84" t="inlineStr">
        <is>
          <t>YEMYHOM</t>
        </is>
      </c>
      <c r="C70" s="32" t="inlineStr">
        <is>
          <t>Waterproof Chair Cover</t>
        </is>
      </c>
      <c r="D70" s="84" t="inlineStr">
        <is>
          <t>Beatable</t>
        </is>
      </c>
      <c r="E70" s="84" t="inlineStr">
        <is>
          <t>B0DM8Y65RT</t>
        </is>
      </c>
      <c r="F70" s="84" t="inlineStr">
        <is>
          <t>B0895VM7KG</t>
        </is>
      </c>
      <c r="G70" s="84" t="n"/>
      <c r="H70" s="84" t="n"/>
      <c r="I70" s="85" t="n"/>
      <c r="J70" s="32" t="inlineStr"/>
      <c r="K70" s="86" t="n">
        <v>9.99</v>
      </c>
      <c r="L70" s="86" t="n"/>
      <c r="M70" s="87">
        <f>IF(AND(ISNUMBER(L70),ISNUMBER(K70),N(K70)&gt;0),L70/K70-1,"")</f>
        <v/>
      </c>
      <c r="N70" s="88">
        <f>IF(M70="","No List Price",IF(M70&lt;=0,"At/below price",IF(M70&lt;=0.12,"&lt;=12% STR zone",IF(M70&lt;=0.25,"12-25%","&gt;25% over"))))</f>
        <v/>
      </c>
      <c r="O70" s="86" t="n">
        <v>25.24</v>
      </c>
      <c r="P70" s="89">
        <f>IF(AND(ISNUMBER(K70),ISNUMBER(O70),N(O70)&gt;0),K70/O70-1,"")</f>
        <v/>
      </c>
      <c r="Q70" s="32" t="inlineStr">
        <is>
          <t>vs our blended price (Command Center, Mar 2026 - STALE)</t>
        </is>
      </c>
      <c r="R70" s="85" t="n">
        <v>49521</v>
      </c>
      <c r="S70" s="85" t="n">
        <v>18</v>
      </c>
      <c r="T70" s="90">
        <f>IF(AND(ISNUMBER(K70),ISNUMBER(S70)),K70*S70*52/12,"")</f>
        <v/>
      </c>
      <c r="U70" s="91" t="n">
        <v>4.6</v>
      </c>
      <c r="V70" s="85" t="n">
        <v>1638</v>
      </c>
      <c r="W70" s="92" t="n">
        <v>46307</v>
      </c>
      <c r="X70" s="92" t="n"/>
      <c r="Y70" s="84" t="n"/>
      <c r="Z70" s="84" t="n"/>
      <c r="AA70" s="85" t="n"/>
      <c r="AB70" s="85" t="n"/>
      <c r="AC70" s="93" t="n"/>
      <c r="AD70" s="93" t="n"/>
      <c r="AE70" s="32" t="n"/>
      <c r="AF70" s="93" t="n"/>
      <c r="AG70" s="93" t="n"/>
      <c r="AH70" s="93" t="n"/>
      <c r="AI70" s="93" t="n"/>
      <c r="AJ70" s="85" t="n"/>
      <c r="AK70" s="85" t="n"/>
      <c r="AL70" s="85" t="n"/>
      <c r="AM70" s="85" t="n"/>
      <c r="AN70" s="85" t="n"/>
      <c r="AO70" s="85" t="n"/>
      <c r="AP70" s="94" t="n"/>
      <c r="AQ70" s="89" t="n"/>
      <c r="AR70" s="95" t="inlineStr">
        <is>
          <t>N</t>
        </is>
      </c>
      <c r="AS70" s="95" t="inlineStr">
        <is>
          <t>none</t>
        </is>
      </c>
      <c r="AT70" s="101" t="n"/>
      <c r="AU70" s="96" t="n">
        <v>9.99</v>
      </c>
      <c r="AV70" s="95" t="inlineStr">
        <is>
          <t>none</t>
        </is>
      </c>
      <c r="AW70" s="95" t="inlineStr">
        <is>
          <t>Y</t>
        </is>
      </c>
      <c r="AX70" s="95" t="inlineStr">
        <is>
          <t>2026-10-13 23:43:42</t>
        </is>
      </c>
      <c r="AY70" s="102" t="n"/>
      <c r="AZ70" s="102" t="n"/>
      <c r="BA70" s="101" t="n"/>
      <c r="BB70" s="101" t="n"/>
      <c r="BC70" s="87">
        <f>IF(AND(ISNUMBER(BA70),ISNUMBER(BB70),N(BA70)&gt;0),1-BB70/BA70,"")</f>
        <v/>
      </c>
      <c r="BD70" s="103" t="n"/>
      <c r="BE70" s="103" t="n"/>
      <c r="BF70" s="100">
        <f>IF(AND(ISNUMBER(BD70),ISNUMBER(BE70),N(BE70)&gt;0),BD70/BE70,"")</f>
        <v/>
      </c>
      <c r="BG70" s="102" t="n"/>
      <c r="BH70" s="102" t="n"/>
    </row>
    <row r="71" ht="62" customHeight="1">
      <c r="A71" s="39" t="inlineStr">
        <is>
          <t>IMAGE MISSING</t>
        </is>
      </c>
      <c r="B71" s="84" t="inlineStr">
        <is>
          <t>FORCHEER</t>
        </is>
      </c>
      <c r="C71" s="32" t="inlineStr">
        <is>
          <t>Waterproof Chair Cover</t>
        </is>
      </c>
      <c r="D71" s="84" t="inlineStr">
        <is>
          <t>Beatable</t>
        </is>
      </c>
      <c r="E71" s="84" t="inlineStr">
        <is>
          <t>B07YDFJ5K2</t>
        </is>
      </c>
      <c r="F71" s="84" t="inlineStr">
        <is>
          <t>B0DD37H251</t>
        </is>
      </c>
      <c r="G71" s="84" t="n"/>
      <c r="H71" s="84" t="n"/>
      <c r="I71" s="85" t="n"/>
      <c r="J71" s="32" t="inlineStr"/>
      <c r="K71" s="86" t="n">
        <v>16.99</v>
      </c>
      <c r="L71" s="86" t="n"/>
      <c r="M71" s="87">
        <f>IF(AND(ISNUMBER(L71),ISNUMBER(K71),N(K71)&gt;0),L71/K71-1,"")</f>
        <v/>
      </c>
      <c r="N71" s="88">
        <f>IF(M71="","No List Price",IF(M71&lt;=0,"At/below price",IF(M71&lt;=0.12,"&lt;=12% STR zone",IF(M71&lt;=0.25,"12-25%","&gt;25% over"))))</f>
        <v/>
      </c>
      <c r="O71" s="86" t="n">
        <v>25.24</v>
      </c>
      <c r="P71" s="89">
        <f>IF(AND(ISNUMBER(K71),ISNUMBER(O71),N(O71)&gt;0),K71/O71-1,"")</f>
        <v/>
      </c>
      <c r="Q71" s="32" t="inlineStr">
        <is>
          <t>vs our blended price (Command Center, Mar 2026 - STALE)</t>
        </is>
      </c>
      <c r="R71" s="85" t="n">
        <v>183734</v>
      </c>
      <c r="S71" s="85" t="n">
        <v>5</v>
      </c>
      <c r="T71" s="90">
        <f>IF(AND(ISNUMBER(K71),ISNUMBER(S71)),K71*S71*52/12,"")</f>
        <v/>
      </c>
      <c r="U71" s="91" t="n">
        <v>4.6</v>
      </c>
      <c r="V71" s="85" t="n">
        <v>1385</v>
      </c>
      <c r="W71" s="92" t="n">
        <v>46307</v>
      </c>
      <c r="X71" s="92" t="n"/>
      <c r="Y71" s="84" t="n"/>
      <c r="Z71" s="84" t="n"/>
      <c r="AA71" s="85" t="n"/>
      <c r="AB71" s="85" t="n"/>
      <c r="AC71" s="93" t="n"/>
      <c r="AD71" s="93" t="n"/>
      <c r="AE71" s="32" t="n"/>
      <c r="AF71" s="93" t="n"/>
      <c r="AG71" s="93" t="n"/>
      <c r="AH71" s="93" t="n"/>
      <c r="AI71" s="93" t="n"/>
      <c r="AJ71" s="85" t="n"/>
      <c r="AK71" s="85" t="n"/>
      <c r="AL71" s="85" t="n"/>
      <c r="AM71" s="85" t="n"/>
      <c r="AN71" s="85" t="n"/>
      <c r="AO71" s="85" t="n"/>
      <c r="AP71" s="94" t="n"/>
      <c r="AQ71" s="89" t="n"/>
      <c r="AR71" s="95" t="inlineStr">
        <is>
          <t>N</t>
        </is>
      </c>
      <c r="AS71" s="95" t="inlineStr">
        <is>
          <t>none</t>
        </is>
      </c>
      <c r="AT71" s="101" t="n"/>
      <c r="AU71" s="96" t="n">
        <v>16.99</v>
      </c>
      <c r="AV71" s="95" t="inlineStr">
        <is>
          <t>none</t>
        </is>
      </c>
      <c r="AW71" s="95" t="inlineStr">
        <is>
          <t>Y</t>
        </is>
      </c>
      <c r="AX71" s="95" t="inlineStr">
        <is>
          <t>2026-10-13 23:40:35</t>
        </is>
      </c>
      <c r="AY71" s="102" t="n"/>
      <c r="AZ71" s="102" t="n"/>
      <c r="BA71" s="101" t="n"/>
      <c r="BB71" s="101" t="n"/>
      <c r="BC71" s="87">
        <f>IF(AND(ISNUMBER(BA71),ISNUMBER(BB71),N(BA71)&gt;0),1-BB71/BA71,"")</f>
        <v/>
      </c>
      <c r="BD71" s="103" t="n"/>
      <c r="BE71" s="103" t="n"/>
      <c r="BF71" s="100">
        <f>IF(AND(ISNUMBER(BD71),ISNUMBER(BE71),N(BE71)&gt;0),BD71/BE71,"")</f>
        <v/>
      </c>
      <c r="BG71" s="102" t="n"/>
      <c r="BH71" s="102" t="n"/>
    </row>
    <row r="72" ht="62" customHeight="1">
      <c r="A72" s="39" t="inlineStr">
        <is>
          <t>IMAGE MISSING</t>
        </is>
      </c>
      <c r="B72" s="84" t="inlineStr">
        <is>
          <t>Secgo</t>
        </is>
      </c>
      <c r="C72" s="32" t="inlineStr">
        <is>
          <t>Waterproof Chair Cover</t>
        </is>
      </c>
      <c r="D72" s="84" t="inlineStr">
        <is>
          <t>Beatable</t>
        </is>
      </c>
      <c r="E72" s="84" t="inlineStr">
        <is>
          <t>B0DNTT71SM</t>
        </is>
      </c>
      <c r="F72" s="84" t="inlineStr">
        <is>
          <t>B0CYSX48KJ</t>
        </is>
      </c>
      <c r="G72" s="84" t="n"/>
      <c r="H72" s="84" t="n"/>
      <c r="I72" s="85" t="n"/>
      <c r="J72" s="32" t="inlineStr"/>
      <c r="K72" s="86" t="n">
        <v>9.48</v>
      </c>
      <c r="L72" s="86" t="n"/>
      <c r="M72" s="87">
        <f>IF(AND(ISNUMBER(L72),ISNUMBER(K72),N(K72)&gt;0),L72/K72-1,"")</f>
        <v/>
      </c>
      <c r="N72" s="88">
        <f>IF(M72="","No List Price",IF(M72&lt;=0,"At/below price",IF(M72&lt;=0.12,"&lt;=12% STR zone",IF(M72&lt;=0.25,"12-25%","&gt;25% over"))))</f>
        <v/>
      </c>
      <c r="O72" s="86" t="n">
        <v>25.24</v>
      </c>
      <c r="P72" s="89">
        <f>IF(AND(ISNUMBER(K72),ISNUMBER(O72),N(O72)&gt;0),K72/O72-1,"")</f>
        <v/>
      </c>
      <c r="Q72" s="32" t="inlineStr">
        <is>
          <t>vs our blended price (Command Center, Mar 2026 - STALE)</t>
        </is>
      </c>
      <c r="R72" s="85" t="n">
        <v>146727</v>
      </c>
      <c r="S72" s="85" t="n">
        <v>5</v>
      </c>
      <c r="T72" s="90">
        <f>IF(AND(ISNUMBER(K72),ISNUMBER(S72)),K72*S72*52/12,"")</f>
        <v/>
      </c>
      <c r="U72" s="91" t="n">
        <v>4.6</v>
      </c>
      <c r="V72" s="85" t="n">
        <v>837</v>
      </c>
      <c r="W72" s="92" t="n">
        <v>46307</v>
      </c>
      <c r="X72" s="92" t="n"/>
      <c r="Y72" s="84" t="n"/>
      <c r="Z72" s="84" t="n"/>
      <c r="AA72" s="85" t="n"/>
      <c r="AB72" s="85" t="n"/>
      <c r="AC72" s="93" t="n"/>
      <c r="AD72" s="93" t="n"/>
      <c r="AE72" s="32" t="n"/>
      <c r="AF72" s="93" t="n"/>
      <c r="AG72" s="93" t="n"/>
      <c r="AH72" s="93" t="n"/>
      <c r="AI72" s="93" t="n"/>
      <c r="AJ72" s="85" t="n"/>
      <c r="AK72" s="85" t="n"/>
      <c r="AL72" s="85" t="n"/>
      <c r="AM72" s="85" t="n"/>
      <c r="AN72" s="85" t="n"/>
      <c r="AO72" s="85" t="n"/>
      <c r="AP72" s="94" t="n"/>
      <c r="AQ72" s="89" t="n"/>
      <c r="AR72" s="95" t="inlineStr">
        <is>
          <t>Y</t>
        </is>
      </c>
      <c r="AS72" s="95" t="inlineStr">
        <is>
          <t>Typical price</t>
        </is>
      </c>
      <c r="AT72" s="96" t="n">
        <v>9.99</v>
      </c>
      <c r="AU72" s="96" t="n">
        <v>9.48</v>
      </c>
      <c r="AV72" s="95" t="inlineStr">
        <is>
          <t>none</t>
        </is>
      </c>
      <c r="AW72" s="95" t="inlineStr">
        <is>
          <t>Y</t>
        </is>
      </c>
      <c r="AX72" s="95" t="inlineStr">
        <is>
          <t>2026-10-13 23:43:05</t>
        </is>
      </c>
      <c r="AY72" s="102" t="n"/>
      <c r="AZ72" s="102" t="n"/>
      <c r="BA72" s="101" t="n"/>
      <c r="BB72" s="101" t="n"/>
      <c r="BC72" s="87">
        <f>IF(AND(ISNUMBER(BA72),ISNUMBER(BB72),N(BA72)&gt;0),1-BB72/BA72,"")</f>
        <v/>
      </c>
      <c r="BD72" s="103" t="n"/>
      <c r="BE72" s="103" t="n"/>
      <c r="BF72" s="100">
        <f>IF(AND(ISNUMBER(BD72),ISNUMBER(BE72),N(BE72)&gt;0),BD72/BE72,"")</f>
        <v/>
      </c>
      <c r="BG72" s="102" t="n"/>
      <c r="BH72" s="102" t="n"/>
    </row>
    <row r="74" ht="20" customHeight="1">
      <c r="A74" s="54" t="inlineStr">
        <is>
          <t>5 · WHAT THIS MEANS FOR BFCM</t>
        </is>
      </c>
    </row>
    <row r="75" ht="30" customHeight="1">
      <c r="A75" s="104" t="inlineStr">
        <is>
          <t>•  Who sells most: BIETYONE ~347/wk at $20.99; Fafua ~173/wk at $19.88; Genina ~173/wk at $22.07; Artrello ~92/wk at $23.99; Easy-Going ~92/wk at $25.99. Tracked rivals ~1,672 units/wk; we sell ~8/wk (0.4% of the tracked set).</t>
        </is>
      </c>
    </row>
    <row r="76" ht="18" customHeight="1">
      <c r="A76" s="104" t="inlineStr">
        <is>
          <t>•  Strikethrough: 5 of 23 rivals set a List Price above price; 0 within 12%.</t>
        </is>
      </c>
    </row>
    <row r="77" ht="18" customHeight="1">
      <c r="A77" s="104" t="inlineStr">
        <is>
          <t>•  Price: 14 of 23 rivals sit below our price today (same size where the title states one). Cheapest strong rivals: Secgo $9.48, YEMYHOM $9.99, Sufdari $16.99, FORCHEER $16.99.</t>
        </is>
      </c>
    </row>
    <row r="78" ht="30" customHeight="1">
      <c r="A78" s="104" t="inlineStr">
        <is>
          <t>•  Strikethrough on the page today (Oct 13 check): 8 of 23 checked rivals show one: Fafua List Price $18.88 vs $17.89 (+6%), Genina Typical price $19.99 vs $18.98 (+5%), SearchI List Price $34.99 vs $29.99 (+17%), Genina List Price $23.99 vs $19.99 (+20%), SearchI List Price $26.99 vs $22.94 (+18%), Smiry List Price $31.99 vs $26.99 (+19%).</t>
        </is>
      </c>
    </row>
    <row r="79" ht="18" customHeight="1">
      <c r="A79" s="104" t="inlineStr">
        <is>
          <t>•  Our BFCM 2025: 0.66x.</t>
        </is>
      </c>
    </row>
    <row r="80" ht="18" customHeight="1">
      <c r="A80" s="104" t="inlineStr">
        <is>
          <t>•  23 rivals not in the Keepa pulls yet (yellow BFCM 2025 columns) - remaining P2 batches, AGENT_PROMPTS Prompt 2.</t>
        </is>
      </c>
    </row>
  </sheetData>
  <autoFilter ref="B49:BH72"/>
  <mergeCells count="67">
    <mergeCell ref="A15:BH15"/>
    <mergeCell ref="A48:H48"/>
    <mergeCell ref="A37:C37"/>
    <mergeCell ref="AY48:BH48"/>
    <mergeCell ref="L5:Q5"/>
    <mergeCell ref="K48:W48"/>
    <mergeCell ref="A1:BH1"/>
    <mergeCell ref="Q11:T11"/>
    <mergeCell ref="A79:BH79"/>
    <mergeCell ref="L8:Q8"/>
    <mergeCell ref="L4:Q4"/>
    <mergeCell ref="D7:I7"/>
    <mergeCell ref="A13:D13"/>
    <mergeCell ref="A78:BH78"/>
    <mergeCell ref="I13:L13"/>
    <mergeCell ref="A33:C33"/>
    <mergeCell ref="A16:BH16"/>
    <mergeCell ref="D4:I4"/>
    <mergeCell ref="L10:Q10"/>
    <mergeCell ref="E12:H12"/>
    <mergeCell ref="Q13:T13"/>
    <mergeCell ref="A32:C32"/>
    <mergeCell ref="A41:BH41"/>
    <mergeCell ref="D9:I9"/>
    <mergeCell ref="AA48:AQ48"/>
    <mergeCell ref="A46:BH46"/>
    <mergeCell ref="U12:X12"/>
    <mergeCell ref="L9:Q9"/>
    <mergeCell ref="Q12:T12"/>
    <mergeCell ref="A75:BH75"/>
    <mergeCell ref="A11:D11"/>
    <mergeCell ref="A35:C35"/>
    <mergeCell ref="A74:BH74"/>
    <mergeCell ref="A80:BH80"/>
    <mergeCell ref="I11:L11"/>
    <mergeCell ref="A38:C38"/>
    <mergeCell ref="A3:BH3"/>
    <mergeCell ref="L6:Q6"/>
    <mergeCell ref="D8:I8"/>
    <mergeCell ref="A4:B9"/>
    <mergeCell ref="T6:Y6"/>
    <mergeCell ref="A42:BH42"/>
    <mergeCell ref="D5:I5"/>
    <mergeCell ref="A76:BH76"/>
    <mergeCell ref="A40:C40"/>
    <mergeCell ref="A47:BH47"/>
    <mergeCell ref="M11:P11"/>
    <mergeCell ref="AR48:AX48"/>
    <mergeCell ref="U11:X11"/>
    <mergeCell ref="A34:C34"/>
    <mergeCell ref="A39:C39"/>
    <mergeCell ref="X48:Z48"/>
    <mergeCell ref="E13:H13"/>
    <mergeCell ref="D10:I10"/>
    <mergeCell ref="L7:Q7"/>
    <mergeCell ref="T5:Y5"/>
    <mergeCell ref="A43:BH43"/>
    <mergeCell ref="A12:D12"/>
    <mergeCell ref="M13:P13"/>
    <mergeCell ref="I12:L12"/>
    <mergeCell ref="U13:X13"/>
    <mergeCell ref="M12:P12"/>
    <mergeCell ref="T4:Y4"/>
    <mergeCell ref="A31:BH31"/>
    <mergeCell ref="D6:I6"/>
    <mergeCell ref="E11:H11"/>
    <mergeCell ref="A77:BH77"/>
  </mergeCells>
  <conditionalFormatting sqref="N50:N72">
    <cfRule type="expression" priority="1" dxfId="1">
      <formula>N50="&lt;=12% STR zone"</formula>
    </cfRule>
  </conditionalFormatting>
  <conditionalFormatting sqref="W50:W72">
    <cfRule type="expression" priority="2" dxfId="0">
      <formula>AND(ISNUMBER(W50),W50&lt;DATE(2026,10,6))</formula>
    </cfRule>
  </conditionalFormatting>
  <conditionalFormatting sqref="Q50:Q72">
    <cfRule type="expression" priority="3" dxfId="0">
      <formula>ISNUMBER(SEARCH("STALE",Q50))</formula>
    </cfRule>
  </conditionalFormatting>
  <conditionalFormatting sqref="P50:P72">
    <cfRule type="expression" priority="4" dxfId="0">
      <formula>AND(ISNUMBER(P50),P50&lt;0)</formula>
    </cfRule>
  </conditionalFormatting>
  <dataValidations count="3">
    <dataValidation sqref="AR50:AR72 BG50:BG72" showDropDown="0" showInputMessage="0" showErrorMessage="0" allowBlank="1" type="list">
      <formula1>"Y,N"</formula1>
    </dataValidation>
    <dataValidation sqref="AS50:AS72" showDropDown="0" showInputMessage="0" showErrorMessage="0" allowBlank="1" type="list">
      <formula1>"List Price,Typical price,Was price,None"</formula1>
    </dataValidation>
    <dataValidation sqref="AY50:AY72" showDropDown="0" showInputMessage="0" showErrorMessage="0" allowBlank="1" type="list">
      <formula1>"Lightning Deal,Best Deal,Prime Exclusive Discount,Coupon only,Price cut only,None,Not live in 2025"</formula1>
    </dataValidation>
  </dataValidations>
  <hyperlinks>
    <hyperlink xmlns:r="http://schemas.openxmlformats.org/officeDocument/2006/relationships" ref="A2" r:id="rId1"/>
  </hyperlinks>
  <pageMargins left="0.75" right="0.75" top="1" bottom="1" header="0.5" footer="0.5"/>
  <legacyDrawing xmlns:r="http://schemas.openxmlformats.org/officeDocument/2006/relationships" r:id="anysvml"/>
</worksheet>
</file>

<file path=xl/worksheets/sheet38.xml><?xml version="1.0" encoding="utf-8"?>
<worksheet xmlns="http://schemas.openxmlformats.org/spreadsheetml/2006/main">
  <sheetPr>
    <tabColor rgb="00BFBFBF"/>
    <outlinePr summaryBelow="1" summaryRight="1"/>
    <pageSetUpPr/>
  </sheetPr>
  <dimension ref="A1:AG700"/>
  <sheetViews>
    <sheetView workbookViewId="0">
      <pane xSplit="2" ySplit="1" topLeftCell="C2" activePane="bottomRight" state="frozen"/>
      <selection pane="topRight"/>
      <selection pane="bottomLeft"/>
      <selection pane="bottomRight" activeCell="A1" sqref="A1"/>
    </sheetView>
  </sheetViews>
  <sheetFormatPr baseColWidth="8" defaultRowHeight="15"/>
  <sheetData>
    <row r="1">
      <c r="A1" s="108" t="inlineStr">
        <is>
          <t>match</t>
        </is>
      </c>
      <c r="B1" s="108" t="inlineStr">
        <is>
          <t>seq</t>
        </is>
      </c>
      <c r="C1" s="108" t="inlineStr">
        <is>
          <t>pid</t>
        </is>
      </c>
      <c r="D1" s="108" t="inlineStr">
        <is>
          <t>Product</t>
        </is>
      </c>
      <c r="E1" s="108" t="inlineStr">
        <is>
          <t>Marketplace</t>
        </is>
      </c>
      <c r="F1" s="108" t="inlineStr">
        <is>
          <t>Family</t>
        </is>
      </c>
      <c r="G1" s="108" t="inlineStr">
        <is>
          <t>Brand</t>
        </is>
      </c>
      <c r="H1" s="108" t="inlineStr">
        <is>
          <t>Tier</t>
        </is>
      </c>
      <c r="I1" s="108" t="inlineStr">
        <is>
          <t>Title</t>
        </is>
      </c>
      <c r="J1" s="108" t="inlineStr">
        <is>
          <t>Image URL</t>
        </is>
      </c>
      <c r="K1" s="108" t="inlineStr">
        <is>
          <t>Parent ASIN</t>
        </is>
      </c>
      <c r="L1" s="108" t="inlineStr">
        <is>
          <t>Child ASIN</t>
        </is>
      </c>
      <c r="M1" s="108" t="inlineStr">
        <is>
          <t>Variations</t>
        </is>
      </c>
      <c r="N1" s="108" t="inlineStr">
        <is>
          <t>Price</t>
        </is>
      </c>
      <c r="O1" s="108" t="inlineStr">
        <is>
          <t>List Price</t>
        </is>
      </c>
      <c r="P1" s="108" t="inlineStr">
        <is>
          <t>List % over</t>
        </is>
      </c>
      <c r="Q1" s="108" t="inlineStr">
        <is>
          <t>Our price same size</t>
        </is>
      </c>
      <c r="R1" s="108" t="inlineStr">
        <is>
          <t>Gap vs ours</t>
        </is>
      </c>
      <c r="S1" s="108" t="inlineStr">
        <is>
          <t>BSR</t>
        </is>
      </c>
      <c r="T1" s="108" t="inlineStr">
        <is>
          <t>Est weekly units</t>
        </is>
      </c>
      <c r="U1" s="108" t="inlineStr">
        <is>
          <t>Rating</t>
        </is>
      </c>
      <c r="V1" s="108" t="inlineStr">
        <is>
          <t>Reviews</t>
        </is>
      </c>
      <c r="W1" s="108" t="inlineStr">
        <is>
          <t>ASINsight traffic</t>
        </is>
      </c>
      <c r="X1" s="108" t="inlineStr">
        <is>
          <t>Organic share</t>
        </is>
      </c>
      <c r="Y1" s="108" t="inlineStr">
        <is>
          <t>We win</t>
        </is>
      </c>
      <c r="Z1" s="108" t="inlineStr">
        <is>
          <t>We lose</t>
        </is>
      </c>
      <c r="AA1" s="108" t="inlineStr">
        <is>
          <t>KWs they advertise we don't</t>
        </is>
      </c>
      <c r="AB1" s="108" t="inlineStr">
        <is>
          <t>PD26 vis lift</t>
        </is>
      </c>
      <c r="AC1" s="108" t="inlineStr">
        <is>
          <t>Tab</t>
        </is>
      </c>
      <c r="AD1" s="108" t="inlineStr">
        <is>
          <t>BFCM25 discount</t>
        </is>
      </c>
      <c r="AE1" s="108" t="inlineStr">
        <is>
          <t>BFCM25 BSR lift</t>
        </is>
      </c>
      <c r="AF1" s="108" t="inlineStr">
        <is>
          <t>Size</t>
        </is>
      </c>
      <c r="AG1" s="108" t="inlineStr">
        <is>
          <t>Colour</t>
        </is>
      </c>
    </row>
    <row r="2">
      <c r="A2" s="109">
        <f>AND(OR(Dashboard!$C$4="All",Dashboard!$C$4=D2),OR(Dashboard!$C$5="All",Dashboard!$C$5=E2),OR(Dashboard!$C$6="All",Dashboard!$C$6=G2),OR(Dashboard!$C$7="All",Dashboard!$C$7=H2),OR(Dashboard!$C$8="All",Dashboard!$C$8=F2))</f>
        <v/>
      </c>
      <c r="B2" s="109">
        <f>IF(A2,0+1,0)</f>
        <v/>
      </c>
      <c r="C2" s="109" t="n">
        <v>59</v>
      </c>
      <c r="D2" s="109" t="inlineStr">
        <is>
          <t>DC B4</t>
        </is>
      </c>
      <c r="E2" s="109" t="inlineStr">
        <is>
          <t>US</t>
        </is>
      </c>
      <c r="F2" s="109" t="inlineStr">
        <is>
          <t>Bamboo</t>
        </is>
      </c>
      <c r="G2" s="109" t="inlineStr">
        <is>
          <t>Bedsure</t>
        </is>
      </c>
      <c r="H2" s="109" t="inlineStr">
        <is>
          <t>Aspirational</t>
        </is>
      </c>
      <c r="I2" s="109" t="inlineStr">
        <is>
          <t>Bedsure PureWoven 100% Rayon Derived from Bamboo, Queen Sheets, 4 Pieces</t>
        </is>
      </c>
      <c r="J2" s="109" t="inlineStr">
        <is>
          <t>https://images-na.ssl-images-amazon.com/images/I/81L2xb5ly6L.jpg</t>
        </is>
      </c>
      <c r="K2" s="109" t="inlineStr">
        <is>
          <t>B0BZ8T5BJ6</t>
        </is>
      </c>
      <c r="L2" s="109" t="inlineStr">
        <is>
          <t>B07YK8VTJV</t>
        </is>
      </c>
      <c r="M2" s="109" t="n">
        <v>131</v>
      </c>
      <c r="N2" s="109" t="n">
        <v>62.99</v>
      </c>
      <c r="O2" s="109" t="n">
        <v>69.98999999999999</v>
      </c>
      <c r="P2" s="109">
        <f>IF(AND(ISNUMBER(O2),ISNUMBER(N2),N(N2)&gt;0),O2/N2-1,"")</f>
        <v/>
      </c>
      <c r="Q2" s="109" t="n">
        <v>89.98999999999999</v>
      </c>
      <c r="R2" s="109">
        <f>IF(AND(ISNUMBER(N2),ISNUMBER(Q2),N(Q2)&gt;0),N2/Q2-1,"")</f>
        <v/>
      </c>
      <c r="S2" s="109" t="n">
        <v>256</v>
      </c>
      <c r="T2" s="109" t="n">
        <v>809</v>
      </c>
      <c r="U2" s="109" t="n">
        <v>4.4</v>
      </c>
      <c r="V2" s="109" t="n">
        <v>65061</v>
      </c>
      <c r="W2" s="109" t="n">
        <v>2166046</v>
      </c>
      <c r="X2" s="109" t="n">
        <v>0.5902383405984899</v>
      </c>
      <c r="Y2" s="109" t="n">
        <v>122</v>
      </c>
      <c r="Z2" s="109" t="n">
        <v>1398</v>
      </c>
      <c r="AA2" s="109" t="n">
        <v>2984</v>
      </c>
      <c r="AB2" s="109" t="n">
        <v>1.066623404715553</v>
      </c>
      <c r="AC2" s="109" t="inlineStr">
        <is>
          <t>US DC B4</t>
        </is>
      </c>
      <c r="AD2" s="109">
        <f>'US DC B4'!BC119</f>
        <v/>
      </c>
      <c r="AE2" s="109">
        <f>'US DC B4'!BF119</f>
        <v/>
      </c>
      <c r="AF2" s="109" t="inlineStr">
        <is>
          <t>Queen</t>
        </is>
      </c>
      <c r="AG2" s="109" t="n"/>
    </row>
    <row r="3">
      <c r="A3" s="109">
        <f>AND(OR(Dashboard!$C$4="All",Dashboard!$C$4=D3),OR(Dashboard!$C$5="All",Dashboard!$C$5=E3),OR(Dashboard!$C$6="All",Dashboard!$C$6=G3),OR(Dashboard!$C$7="All",Dashboard!$C$7=H3),OR(Dashboard!$C$8="All",Dashboard!$C$8=F3))</f>
        <v/>
      </c>
      <c r="B3" s="109">
        <f>IF(A3,B2+1,B2)</f>
        <v/>
      </c>
      <c r="C3" s="109" t="n">
        <v>59</v>
      </c>
      <c r="D3" s="109" t="inlineStr">
        <is>
          <t>DC B4</t>
        </is>
      </c>
      <c r="E3" s="109" t="inlineStr">
        <is>
          <t>US</t>
        </is>
      </c>
      <c r="F3" s="109" t="inlineStr">
        <is>
          <t>Bamboo</t>
        </is>
      </c>
      <c r="G3" s="109" t="inlineStr">
        <is>
          <t>Pure Bamboo</t>
        </is>
      </c>
      <c r="H3" s="109" t="inlineStr">
        <is>
          <t>Aspirational</t>
        </is>
      </c>
      <c r="I3" s="109" t="inlineStr">
        <is>
          <t>Pure Bamboo King Sheets, Genuine 100% Organic Viscose Derived from Bamboo Bed Sheet Set, Luxuriously Soft &amp; Cooling, Double Stitching, 2 Year Quality Promise (King, Ivory)</t>
        </is>
      </c>
      <c r="J3" s="109" t="inlineStr">
        <is>
          <t>https://images-na.ssl-images-amazon.com/images/I/91dfner9BkL.jpg</t>
        </is>
      </c>
      <c r="K3" s="109" t="inlineStr">
        <is>
          <t>B0CZQ52MTQ</t>
        </is>
      </c>
      <c r="L3" s="109" t="inlineStr">
        <is>
          <t>B07DZTQ4JC</t>
        </is>
      </c>
      <c r="M3" s="109" t="n">
        <v>181</v>
      </c>
      <c r="N3" s="109" t="n">
        <v>109.99</v>
      </c>
      <c r="O3" s="109" t="n"/>
      <c r="P3" s="109">
        <f>IF(AND(ISNUMBER(O3),ISNUMBER(N3),N(N3)&gt;0),O3/N3-1,"")</f>
        <v/>
      </c>
      <c r="Q3" s="109" t="n">
        <v>94.98999999999999</v>
      </c>
      <c r="R3" s="109">
        <f>IF(AND(ISNUMBER(N3),ISNUMBER(Q3),N(Q3)&gt;0),N3/Q3-1,"")</f>
        <v/>
      </c>
      <c r="S3" s="109" t="n">
        <v>304</v>
      </c>
      <c r="T3" s="109" t="n">
        <v>809</v>
      </c>
      <c r="U3" s="109" t="n">
        <v>4.5</v>
      </c>
      <c r="V3" s="109" t="n">
        <v>21927</v>
      </c>
      <c r="W3" s="109" t="n">
        <v>2565055</v>
      </c>
      <c r="X3" s="109" t="n">
        <v>0.4648594811807159</v>
      </c>
      <c r="Y3" s="109" t="n">
        <v>118</v>
      </c>
      <c r="Z3" s="109" t="n">
        <v>1357</v>
      </c>
      <c r="AA3" s="109" t="n">
        <v>3363</v>
      </c>
      <c r="AB3" s="109" t="n">
        <v>1.180104147961932</v>
      </c>
      <c r="AC3" s="109" t="inlineStr">
        <is>
          <t>US DC B4</t>
        </is>
      </c>
      <c r="AD3" s="109">
        <f>'US DC B4'!BC120</f>
        <v/>
      </c>
      <c r="AE3" s="109">
        <f>'US DC B4'!BF120</f>
        <v/>
      </c>
      <c r="AF3" s="109" t="inlineStr">
        <is>
          <t>King</t>
        </is>
      </c>
      <c r="AG3" s="109" t="inlineStr">
        <is>
          <t>Ivory</t>
        </is>
      </c>
    </row>
    <row r="4">
      <c r="A4" s="109">
        <f>AND(OR(Dashboard!$C$4="All",Dashboard!$C$4=D4),OR(Dashboard!$C$5="All",Dashboard!$C$5=E4),OR(Dashboard!$C$6="All",Dashboard!$C$6=G4),OR(Dashboard!$C$7="All",Dashboard!$C$7=H4),OR(Dashboard!$C$8="All",Dashboard!$C$8=F4))</f>
        <v/>
      </c>
      <c r="B4" s="109">
        <f>IF(A4,B3+1,B3)</f>
        <v/>
      </c>
      <c r="C4" s="109" t="n">
        <v>59</v>
      </c>
      <c r="D4" s="109" t="inlineStr">
        <is>
          <t>DC B4</t>
        </is>
      </c>
      <c r="E4" s="109" t="inlineStr">
        <is>
          <t>US</t>
        </is>
      </c>
      <c r="F4" s="109" t="inlineStr">
        <is>
          <t>Bamboo</t>
        </is>
      </c>
      <c r="G4" s="109" t="inlineStr">
        <is>
          <t>Hotel Sheets Direct</t>
        </is>
      </c>
      <c r="H4" s="109" t="inlineStr">
        <is>
          <t>Aspirational</t>
        </is>
      </c>
      <c r="I4" s="109" t="inlineStr">
        <is>
          <t>Hotel Sheets Direct 4 Piece Bed Sheet Set Queen Size, 100% Viscose Derived from Bamboo Sheets Set with 2 Pillowcases, Cooling &amp; Breathable Luxury Bedding, Moisture-Wicking &amp; Silky Soft Texture, White</t>
        </is>
      </c>
      <c r="J4" s="109" t="inlineStr">
        <is>
          <t>https://images-na.ssl-images-amazon.com/images/I/71oEhkRYQ+L.jpg</t>
        </is>
      </c>
      <c r="K4" s="109" t="inlineStr">
        <is>
          <t>B0G5N99X9R</t>
        </is>
      </c>
      <c r="L4" s="109" t="inlineStr">
        <is>
          <t>B01N9L2O9P</t>
        </is>
      </c>
      <c r="M4" s="109" t="n">
        <v>61</v>
      </c>
      <c r="N4" s="109" t="n">
        <v>79.98999999999999</v>
      </c>
      <c r="O4" s="109" t="n"/>
      <c r="P4" s="109">
        <f>IF(AND(ISNUMBER(O4),ISNUMBER(N4),N(N4)&gt;0),O4/N4-1,"")</f>
        <v/>
      </c>
      <c r="Q4" s="109" t="n">
        <v>89.98999999999999</v>
      </c>
      <c r="R4" s="109">
        <f>IF(AND(ISNUMBER(N4),ISNUMBER(Q4),N(Q4)&gt;0),N4/Q4-1,"")</f>
        <v/>
      </c>
      <c r="S4" s="109" t="n">
        <v>2984</v>
      </c>
      <c r="T4" s="109" t="n">
        <v>347</v>
      </c>
      <c r="U4" s="109" t="n">
        <v>4.4</v>
      </c>
      <c r="V4" s="109" t="n">
        <v>37179</v>
      </c>
      <c r="W4" s="109" t="n">
        <v>451969</v>
      </c>
      <c r="X4" s="109" t="n">
        <v>0.6071584272372669</v>
      </c>
      <c r="Y4" s="109" t="n">
        <v>393</v>
      </c>
      <c r="Z4" s="109" t="n">
        <v>807</v>
      </c>
      <c r="AA4" s="109" t="n">
        <v>706</v>
      </c>
      <c r="AB4" s="109" t="n">
        <v>1.799620493358634</v>
      </c>
      <c r="AC4" s="109" t="inlineStr">
        <is>
          <t>US DC B4</t>
        </is>
      </c>
      <c r="AD4" s="109">
        <f>'US DC B4'!BC121</f>
        <v/>
      </c>
      <c r="AE4" s="109">
        <f>'US DC B4'!BF121</f>
        <v/>
      </c>
      <c r="AF4" s="109" t="inlineStr">
        <is>
          <t>Queen</t>
        </is>
      </c>
      <c r="AG4" s="109" t="inlineStr">
        <is>
          <t>White</t>
        </is>
      </c>
    </row>
    <row r="5">
      <c r="A5" s="109">
        <f>AND(OR(Dashboard!$C$4="All",Dashboard!$C$4=D5),OR(Dashboard!$C$5="All",Dashboard!$C$5=E5),OR(Dashboard!$C$6="All",Dashboard!$C$6=G5),OR(Dashboard!$C$7="All",Dashboard!$C$7=H5),OR(Dashboard!$C$8="All",Dashboard!$C$8=F5))</f>
        <v/>
      </c>
      <c r="B5" s="109">
        <f>IF(A5,B4+1,B4)</f>
        <v/>
      </c>
      <c r="C5" s="109" t="n">
        <v>59</v>
      </c>
      <c r="D5" s="109" t="inlineStr">
        <is>
          <t>DC B4</t>
        </is>
      </c>
      <c r="E5" s="109" t="inlineStr">
        <is>
          <t>US</t>
        </is>
      </c>
      <c r="F5" s="109" t="inlineStr">
        <is>
          <t>Bamboo</t>
        </is>
      </c>
      <c r="G5" s="109" t="inlineStr">
        <is>
          <t>Love's cabin</t>
        </is>
      </c>
      <c r="H5" s="109" t="inlineStr">
        <is>
          <t>Beatable</t>
        </is>
      </c>
      <c r="I5" s="109" t="inlineStr">
        <is>
          <t>Love's cabin 4 Piece Queen Sheet Set, 100% Rayon Derived from Bamboo, Cooling &amp; Breathable, Soft Silky Deep Pocket up to 16", Hotel Luxury Bedding for Hot Sleepers, Beige</t>
        </is>
      </c>
      <c r="J5" s="109" t="inlineStr">
        <is>
          <t>https://images-na.ssl-images-amazon.com/images/I/71AudKmD2JL.jpg</t>
        </is>
      </c>
      <c r="K5" s="109" t="inlineStr">
        <is>
          <t>B0DN1GGFL7</t>
        </is>
      </c>
      <c r="L5" s="109" t="inlineStr">
        <is>
          <t>B0DN1DVKH5</t>
        </is>
      </c>
      <c r="M5" s="109" t="n">
        <v>176</v>
      </c>
      <c r="N5" s="109" t="n">
        <v>37.99</v>
      </c>
      <c r="O5" s="109" t="n">
        <v>44.99</v>
      </c>
      <c r="P5" s="109">
        <f>IF(AND(ISNUMBER(O5),ISNUMBER(N5),N(N5)&gt;0),O5/N5-1,"")</f>
        <v/>
      </c>
      <c r="Q5" s="109" t="n">
        <v>89.98999999999999</v>
      </c>
      <c r="R5" s="109">
        <f>IF(AND(ISNUMBER(N5),ISNUMBER(Q5),N(Q5)&gt;0),N5/Q5-1,"")</f>
        <v/>
      </c>
      <c r="S5" s="109" t="n">
        <v>501</v>
      </c>
      <c r="T5" s="109" t="n">
        <v>924</v>
      </c>
      <c r="U5" s="109" t="n">
        <v>4.4</v>
      </c>
      <c r="V5" s="109" t="n">
        <v>1900</v>
      </c>
      <c r="W5" s="109" t="n">
        <v>906346</v>
      </c>
      <c r="X5" s="109" t="n">
        <v>0.9184238707954808</v>
      </c>
      <c r="Y5" s="109" t="n">
        <v>186</v>
      </c>
      <c r="Z5" s="109" t="n">
        <v>1128</v>
      </c>
      <c r="AA5" s="109" t="n">
        <v>938</v>
      </c>
      <c r="AB5" s="109" t="n">
        <v>0.8953669259384511</v>
      </c>
      <c r="AC5" s="109" t="inlineStr">
        <is>
          <t>US DC B4</t>
        </is>
      </c>
      <c r="AD5" s="109">
        <f>'US DC B4'!BC122</f>
        <v/>
      </c>
      <c r="AE5" s="109">
        <f>'US DC B4'!BF122</f>
        <v/>
      </c>
      <c r="AF5" s="109" t="inlineStr">
        <is>
          <t>Queen</t>
        </is>
      </c>
      <c r="AG5" s="109" t="inlineStr">
        <is>
          <t>Beige</t>
        </is>
      </c>
    </row>
    <row r="6">
      <c r="A6" s="109">
        <f>AND(OR(Dashboard!$C$4="All",Dashboard!$C$4=D6),OR(Dashboard!$C$5="All",Dashboard!$C$5=E6),OR(Dashboard!$C$6="All",Dashboard!$C$6=G6),OR(Dashboard!$C$7="All",Dashboard!$C$7=H6),OR(Dashboard!$C$8="All",Dashboard!$C$8=F6))</f>
        <v/>
      </c>
      <c r="B6" s="109">
        <f>IF(A6,B5+1,B5)</f>
        <v/>
      </c>
      <c r="C6" s="109" t="n">
        <v>59</v>
      </c>
      <c r="D6" s="109" t="inlineStr">
        <is>
          <t>DC B4</t>
        </is>
      </c>
      <c r="E6" s="109" t="inlineStr">
        <is>
          <t>US</t>
        </is>
      </c>
      <c r="F6" s="109" t="inlineStr">
        <is>
          <t>Bamboo</t>
        </is>
      </c>
      <c r="G6" s="109" t="inlineStr">
        <is>
          <t>KRIMANO</t>
        </is>
      </c>
      <c r="H6" s="109" t="inlineStr">
        <is>
          <t>Beatable</t>
        </is>
      </c>
      <c r="I6" s="109" t="inlineStr">
        <is>
          <t>KRIMANO Bamboo Viscose Sheet Set King Size, Cooling Sheets Bed Set</t>
        </is>
      </c>
      <c r="J6" s="109" t="inlineStr">
        <is>
          <t>https://images-na.ssl-images-amazon.com/images/I/61-LBYlR5KL.jpg</t>
        </is>
      </c>
      <c r="K6" s="109" t="inlineStr">
        <is>
          <t>B0FT7L9RSX</t>
        </is>
      </c>
      <c r="L6" s="109" t="inlineStr">
        <is>
          <t>B0FT7LZ2CD</t>
        </is>
      </c>
      <c r="M6" s="109" t="n">
        <v>43</v>
      </c>
      <c r="N6" s="109" t="n">
        <v>84.98999999999999</v>
      </c>
      <c r="O6" s="109" t="n"/>
      <c r="P6" s="109">
        <f>IF(AND(ISNUMBER(O6),ISNUMBER(N6),N(N6)&gt;0),O6/N6-1,"")</f>
        <v/>
      </c>
      <c r="Q6" s="109" t="n">
        <v>94.98999999999999</v>
      </c>
      <c r="R6" s="109">
        <f>IF(AND(ISNUMBER(N6),ISNUMBER(Q6),N(Q6)&gt;0),N6/Q6-1,"")</f>
        <v/>
      </c>
      <c r="S6" s="109" t="n">
        <v>5664</v>
      </c>
      <c r="T6" s="109" t="n">
        <v>185</v>
      </c>
      <c r="U6" s="109" t="n">
        <v>4.5</v>
      </c>
      <c r="V6" s="109" t="n">
        <v>263</v>
      </c>
      <c r="W6" s="109" t="n">
        <v>334819</v>
      </c>
      <c r="X6" s="109" t="n">
        <v>0.6137371774003271</v>
      </c>
      <c r="Y6" s="109" t="n">
        <v>272</v>
      </c>
      <c r="Z6" s="109" t="n">
        <v>705</v>
      </c>
      <c r="AA6" s="109" t="n">
        <v>294</v>
      </c>
      <c r="AB6" s="109" t="n">
        <v>1.312468450277638</v>
      </c>
      <c r="AC6" s="109" t="inlineStr">
        <is>
          <t>US DC B4</t>
        </is>
      </c>
      <c r="AD6" s="109">
        <f>'US DC B4'!BC123</f>
        <v/>
      </c>
      <c r="AE6" s="109">
        <f>'US DC B4'!BF123</f>
        <v/>
      </c>
      <c r="AF6" s="109" t="inlineStr">
        <is>
          <t>King</t>
        </is>
      </c>
      <c r="AG6" s="109" t="n"/>
    </row>
    <row r="7">
      <c r="A7" s="109">
        <f>AND(OR(Dashboard!$C$4="All",Dashboard!$C$4=D7),OR(Dashboard!$C$5="All",Dashboard!$C$5=E7),OR(Dashboard!$C$6="All",Dashboard!$C$6=G7),OR(Dashboard!$C$7="All",Dashboard!$C$7=H7),OR(Dashboard!$C$8="All",Dashboard!$C$8=F7))</f>
        <v/>
      </c>
      <c r="B7" s="109">
        <f>IF(A7,B6+1,B6)</f>
        <v/>
      </c>
      <c r="C7" s="109" t="n">
        <v>59</v>
      </c>
      <c r="D7" s="109" t="inlineStr">
        <is>
          <t>DC B4</t>
        </is>
      </c>
      <c r="E7" s="109" t="inlineStr">
        <is>
          <t>US</t>
        </is>
      </c>
      <c r="F7" s="109" t="inlineStr">
        <is>
          <t>Bamboo</t>
        </is>
      </c>
      <c r="G7" s="109" t="inlineStr">
        <is>
          <t>TRUE BAMBOO</t>
        </is>
      </c>
      <c r="H7" s="109" t="inlineStr">
        <is>
          <t>Beatable</t>
        </is>
      </c>
      <c r="I7" s="109" t="inlineStr">
        <is>
          <t>TRUE BAMBOO Sheets Set King Size - Silky Soft &amp; Cooling - Dark Gray</t>
        </is>
      </c>
      <c r="J7" s="109" t="n"/>
      <c r="K7" s="109" t="inlineStr">
        <is>
          <t>B0HHQ97HBL</t>
        </is>
      </c>
      <c r="L7" s="109" t="inlineStr">
        <is>
          <t>B0HD7R5L1D</t>
        </is>
      </c>
      <c r="M7" s="109" t="n">
        <v>30</v>
      </c>
      <c r="N7" s="109" t="n">
        <v>114.99</v>
      </c>
      <c r="O7" s="109" t="n">
        <v>129.99</v>
      </c>
      <c r="P7" s="109">
        <f>IF(AND(ISNUMBER(O7),ISNUMBER(N7),N(N7)&gt;0),O7/N7-1,"")</f>
        <v/>
      </c>
      <c r="Q7" s="109" t="n">
        <v>94.98999999999999</v>
      </c>
      <c r="R7" s="109">
        <f>IF(AND(ISNUMBER(N7),ISNUMBER(Q7),N(Q7)&gt;0),N7/Q7-1,"")</f>
        <v/>
      </c>
      <c r="S7" s="109" t="n">
        <v>5934</v>
      </c>
      <c r="T7" s="109" t="n">
        <v>185</v>
      </c>
      <c r="U7" s="109" t="n">
        <v>4.6</v>
      </c>
      <c r="V7" s="109" t="n">
        <v>167</v>
      </c>
      <c r="W7" s="109" t="n">
        <v>557658</v>
      </c>
      <c r="X7" s="109" t="n">
        <v>0.518044597943542</v>
      </c>
      <c r="Y7" s="109" t="n">
        <v>246</v>
      </c>
      <c r="Z7" s="109" t="n">
        <v>667</v>
      </c>
      <c r="AA7" s="109" t="n">
        <v>661</v>
      </c>
      <c r="AB7" s="109" t="n"/>
      <c r="AC7" s="109" t="inlineStr">
        <is>
          <t>US DC B4</t>
        </is>
      </c>
      <c r="AD7" s="109">
        <f>'US DC B4'!BC124</f>
        <v/>
      </c>
      <c r="AE7" s="109">
        <f>'US DC B4'!BF124</f>
        <v/>
      </c>
      <c r="AF7" s="109" t="inlineStr">
        <is>
          <t>King</t>
        </is>
      </c>
      <c r="AG7" s="109" t="inlineStr">
        <is>
          <t>Gray</t>
        </is>
      </c>
    </row>
    <row r="8">
      <c r="A8" s="109">
        <f>AND(OR(Dashboard!$C$4="All",Dashboard!$C$4=D8),OR(Dashboard!$C$5="All",Dashboard!$C$5=E8),OR(Dashboard!$C$6="All",Dashboard!$C$6=G8),OR(Dashboard!$C$7="All",Dashboard!$C$7=H8),OR(Dashboard!$C$8="All",Dashboard!$C$8=F8))</f>
        <v/>
      </c>
      <c r="B8" s="109">
        <f>IF(A8,B7+1,B7)</f>
        <v/>
      </c>
      <c r="C8" s="109" t="n">
        <v>59</v>
      </c>
      <c r="D8" s="109" t="inlineStr">
        <is>
          <t>DC B4</t>
        </is>
      </c>
      <c r="E8" s="109" t="inlineStr">
        <is>
          <t>US</t>
        </is>
      </c>
      <c r="F8" s="109" t="inlineStr">
        <is>
          <t>Bamboo</t>
        </is>
      </c>
      <c r="G8" s="109" t="inlineStr">
        <is>
          <t>Bambaw</t>
        </is>
      </c>
      <c r="H8" s="109" t="inlineStr">
        <is>
          <t>Beatable</t>
        </is>
      </c>
      <c r="I8" s="109" t="inlineStr">
        <is>
          <t>Bambaw 100% Viscose Derived from Bamboo Sheets Queen Size Set – 4pcs Cooling Sheet Set, Super Soft Sheets Queen Size, Luxury Bed Sheets, Deep Pocket Fits Up to 16'' Mattresses (Charcoal)</t>
        </is>
      </c>
      <c r="J8" s="109" t="inlineStr">
        <is>
          <t>https://images-na.ssl-images-amazon.com/images/I/81svKInu7aL.jpg</t>
        </is>
      </c>
      <c r="K8" s="109" t="inlineStr">
        <is>
          <t>B07K6SYX8L</t>
        </is>
      </c>
      <c r="L8" s="109" t="inlineStr">
        <is>
          <t>B0DR99Q37Y</t>
        </is>
      </c>
      <c r="M8" s="109" t="n">
        <v>104</v>
      </c>
      <c r="N8" s="109" t="n">
        <v>89.98999999999999</v>
      </c>
      <c r="O8" s="109" t="n"/>
      <c r="P8" s="109">
        <f>IF(AND(ISNUMBER(O8),ISNUMBER(N8),N(N8)&gt;0),O8/N8-1,"")</f>
        <v/>
      </c>
      <c r="Q8" s="109" t="n">
        <v>89.98999999999999</v>
      </c>
      <c r="R8" s="109">
        <f>IF(AND(ISNUMBER(N8),ISNUMBER(Q8),N(Q8)&gt;0),N8/Q8-1,"")</f>
        <v/>
      </c>
      <c r="S8" s="109" t="n">
        <v>6971</v>
      </c>
      <c r="T8" s="109" t="n">
        <v>104</v>
      </c>
      <c r="U8" s="109" t="n">
        <v>4.3</v>
      </c>
      <c r="V8" s="109" t="n">
        <v>2766</v>
      </c>
      <c r="W8" s="109" t="n">
        <v>407949</v>
      </c>
      <c r="X8" s="109" t="n">
        <v>0.5037485506766772</v>
      </c>
      <c r="Y8" s="109" t="n">
        <v>263</v>
      </c>
      <c r="Z8" s="109" t="n">
        <v>666</v>
      </c>
      <c r="AA8" s="109" t="n">
        <v>402</v>
      </c>
      <c r="AB8" s="109" t="n">
        <v>1.374474053295933</v>
      </c>
      <c r="AC8" s="109" t="inlineStr">
        <is>
          <t>US DC B4</t>
        </is>
      </c>
      <c r="AD8" s="109">
        <f>'US DC B4'!BC125</f>
        <v/>
      </c>
      <c r="AE8" s="109">
        <f>'US DC B4'!BF125</f>
        <v/>
      </c>
      <c r="AF8" s="109" t="inlineStr">
        <is>
          <t>Queen</t>
        </is>
      </c>
      <c r="AG8" s="109" t="inlineStr">
        <is>
          <t>Charcoal</t>
        </is>
      </c>
    </row>
    <row r="9">
      <c r="A9" s="109">
        <f>AND(OR(Dashboard!$C$4="All",Dashboard!$C$4=D9),OR(Dashboard!$C$5="All",Dashboard!$C$5=E9),OR(Dashboard!$C$6="All",Dashboard!$C$6=G9),OR(Dashboard!$C$7="All",Dashboard!$C$7=H9),OR(Dashboard!$C$8="All",Dashboard!$C$8=F9))</f>
        <v/>
      </c>
      <c r="B9" s="109">
        <f>IF(A9,B8+1,B8)</f>
        <v/>
      </c>
      <c r="C9" s="109" t="n">
        <v>59</v>
      </c>
      <c r="D9" s="109" t="inlineStr">
        <is>
          <t>DC B4</t>
        </is>
      </c>
      <c r="E9" s="109" t="inlineStr">
        <is>
          <t>US</t>
        </is>
      </c>
      <c r="F9" s="109" t="inlineStr">
        <is>
          <t>Bamboo</t>
        </is>
      </c>
      <c r="G9" s="109" t="inlineStr">
        <is>
          <t>Bedsure</t>
        </is>
      </c>
      <c r="H9" s="109" t="inlineStr">
        <is>
          <t>Beatable</t>
        </is>
      </c>
      <c r="I9" s="109" t="inlineStr">
        <is>
          <t>Bedsure PureWoven Organically Grown Bamboo Viscose Queen Sheet Set, 4PCS</t>
        </is>
      </c>
      <c r="J9" s="109" t="inlineStr">
        <is>
          <t>https://images-na.ssl-images-amazon.com/images/I/81suQgVR0GL.jpg</t>
        </is>
      </c>
      <c r="K9" s="109" t="inlineStr">
        <is>
          <t>B0FB8XS4D1</t>
        </is>
      </c>
      <c r="L9" s="109" t="inlineStr">
        <is>
          <t>B0FB8XR43Q</t>
        </is>
      </c>
      <c r="M9" s="109" t="n">
        <v>39</v>
      </c>
      <c r="N9" s="109" t="n">
        <v>89.98999999999999</v>
      </c>
      <c r="O9" s="109" t="n">
        <v>119.99</v>
      </c>
      <c r="P9" s="109">
        <f>IF(AND(ISNUMBER(O9),ISNUMBER(N9),N(N9)&gt;0),O9/N9-1,"")</f>
        <v/>
      </c>
      <c r="Q9" s="109" t="n">
        <v>89.98999999999999</v>
      </c>
      <c r="R9" s="109">
        <f>IF(AND(ISNUMBER(N9),ISNUMBER(Q9),N(Q9)&gt;0),N9/Q9-1,"")</f>
        <v/>
      </c>
      <c r="S9" s="109" t="n">
        <v>8938</v>
      </c>
      <c r="T9" s="109" t="n">
        <v>104</v>
      </c>
      <c r="U9" s="109" t="n">
        <v>4.5</v>
      </c>
      <c r="V9" s="109" t="n">
        <v>588</v>
      </c>
      <c r="W9" s="109" t="n">
        <v>840292</v>
      </c>
      <c r="X9" s="109" t="n">
        <v>0.1404099194089678</v>
      </c>
      <c r="Y9" s="109" t="n">
        <v>157</v>
      </c>
      <c r="Z9" s="109" t="n">
        <v>1057</v>
      </c>
      <c r="AA9" s="109" t="n">
        <v>2055</v>
      </c>
      <c r="AB9" s="109" t="n">
        <v>1.764832022873481</v>
      </c>
      <c r="AC9" s="109" t="inlineStr">
        <is>
          <t>US DC B4</t>
        </is>
      </c>
      <c r="AD9" s="109">
        <f>'US DC B4'!BC126</f>
        <v/>
      </c>
      <c r="AE9" s="109">
        <f>'US DC B4'!BF126</f>
        <v/>
      </c>
      <c r="AF9" s="109" t="inlineStr">
        <is>
          <t>Queen</t>
        </is>
      </c>
      <c r="AG9" s="109" t="n"/>
    </row>
    <row r="10">
      <c r="A10" s="109">
        <f>AND(OR(Dashboard!$C$4="All",Dashboard!$C$4=D10),OR(Dashboard!$C$5="All",Dashboard!$C$5=E10),OR(Dashboard!$C$6="All",Dashboard!$C$6=G10),OR(Dashboard!$C$7="All",Dashboard!$C$7=H10),OR(Dashboard!$C$8="All",Dashboard!$C$8=F10))</f>
        <v/>
      </c>
      <c r="B10" s="109">
        <f>IF(A10,B9+1,B9)</f>
        <v/>
      </c>
      <c r="C10" s="109" t="n">
        <v>59</v>
      </c>
      <c r="D10" s="109" t="inlineStr">
        <is>
          <t>DC B4</t>
        </is>
      </c>
      <c r="E10" s="109" t="inlineStr">
        <is>
          <t>US</t>
        </is>
      </c>
      <c r="F10" s="109" t="inlineStr">
        <is>
          <t>Bamboo</t>
        </is>
      </c>
      <c r="G10" s="109" t="inlineStr">
        <is>
          <t>SONORO KATE</t>
        </is>
      </c>
      <c r="H10" s="109" t="inlineStr">
        <is>
          <t>Beatable</t>
        </is>
      </c>
      <c r="I10" s="109" t="inlineStr">
        <is>
          <t>Bamboo Sheets</t>
        </is>
      </c>
      <c r="J10" s="109" t="inlineStr">
        <is>
          <t>https://images-na.ssl-images-amazon.com/images/I/71sqxa1EquL.jpg</t>
        </is>
      </c>
      <c r="K10" s="109" t="inlineStr">
        <is>
          <t>B0F4852T9V</t>
        </is>
      </c>
      <c r="L10" s="109" t="inlineStr">
        <is>
          <t>B0F4873G4H</t>
        </is>
      </c>
      <c r="M10" s="109" t="n">
        <v>33</v>
      </c>
      <c r="N10" s="109" t="n">
        <v>79.98999999999999</v>
      </c>
      <c r="O10" s="109" t="n"/>
      <c r="P10" s="109">
        <f>IF(AND(ISNUMBER(O10),ISNUMBER(N10),N(N10)&gt;0),O10/N10-1,"")</f>
        <v/>
      </c>
      <c r="Q10" s="109" t="n">
        <v>89.98999999999999</v>
      </c>
      <c r="R10" s="109">
        <f>IF(AND(ISNUMBER(N10),ISNUMBER(Q10),N(Q10)&gt;0),N10/Q10-1,"")</f>
        <v/>
      </c>
      <c r="S10" s="109" t="n">
        <v>7961</v>
      </c>
      <c r="T10" s="109" t="n">
        <v>104</v>
      </c>
      <c r="U10" s="109" t="n">
        <v>4.5</v>
      </c>
      <c r="V10" s="109" t="n">
        <v>3776</v>
      </c>
      <c r="W10" s="109" t="n">
        <v>185157</v>
      </c>
      <c r="X10" s="109" t="n">
        <v>0.9776013545261586</v>
      </c>
      <c r="Y10" s="109" t="n">
        <v>203</v>
      </c>
      <c r="Z10" s="109" t="n">
        <v>507</v>
      </c>
      <c r="AA10" s="109" t="n">
        <v>80</v>
      </c>
      <c r="AB10" s="109" t="n">
        <v>1.314808539478143</v>
      </c>
      <c r="AC10" s="109" t="inlineStr">
        <is>
          <t>US DC B4</t>
        </is>
      </c>
      <c r="AD10" s="109">
        <f>'US DC B4'!BC127</f>
        <v/>
      </c>
      <c r="AE10" s="109">
        <f>'US DC B4'!BF127</f>
        <v/>
      </c>
      <c r="AF10" s="109" t="n"/>
      <c r="AG10" s="109" t="n"/>
    </row>
    <row r="11">
      <c r="A11" s="109">
        <f>AND(OR(Dashboard!$C$4="All",Dashboard!$C$4=D11),OR(Dashboard!$C$5="All",Dashboard!$C$5=E11),OR(Dashboard!$C$6="All",Dashboard!$C$6=G11),OR(Dashboard!$C$7="All",Dashboard!$C$7=H11),OR(Dashboard!$C$8="All",Dashboard!$C$8=F11))</f>
        <v/>
      </c>
      <c r="B11" s="109">
        <f>IF(A11,B10+1,B10)</f>
        <v/>
      </c>
      <c r="C11" s="109" t="n">
        <v>59</v>
      </c>
      <c r="D11" s="109" t="inlineStr">
        <is>
          <t>DC B4</t>
        </is>
      </c>
      <c r="E11" s="109" t="inlineStr">
        <is>
          <t>US</t>
        </is>
      </c>
      <c r="F11" s="109" t="inlineStr">
        <is>
          <t>Bamboo</t>
        </is>
      </c>
      <c r="G11" s="109" t="inlineStr">
        <is>
          <t>BC BELLA COTERIE</t>
        </is>
      </c>
      <c r="H11" s="109" t="inlineStr">
        <is>
          <t>Beatable</t>
        </is>
      </c>
      <c r="I11" s="109" t="inlineStr">
        <is>
          <t>Bella Coterie Luxury Bamboo Viscose King Size Sheet Set</t>
        </is>
      </c>
      <c r="J11" s="109" t="inlineStr">
        <is>
          <t>https://images-na.ssl-images-amazon.com/images/I/71Pl57-j67L.jpg</t>
        </is>
      </c>
      <c r="K11" s="109" t="inlineStr">
        <is>
          <t>B0H29V113N</t>
        </is>
      </c>
      <c r="L11" s="109" t="inlineStr">
        <is>
          <t>B08L86VLZB</t>
        </is>
      </c>
      <c r="M11" s="109" t="n">
        <v>258</v>
      </c>
      <c r="N11" s="109" t="n">
        <v>134.99</v>
      </c>
      <c r="O11" s="109" t="n"/>
      <c r="P11" s="109">
        <f>IF(AND(ISNUMBER(O11),ISNUMBER(N11),N(N11)&gt;0),O11/N11-1,"")</f>
        <v/>
      </c>
      <c r="Q11" s="109" t="n">
        <v>94.98999999999999</v>
      </c>
      <c r="R11" s="109">
        <f>IF(AND(ISNUMBER(N11),ISNUMBER(Q11),N(Q11)&gt;0),N11/Q11-1,"")</f>
        <v/>
      </c>
      <c r="S11" s="109" t="n">
        <v>1358</v>
      </c>
      <c r="T11" s="109" t="n">
        <v>92</v>
      </c>
      <c r="U11" s="109" t="n">
        <v>4.4</v>
      </c>
      <c r="V11" s="109" t="n">
        <v>5871</v>
      </c>
      <c r="W11" s="109" t="n">
        <v>591713</v>
      </c>
      <c r="X11" s="109" t="n">
        <v>0.3622702587234016</v>
      </c>
      <c r="Y11" s="109" t="n">
        <v>324</v>
      </c>
      <c r="Z11" s="109" t="n">
        <v>996</v>
      </c>
      <c r="AA11" s="109" t="n">
        <v>2046</v>
      </c>
      <c r="AB11" s="109" t="n">
        <v>1.778087279480037</v>
      </c>
      <c r="AC11" s="109" t="inlineStr">
        <is>
          <t>US DC B4</t>
        </is>
      </c>
      <c r="AD11" s="109">
        <f>'US DC B4'!BC128</f>
        <v/>
      </c>
      <c r="AE11" s="109">
        <f>'US DC B4'!BF128</f>
        <v/>
      </c>
      <c r="AF11" s="109" t="inlineStr">
        <is>
          <t>King</t>
        </is>
      </c>
      <c r="AG11" s="109" t="n"/>
    </row>
    <row r="12">
      <c r="A12" s="109">
        <f>AND(OR(Dashboard!$C$4="All",Dashboard!$C$4=D12),OR(Dashboard!$C$5="All",Dashboard!$C$5=E12),OR(Dashboard!$C$6="All",Dashboard!$C$6=G12),OR(Dashboard!$C$7="All",Dashboard!$C$7=H12),OR(Dashboard!$C$8="All",Dashboard!$C$8=F12))</f>
        <v/>
      </c>
      <c r="B12" s="109">
        <f>IF(A12,B11+1,B11)</f>
        <v/>
      </c>
      <c r="C12" s="109" t="n">
        <v>59</v>
      </c>
      <c r="D12" s="109" t="inlineStr">
        <is>
          <t>DC B4</t>
        </is>
      </c>
      <c r="E12" s="109" t="inlineStr">
        <is>
          <t>US</t>
        </is>
      </c>
      <c r="F12" s="109" t="inlineStr">
        <is>
          <t>Bamboo</t>
        </is>
      </c>
      <c r="G12" s="109" t="inlineStr">
        <is>
          <t>BAMPURE</t>
        </is>
      </c>
      <c r="H12" s="109" t="inlineStr">
        <is>
          <t>Beatable</t>
        </is>
      </c>
      <c r="I12" s="109" t="inlineStr">
        <is>
          <t>BAMPURE 100% Rayon from Bamboo Sheets King Size - 4pc Cooling King Sheets</t>
        </is>
      </c>
      <c r="J12" s="109" t="inlineStr">
        <is>
          <t>https://images-na.ssl-images-amazon.com/images/I/61fbapIObwL.jpg</t>
        </is>
      </c>
      <c r="K12" s="109" t="inlineStr">
        <is>
          <t>B0HC778XB4</t>
        </is>
      </c>
      <c r="L12" s="109" t="inlineStr">
        <is>
          <t>B07XFP6BY2</t>
        </is>
      </c>
      <c r="M12" s="109" t="n">
        <v>40</v>
      </c>
      <c r="N12" s="109" t="n">
        <v>67.98</v>
      </c>
      <c r="O12" s="109" t="n">
        <v>99.98999999999999</v>
      </c>
      <c r="P12" s="109">
        <f>IF(AND(ISNUMBER(O12),ISNUMBER(N12),N(N12)&gt;0),O12/N12-1,"")</f>
        <v/>
      </c>
      <c r="Q12" s="109" t="n">
        <v>94.98999999999999</v>
      </c>
      <c r="R12" s="109">
        <f>IF(AND(ISNUMBER(N12),ISNUMBER(Q12),N(Q12)&gt;0),N12/Q12-1,"")</f>
        <v/>
      </c>
      <c r="S12" s="109" t="n">
        <v>14479</v>
      </c>
      <c r="T12" s="109" t="n">
        <v>81</v>
      </c>
      <c r="U12" s="109" t="n">
        <v>4.4</v>
      </c>
      <c r="V12" s="109" t="n">
        <v>4095</v>
      </c>
      <c r="W12" s="109" t="n">
        <v>67699</v>
      </c>
      <c r="X12" s="109" t="n">
        <v>0.8589487052984534</v>
      </c>
      <c r="Y12" s="109" t="n">
        <v>486</v>
      </c>
      <c r="Z12" s="109" t="n">
        <v>217</v>
      </c>
      <c r="AA12" s="109" t="n">
        <v>204</v>
      </c>
      <c r="AB12" s="109" t="n">
        <v>1.016706443914081</v>
      </c>
      <c r="AC12" s="109" t="inlineStr">
        <is>
          <t>US DC B4</t>
        </is>
      </c>
      <c r="AD12" s="109">
        <f>'US DC B4'!BC129</f>
        <v/>
      </c>
      <c r="AE12" s="109">
        <f>'US DC B4'!BF129</f>
        <v/>
      </c>
      <c r="AF12" s="109" t="inlineStr">
        <is>
          <t>King</t>
        </is>
      </c>
      <c r="AG12" s="109" t="n"/>
    </row>
    <row r="13">
      <c r="A13" s="109">
        <f>AND(OR(Dashboard!$C$4="All",Dashboard!$C$4=D13),OR(Dashboard!$C$5="All",Dashboard!$C$5=E13),OR(Dashboard!$C$6="All",Dashboard!$C$6=G13),OR(Dashboard!$C$7="All",Dashboard!$C$7=H13),OR(Dashboard!$C$8="All",Dashboard!$C$8=F13))</f>
        <v/>
      </c>
      <c r="B13" s="109">
        <f>IF(A13,B12+1,B12)</f>
        <v/>
      </c>
      <c r="C13" s="109" t="n">
        <v>59</v>
      </c>
      <c r="D13" s="109" t="inlineStr">
        <is>
          <t>DC B4</t>
        </is>
      </c>
      <c r="E13" s="109" t="inlineStr">
        <is>
          <t>US</t>
        </is>
      </c>
      <c r="F13" s="109" t="inlineStr">
        <is>
          <t>Bamboo</t>
        </is>
      </c>
      <c r="G13" s="109" t="inlineStr">
        <is>
          <t>BEDELITE</t>
        </is>
      </c>
      <c r="H13" s="109" t="inlineStr">
        <is>
          <t>Beatable</t>
        </is>
      </c>
      <c r="I13" s="109" t="inlineStr">
        <is>
          <t>BEDELITE Bamboo Viscose Sheet Set, Queen Size, 4 Pieces, White</t>
        </is>
      </c>
      <c r="J13" s="109" t="n"/>
      <c r="K13" s="109" t="inlineStr">
        <is>
          <t>B0GT98GVQN</t>
        </is>
      </c>
      <c r="L13" s="109" t="inlineStr">
        <is>
          <t>B0GT8Z4X5D</t>
        </is>
      </c>
      <c r="M13" s="109" t="n">
        <v>8</v>
      </c>
      <c r="N13" s="109" t="n">
        <v>84.98</v>
      </c>
      <c r="O13" s="109" t="n">
        <v>99.89</v>
      </c>
      <c r="P13" s="109">
        <f>IF(AND(ISNUMBER(O13),ISNUMBER(N13),N(N13)&gt;0),O13/N13-1,"")</f>
        <v/>
      </c>
      <c r="Q13" s="109" t="n">
        <v>89.98999999999999</v>
      </c>
      <c r="R13" s="109">
        <f>IF(AND(ISNUMBER(N13),ISNUMBER(Q13),N(Q13)&gt;0),N13/Q13-1,"")</f>
        <v/>
      </c>
      <c r="S13" s="109" t="n">
        <v>65907</v>
      </c>
      <c r="T13" s="109" t="n">
        <v>81</v>
      </c>
      <c r="U13" s="109" t="n">
        <v>4.5</v>
      </c>
      <c r="V13" s="109" t="n">
        <v>113</v>
      </c>
      <c r="W13" s="109" t="n">
        <v>212120</v>
      </c>
      <c r="X13" s="109" t="n">
        <v>0.1115827267584386</v>
      </c>
      <c r="Y13" s="109" t="n">
        <v>265</v>
      </c>
      <c r="Z13" s="109" t="n">
        <v>427</v>
      </c>
      <c r="AA13" s="109" t="n">
        <v>968</v>
      </c>
      <c r="AB13" s="109" t="n">
        <v>0.8073654390934845</v>
      </c>
      <c r="AC13" s="109" t="inlineStr">
        <is>
          <t>US DC B4</t>
        </is>
      </c>
      <c r="AD13" s="109">
        <f>'US DC B4'!BC130</f>
        <v/>
      </c>
      <c r="AE13" s="109">
        <f>'US DC B4'!BF130</f>
        <v/>
      </c>
      <c r="AF13" s="109" t="inlineStr">
        <is>
          <t>Queen</t>
        </is>
      </c>
      <c r="AG13" s="109" t="inlineStr">
        <is>
          <t>White</t>
        </is>
      </c>
    </row>
    <row r="14">
      <c r="A14" s="109">
        <f>AND(OR(Dashboard!$C$4="All",Dashboard!$C$4=D14),OR(Dashboard!$C$5="All",Dashboard!$C$5=E14),OR(Dashboard!$C$6="All",Dashboard!$C$6=G14),OR(Dashboard!$C$7="All",Dashboard!$C$7=H14),OR(Dashboard!$C$8="All",Dashboard!$C$8=F14))</f>
        <v/>
      </c>
      <c r="B14" s="109">
        <f>IF(A14,B13+1,B13)</f>
        <v/>
      </c>
      <c r="C14" s="109" t="n">
        <v>59</v>
      </c>
      <c r="D14" s="109" t="inlineStr">
        <is>
          <t>DC B4</t>
        </is>
      </c>
      <c r="E14" s="109" t="inlineStr">
        <is>
          <t>US</t>
        </is>
      </c>
      <c r="F14" s="109" t="inlineStr">
        <is>
          <t>Bamboo</t>
        </is>
      </c>
      <c r="G14" s="109" t="inlineStr">
        <is>
          <t>SONORO KATE</t>
        </is>
      </c>
      <c r="H14" s="109" t="inlineStr">
        <is>
          <t>Beatable</t>
        </is>
      </c>
      <c r="I14" s="109" t="inlineStr">
        <is>
          <t>SONORO KATE 100% Viscose Derived from Bamboo_Sheets Queen Size,4PC</t>
        </is>
      </c>
      <c r="J14" s="109" t="inlineStr">
        <is>
          <t>https://images-na.ssl-images-amazon.com/images/I/71HeTCWM4hL.jpg</t>
        </is>
      </c>
      <c r="K14" s="109" t="inlineStr">
        <is>
          <t>B0F29FQLFD</t>
        </is>
      </c>
      <c r="L14" s="109" t="inlineStr">
        <is>
          <t>B0F29F1JM5</t>
        </is>
      </c>
      <c r="M14" s="109" t="n">
        <v>42</v>
      </c>
      <c r="N14" s="109" t="n">
        <v>59.99</v>
      </c>
      <c r="O14" s="109" t="n"/>
      <c r="P14" s="109">
        <f>IF(AND(ISNUMBER(O14),ISNUMBER(N14),N(N14)&gt;0),O14/N14-1,"")</f>
        <v/>
      </c>
      <c r="Q14" s="109" t="n">
        <v>89.98999999999999</v>
      </c>
      <c r="R14" s="109">
        <f>IF(AND(ISNUMBER(N14),ISNUMBER(Q14),N(Q14)&gt;0),N14/Q14-1,"")</f>
        <v/>
      </c>
      <c r="S14" s="109" t="n">
        <v>23979</v>
      </c>
      <c r="T14" s="109" t="n">
        <v>81</v>
      </c>
      <c r="U14" s="109" t="n">
        <v>4.5</v>
      </c>
      <c r="V14" s="109" t="n">
        <v>3911</v>
      </c>
      <c r="W14" s="109" t="n">
        <v>114504</v>
      </c>
      <c r="X14" s="109" t="n">
        <v>0.8792897182631171</v>
      </c>
      <c r="Y14" s="109" t="n">
        <v>204</v>
      </c>
      <c r="Z14" s="109" t="n">
        <v>382</v>
      </c>
      <c r="AA14" s="109" t="n">
        <v>63</v>
      </c>
      <c r="AB14" s="109" t="n">
        <v>1.095271210013908</v>
      </c>
      <c r="AC14" s="109" t="inlineStr">
        <is>
          <t>US DC B4</t>
        </is>
      </c>
      <c r="AD14" s="109">
        <f>'US DC B4'!BC131</f>
        <v/>
      </c>
      <c r="AE14" s="109">
        <f>'US DC B4'!BF131</f>
        <v/>
      </c>
      <c r="AF14" s="109" t="inlineStr">
        <is>
          <t>Queen</t>
        </is>
      </c>
      <c r="AG14" s="109" t="n"/>
    </row>
    <row r="15">
      <c r="A15" s="109">
        <f>AND(OR(Dashboard!$C$4="All",Dashboard!$C$4=D15),OR(Dashboard!$C$5="All",Dashboard!$C$5=E15),OR(Dashboard!$C$6="All",Dashboard!$C$6=G15),OR(Dashboard!$C$7="All",Dashboard!$C$7=H15),OR(Dashboard!$C$8="All",Dashboard!$C$8=F15))</f>
        <v/>
      </c>
      <c r="B15" s="109">
        <f>IF(A15,B14+1,B14)</f>
        <v/>
      </c>
      <c r="C15" s="109" t="n">
        <v>59</v>
      </c>
      <c r="D15" s="109" t="inlineStr">
        <is>
          <t>DC B4</t>
        </is>
      </c>
      <c r="E15" s="109" t="inlineStr">
        <is>
          <t>US</t>
        </is>
      </c>
      <c r="F15" s="109" t="inlineStr">
        <is>
          <t>Bamboo</t>
        </is>
      </c>
      <c r="G15" s="109" t="inlineStr">
        <is>
          <t>Davmabcjy</t>
        </is>
      </c>
      <c r="H15" s="109" t="inlineStr">
        <is>
          <t>Beatable</t>
        </is>
      </c>
      <c r="I15" s="109" t="inlineStr">
        <is>
          <t>100% Organically Grown Bamboo Viscose King Sheet Set with Pockets on Side</t>
        </is>
      </c>
      <c r="J15" s="109" t="n"/>
      <c r="K15" s="109" t="inlineStr">
        <is>
          <t>B0HJZNMQ5G</t>
        </is>
      </c>
      <c r="L15" s="109" t="inlineStr">
        <is>
          <t>B0GXJYQR7H</t>
        </is>
      </c>
      <c r="M15" s="109" t="n">
        <v>7</v>
      </c>
      <c r="N15" s="109" t="n">
        <v>59.99</v>
      </c>
      <c r="O15" s="109" t="n"/>
      <c r="P15" s="109">
        <f>IF(AND(ISNUMBER(O15),ISNUMBER(N15),N(N15)&gt;0),O15/N15-1,"")</f>
        <v/>
      </c>
      <c r="Q15" s="109" t="n">
        <v>94.98999999999999</v>
      </c>
      <c r="R15" s="109">
        <f>IF(AND(ISNUMBER(N15),ISNUMBER(Q15),N(Q15)&gt;0),N15/Q15-1,"")</f>
        <v/>
      </c>
      <c r="S15" s="109" t="n">
        <v>205508</v>
      </c>
      <c r="T15" s="109" t="n">
        <v>35</v>
      </c>
      <c r="U15" s="109" t="n">
        <v>4.2</v>
      </c>
      <c r="V15" s="109" t="n">
        <v>81</v>
      </c>
      <c r="W15" s="109" t="n">
        <v>75425</v>
      </c>
      <c r="X15" s="109" t="n">
        <v>0.8470417779250914</v>
      </c>
      <c r="Y15" s="109" t="n">
        <v>189</v>
      </c>
      <c r="Z15" s="109" t="n">
        <v>389</v>
      </c>
      <c r="AA15" s="109" t="n">
        <v>293</v>
      </c>
      <c r="AB15" s="109" t="n"/>
      <c r="AC15" s="109" t="inlineStr">
        <is>
          <t>US DC B4</t>
        </is>
      </c>
      <c r="AD15" s="109">
        <f>'US DC B4'!BC132</f>
        <v/>
      </c>
      <c r="AE15" s="109">
        <f>'US DC B4'!BF132</f>
        <v/>
      </c>
      <c r="AF15" s="109" t="inlineStr">
        <is>
          <t>King</t>
        </is>
      </c>
      <c r="AG15" s="109" t="n"/>
    </row>
    <row r="16">
      <c r="A16" s="109">
        <f>AND(OR(Dashboard!$C$4="All",Dashboard!$C$4=D16),OR(Dashboard!$C$5="All",Dashboard!$C$5=E16),OR(Dashboard!$C$6="All",Dashboard!$C$6=G16),OR(Dashboard!$C$7="All",Dashboard!$C$7=H16),OR(Dashboard!$C$8="All",Dashboard!$C$8=F16))</f>
        <v/>
      </c>
      <c r="B16" s="109">
        <f>IF(A16,B15+1,B15)</f>
        <v/>
      </c>
      <c r="C16" s="109" t="n">
        <v>59</v>
      </c>
      <c r="D16" s="109" t="inlineStr">
        <is>
          <t>DC B4</t>
        </is>
      </c>
      <c r="E16" s="109" t="inlineStr">
        <is>
          <t>US</t>
        </is>
      </c>
      <c r="F16" s="109" t="inlineStr">
        <is>
          <t>Bamboo</t>
        </is>
      </c>
      <c r="G16" s="109" t="inlineStr">
        <is>
          <t>DOZ by SIJO</t>
        </is>
      </c>
      <c r="H16" s="109" t="inlineStr">
        <is>
          <t>Beatable</t>
        </is>
      </c>
      <c r="I16" s="109" t="inlineStr">
        <is>
          <t>Bamboo Sheets</t>
        </is>
      </c>
      <c r="J16" s="109" t="inlineStr">
        <is>
          <t>https://images-na.ssl-images-amazon.com/images/I/710aWpCd4AL.jpg</t>
        </is>
      </c>
      <c r="K16" s="109" t="inlineStr">
        <is>
          <t>B0DCZGYVZ9</t>
        </is>
      </c>
      <c r="L16" s="109" t="inlineStr">
        <is>
          <t>B0F24TRXCZ</t>
        </is>
      </c>
      <c r="M16" s="109" t="n">
        <v>131</v>
      </c>
      <c r="N16" s="109" t="n">
        <v>55</v>
      </c>
      <c r="O16" s="109" t="n"/>
      <c r="P16" s="109">
        <f>IF(AND(ISNUMBER(O16),ISNUMBER(N16),N(N16)&gt;0),O16/N16-1,"")</f>
        <v/>
      </c>
      <c r="Q16" s="109" t="n">
        <v>89.98999999999999</v>
      </c>
      <c r="R16" s="109">
        <f>IF(AND(ISNUMBER(N16),ISNUMBER(Q16),N(Q16)&gt;0),N16/Q16-1,"")</f>
        <v/>
      </c>
      <c r="S16" s="109" t="n">
        <v>4051</v>
      </c>
      <c r="T16" s="109" t="n">
        <v>35</v>
      </c>
      <c r="U16" s="109" t="n">
        <v>4.4</v>
      </c>
      <c r="V16" s="109" t="n">
        <v>1909</v>
      </c>
      <c r="W16" s="109" t="n">
        <v>171534</v>
      </c>
      <c r="X16" s="109" t="n">
        <v>0.5544749851341424</v>
      </c>
      <c r="Y16" s="109" t="n">
        <v>315</v>
      </c>
      <c r="Z16" s="109" t="n">
        <v>705</v>
      </c>
      <c r="AA16" s="109" t="n">
        <v>588</v>
      </c>
      <c r="AB16" s="109" t="n"/>
      <c r="AC16" s="109" t="inlineStr">
        <is>
          <t>US DC B4</t>
        </is>
      </c>
      <c r="AD16" s="109">
        <f>'US DC B4'!BC133</f>
        <v/>
      </c>
      <c r="AE16" s="109">
        <f>'US DC B4'!BF133</f>
        <v/>
      </c>
      <c r="AF16" s="109" t="n"/>
      <c r="AG16" s="109" t="n"/>
    </row>
    <row r="17">
      <c r="A17" s="109">
        <f>AND(OR(Dashboard!$C$4="All",Dashboard!$C$4=D17),OR(Dashboard!$C$5="All",Dashboard!$C$5=E17),OR(Dashboard!$C$6="All",Dashboard!$C$6=G17),OR(Dashboard!$C$7="All",Dashboard!$C$7=H17),OR(Dashboard!$C$8="All",Dashboard!$C$8=F17))</f>
        <v/>
      </c>
      <c r="B17" s="109">
        <f>IF(A17,B16+1,B16)</f>
        <v/>
      </c>
      <c r="C17" s="109" t="n">
        <v>59</v>
      </c>
      <c r="D17" s="109" t="inlineStr">
        <is>
          <t>DC B4</t>
        </is>
      </c>
      <c r="E17" s="109" t="inlineStr">
        <is>
          <t>US</t>
        </is>
      </c>
      <c r="F17" s="109" t="inlineStr">
        <is>
          <t>Bamboo</t>
        </is>
      </c>
      <c r="G17" s="109" t="inlineStr">
        <is>
          <t>GOKOTTA</t>
        </is>
      </c>
      <c r="H17" s="109" t="inlineStr">
        <is>
          <t>Beatable</t>
        </is>
      </c>
      <c r="I17" s="109" t="inlineStr">
        <is>
          <t>GOKOTTA King Bamboo Rayon Sheets Set, Silky Soft Cooling Sheets Stay Put</t>
        </is>
      </c>
      <c r="J17" s="109" t="inlineStr">
        <is>
          <t>https://images-na.ssl-images-amazon.com/images/I/81EdgN1LRmL.jpg</t>
        </is>
      </c>
      <c r="K17" s="109" t="inlineStr">
        <is>
          <t>B09WV7RN1V</t>
        </is>
      </c>
      <c r="L17" s="109" t="inlineStr">
        <is>
          <t>B0BR53P7DY</t>
        </is>
      </c>
      <c r="M17" s="109" t="n">
        <v>99</v>
      </c>
      <c r="N17" s="109" t="n">
        <v>109</v>
      </c>
      <c r="O17" s="109" t="n"/>
      <c r="P17" s="109">
        <f>IF(AND(ISNUMBER(O17),ISNUMBER(N17),N(N17)&gt;0),O17/N17-1,"")</f>
        <v/>
      </c>
      <c r="Q17" s="109" t="n">
        <v>94.98999999999999</v>
      </c>
      <c r="R17" s="109">
        <f>IF(AND(ISNUMBER(N17),ISNUMBER(Q17),N(Q17)&gt;0),N17/Q17-1,"")</f>
        <v/>
      </c>
      <c r="S17" s="109" t="n">
        <v>16154</v>
      </c>
      <c r="T17" s="109" t="n">
        <v>35</v>
      </c>
      <c r="U17" s="109" t="n">
        <v>4.4</v>
      </c>
      <c r="V17" s="109" t="n">
        <v>3371</v>
      </c>
      <c r="W17" s="109" t="n">
        <v>76017</v>
      </c>
      <c r="X17" s="109" t="n">
        <v>0.8206756843863878</v>
      </c>
      <c r="Y17" s="109" t="n">
        <v>370</v>
      </c>
      <c r="Z17" s="109" t="n">
        <v>210</v>
      </c>
      <c r="AA17" s="109" t="n">
        <v>240</v>
      </c>
      <c r="AB17" s="109" t="n"/>
      <c r="AC17" s="109" t="inlineStr">
        <is>
          <t>US DC B4</t>
        </is>
      </c>
      <c r="AD17" s="109">
        <f>'US DC B4'!BC134</f>
        <v/>
      </c>
      <c r="AE17" s="109">
        <f>'US DC B4'!BF134</f>
        <v/>
      </c>
      <c r="AF17" s="109" t="inlineStr">
        <is>
          <t>King</t>
        </is>
      </c>
      <c r="AG17" s="109" t="n"/>
    </row>
    <row r="18">
      <c r="A18" s="109">
        <f>AND(OR(Dashboard!$C$4="All",Dashboard!$C$4=D18),OR(Dashboard!$C$5="All",Dashboard!$C$5=E18),OR(Dashboard!$C$6="All",Dashboard!$C$6=G18),OR(Dashboard!$C$7="All",Dashboard!$C$7=H18),OR(Dashboard!$C$8="All",Dashboard!$C$8=F18))</f>
        <v/>
      </c>
      <c r="B18" s="109">
        <f>IF(A18,B17+1,B17)</f>
        <v/>
      </c>
      <c r="C18" s="109" t="n">
        <v>59</v>
      </c>
      <c r="D18" s="109" t="inlineStr">
        <is>
          <t>DC B4</t>
        </is>
      </c>
      <c r="E18" s="109" t="inlineStr">
        <is>
          <t>US</t>
        </is>
      </c>
      <c r="F18" s="109" t="inlineStr">
        <is>
          <t>Bamboo</t>
        </is>
      </c>
      <c r="G18" s="109" t="inlineStr">
        <is>
          <t>KARISSA MAE</t>
        </is>
      </c>
      <c r="H18" s="109" t="inlineStr">
        <is>
          <t>Beatable</t>
        </is>
      </c>
      <c r="I18" s="109" t="inlineStr">
        <is>
          <t>Cooling Sheets</t>
        </is>
      </c>
      <c r="J18" s="109" t="inlineStr">
        <is>
          <t>https://images-na.ssl-images-amazon.com/images/I/71rcYip7GcL.jpg</t>
        </is>
      </c>
      <c r="K18" s="109" t="inlineStr">
        <is>
          <t>B0GT172Y8L</t>
        </is>
      </c>
      <c r="L18" s="109" t="inlineStr">
        <is>
          <t>B0G1CSCQTB</t>
        </is>
      </c>
      <c r="M18" s="109" t="n">
        <v>138</v>
      </c>
      <c r="N18" s="109" t="n">
        <v>119.99</v>
      </c>
      <c r="O18" s="109" t="n"/>
      <c r="P18" s="109">
        <f>IF(AND(ISNUMBER(O18),ISNUMBER(N18),N(N18)&gt;0),O18/N18-1,"")</f>
        <v/>
      </c>
      <c r="Q18" s="109" t="n">
        <v>89.98999999999999</v>
      </c>
      <c r="R18" s="109">
        <f>IF(AND(ISNUMBER(N18),ISNUMBER(Q18),N(Q18)&gt;0),N18/Q18-1,"")</f>
        <v/>
      </c>
      <c r="S18" s="109" t="n">
        <v>15914</v>
      </c>
      <c r="T18" s="109" t="n">
        <v>35</v>
      </c>
      <c r="U18" s="109" t="n">
        <v>4.3</v>
      </c>
      <c r="V18" s="109" t="n">
        <v>474</v>
      </c>
      <c r="W18" s="109" t="n">
        <v>243610</v>
      </c>
      <c r="X18" s="109" t="n">
        <v>0.1385290000410493</v>
      </c>
      <c r="Y18" s="109" t="n">
        <v>540</v>
      </c>
      <c r="Z18" s="109" t="n">
        <v>586</v>
      </c>
      <c r="AA18" s="109" t="n">
        <v>1381</v>
      </c>
      <c r="AB18" s="109" t="n">
        <v>2.102564102564103</v>
      </c>
      <c r="AC18" s="109" t="inlineStr">
        <is>
          <t>US DC B4</t>
        </is>
      </c>
      <c r="AD18" s="109">
        <f>'US DC B4'!BC135</f>
        <v/>
      </c>
      <c r="AE18" s="109">
        <f>'US DC B4'!BF135</f>
        <v/>
      </c>
      <c r="AF18" s="109" t="n"/>
      <c r="AG18" s="109" t="n"/>
    </row>
    <row r="19">
      <c r="A19" s="109">
        <f>AND(OR(Dashboard!$C$4="All",Dashboard!$C$4=D19),OR(Dashboard!$C$5="All",Dashboard!$C$5=E19),OR(Dashboard!$C$6="All",Dashboard!$C$6=G19),OR(Dashboard!$C$7="All",Dashboard!$C$7=H19),OR(Dashboard!$C$8="All",Dashboard!$C$8=F19))</f>
        <v/>
      </c>
      <c r="B19" s="109">
        <f>IF(A19,B18+1,B18)</f>
        <v/>
      </c>
      <c r="C19" s="109" t="n">
        <v>59</v>
      </c>
      <c r="D19" s="109" t="inlineStr">
        <is>
          <t>DC B4</t>
        </is>
      </c>
      <c r="E19" s="109" t="inlineStr">
        <is>
          <t>US</t>
        </is>
      </c>
      <c r="F19" s="109" t="inlineStr">
        <is>
          <t>Bamboo</t>
        </is>
      </c>
      <c r="G19" s="109" t="inlineStr">
        <is>
          <t>Pillcase</t>
        </is>
      </c>
      <c r="H19" s="109" t="inlineStr">
        <is>
          <t>Beatable</t>
        </is>
      </c>
      <c r="I19" s="109" t="inlineStr">
        <is>
          <t>100% Real Bamboo Viscose &amp; Lyocell Tencel Sheets Set Queen Size | Breathable &amp; C</t>
        </is>
      </c>
      <c r="J19" s="109" t="n"/>
      <c r="K19" s="109" t="inlineStr">
        <is>
          <t>B0H1GGHHVN</t>
        </is>
      </c>
      <c r="L19" s="109" t="inlineStr">
        <is>
          <t>B0HFZQRXXQ</t>
        </is>
      </c>
      <c r="M19" s="109" t="n">
        <v>20</v>
      </c>
      <c r="N19" s="109" t="n">
        <v>79</v>
      </c>
      <c r="O19" s="109" t="n">
        <v>109</v>
      </c>
      <c r="P19" s="109">
        <f>IF(AND(ISNUMBER(O19),ISNUMBER(N19),N(N19)&gt;0),O19/N19-1,"")</f>
        <v/>
      </c>
      <c r="Q19" s="109" t="n">
        <v>89.98999999999999</v>
      </c>
      <c r="R19" s="109">
        <f>IF(AND(ISNUMBER(N19),ISNUMBER(Q19),N(Q19)&gt;0),N19/Q19-1,"")</f>
        <v/>
      </c>
      <c r="S19" s="109" t="n">
        <v>28003</v>
      </c>
      <c r="T19" s="109" t="n">
        <v>35</v>
      </c>
      <c r="U19" s="109" t="n">
        <v>4.8</v>
      </c>
      <c r="V19" s="109" t="n">
        <v>279</v>
      </c>
      <c r="W19" s="109" t="n">
        <v>216953</v>
      </c>
      <c r="X19" s="109" t="n">
        <v>0.9703615419007803</v>
      </c>
      <c r="Y19" s="109" t="n">
        <v>181</v>
      </c>
      <c r="Z19" s="109" t="n">
        <v>516</v>
      </c>
      <c r="AA19" s="109" t="n">
        <v>11</v>
      </c>
      <c r="AB19" s="109" t="n"/>
      <c r="AC19" s="109" t="inlineStr">
        <is>
          <t>US DC B4</t>
        </is>
      </c>
      <c r="AD19" s="109">
        <f>'US DC B4'!BC136</f>
        <v/>
      </c>
      <c r="AE19" s="109">
        <f>'US DC B4'!BF136</f>
        <v/>
      </c>
      <c r="AF19" s="109" t="inlineStr">
        <is>
          <t>Queen</t>
        </is>
      </c>
      <c r="AG19" s="109" t="n"/>
    </row>
    <row r="20">
      <c r="A20" s="109">
        <f>AND(OR(Dashboard!$C$4="All",Dashboard!$C$4=D20),OR(Dashboard!$C$5="All",Dashboard!$C$5=E20),OR(Dashboard!$C$6="All",Dashboard!$C$6=G20),OR(Dashboard!$C$7="All",Dashboard!$C$7=H20),OR(Dashboard!$C$8="All",Dashboard!$C$8=F20))</f>
        <v/>
      </c>
      <c r="B20" s="109">
        <f>IF(A20,B19+1,B19)</f>
        <v/>
      </c>
      <c r="C20" s="109" t="n">
        <v>59</v>
      </c>
      <c r="D20" s="109" t="inlineStr">
        <is>
          <t>DC B4</t>
        </is>
      </c>
      <c r="E20" s="109" t="inlineStr">
        <is>
          <t>US</t>
        </is>
      </c>
      <c r="F20" s="109" t="inlineStr">
        <is>
          <t>Bamboo</t>
        </is>
      </c>
      <c r="G20" s="109" t="inlineStr">
        <is>
          <t>Bamboo Bay</t>
        </is>
      </c>
      <c r="H20" s="109" t="inlineStr">
        <is>
          <t>Beatable</t>
        </is>
      </c>
      <c r="I20" s="109" t="inlineStr">
        <is>
          <t>Bamboo Bay 4 Piece Queen Size Sheet Set, 100% Viscose Made from Bamboo, Breathab</t>
        </is>
      </c>
      <c r="J20" s="109" t="n"/>
      <c r="K20" s="109" t="inlineStr">
        <is>
          <t>B0DLD8982V</t>
        </is>
      </c>
      <c r="L20" s="109" t="inlineStr">
        <is>
          <t>B08M9QK14J</t>
        </is>
      </c>
      <c r="M20" s="109" t="n">
        <v>20</v>
      </c>
      <c r="N20" s="109" t="n">
        <v>89.98</v>
      </c>
      <c r="O20" s="109" t="n"/>
      <c r="P20" s="109">
        <f>IF(AND(ISNUMBER(O20),ISNUMBER(N20),N(N20)&gt;0),O20/N20-1,"")</f>
        <v/>
      </c>
      <c r="Q20" s="109" t="n">
        <v>89.98999999999999</v>
      </c>
      <c r="R20" s="109">
        <f>IF(AND(ISNUMBER(N20),ISNUMBER(Q20),N(Q20)&gt;0),N20/Q20-1,"")</f>
        <v/>
      </c>
      <c r="S20" s="109" t="n">
        <v>263209</v>
      </c>
      <c r="T20" s="109" t="n">
        <v>18</v>
      </c>
      <c r="U20" s="109" t="n">
        <v>4.4</v>
      </c>
      <c r="V20" s="109" t="n">
        <v>739</v>
      </c>
      <c r="W20" s="109" t="n">
        <v>67928</v>
      </c>
      <c r="X20" s="109" t="n">
        <v>0.313496176834295</v>
      </c>
      <c r="Y20" s="109" t="n">
        <v>269</v>
      </c>
      <c r="Z20" s="109" t="n">
        <v>172</v>
      </c>
      <c r="AA20" s="109" t="n">
        <v>320</v>
      </c>
      <c r="AB20" s="109" t="n">
        <v>0.7336182336182336</v>
      </c>
      <c r="AC20" s="109" t="inlineStr">
        <is>
          <t>US DC B4</t>
        </is>
      </c>
      <c r="AD20" s="109">
        <f>'US DC B4'!BC137</f>
        <v/>
      </c>
      <c r="AE20" s="109">
        <f>'US DC B4'!BF137</f>
        <v/>
      </c>
      <c r="AF20" s="109" t="inlineStr">
        <is>
          <t>Queen</t>
        </is>
      </c>
      <c r="AG20" s="109" t="n"/>
    </row>
    <row r="21">
      <c r="A21" s="109">
        <f>AND(OR(Dashboard!$C$4="All",Dashboard!$C$4=D21),OR(Dashboard!$C$5="All",Dashboard!$C$5=E21),OR(Dashboard!$C$6="All",Dashboard!$C$6=G21),OR(Dashboard!$C$7="All",Dashboard!$C$7=H21),OR(Dashboard!$C$8="All",Dashboard!$C$8=F21))</f>
        <v/>
      </c>
      <c r="B21" s="109">
        <f>IF(A21,B20+1,B20)</f>
        <v/>
      </c>
      <c r="C21" s="109" t="n">
        <v>59</v>
      </c>
      <c r="D21" s="109" t="inlineStr">
        <is>
          <t>DC B4</t>
        </is>
      </c>
      <c r="E21" s="109" t="inlineStr">
        <is>
          <t>US</t>
        </is>
      </c>
      <c r="F21" s="109" t="inlineStr">
        <is>
          <t>Bamboo</t>
        </is>
      </c>
      <c r="G21" s="109" t="inlineStr">
        <is>
          <t>California Design Den</t>
        </is>
      </c>
      <c r="H21" s="109" t="inlineStr">
        <is>
          <t>Beatable</t>
        </is>
      </c>
      <c r="I21" s="109" t="inlineStr">
        <is>
          <t>California Design Den 100% Viscose from Bamboo Sheets Queen, Dark Olive</t>
        </is>
      </c>
      <c r="J21" s="109" t="n"/>
      <c r="K21" s="109" t="inlineStr">
        <is>
          <t>B0HFBJPD56</t>
        </is>
      </c>
      <c r="L21" s="109" t="inlineStr">
        <is>
          <t>B0GWHPJ9SD</t>
        </is>
      </c>
      <c r="M21" s="109" t="n">
        <v>81</v>
      </c>
      <c r="N21" s="109" t="n">
        <v>89.98999999999999</v>
      </c>
      <c r="O21" s="109" t="n"/>
      <c r="P21" s="109">
        <f>IF(AND(ISNUMBER(O21),ISNUMBER(N21),N(N21)&gt;0),O21/N21-1,"")</f>
        <v/>
      </c>
      <c r="Q21" s="109" t="n">
        <v>89.98999999999999</v>
      </c>
      <c r="R21" s="109">
        <f>IF(AND(ISNUMBER(N21),ISNUMBER(Q21),N(Q21)&gt;0),N21/Q21-1,"")</f>
        <v/>
      </c>
      <c r="S21" s="109" t="n">
        <v>21237</v>
      </c>
      <c r="T21" s="109" t="n">
        <v>18</v>
      </c>
      <c r="U21" s="109" t="n">
        <v>4.6</v>
      </c>
      <c r="V21" s="109" t="n">
        <v>76</v>
      </c>
      <c r="W21" s="109" t="n">
        <v>103642</v>
      </c>
      <c r="X21" s="109" t="n">
        <v>0.8956907055054905</v>
      </c>
      <c r="Y21" s="109" t="n">
        <v>288</v>
      </c>
      <c r="Z21" s="109" t="n">
        <v>515</v>
      </c>
      <c r="AA21" s="109" t="n">
        <v>192</v>
      </c>
      <c r="AB21" s="109" t="n"/>
      <c r="AC21" s="109" t="inlineStr">
        <is>
          <t>US DC B4</t>
        </is>
      </c>
      <c r="AD21" s="109">
        <f>'US DC B4'!BC138</f>
        <v/>
      </c>
      <c r="AE21" s="109">
        <f>'US DC B4'!BF138</f>
        <v/>
      </c>
      <c r="AF21" s="109" t="inlineStr">
        <is>
          <t>Queen</t>
        </is>
      </c>
      <c r="AG21" s="109" t="inlineStr">
        <is>
          <t>Olive</t>
        </is>
      </c>
    </row>
    <row r="22">
      <c r="A22" s="109">
        <f>AND(OR(Dashboard!$C$4="All",Dashboard!$C$4=D22),OR(Dashboard!$C$5="All",Dashboard!$C$5=E22),OR(Dashboard!$C$6="All",Dashboard!$C$6=G22),OR(Dashboard!$C$7="All",Dashboard!$C$7=H22),OR(Dashboard!$C$8="All",Dashboard!$C$8=F22))</f>
        <v/>
      </c>
      <c r="B22" s="109">
        <f>IF(A22,B21+1,B21)</f>
        <v/>
      </c>
      <c r="C22" s="109" t="n">
        <v>59</v>
      </c>
      <c r="D22" s="109" t="inlineStr">
        <is>
          <t>DC B4</t>
        </is>
      </c>
      <c r="E22" s="109" t="inlineStr">
        <is>
          <t>US</t>
        </is>
      </c>
      <c r="F22" s="109" t="inlineStr">
        <is>
          <t>Bamboo</t>
        </is>
      </c>
      <c r="G22" s="109" t="inlineStr">
        <is>
          <t>Pillcase</t>
        </is>
      </c>
      <c r="H22" s="109" t="inlineStr">
        <is>
          <t>Beatable</t>
        </is>
      </c>
      <c r="I22" s="109" t="inlineStr">
        <is>
          <t>100% Real Bamboo Viscose &amp; Lyocell Tencel Sheets Set Queen Size | Breathable &amp; C</t>
        </is>
      </c>
      <c r="J22" s="109" t="n"/>
      <c r="K22" s="109" t="inlineStr">
        <is>
          <t>B0HK71WHZW</t>
        </is>
      </c>
      <c r="L22" s="109" t="inlineStr">
        <is>
          <t>B0H1BWY4MD</t>
        </is>
      </c>
      <c r="M22" s="109" t="n">
        <v>22</v>
      </c>
      <c r="N22" s="109" t="n">
        <v>99</v>
      </c>
      <c r="O22" s="109" t="n"/>
      <c r="P22" s="109">
        <f>IF(AND(ISNUMBER(O22),ISNUMBER(N22),N(N22)&gt;0),O22/N22-1,"")</f>
        <v/>
      </c>
      <c r="Q22" s="109" t="n">
        <v>89.98999999999999</v>
      </c>
      <c r="R22" s="109">
        <f>IF(AND(ISNUMBER(N22),ISNUMBER(Q22),N(Q22)&gt;0),N22/Q22-1,"")</f>
        <v/>
      </c>
      <c r="S22" s="109" t="n">
        <v>38116</v>
      </c>
      <c r="T22" s="109" t="n">
        <v>18</v>
      </c>
      <c r="U22" s="109" t="n">
        <v>4.9</v>
      </c>
      <c r="V22" s="109" t="n">
        <v>201</v>
      </c>
      <c r="W22" s="109" t="n">
        <v>116001</v>
      </c>
      <c r="X22" s="109" t="n">
        <v>0.8987684407893036</v>
      </c>
      <c r="Y22" s="109" t="n">
        <v>241</v>
      </c>
      <c r="Z22" s="109" t="n">
        <v>361</v>
      </c>
      <c r="AA22" s="109" t="n">
        <v>48</v>
      </c>
      <c r="AB22" s="109" t="n"/>
      <c r="AC22" s="109" t="inlineStr">
        <is>
          <t>US DC B4</t>
        </is>
      </c>
      <c r="AD22" s="109">
        <f>'US DC B4'!BC139</f>
        <v/>
      </c>
      <c r="AE22" s="109">
        <f>'US DC B4'!BF139</f>
        <v/>
      </c>
      <c r="AF22" s="109" t="inlineStr">
        <is>
          <t>Queen</t>
        </is>
      </c>
      <c r="AG22" s="109" t="n"/>
    </row>
    <row r="23">
      <c r="A23" s="109">
        <f>AND(OR(Dashboard!$C$4="All",Dashboard!$C$4=D23),OR(Dashboard!$C$5="All",Dashboard!$C$5=E23),OR(Dashboard!$C$6="All",Dashboard!$C$6=G23),OR(Dashboard!$C$7="All",Dashboard!$C$7=H23),OR(Dashboard!$C$8="All",Dashboard!$C$8=F23))</f>
        <v/>
      </c>
      <c r="B23" s="109">
        <f>IF(A23,B22+1,B22)</f>
        <v/>
      </c>
      <c r="C23" s="109" t="n">
        <v>59</v>
      </c>
      <c r="D23" s="109" t="inlineStr">
        <is>
          <t>DC B4</t>
        </is>
      </c>
      <c r="E23" s="109" t="inlineStr">
        <is>
          <t>US</t>
        </is>
      </c>
      <c r="F23" s="109" t="inlineStr">
        <is>
          <t>Bamboo</t>
        </is>
      </c>
      <c r="G23" s="109" t="inlineStr">
        <is>
          <t>TWK</t>
        </is>
      </c>
      <c r="H23" s="109" t="inlineStr">
        <is>
          <t>Beatable</t>
        </is>
      </c>
      <c r="I23" s="109" t="inlineStr">
        <is>
          <t>TWK Real 100% Viscose Derived from Bamboo Sheets Set Queen Size, Cooling &amp; Silky</t>
        </is>
      </c>
      <c r="J23" s="109" t="inlineStr">
        <is>
          <t>https://images-na.ssl-images-amazon.com/images/I/71X+0TBtodL.jpg</t>
        </is>
      </c>
      <c r="K23" s="109" t="inlineStr">
        <is>
          <t>B0HHQG3RSW</t>
        </is>
      </c>
      <c r="L23" s="109" t="inlineStr">
        <is>
          <t>B0G1N8QS55</t>
        </is>
      </c>
      <c r="M23" s="109" t="n">
        <v>13</v>
      </c>
      <c r="N23" s="109" t="n">
        <v>65</v>
      </c>
      <c r="O23" s="109" t="n">
        <v>79</v>
      </c>
      <c r="P23" s="109">
        <f>IF(AND(ISNUMBER(O23),ISNUMBER(N23),N(N23)&gt;0),O23/N23-1,"")</f>
        <v/>
      </c>
      <c r="Q23" s="109" t="n">
        <v>89.98999999999999</v>
      </c>
      <c r="R23" s="109">
        <f>IF(AND(ISNUMBER(N23),ISNUMBER(Q23),N(Q23)&gt;0),N23/Q23-1,"")</f>
        <v/>
      </c>
      <c r="S23" s="109" t="n">
        <v>196488</v>
      </c>
      <c r="T23" s="109" t="n">
        <v>18</v>
      </c>
      <c r="U23" s="109" t="n">
        <v>4.9</v>
      </c>
      <c r="V23" s="109" t="n">
        <v>121</v>
      </c>
      <c r="W23" s="109" t="n">
        <v>82471</v>
      </c>
      <c r="X23" s="109" t="n">
        <v>0.8861114561482216</v>
      </c>
      <c r="Y23" s="109" t="n">
        <v>247</v>
      </c>
      <c r="Z23" s="109" t="n">
        <v>326</v>
      </c>
      <c r="AA23" s="109" t="n">
        <v>43</v>
      </c>
      <c r="AB23" s="109" t="n"/>
      <c r="AC23" s="109" t="inlineStr">
        <is>
          <t>US DC B4</t>
        </is>
      </c>
      <c r="AD23" s="109">
        <f>'US DC B4'!BC140</f>
        <v/>
      </c>
      <c r="AE23" s="109">
        <f>'US DC B4'!BF140</f>
        <v/>
      </c>
      <c r="AF23" s="109" t="inlineStr">
        <is>
          <t>Queen</t>
        </is>
      </c>
      <c r="AG23" s="109" t="n"/>
    </row>
    <row r="24">
      <c r="A24" s="109">
        <f>AND(OR(Dashboard!$C$4="All",Dashboard!$C$4=D24),OR(Dashboard!$C$5="All",Dashboard!$C$5=E24),OR(Dashboard!$C$6="All",Dashboard!$C$6=G24),OR(Dashboard!$C$7="All",Dashboard!$C$7=H24),OR(Dashboard!$C$8="All",Dashboard!$C$8=F24))</f>
        <v/>
      </c>
      <c r="B24" s="109">
        <f>IF(A24,B23+1,B23)</f>
        <v/>
      </c>
      <c r="C24" s="109" t="n">
        <v>59</v>
      </c>
      <c r="D24" s="109" t="inlineStr">
        <is>
          <t>DC B4</t>
        </is>
      </c>
      <c r="E24" s="109" t="inlineStr">
        <is>
          <t>US</t>
        </is>
      </c>
      <c r="F24" s="109" t="inlineStr">
        <is>
          <t>Bamboo</t>
        </is>
      </c>
      <c r="G24" s="109" t="inlineStr">
        <is>
          <t>BAMPURE</t>
        </is>
      </c>
      <c r="H24" s="109" t="inlineStr">
        <is>
          <t>Beatable</t>
        </is>
      </c>
      <c r="I24" s="109" t="inlineStr">
        <is>
          <t>Bamboo Sheets</t>
        </is>
      </c>
      <c r="J24" s="109" t="n"/>
      <c r="K24" s="109" t="inlineStr">
        <is>
          <t>B0FH2WGKJV</t>
        </is>
      </c>
      <c r="L24" s="109" t="inlineStr">
        <is>
          <t>B07XC2KVM7</t>
        </is>
      </c>
      <c r="M24" s="109" t="n"/>
      <c r="N24" s="109" t="n">
        <v>37.99</v>
      </c>
      <c r="O24" s="109" t="n"/>
      <c r="P24" s="109">
        <f>IF(AND(ISNUMBER(O24),ISNUMBER(N24),N(N24)&gt;0),O24/N24-1,"")</f>
        <v/>
      </c>
      <c r="Q24" s="109" t="n">
        <v>89.98999999999999</v>
      </c>
      <c r="R24" s="109">
        <f>IF(AND(ISNUMBER(N24),ISNUMBER(Q24),N(Q24)&gt;0),N24/Q24-1,"")</f>
        <v/>
      </c>
      <c r="S24" s="109" t="n">
        <v>2541068</v>
      </c>
      <c r="T24" s="109" t="n">
        <v>5</v>
      </c>
      <c r="U24" s="109" t="n">
        <v>4.4</v>
      </c>
      <c r="V24" s="109" t="n">
        <v>30</v>
      </c>
      <c r="W24" s="109" t="n"/>
      <c r="X24" s="109" t="n"/>
      <c r="Y24" s="109" t="n"/>
      <c r="Z24" s="109" t="n"/>
      <c r="AA24" s="109" t="n"/>
      <c r="AB24" s="109" t="n"/>
      <c r="AC24" s="109" t="inlineStr">
        <is>
          <t>US DC B4</t>
        </is>
      </c>
      <c r="AD24" s="109">
        <f>'US DC B4'!BC141</f>
        <v/>
      </c>
      <c r="AE24" s="109">
        <f>'US DC B4'!BF141</f>
        <v/>
      </c>
      <c r="AF24" s="109" t="n"/>
      <c r="AG24" s="109" t="n"/>
    </row>
    <row r="25">
      <c r="A25" s="109">
        <f>AND(OR(Dashboard!$C$4="All",Dashboard!$C$4=D25),OR(Dashboard!$C$5="All",Dashboard!$C$5=E25),OR(Dashboard!$C$6="All",Dashboard!$C$6=G25),OR(Dashboard!$C$7="All",Dashboard!$C$7=H25),OR(Dashboard!$C$8="All",Dashboard!$C$8=F25))</f>
        <v/>
      </c>
      <c r="B25" s="109">
        <f>IF(A25,B24+1,B24)</f>
        <v/>
      </c>
      <c r="C25" s="109" t="n">
        <v>59</v>
      </c>
      <c r="D25" s="109" t="inlineStr">
        <is>
          <t>DC B4</t>
        </is>
      </c>
      <c r="E25" s="109" t="inlineStr">
        <is>
          <t>US</t>
        </is>
      </c>
      <c r="F25" s="109" t="inlineStr">
        <is>
          <t>Bamboo</t>
        </is>
      </c>
      <c r="G25" s="109" t="inlineStr">
        <is>
          <t>BC BELLA COTERIE</t>
        </is>
      </c>
      <c r="H25" s="109" t="inlineStr">
        <is>
          <t>Beatable</t>
        </is>
      </c>
      <c r="I25" s="109" t="inlineStr">
        <is>
          <t>4 Piece Bamboo Sheet Set</t>
        </is>
      </c>
      <c r="J25" s="109" t="n"/>
      <c r="K25" s="109" t="inlineStr">
        <is>
          <t>B0GKBNZ8TC</t>
        </is>
      </c>
      <c r="L25" s="109" t="inlineStr">
        <is>
          <t>B0G674ZDTV</t>
        </is>
      </c>
      <c r="M25" s="109" t="n"/>
      <c r="N25" s="109" t="n">
        <v>129.99</v>
      </c>
      <c r="O25" s="109" t="n"/>
      <c r="P25" s="109">
        <f>IF(AND(ISNUMBER(O25),ISNUMBER(N25),N(N25)&gt;0),O25/N25-1,"")</f>
        <v/>
      </c>
      <c r="Q25" s="109" t="n">
        <v>89.98999999999999</v>
      </c>
      <c r="R25" s="109">
        <f>IF(AND(ISNUMBER(N25),ISNUMBER(Q25),N(Q25)&gt;0),N25/Q25-1,"")</f>
        <v/>
      </c>
      <c r="S25" s="109" t="n">
        <v>1577</v>
      </c>
      <c r="T25" s="109" t="n">
        <v>5</v>
      </c>
      <c r="U25" s="109" t="n">
        <v>4.4</v>
      </c>
      <c r="V25" s="109" t="n">
        <v>5652</v>
      </c>
      <c r="W25" s="109" t="n"/>
      <c r="X25" s="109" t="n"/>
      <c r="Y25" s="109" t="n"/>
      <c r="Z25" s="109" t="n"/>
      <c r="AA25" s="109" t="n"/>
      <c r="AB25" s="109" t="n"/>
      <c r="AC25" s="109" t="inlineStr">
        <is>
          <t>US DC B4</t>
        </is>
      </c>
      <c r="AD25" s="109">
        <f>'US DC B4'!BC142</f>
        <v/>
      </c>
      <c r="AE25" s="109">
        <f>'US DC B4'!BF142</f>
        <v/>
      </c>
      <c r="AF25" s="109" t="n"/>
      <c r="AG25" s="109" t="n"/>
    </row>
    <row r="26">
      <c r="A26" s="109">
        <f>AND(OR(Dashboard!$C$4="All",Dashboard!$C$4=D26),OR(Dashboard!$C$5="All",Dashboard!$C$5=E26),OR(Dashboard!$C$6="All",Dashboard!$C$6=G26),OR(Dashboard!$C$7="All",Dashboard!$C$7=H26),OR(Dashboard!$C$8="All",Dashboard!$C$8=F26))</f>
        <v/>
      </c>
      <c r="B26" s="109">
        <f>IF(A26,B25+1,B25)</f>
        <v/>
      </c>
      <c r="C26" s="109" t="n">
        <v>59</v>
      </c>
      <c r="D26" s="109" t="inlineStr">
        <is>
          <t>DC B4</t>
        </is>
      </c>
      <c r="E26" s="109" t="inlineStr">
        <is>
          <t>US</t>
        </is>
      </c>
      <c r="F26" s="109" t="inlineStr">
        <is>
          <t>Bamboo</t>
        </is>
      </c>
      <c r="G26" s="109" t="inlineStr">
        <is>
          <t>Pillcase</t>
        </is>
      </c>
      <c r="H26" s="109" t="inlineStr">
        <is>
          <t>Beatable</t>
        </is>
      </c>
      <c r="I26" s="109" t="inlineStr">
        <is>
          <t>Cooling Hotel Bedding Sheet Set - 4pcs Bamboo Viscose &amp; Tencel Blend, Moisture-W</t>
        </is>
      </c>
      <c r="J26" s="109" t="n"/>
      <c r="K26" s="109" t="inlineStr">
        <is>
          <t>B0HJYG8V9Q</t>
        </is>
      </c>
      <c r="L26" s="109" t="inlineStr">
        <is>
          <t>B0HJYG8V9Q</t>
        </is>
      </c>
      <c r="M26" s="109" t="n">
        <v>1</v>
      </c>
      <c r="N26" s="109" t="n">
        <v>79.98999999999999</v>
      </c>
      <c r="O26" s="109" t="n"/>
      <c r="P26" s="109">
        <f>IF(AND(ISNUMBER(O26),ISNUMBER(N26),N(N26)&gt;0),O26/N26-1,"")</f>
        <v/>
      </c>
      <c r="Q26" s="109" t="n">
        <v>89.98999999999999</v>
      </c>
      <c r="R26" s="109">
        <f>IF(AND(ISNUMBER(N26),ISNUMBER(Q26),N(Q26)&gt;0),N26/Q26-1,"")</f>
        <v/>
      </c>
      <c r="S26" s="109" t="n">
        <v>762451</v>
      </c>
      <c r="T26" s="109" t="n">
        <v>5</v>
      </c>
      <c r="U26" s="109" t="n">
        <v>4</v>
      </c>
      <c r="V26" s="109" t="n"/>
      <c r="W26" s="109" t="n">
        <v>57075</v>
      </c>
      <c r="X26" s="109" t="n">
        <v>0.9991762628120894</v>
      </c>
      <c r="Y26" s="109" t="n">
        <v>61</v>
      </c>
      <c r="Z26" s="109" t="n">
        <v>27</v>
      </c>
      <c r="AA26" s="109" t="n">
        <v>0</v>
      </c>
      <c r="AB26" s="109" t="n"/>
      <c r="AC26" s="109" t="inlineStr">
        <is>
          <t>US DC B4</t>
        </is>
      </c>
      <c r="AD26" s="109">
        <f>'US DC B4'!BC143</f>
        <v/>
      </c>
      <c r="AE26" s="109">
        <f>'US DC B4'!BF143</f>
        <v/>
      </c>
      <c r="AF26" s="109" t="n"/>
      <c r="AG26" s="109" t="n"/>
    </row>
    <row r="27">
      <c r="A27" s="109">
        <f>AND(OR(Dashboard!$C$4="All",Dashboard!$C$4=D27),OR(Dashboard!$C$5="All",Dashboard!$C$5=E27),OR(Dashboard!$C$6="All",Dashboard!$C$6=G27),OR(Dashboard!$C$7="All",Dashboard!$C$7=H27),OR(Dashboard!$C$8="All",Dashboard!$C$8=F27))</f>
        <v/>
      </c>
      <c r="B27" s="109">
        <f>IF(A27,B26+1,B26)</f>
        <v/>
      </c>
      <c r="C27" s="109" t="n">
        <v>59</v>
      </c>
      <c r="D27" s="109" t="inlineStr">
        <is>
          <t>DC B4</t>
        </is>
      </c>
      <c r="E27" s="109" t="inlineStr">
        <is>
          <t>US</t>
        </is>
      </c>
      <c r="F27" s="109" t="inlineStr">
        <is>
          <t>Bamboo</t>
        </is>
      </c>
      <c r="G27" s="109" t="inlineStr">
        <is>
          <t>Tafts</t>
        </is>
      </c>
      <c r="H27" s="109" t="inlineStr">
        <is>
          <t>Beatable</t>
        </is>
      </c>
      <c r="I27" s="109" t="inlineStr">
        <is>
          <t>Bamboo Sheets Queen Size, 100% Pure Viscose derived from Bamboo Bed Sheet Set, L</t>
        </is>
      </c>
      <c r="J27" s="109" t="n"/>
      <c r="K27" s="109" t="inlineStr">
        <is>
          <t>B0D34K3FB9</t>
        </is>
      </c>
      <c r="L27" s="109" t="inlineStr">
        <is>
          <t>B07YSVNCVT</t>
        </is>
      </c>
      <c r="M27" s="109" t="n">
        <v>23</v>
      </c>
      <c r="N27" s="109" t="n">
        <v>104.99</v>
      </c>
      <c r="O27" s="109" t="n"/>
      <c r="P27" s="109">
        <f>IF(AND(ISNUMBER(O27),ISNUMBER(N27),N(N27)&gt;0),O27/N27-1,"")</f>
        <v/>
      </c>
      <c r="Q27" s="109" t="n">
        <v>89.98999999999999</v>
      </c>
      <c r="R27" s="109">
        <f>IF(AND(ISNUMBER(N27),ISNUMBER(Q27),N(Q27)&gt;0),N27/Q27-1,"")</f>
        <v/>
      </c>
      <c r="S27" s="109" t="n">
        <v>184749</v>
      </c>
      <c r="T27" s="109" t="n">
        <v>5</v>
      </c>
      <c r="U27" s="109" t="n">
        <v>4.5</v>
      </c>
      <c r="V27" s="109" t="n">
        <v>3184</v>
      </c>
      <c r="W27" s="109" t="n">
        <v>11787</v>
      </c>
      <c r="X27" s="109" t="n">
        <v>0.9613189955035204</v>
      </c>
      <c r="Y27" s="109" t="n">
        <v>163</v>
      </c>
      <c r="Z27" s="109" t="n">
        <v>39</v>
      </c>
      <c r="AA27" s="109" t="n">
        <v>17</v>
      </c>
      <c r="AB27" s="109" t="n"/>
      <c r="AC27" s="109" t="inlineStr">
        <is>
          <t>US DC B4</t>
        </is>
      </c>
      <c r="AD27" s="109">
        <f>'US DC B4'!BC144</f>
        <v/>
      </c>
      <c r="AE27" s="109">
        <f>'US DC B4'!BF144</f>
        <v/>
      </c>
      <c r="AF27" s="109" t="inlineStr">
        <is>
          <t>Queen</t>
        </is>
      </c>
      <c r="AG27" s="109" t="n"/>
    </row>
    <row r="28">
      <c r="A28" s="109">
        <f>AND(OR(Dashboard!$C$4="All",Dashboard!$C$4=D28),OR(Dashboard!$C$5="All",Dashboard!$C$5=E28),OR(Dashboard!$C$6="All",Dashboard!$C$6=G28),OR(Dashboard!$C$7="All",Dashboard!$C$7=H28),OR(Dashboard!$C$8="All",Dashboard!$C$8=F28))</f>
        <v/>
      </c>
      <c r="B28" s="109">
        <f>IF(A28,B27+1,B27)</f>
        <v/>
      </c>
      <c r="C28" s="109" t="n">
        <v>59</v>
      </c>
      <c r="D28" s="109" t="inlineStr">
        <is>
          <t>DC B4</t>
        </is>
      </c>
      <c r="E28" s="109" t="inlineStr">
        <is>
          <t>US</t>
        </is>
      </c>
      <c r="F28" s="109" t="inlineStr">
        <is>
          <t>Bamboo</t>
        </is>
      </c>
      <c r="G28" s="109" t="inlineStr">
        <is>
          <t>TWK</t>
        </is>
      </c>
      <c r="H28" s="109" t="inlineStr">
        <is>
          <t>Beatable</t>
        </is>
      </c>
      <c r="I28" s="109" t="inlineStr">
        <is>
          <t>TWK Real 100% Viscose Derived from Bamboo Sheets Set Queen Size, Cooling &amp; Silky</t>
        </is>
      </c>
      <c r="J28" s="109" t="n"/>
      <c r="K28" s="109" t="inlineStr">
        <is>
          <t>B0HHRR4XGX</t>
        </is>
      </c>
      <c r="L28" s="109" t="inlineStr">
        <is>
          <t>B0HHRR4XGX</t>
        </is>
      </c>
      <c r="M28" s="109" t="n">
        <v>1</v>
      </c>
      <c r="N28" s="109" t="n">
        <v>105</v>
      </c>
      <c r="O28" s="109" t="n"/>
      <c r="P28" s="109">
        <f>IF(AND(ISNUMBER(O28),ISNUMBER(N28),N(N28)&gt;0),O28/N28-1,"")</f>
        <v/>
      </c>
      <c r="Q28" s="109" t="n">
        <v>89.98999999999999</v>
      </c>
      <c r="R28" s="109">
        <f>IF(AND(ISNUMBER(N28),ISNUMBER(Q28),N(Q28)&gt;0),N28/Q28-1,"")</f>
        <v/>
      </c>
      <c r="S28" s="109" t="n"/>
      <c r="T28" s="109" t="n">
        <v>5</v>
      </c>
      <c r="U28" s="109" t="n">
        <v>4.5</v>
      </c>
      <c r="V28" s="109" t="n"/>
      <c r="W28" s="109" t="n">
        <v>30066</v>
      </c>
      <c r="X28" s="109" t="n">
        <v>1</v>
      </c>
      <c r="Y28" s="109" t="n">
        <v>54</v>
      </c>
      <c r="Z28" s="109" t="n">
        <v>16</v>
      </c>
      <c r="AA28" s="109" t="n">
        <v>0</v>
      </c>
      <c r="AB28" s="109" t="n"/>
      <c r="AC28" s="109" t="inlineStr">
        <is>
          <t>US DC B4</t>
        </is>
      </c>
      <c r="AD28" s="109">
        <f>'US DC B4'!BC145</f>
        <v/>
      </c>
      <c r="AE28" s="109">
        <f>'US DC B4'!BF145</f>
        <v/>
      </c>
      <c r="AF28" s="109" t="inlineStr">
        <is>
          <t>Queen</t>
        </is>
      </c>
      <c r="AG28" s="109" t="n"/>
    </row>
    <row r="29">
      <c r="A29" s="109">
        <f>AND(OR(Dashboard!$C$4="All",Dashboard!$C$4=D29),OR(Dashboard!$C$5="All",Dashboard!$C$5=E29),OR(Dashboard!$C$6="All",Dashboard!$C$6=G29),OR(Dashboard!$C$7="All",Dashboard!$C$7=H29),OR(Dashboard!$C$8="All",Dashboard!$C$8=F29))</f>
        <v/>
      </c>
      <c r="B29" s="109">
        <f>IF(A29,B28+1,B28)</f>
        <v/>
      </c>
      <c r="C29" s="109" t="n">
        <v>59</v>
      </c>
      <c r="D29" s="109" t="inlineStr">
        <is>
          <t>DC B4</t>
        </is>
      </c>
      <c r="E29" s="109" t="inlineStr">
        <is>
          <t>US</t>
        </is>
      </c>
      <c r="F29" s="109" t="inlineStr">
        <is>
          <t>Bamboo</t>
        </is>
      </c>
      <c r="G29" s="109" t="inlineStr">
        <is>
          <t>AiAngu</t>
        </is>
      </c>
      <c r="H29" s="109" t="inlineStr">
        <is>
          <t>Poor</t>
        </is>
      </c>
      <c r="I29" s="109" t="inlineStr">
        <is>
          <t>Bamboo Sheets</t>
        </is>
      </c>
      <c r="J29" s="109" t="n"/>
      <c r="K29" s="109" t="inlineStr">
        <is>
          <t>B0H3KP6R9B</t>
        </is>
      </c>
      <c r="L29" s="109" t="inlineStr">
        <is>
          <t>B0GX15Y7TT</t>
        </is>
      </c>
      <c r="M29" s="109" t="n"/>
      <c r="N29" s="109" t="n">
        <v>74.98999999999999</v>
      </c>
      <c r="O29" s="109" t="n">
        <v>79.98999999999999</v>
      </c>
      <c r="P29" s="109">
        <f>IF(AND(ISNUMBER(O29),ISNUMBER(N29),N(N29)&gt;0),O29/N29-1,"")</f>
        <v/>
      </c>
      <c r="Q29" s="109" t="n">
        <v>89.98999999999999</v>
      </c>
      <c r="R29" s="109">
        <f>IF(AND(ISNUMBER(N29),ISNUMBER(Q29),N(Q29)&gt;0),N29/Q29-1,"")</f>
        <v/>
      </c>
      <c r="S29" s="109" t="n">
        <v>39296</v>
      </c>
      <c r="T29" s="109" t="n">
        <v>81</v>
      </c>
      <c r="U29" s="109" t="n">
        <v>4.6</v>
      </c>
      <c r="V29" s="109" t="n">
        <v>121</v>
      </c>
      <c r="W29" s="109" t="n"/>
      <c r="X29" s="109" t="n"/>
      <c r="Y29" s="109" t="n"/>
      <c r="Z29" s="109" t="n"/>
      <c r="AA29" s="109" t="n"/>
      <c r="AB29" s="109" t="n"/>
      <c r="AC29" s="109" t="inlineStr">
        <is>
          <t>US DC B4</t>
        </is>
      </c>
      <c r="AD29" s="109">
        <f>'US DC B4'!BC146</f>
        <v/>
      </c>
      <c r="AE29" s="109">
        <f>'US DC B4'!BF146</f>
        <v/>
      </c>
      <c r="AF29" s="109" t="n"/>
      <c r="AG29" s="109" t="n"/>
    </row>
    <row r="30">
      <c r="A30" s="109">
        <f>AND(OR(Dashboard!$C$4="All",Dashboard!$C$4=D30),OR(Dashboard!$C$5="All",Dashboard!$C$5=E30),OR(Dashboard!$C$6="All",Dashboard!$C$6=G30),OR(Dashboard!$C$7="All",Dashboard!$C$7=H30),OR(Dashboard!$C$8="All",Dashboard!$C$8=F30))</f>
        <v/>
      </c>
      <c r="B30" s="109">
        <f>IF(A30,B29+1,B29)</f>
        <v/>
      </c>
      <c r="C30" s="109" t="n">
        <v>59</v>
      </c>
      <c r="D30" s="109" t="inlineStr">
        <is>
          <t>DC B4</t>
        </is>
      </c>
      <c r="E30" s="109" t="inlineStr">
        <is>
          <t>US</t>
        </is>
      </c>
      <c r="F30" s="109" t="inlineStr">
        <is>
          <t>Bamboo</t>
        </is>
      </c>
      <c r="G30" s="109" t="inlineStr">
        <is>
          <t>Cariloha</t>
        </is>
      </c>
      <c r="H30" s="109" t="inlineStr">
        <is>
          <t>Poor</t>
        </is>
      </c>
      <c r="I30" s="109" t="inlineStr">
        <is>
          <t>Cariloha Aloha Soft Bamboo Viscose Sheet Set - Natural - Queen</t>
        </is>
      </c>
      <c r="J30" s="109" t="inlineStr">
        <is>
          <t>https://images-na.ssl-images-amazon.com/images/I/71Kvq1YdGJL.jpg</t>
        </is>
      </c>
      <c r="K30" s="109" t="inlineStr">
        <is>
          <t>B0F89K7BXJ</t>
        </is>
      </c>
      <c r="L30" s="109" t="inlineStr">
        <is>
          <t>B0DJV1K332</t>
        </is>
      </c>
      <c r="M30" s="109" t="n">
        <v>35</v>
      </c>
      <c r="N30" s="109" t="n">
        <v>107.1</v>
      </c>
      <c r="O30" s="109" t="n"/>
      <c r="P30" s="109">
        <f>IF(AND(ISNUMBER(O30),ISNUMBER(N30),N(N30)&gt;0),O30/N30-1,"")</f>
        <v/>
      </c>
      <c r="Q30" s="109" t="n">
        <v>89.98999999999999</v>
      </c>
      <c r="R30" s="109">
        <f>IF(AND(ISNUMBER(N30),ISNUMBER(Q30),N(Q30)&gt;0),N30/Q30-1,"")</f>
        <v/>
      </c>
      <c r="S30" s="109" t="n">
        <v>15882</v>
      </c>
      <c r="T30" s="109" t="n">
        <v>81</v>
      </c>
      <c r="U30" s="109" t="n">
        <v>4.4</v>
      </c>
      <c r="V30" s="109" t="n">
        <v>426</v>
      </c>
      <c r="W30" s="109" t="n"/>
      <c r="X30" s="109" t="n"/>
      <c r="Y30" s="109" t="n"/>
      <c r="Z30" s="109" t="n"/>
      <c r="AA30" s="109" t="n"/>
      <c r="AB30" s="109" t="n"/>
      <c r="AC30" s="109" t="inlineStr">
        <is>
          <t>US DC B4</t>
        </is>
      </c>
      <c r="AD30" s="109">
        <f>'US DC B4'!BC147</f>
        <v/>
      </c>
      <c r="AE30" s="109">
        <f>'US DC B4'!BF147</f>
        <v/>
      </c>
      <c r="AF30" s="109" t="inlineStr">
        <is>
          <t>Queen</t>
        </is>
      </c>
      <c r="AG30" s="109" t="n"/>
    </row>
    <row r="31">
      <c r="A31" s="109">
        <f>AND(OR(Dashboard!$C$4="All",Dashboard!$C$4=D31),OR(Dashboard!$C$5="All",Dashboard!$C$5=E31),OR(Dashboard!$C$6="All",Dashboard!$C$6=G31),OR(Dashboard!$C$7="All",Dashboard!$C$7=H31),OR(Dashboard!$C$8="All",Dashboard!$C$8=F31))</f>
        <v/>
      </c>
      <c r="B31" s="109">
        <f>IF(A31,B30+1,B30)</f>
        <v/>
      </c>
      <c r="C31" s="109" t="n">
        <v>59</v>
      </c>
      <c r="D31" s="109" t="inlineStr">
        <is>
          <t>DC B4</t>
        </is>
      </c>
      <c r="E31" s="109" t="inlineStr">
        <is>
          <t>US</t>
        </is>
      </c>
      <c r="F31" s="109" t="inlineStr">
        <is>
          <t>Bamboo</t>
        </is>
      </c>
      <c r="G31" s="109" t="inlineStr">
        <is>
          <t>ACCURATEX</t>
        </is>
      </c>
      <c r="H31" s="109" t="inlineStr">
        <is>
          <t>Poor</t>
        </is>
      </c>
      <c r="I31" s="109" t="inlineStr">
        <is>
          <t>ACCURATEX Cooling Sheets for Hot Sleepers, King Size, Grey</t>
        </is>
      </c>
      <c r="J31" s="109" t="inlineStr">
        <is>
          <t>https://images-na.ssl-images-amazon.com/images/I/81fSDKgL-SL.jpg</t>
        </is>
      </c>
      <c r="K31" s="109" t="inlineStr">
        <is>
          <t>B0GMGSMLQ1</t>
        </is>
      </c>
      <c r="L31" s="109" t="inlineStr">
        <is>
          <t>B09PYB9C45</t>
        </is>
      </c>
      <c r="M31" s="109" t="n">
        <v>51</v>
      </c>
      <c r="N31" s="109" t="n">
        <v>69.98999999999999</v>
      </c>
      <c r="O31" s="109" t="n"/>
      <c r="P31" s="109">
        <f>IF(AND(ISNUMBER(O31),ISNUMBER(N31),N(N31)&gt;0),O31/N31-1,"")</f>
        <v/>
      </c>
      <c r="Q31" s="109" t="n">
        <v>94.98999999999999</v>
      </c>
      <c r="R31" s="109">
        <f>IF(AND(ISNUMBER(N31),ISNUMBER(Q31),N(Q31)&gt;0),N31/Q31-1,"")</f>
        <v/>
      </c>
      <c r="S31" s="109" t="n">
        <v>33423</v>
      </c>
      <c r="T31" s="109" t="n">
        <v>35</v>
      </c>
      <c r="U31" s="109" t="n">
        <v>4.4</v>
      </c>
      <c r="V31" s="109" t="n">
        <v>1040</v>
      </c>
      <c r="W31" s="109" t="n"/>
      <c r="X31" s="109" t="n"/>
      <c r="Y31" s="109" t="n"/>
      <c r="Z31" s="109" t="n"/>
      <c r="AA31" s="109" t="n"/>
      <c r="AB31" s="109" t="n"/>
      <c r="AC31" s="109" t="inlineStr">
        <is>
          <t>US DC B4</t>
        </is>
      </c>
      <c r="AD31" s="109">
        <f>'US DC B4'!BC148</f>
        <v/>
      </c>
      <c r="AE31" s="109">
        <f>'US DC B4'!BF148</f>
        <v/>
      </c>
      <c r="AF31" s="109" t="inlineStr">
        <is>
          <t>King</t>
        </is>
      </c>
      <c r="AG31" s="109" t="inlineStr">
        <is>
          <t>Grey</t>
        </is>
      </c>
    </row>
    <row r="32">
      <c r="A32" s="109">
        <f>AND(OR(Dashboard!$C$4="All",Dashboard!$C$4=D32),OR(Dashboard!$C$5="All",Dashboard!$C$5=E32),OR(Dashboard!$C$6="All",Dashboard!$C$6=G32),OR(Dashboard!$C$7="All",Dashboard!$C$7=H32),OR(Dashboard!$C$8="All",Dashboard!$C$8=F32))</f>
        <v/>
      </c>
      <c r="B32" s="109">
        <f>IF(A32,B31+1,B31)</f>
        <v/>
      </c>
      <c r="C32" s="109" t="n">
        <v>59</v>
      </c>
      <c r="D32" s="109" t="inlineStr">
        <is>
          <t>DC B4</t>
        </is>
      </c>
      <c r="E32" s="109" t="inlineStr">
        <is>
          <t>US</t>
        </is>
      </c>
      <c r="F32" s="109" t="inlineStr">
        <is>
          <t>Bamboo</t>
        </is>
      </c>
      <c r="G32" s="109" t="inlineStr">
        <is>
          <t>Cozy Earth</t>
        </is>
      </c>
      <c r="H32" s="109" t="inlineStr">
        <is>
          <t>Poor</t>
        </is>
      </c>
      <c r="I32" s="109" t="inlineStr">
        <is>
          <t>Cozy Earth Luxury Bed Sheet Set, 100% Viscose from Bamboo Fabric</t>
        </is>
      </c>
      <c r="J32" s="109" t="inlineStr">
        <is>
          <t>https://images-na.ssl-images-amazon.com/images/I/61NbNWE+BJL.jpg</t>
        </is>
      </c>
      <c r="K32" s="109" t="inlineStr">
        <is>
          <t>B0DSQ9V4ML</t>
        </is>
      </c>
      <c r="L32" s="109" t="inlineStr">
        <is>
          <t>B0F22JR4S8</t>
        </is>
      </c>
      <c r="M32" s="109" t="n">
        <v>54</v>
      </c>
      <c r="N32" s="109" t="n">
        <v>328</v>
      </c>
      <c r="O32" s="109" t="n"/>
      <c r="P32" s="109">
        <f>IF(AND(ISNUMBER(O32),ISNUMBER(N32),N(N32)&gt;0),O32/N32-1,"")</f>
        <v/>
      </c>
      <c r="Q32" s="109" t="n">
        <v>89.98999999999999</v>
      </c>
      <c r="R32" s="109">
        <f>IF(AND(ISNUMBER(N32),ISNUMBER(Q32),N(Q32)&gt;0),N32/Q32-1,"")</f>
        <v/>
      </c>
      <c r="S32" s="109" t="n">
        <v>45709</v>
      </c>
      <c r="T32" s="109" t="n">
        <v>35</v>
      </c>
      <c r="U32" s="109" t="n">
        <v>3.9</v>
      </c>
      <c r="V32" s="109" t="n">
        <v>425</v>
      </c>
      <c r="W32" s="109" t="n"/>
      <c r="X32" s="109" t="n"/>
      <c r="Y32" s="109" t="n"/>
      <c r="Z32" s="109" t="n"/>
      <c r="AA32" s="109" t="n"/>
      <c r="AB32" s="109" t="n"/>
      <c r="AC32" s="109" t="inlineStr">
        <is>
          <t>US DC B4</t>
        </is>
      </c>
      <c r="AD32" s="109">
        <f>'US DC B4'!BC149</f>
        <v/>
      </c>
      <c r="AE32" s="109">
        <f>'US DC B4'!BF149</f>
        <v/>
      </c>
      <c r="AF32" s="109" t="n"/>
      <c r="AG32" s="109" t="n"/>
    </row>
    <row r="33">
      <c r="A33" s="109">
        <f>AND(OR(Dashboard!$C$4="All",Dashboard!$C$4=D33),OR(Dashboard!$C$5="All",Dashboard!$C$5=E33),OR(Dashboard!$C$6="All",Dashboard!$C$6=G33),OR(Dashboard!$C$7="All",Dashboard!$C$7=H33),OR(Dashboard!$C$8="All",Dashboard!$C$8=F33))</f>
        <v/>
      </c>
      <c r="B33" s="109">
        <f>IF(A33,B32+1,B32)</f>
        <v/>
      </c>
      <c r="C33" s="109" t="n">
        <v>59</v>
      </c>
      <c r="D33" s="109" t="inlineStr">
        <is>
          <t>DC B4</t>
        </is>
      </c>
      <c r="E33" s="109" t="inlineStr">
        <is>
          <t>US</t>
        </is>
      </c>
      <c r="F33" s="109" t="inlineStr">
        <is>
          <t>Bamboo</t>
        </is>
      </c>
      <c r="G33" s="109" t="inlineStr">
        <is>
          <t>DREAMCARE</t>
        </is>
      </c>
      <c r="H33" s="109" t="inlineStr">
        <is>
          <t>Poor</t>
        </is>
      </c>
      <c r="I33" s="109" t="inlineStr">
        <is>
          <t>DREAMCARE 100% Rayon Bamboo Sheets King Size - 4pc Cooling Sheets King Size</t>
        </is>
      </c>
      <c r="J33" s="109" t="inlineStr">
        <is>
          <t>https://images-na.ssl-images-amazon.com/images/I/61iqSV9TaLL.jpg</t>
        </is>
      </c>
      <c r="K33" s="109" t="inlineStr">
        <is>
          <t>B0DVZFLVMG</t>
        </is>
      </c>
      <c r="L33" s="109" t="inlineStr">
        <is>
          <t>B0CF2MND41</t>
        </is>
      </c>
      <c r="M33" s="109" t="n">
        <v>30</v>
      </c>
      <c r="N33" s="109" t="n">
        <v>46.74</v>
      </c>
      <c r="O33" s="109" t="n">
        <v>59.99</v>
      </c>
      <c r="P33" s="109">
        <f>IF(AND(ISNUMBER(O33),ISNUMBER(N33),N(N33)&gt;0),O33/N33-1,"")</f>
        <v/>
      </c>
      <c r="Q33" s="109" t="n">
        <v>94.98999999999999</v>
      </c>
      <c r="R33" s="109">
        <f>IF(AND(ISNUMBER(N33),ISNUMBER(Q33),N(Q33)&gt;0),N33/Q33-1,"")</f>
        <v/>
      </c>
      <c r="S33" s="109" t="n">
        <v>37217</v>
      </c>
      <c r="T33" s="109" t="n">
        <v>35</v>
      </c>
      <c r="U33" s="109" t="n">
        <v>4.5</v>
      </c>
      <c r="V33" s="109" t="n">
        <v>2261</v>
      </c>
      <c r="W33" s="109" t="n"/>
      <c r="X33" s="109" t="n"/>
      <c r="Y33" s="109" t="n"/>
      <c r="Z33" s="109" t="n"/>
      <c r="AA33" s="109" t="n"/>
      <c r="AB33" s="109" t="n"/>
      <c r="AC33" s="109" t="inlineStr">
        <is>
          <t>US DC B4</t>
        </is>
      </c>
      <c r="AD33" s="109">
        <f>'US DC B4'!BC150</f>
        <v/>
      </c>
      <c r="AE33" s="109">
        <f>'US DC B4'!BF150</f>
        <v/>
      </c>
      <c r="AF33" s="109" t="inlineStr">
        <is>
          <t>King</t>
        </is>
      </c>
      <c r="AG33" s="109" t="n"/>
    </row>
    <row r="34">
      <c r="A34" s="109">
        <f>AND(OR(Dashboard!$C$4="All",Dashboard!$C$4=D34),OR(Dashboard!$C$5="All",Dashboard!$C$5=E34),OR(Dashboard!$C$6="All",Dashboard!$C$6=G34),OR(Dashboard!$C$7="All",Dashboard!$C$7=H34),OR(Dashboard!$C$8="All",Dashboard!$C$8=F34))</f>
        <v/>
      </c>
      <c r="B34" s="109">
        <f>IF(A34,B33+1,B33)</f>
        <v/>
      </c>
      <c r="C34" s="109" t="n">
        <v>59</v>
      </c>
      <c r="D34" s="109" t="inlineStr">
        <is>
          <t>DC B4</t>
        </is>
      </c>
      <c r="E34" s="109" t="inlineStr">
        <is>
          <t>US</t>
        </is>
      </c>
      <c r="F34" s="109" t="inlineStr">
        <is>
          <t>Bamboo</t>
        </is>
      </c>
      <c r="G34" s="109" t="inlineStr">
        <is>
          <t>HOT SLEEPER SHEETS</t>
        </is>
      </c>
      <c r="H34" s="109" t="inlineStr">
        <is>
          <t>Poor</t>
        </is>
      </c>
      <c r="I34" s="109" t="inlineStr">
        <is>
          <t>Cooling Sheets Set Queen Size, Viscose Derived from Bamboo for Hot Sleepers | Deep Pocket Up to 16 Inch | Silky Soft &amp; Breathable Bedding - 4PC (Queen, Navy)</t>
        </is>
      </c>
      <c r="J34" s="109" t="inlineStr">
        <is>
          <t>https://images-na.ssl-images-amazon.com/images/I/81noqNc+ZjL.jpg</t>
        </is>
      </c>
      <c r="K34" s="109" t="inlineStr">
        <is>
          <t>B0DM3GDCTR</t>
        </is>
      </c>
      <c r="L34" s="109" t="inlineStr">
        <is>
          <t>B0D3XQM7DL</t>
        </is>
      </c>
      <c r="M34" s="109" t="n">
        <v>74</v>
      </c>
      <c r="N34" s="109" t="n">
        <v>51.29</v>
      </c>
      <c r="O34" s="109" t="n">
        <v>62.99</v>
      </c>
      <c r="P34" s="109">
        <f>IF(AND(ISNUMBER(O34),ISNUMBER(N34),N(N34)&gt;0),O34/N34-1,"")</f>
        <v/>
      </c>
      <c r="Q34" s="109" t="n">
        <v>89.98999999999999</v>
      </c>
      <c r="R34" s="109">
        <f>IF(AND(ISNUMBER(N34),ISNUMBER(Q34),N(Q34)&gt;0),N34/Q34-1,"")</f>
        <v/>
      </c>
      <c r="S34" s="109" t="n">
        <v>33959</v>
      </c>
      <c r="T34" s="109" t="n">
        <v>35</v>
      </c>
      <c r="U34" s="109" t="n">
        <v>4.4</v>
      </c>
      <c r="V34" s="109" t="n">
        <v>674</v>
      </c>
      <c r="W34" s="109" t="n"/>
      <c r="X34" s="109" t="n"/>
      <c r="Y34" s="109" t="n"/>
      <c r="Z34" s="109" t="n"/>
      <c r="AA34" s="109" t="n"/>
      <c r="AB34" s="109" t="n"/>
      <c r="AC34" s="109" t="inlineStr">
        <is>
          <t>US DC B4</t>
        </is>
      </c>
      <c r="AD34" s="109">
        <f>'US DC B4'!BC151</f>
        <v/>
      </c>
      <c r="AE34" s="109">
        <f>'US DC B4'!BF151</f>
        <v/>
      </c>
      <c r="AF34" s="109" t="inlineStr">
        <is>
          <t>Queen</t>
        </is>
      </c>
      <c r="AG34" s="109" t="inlineStr">
        <is>
          <t>Navy</t>
        </is>
      </c>
    </row>
    <row r="35">
      <c r="A35" s="109">
        <f>AND(OR(Dashboard!$C$4="All",Dashboard!$C$4=D35),OR(Dashboard!$C$5="All",Dashboard!$C$5=E35),OR(Dashboard!$C$6="All",Dashboard!$C$6=G35),OR(Dashboard!$C$7="All",Dashboard!$C$7=H35),OR(Dashboard!$C$8="All",Dashboard!$C$8=F35))</f>
        <v/>
      </c>
      <c r="B35" s="109">
        <f>IF(A35,B34+1,B34)</f>
        <v/>
      </c>
      <c r="C35" s="109" t="n">
        <v>59</v>
      </c>
      <c r="D35" s="109" t="inlineStr">
        <is>
          <t>DC B4</t>
        </is>
      </c>
      <c r="E35" s="109" t="inlineStr">
        <is>
          <t>US</t>
        </is>
      </c>
      <c r="F35" s="109" t="inlineStr">
        <is>
          <t>Bamboo</t>
        </is>
      </c>
      <c r="G35" s="109" t="inlineStr">
        <is>
          <t>Shilucheng</t>
        </is>
      </c>
      <c r="H35" s="109" t="inlineStr">
        <is>
          <t>Poor</t>
        </is>
      </c>
      <c r="I35" s="109" t="inlineStr">
        <is>
          <t>Shilucheng 100% Viscose Derived from Bamboo_ Sheets Queen Size 4pcs</t>
        </is>
      </c>
      <c r="J35" s="109" t="inlineStr">
        <is>
          <t>https://images-na.ssl-images-amazon.com/images/I/71+O+E9PlaL.jpg</t>
        </is>
      </c>
      <c r="K35" s="109" t="inlineStr">
        <is>
          <t>B09PYKYCCF</t>
        </is>
      </c>
      <c r="L35" s="109" t="inlineStr">
        <is>
          <t>B09PYKYCCF</t>
        </is>
      </c>
      <c r="M35" s="109" t="n">
        <v>79</v>
      </c>
      <c r="N35" s="109" t="n">
        <v>46.66</v>
      </c>
      <c r="O35" s="109" t="n">
        <v>54.9</v>
      </c>
      <c r="P35" s="109">
        <f>IF(AND(ISNUMBER(O35),ISNUMBER(N35),N(N35)&gt;0),O35/N35-1,"")</f>
        <v/>
      </c>
      <c r="Q35" s="109" t="n">
        <v>89.98999999999999</v>
      </c>
      <c r="R35" s="109">
        <f>IF(AND(ISNUMBER(N35),ISNUMBER(Q35),N(Q35)&gt;0),N35/Q35-1,"")</f>
        <v/>
      </c>
      <c r="S35" s="109" t="n">
        <v>26043</v>
      </c>
      <c r="T35" s="109" t="n">
        <v>35</v>
      </c>
      <c r="U35" s="109" t="n">
        <v>4.4</v>
      </c>
      <c r="V35" s="109" t="n">
        <v>6629</v>
      </c>
      <c r="W35" s="109" t="n"/>
      <c r="X35" s="109" t="n"/>
      <c r="Y35" s="109" t="n"/>
      <c r="Z35" s="109" t="n"/>
      <c r="AA35" s="109" t="n"/>
      <c r="AB35" s="109" t="n"/>
      <c r="AC35" s="109" t="inlineStr">
        <is>
          <t>US DC B4</t>
        </is>
      </c>
      <c r="AD35" s="109">
        <f>'US DC B4'!BC152</f>
        <v/>
      </c>
      <c r="AE35" s="109">
        <f>'US DC B4'!BF152</f>
        <v/>
      </c>
      <c r="AF35" s="109" t="inlineStr">
        <is>
          <t>Queen</t>
        </is>
      </c>
      <c r="AG35" s="109" t="n"/>
    </row>
    <row r="36">
      <c r="A36" s="109">
        <f>AND(OR(Dashboard!$C$4="All",Dashboard!$C$4=D36),OR(Dashboard!$C$5="All",Dashboard!$C$5=E36),OR(Dashboard!$C$6="All",Dashboard!$C$6=G36),OR(Dashboard!$C$7="All",Dashboard!$C$7=H36),OR(Dashboard!$C$8="All",Dashboard!$C$8=F36))</f>
        <v/>
      </c>
      <c r="B36" s="109">
        <f>IF(A36,B35+1,B35)</f>
        <v/>
      </c>
      <c r="C36" s="109" t="n">
        <v>59</v>
      </c>
      <c r="D36" s="109" t="inlineStr">
        <is>
          <t>DC B4</t>
        </is>
      </c>
      <c r="E36" s="109" t="inlineStr">
        <is>
          <t>US</t>
        </is>
      </c>
      <c r="F36" s="109" t="inlineStr">
        <is>
          <t>Bamboo</t>
        </is>
      </c>
      <c r="G36" s="109" t="inlineStr">
        <is>
          <t>Bamtek</t>
        </is>
      </c>
      <c r="H36" s="109" t="inlineStr">
        <is>
          <t>Poor</t>
        </is>
      </c>
      <c r="I36" s="109" t="inlineStr">
        <is>
          <t>Viscose Bamboo Sheets Queen Size 4PC Set - Cooling Bedding for Hot Sleepers with</t>
        </is>
      </c>
      <c r="J36" s="109" t="n"/>
      <c r="K36" s="109" t="inlineStr">
        <is>
          <t>B0CZHCZQZ3</t>
        </is>
      </c>
      <c r="L36" s="109" t="inlineStr">
        <is>
          <t>B09TQ6ZVKZ</t>
        </is>
      </c>
      <c r="M36" s="109" t="n"/>
      <c r="N36" s="109" t="n">
        <v>94.98999999999999</v>
      </c>
      <c r="O36" s="109" t="n"/>
      <c r="P36" s="109">
        <f>IF(AND(ISNUMBER(O36),ISNUMBER(N36),N(N36)&gt;0),O36/N36-1,"")</f>
        <v/>
      </c>
      <c r="Q36" s="109" t="n">
        <v>89.98999999999999</v>
      </c>
      <c r="R36" s="109">
        <f>IF(AND(ISNUMBER(N36),ISNUMBER(Q36),N(Q36)&gt;0),N36/Q36-1,"")</f>
        <v/>
      </c>
      <c r="S36" s="109" t="n">
        <v>79376</v>
      </c>
      <c r="T36" s="109" t="n">
        <v>18</v>
      </c>
      <c r="U36" s="109" t="n">
        <v>4.4</v>
      </c>
      <c r="V36" s="109" t="n">
        <v>641</v>
      </c>
      <c r="W36" s="109" t="n"/>
      <c r="X36" s="109" t="n"/>
      <c r="Y36" s="109" t="n"/>
      <c r="Z36" s="109" t="n"/>
      <c r="AA36" s="109" t="n"/>
      <c r="AB36" s="109" t="n"/>
      <c r="AC36" s="109" t="inlineStr">
        <is>
          <t>US DC B4</t>
        </is>
      </c>
      <c r="AD36" s="109">
        <f>'US DC B4'!BC153</f>
        <v/>
      </c>
      <c r="AE36" s="109">
        <f>'US DC B4'!BF153</f>
        <v/>
      </c>
      <c r="AF36" s="109" t="inlineStr">
        <is>
          <t>Queen</t>
        </is>
      </c>
      <c r="AG36" s="109" t="n"/>
    </row>
    <row r="37">
      <c r="A37" s="109">
        <f>AND(OR(Dashboard!$C$4="All",Dashboard!$C$4=D37),OR(Dashboard!$C$5="All",Dashboard!$C$5=E37),OR(Dashboard!$C$6="All",Dashboard!$C$6=G37),OR(Dashboard!$C$7="All",Dashboard!$C$7=H37),OR(Dashboard!$C$8="All",Dashboard!$C$8=F37))</f>
        <v/>
      </c>
      <c r="B37" s="109">
        <f>IF(A37,B36+1,B36)</f>
        <v/>
      </c>
      <c r="C37" s="109" t="n">
        <v>59</v>
      </c>
      <c r="D37" s="109" t="inlineStr">
        <is>
          <t>DC B4</t>
        </is>
      </c>
      <c r="E37" s="109" t="inlineStr">
        <is>
          <t>US</t>
        </is>
      </c>
      <c r="F37" s="109" t="inlineStr">
        <is>
          <t>Bamboo</t>
        </is>
      </c>
      <c r="G37" s="109" t="inlineStr">
        <is>
          <t>JSD</t>
        </is>
      </c>
      <c r="H37" s="109" t="inlineStr">
        <is>
          <t>Poor</t>
        </is>
      </c>
      <c r="I37" s="109" t="inlineStr">
        <is>
          <t>JSD Sage Green 100% Viscose Derived from Bamboo Cooling Sheet Set Queen</t>
        </is>
      </c>
      <c r="J37" s="109" t="inlineStr">
        <is>
          <t>https://images-na.ssl-images-amazon.com/images/I/61imzycbiwL.jpg</t>
        </is>
      </c>
      <c r="K37" s="109" t="inlineStr">
        <is>
          <t>B0DTY15N29</t>
        </is>
      </c>
      <c r="L37" s="109" t="inlineStr">
        <is>
          <t>B0DSZTLBV1</t>
        </is>
      </c>
      <c r="M37" s="109" t="n">
        <v>32</v>
      </c>
      <c r="N37" s="109" t="n">
        <v>56.99</v>
      </c>
      <c r="O37" s="109" t="n"/>
      <c r="P37" s="109">
        <f>IF(AND(ISNUMBER(O37),ISNUMBER(N37),N(N37)&gt;0),O37/N37-1,"")</f>
        <v/>
      </c>
      <c r="Q37" s="109" t="n">
        <v>89.98999999999999</v>
      </c>
      <c r="R37" s="109">
        <f>IF(AND(ISNUMBER(N37),ISNUMBER(Q37),N(Q37)&gt;0),N37/Q37-1,"")</f>
        <v/>
      </c>
      <c r="S37" s="109" t="n">
        <v>76312</v>
      </c>
      <c r="T37" s="109" t="n">
        <v>18</v>
      </c>
      <c r="U37" s="109" t="n">
        <v>4.3</v>
      </c>
      <c r="V37" s="109" t="n">
        <v>281</v>
      </c>
      <c r="W37" s="109" t="n"/>
      <c r="X37" s="109" t="n"/>
      <c r="Y37" s="109" t="n"/>
      <c r="Z37" s="109" t="n"/>
      <c r="AA37" s="109" t="n"/>
      <c r="AB37" s="109" t="n"/>
      <c r="AC37" s="109" t="inlineStr">
        <is>
          <t>US DC B4</t>
        </is>
      </c>
      <c r="AD37" s="109">
        <f>'US DC B4'!BC154</f>
        <v/>
      </c>
      <c r="AE37" s="109">
        <f>'US DC B4'!BF154</f>
        <v/>
      </c>
      <c r="AF37" s="109" t="inlineStr">
        <is>
          <t>Queen</t>
        </is>
      </c>
      <c r="AG37" s="109" t="inlineStr">
        <is>
          <t>Green</t>
        </is>
      </c>
    </row>
    <row r="38">
      <c r="A38" s="109">
        <f>AND(OR(Dashboard!$C$4="All",Dashboard!$C$4=D38),OR(Dashboard!$C$5="All",Dashboard!$C$5=E38),OR(Dashboard!$C$6="All",Dashboard!$C$6=G38),OR(Dashboard!$C$7="All",Dashboard!$C$7=H38),OR(Dashboard!$C$8="All",Dashboard!$C$8=F38))</f>
        <v/>
      </c>
      <c r="B38" s="109">
        <f>IF(A38,B37+1,B37)</f>
        <v/>
      </c>
      <c r="C38" s="109" t="n">
        <v>59</v>
      </c>
      <c r="D38" s="109" t="inlineStr">
        <is>
          <t>DC B4</t>
        </is>
      </c>
      <c r="E38" s="109" t="inlineStr">
        <is>
          <t>US</t>
        </is>
      </c>
      <c r="F38" s="109" t="inlineStr">
        <is>
          <t>Bamboo</t>
        </is>
      </c>
      <c r="G38" s="109" t="inlineStr">
        <is>
          <t>Kickoff Home</t>
        </is>
      </c>
      <c r="H38" s="109" t="inlineStr">
        <is>
          <t>Poor</t>
        </is>
      </c>
      <c r="I38" s="109" t="inlineStr">
        <is>
          <t>Bamboo Sheets</t>
        </is>
      </c>
      <c r="J38" s="109" t="inlineStr">
        <is>
          <t>https://images-na.ssl-images-amazon.com/images/I/71zrq2AtnUL.jpg</t>
        </is>
      </c>
      <c r="K38" s="109" t="inlineStr">
        <is>
          <t>B0D4KS4MVX</t>
        </is>
      </c>
      <c r="L38" s="109" t="inlineStr">
        <is>
          <t>B0CHN5ZPFH</t>
        </is>
      </c>
      <c r="M38" s="109" t="n">
        <v>106</v>
      </c>
      <c r="N38" s="109" t="n">
        <v>76.98999999999999</v>
      </c>
      <c r="O38" s="109" t="n">
        <v>84.98999999999999</v>
      </c>
      <c r="P38" s="109">
        <f>IF(AND(ISNUMBER(O38),ISNUMBER(N38),N(N38)&gt;0),O38/N38-1,"")</f>
        <v/>
      </c>
      <c r="Q38" s="109" t="n">
        <v>89.98999999999999</v>
      </c>
      <c r="R38" s="109">
        <f>IF(AND(ISNUMBER(N38),ISNUMBER(Q38),N(Q38)&gt;0),N38/Q38-1,"")</f>
        <v/>
      </c>
      <c r="S38" s="109" t="n">
        <v>23579</v>
      </c>
      <c r="T38" s="109" t="n">
        <v>18</v>
      </c>
      <c r="U38" s="109" t="n">
        <v>4.6</v>
      </c>
      <c r="V38" s="109" t="n">
        <v>688</v>
      </c>
      <c r="W38" s="109" t="n">
        <v>58169</v>
      </c>
      <c r="X38" s="109" t="n">
        <v>0.8765498702057799</v>
      </c>
      <c r="Y38" s="109" t="n">
        <v>330</v>
      </c>
      <c r="Z38" s="109" t="n">
        <v>218</v>
      </c>
      <c r="AA38" s="109" t="n">
        <v>54</v>
      </c>
      <c r="AB38" s="109" t="n"/>
      <c r="AC38" s="109" t="inlineStr">
        <is>
          <t>US DC B4</t>
        </is>
      </c>
      <c r="AD38" s="109">
        <f>'US DC B4'!BC155</f>
        <v/>
      </c>
      <c r="AE38" s="109">
        <f>'US DC B4'!BF155</f>
        <v/>
      </c>
      <c r="AF38" s="109" t="n"/>
      <c r="AG38" s="109" t="n"/>
    </row>
    <row r="39">
      <c r="A39" s="109">
        <f>AND(OR(Dashboard!$C$4="All",Dashboard!$C$4=D39),OR(Dashboard!$C$5="All",Dashboard!$C$5=E39),OR(Dashboard!$C$6="All",Dashboard!$C$6=G39),OR(Dashboard!$C$7="All",Dashboard!$C$7=H39),OR(Dashboard!$C$8="All",Dashboard!$C$8=F39))</f>
        <v/>
      </c>
      <c r="B39" s="109">
        <f>IF(A39,B38+1,B38)</f>
        <v/>
      </c>
      <c r="C39" s="109" t="n">
        <v>59</v>
      </c>
      <c r="D39" s="109" t="inlineStr">
        <is>
          <t>DC B4</t>
        </is>
      </c>
      <c r="E39" s="109" t="inlineStr">
        <is>
          <t>US</t>
        </is>
      </c>
      <c r="F39" s="109" t="inlineStr">
        <is>
          <t>Bamboo</t>
        </is>
      </c>
      <c r="G39" s="109" t="inlineStr">
        <is>
          <t>LB Luxury Bamboo Market</t>
        </is>
      </c>
      <c r="H39" s="109" t="inlineStr">
        <is>
          <t>Poor</t>
        </is>
      </c>
      <c r="I39" s="109" t="inlineStr">
        <is>
          <t>Bamboo Sheets</t>
        </is>
      </c>
      <c r="J39" s="109" t="n"/>
      <c r="K39" s="109" t="inlineStr">
        <is>
          <t>B0D1HWHDL2</t>
        </is>
      </c>
      <c r="L39" s="109" t="inlineStr">
        <is>
          <t>B0CH7N9WVC</t>
        </is>
      </c>
      <c r="M39" s="109" t="n"/>
      <c r="N39" s="109" t="n">
        <v>129.94</v>
      </c>
      <c r="O39" s="109" t="n"/>
      <c r="P39" s="109">
        <f>IF(AND(ISNUMBER(O39),ISNUMBER(N39),N(N39)&gt;0),O39/N39-1,"")</f>
        <v/>
      </c>
      <c r="Q39" s="109" t="n">
        <v>89.98999999999999</v>
      </c>
      <c r="R39" s="109">
        <f>IF(AND(ISNUMBER(N39),ISNUMBER(Q39),N(Q39)&gt;0),N39/Q39-1,"")</f>
        <v/>
      </c>
      <c r="S39" s="109" t="n">
        <v>47800</v>
      </c>
      <c r="T39" s="109" t="n">
        <v>18</v>
      </c>
      <c r="U39" s="109" t="n">
        <v>4.5</v>
      </c>
      <c r="V39" s="109" t="n">
        <v>517</v>
      </c>
      <c r="W39" s="109" t="n"/>
      <c r="X39" s="109" t="n"/>
      <c r="Y39" s="109" t="n"/>
      <c r="Z39" s="109" t="n"/>
      <c r="AA39" s="109" t="n"/>
      <c r="AB39" s="109" t="n"/>
      <c r="AC39" s="109" t="inlineStr">
        <is>
          <t>US DC B4</t>
        </is>
      </c>
      <c r="AD39" s="109">
        <f>'US DC B4'!BC156</f>
        <v/>
      </c>
      <c r="AE39" s="109">
        <f>'US DC B4'!BF156</f>
        <v/>
      </c>
      <c r="AF39" s="109" t="n"/>
      <c r="AG39" s="109" t="n"/>
    </row>
    <row r="40">
      <c r="A40" s="109">
        <f>AND(OR(Dashboard!$C$4="All",Dashboard!$C$4=D40),OR(Dashboard!$C$5="All",Dashboard!$C$5=E40),OR(Dashboard!$C$6="All",Dashboard!$C$6=G40),OR(Dashboard!$C$7="All",Dashboard!$C$7=H40),OR(Dashboard!$C$8="All",Dashboard!$C$8=F40))</f>
        <v/>
      </c>
      <c r="B40" s="109">
        <f>IF(A40,B39+1,B39)</f>
        <v/>
      </c>
      <c r="C40" s="109" t="n">
        <v>59</v>
      </c>
      <c r="D40" s="109" t="inlineStr">
        <is>
          <t>DC B4</t>
        </is>
      </c>
      <c r="E40" s="109" t="inlineStr">
        <is>
          <t>US</t>
        </is>
      </c>
      <c r="F40" s="109" t="inlineStr">
        <is>
          <t>Bamboo</t>
        </is>
      </c>
      <c r="G40" s="109" t="inlineStr">
        <is>
          <t>Shilucheng</t>
        </is>
      </c>
      <c r="H40" s="109" t="inlineStr">
        <is>
          <t>Poor</t>
        </is>
      </c>
      <c r="I40" s="109" t="inlineStr">
        <is>
          <t>Shilucheng 100% Viscose Derived from Bamboo_Sheets, Extra Deep Pocket</t>
        </is>
      </c>
      <c r="J40" s="109" t="inlineStr">
        <is>
          <t>https://images-na.ssl-images-amazon.com/images/I/71NxE1i+4jL.jpg</t>
        </is>
      </c>
      <c r="K40" s="109" t="inlineStr">
        <is>
          <t>B0F2TBWTZR</t>
        </is>
      </c>
      <c r="L40" s="109" t="inlineStr">
        <is>
          <t>B0F2TBWTZR</t>
        </is>
      </c>
      <c r="M40" s="109" t="n">
        <v>32</v>
      </c>
      <c r="N40" s="109" t="n">
        <v>69.98999999999999</v>
      </c>
      <c r="O40" s="109" t="n">
        <v>84.98999999999999</v>
      </c>
      <c r="P40" s="109">
        <f>IF(AND(ISNUMBER(O40),ISNUMBER(N40),N(N40)&gt;0),O40/N40-1,"")</f>
        <v/>
      </c>
      <c r="Q40" s="109" t="n">
        <v>89.98999999999999</v>
      </c>
      <c r="R40" s="109">
        <f>IF(AND(ISNUMBER(N40),ISNUMBER(Q40),N(Q40)&gt;0),N40/Q40-1,"")</f>
        <v/>
      </c>
      <c r="S40" s="109" t="n">
        <v>39194</v>
      </c>
      <c r="T40" s="109" t="n">
        <v>18</v>
      </c>
      <c r="U40" s="109" t="n">
        <v>4.5</v>
      </c>
      <c r="V40" s="109" t="n">
        <v>1639</v>
      </c>
      <c r="W40" s="109" t="n"/>
      <c r="X40" s="109" t="n"/>
      <c r="Y40" s="109" t="n"/>
      <c r="Z40" s="109" t="n"/>
      <c r="AA40" s="109" t="n"/>
      <c r="AB40" s="109" t="n"/>
      <c r="AC40" s="109" t="inlineStr">
        <is>
          <t>US DC B4</t>
        </is>
      </c>
      <c r="AD40" s="109">
        <f>'US DC B4'!BC157</f>
        <v/>
      </c>
      <c r="AE40" s="109">
        <f>'US DC B4'!BF157</f>
        <v/>
      </c>
      <c r="AF40" s="109" t="n"/>
      <c r="AG40" s="109" t="n"/>
    </row>
    <row r="41">
      <c r="A41" s="109">
        <f>AND(OR(Dashboard!$C$4="All",Dashboard!$C$4=D41),OR(Dashboard!$C$5="All",Dashboard!$C$5=E41),OR(Dashboard!$C$6="All",Dashboard!$C$6=G41),OR(Dashboard!$C$7="All",Dashboard!$C$7=H41),OR(Dashboard!$C$8="All",Dashboard!$C$8=F41))</f>
        <v/>
      </c>
      <c r="B41" s="109">
        <f>IF(A41,B40+1,B40)</f>
        <v/>
      </c>
      <c r="C41" s="109" t="n">
        <v>59</v>
      </c>
      <c r="D41" s="109" t="inlineStr">
        <is>
          <t>DC B4</t>
        </is>
      </c>
      <c r="E41" s="109" t="inlineStr">
        <is>
          <t>US</t>
        </is>
      </c>
      <c r="F41" s="109" t="inlineStr">
        <is>
          <t>Bamboo</t>
        </is>
      </c>
      <c r="G41" s="109" t="inlineStr">
        <is>
          <t>Bamboo Bay</t>
        </is>
      </c>
      <c r="H41" s="109" t="inlineStr">
        <is>
          <t>Poor</t>
        </is>
      </c>
      <c r="I41" s="109" t="inlineStr">
        <is>
          <t>Bamboo Sheets</t>
        </is>
      </c>
      <c r="J41" s="109" t="n"/>
      <c r="K41" s="109" t="inlineStr">
        <is>
          <t>B0DLF1SWJ5</t>
        </is>
      </c>
      <c r="L41" s="109" t="inlineStr">
        <is>
          <t>B07TBHLZJM</t>
        </is>
      </c>
      <c r="M41" s="109" t="n"/>
      <c r="N41" s="109" t="n">
        <v>79.98</v>
      </c>
      <c r="O41" s="109" t="n"/>
      <c r="P41" s="109">
        <f>IF(AND(ISNUMBER(O41),ISNUMBER(N41),N(N41)&gt;0),O41/N41-1,"")</f>
        <v/>
      </c>
      <c r="Q41" s="109" t="n">
        <v>89.98999999999999</v>
      </c>
      <c r="R41" s="109">
        <f>IF(AND(ISNUMBER(N41),ISNUMBER(Q41),N(Q41)&gt;0),N41/Q41-1,"")</f>
        <v/>
      </c>
      <c r="S41" s="109" t="n">
        <v>131083</v>
      </c>
      <c r="T41" s="109" t="n">
        <v>5</v>
      </c>
      <c r="U41" s="109" t="n">
        <v>4.5</v>
      </c>
      <c r="V41" s="109" t="n">
        <v>2691</v>
      </c>
      <c r="W41" s="109" t="n"/>
      <c r="X41" s="109" t="n"/>
      <c r="Y41" s="109" t="n"/>
      <c r="Z41" s="109" t="n"/>
      <c r="AA41" s="109" t="n"/>
      <c r="AB41" s="109" t="n"/>
      <c r="AC41" s="109" t="inlineStr">
        <is>
          <t>US DC B4</t>
        </is>
      </c>
      <c r="AD41" s="109">
        <f>'US DC B4'!BC158</f>
        <v/>
      </c>
      <c r="AE41" s="109">
        <f>'US DC B4'!BF158</f>
        <v/>
      </c>
      <c r="AF41" s="109" t="n"/>
      <c r="AG41" s="109" t="n"/>
    </row>
    <row r="42">
      <c r="A42" s="109">
        <f>AND(OR(Dashboard!$C$4="All",Dashboard!$C$4=D42),OR(Dashboard!$C$5="All",Dashboard!$C$5=E42),OR(Dashboard!$C$6="All",Dashboard!$C$6=G42),OR(Dashboard!$C$7="All",Dashboard!$C$7=H42),OR(Dashboard!$C$8="All",Dashboard!$C$8=F42))</f>
        <v/>
      </c>
      <c r="B42" s="109">
        <f>IF(A42,B41+1,B41)</f>
        <v/>
      </c>
      <c r="C42" s="109" t="n">
        <v>59</v>
      </c>
      <c r="D42" s="109" t="inlineStr">
        <is>
          <t>DC B4</t>
        </is>
      </c>
      <c r="E42" s="109" t="inlineStr">
        <is>
          <t>US</t>
        </is>
      </c>
      <c r="F42" s="109" t="inlineStr">
        <is>
          <t>Bamboo</t>
        </is>
      </c>
      <c r="G42" s="109" t="inlineStr">
        <is>
          <t>LBRO2M</t>
        </is>
      </c>
      <c r="H42" s="109" t="inlineStr">
        <is>
          <t>Poor</t>
        </is>
      </c>
      <c r="I42" s="109" t="inlineStr">
        <is>
          <t>LBRO2M Cooling Bed Sheet 100% Viscose Derived from Bamboo Sheet Set Queen Size 6</t>
        </is>
      </c>
      <c r="J42" s="109" t="n"/>
      <c r="K42" s="109" t="inlineStr">
        <is>
          <t>B0F9FK3L6J</t>
        </is>
      </c>
      <c r="L42" s="109" t="inlineStr">
        <is>
          <t>B0F9FK7SMW</t>
        </is>
      </c>
      <c r="M42" s="109" t="n"/>
      <c r="N42" s="109" t="n">
        <v>94.98999999999999</v>
      </c>
      <c r="O42" s="109" t="n"/>
      <c r="P42" s="109">
        <f>IF(AND(ISNUMBER(O42),ISNUMBER(N42),N(N42)&gt;0),O42/N42-1,"")</f>
        <v/>
      </c>
      <c r="Q42" s="109" t="n">
        <v>89.98999999999999</v>
      </c>
      <c r="R42" s="109">
        <f>IF(AND(ISNUMBER(N42),ISNUMBER(Q42),N(Q42)&gt;0),N42/Q42-1,"")</f>
        <v/>
      </c>
      <c r="S42" s="109" t="n">
        <v>1003118</v>
      </c>
      <c r="T42" s="109" t="n">
        <v>5</v>
      </c>
      <c r="U42" s="109" t="n">
        <v>4.4</v>
      </c>
      <c r="V42" s="109" t="n">
        <v>18</v>
      </c>
      <c r="W42" s="109" t="n"/>
      <c r="X42" s="109" t="n"/>
      <c r="Y42" s="109" t="n"/>
      <c r="Z42" s="109" t="n"/>
      <c r="AA42" s="109" t="n"/>
      <c r="AB42" s="109" t="n"/>
      <c r="AC42" s="109" t="inlineStr">
        <is>
          <t>US DC B4</t>
        </is>
      </c>
      <c r="AD42" s="109">
        <f>'US DC B4'!BC159</f>
        <v/>
      </c>
      <c r="AE42" s="109">
        <f>'US DC B4'!BF159</f>
        <v/>
      </c>
      <c r="AF42" s="109" t="inlineStr">
        <is>
          <t>Queen</t>
        </is>
      </c>
      <c r="AG42" s="109" t="n"/>
    </row>
    <row r="43">
      <c r="A43" s="109">
        <f>AND(OR(Dashboard!$C$4="All",Dashboard!$C$4=D43),OR(Dashboard!$C$5="All",Dashboard!$C$5=E43),OR(Dashboard!$C$6="All",Dashboard!$C$6=G43),OR(Dashboard!$C$7="All",Dashboard!$C$7=H43),OR(Dashboard!$C$8="All",Dashboard!$C$8=F43))</f>
        <v/>
      </c>
      <c r="B43" s="109">
        <f>IF(A43,B42+1,B42)</f>
        <v/>
      </c>
      <c r="C43" s="109" t="n">
        <v>59</v>
      </c>
      <c r="D43" s="109" t="inlineStr">
        <is>
          <t>DC B4</t>
        </is>
      </c>
      <c r="E43" s="109" t="inlineStr">
        <is>
          <t>US</t>
        </is>
      </c>
      <c r="F43" s="109" t="inlineStr">
        <is>
          <t>Bamboo</t>
        </is>
      </c>
      <c r="G43" s="109" t="inlineStr">
        <is>
          <t>TWK</t>
        </is>
      </c>
      <c r="H43" s="109" t="inlineStr">
        <is>
          <t>Poor</t>
        </is>
      </c>
      <c r="I43" s="109" t="inlineStr">
        <is>
          <t>TWK Luxury Sheet Set, Genuine 100% Viscose Derived from Bamboo, Cooling &amp; Breathable, Silky Soft, Bedding Sheets &amp; Pillowcases (White, King(78 * 80 * 15))</t>
        </is>
      </c>
      <c r="J43" s="109" t="inlineStr">
        <is>
          <t>https://images-na.ssl-images-amazon.com/images/I/71YlZk0Q9-L.jpg</t>
        </is>
      </c>
      <c r="K43" s="109" t="inlineStr">
        <is>
          <t>B0GVP3B7LS</t>
        </is>
      </c>
      <c r="L43" s="109" t="inlineStr">
        <is>
          <t>B0GVP3B7LS</t>
        </is>
      </c>
      <c r="M43" s="109" t="n">
        <v>1</v>
      </c>
      <c r="N43" s="109" t="n">
        <v>46.74</v>
      </c>
      <c r="O43" s="109" t="n"/>
      <c r="P43" s="109">
        <f>IF(AND(ISNUMBER(O43),ISNUMBER(N43),N(N43)&gt;0),O43/N43-1,"")</f>
        <v/>
      </c>
      <c r="Q43" s="109" t="n">
        <v>94.98999999999999</v>
      </c>
      <c r="R43" s="109">
        <f>IF(AND(ISNUMBER(N43),ISNUMBER(Q43),N(Q43)&gt;0),N43/Q43-1,"")</f>
        <v/>
      </c>
      <c r="S43" s="109" t="n">
        <v>2065761</v>
      </c>
      <c r="T43" s="109" t="n">
        <v>5</v>
      </c>
      <c r="U43" s="109" t="n">
        <v>4.5</v>
      </c>
      <c r="V43" s="109" t="n">
        <v>11</v>
      </c>
      <c r="W43" s="109" t="n"/>
      <c r="X43" s="109" t="n"/>
      <c r="Y43" s="109" t="n"/>
      <c r="Z43" s="109" t="n"/>
      <c r="AA43" s="109" t="n"/>
      <c r="AB43" s="109" t="n"/>
      <c r="AC43" s="109" t="inlineStr">
        <is>
          <t>US DC B4</t>
        </is>
      </c>
      <c r="AD43" s="109">
        <f>'US DC B4'!BC160</f>
        <v/>
      </c>
      <c r="AE43" s="109">
        <f>'US DC B4'!BF160</f>
        <v/>
      </c>
      <c r="AF43" s="109" t="inlineStr">
        <is>
          <t>King</t>
        </is>
      </c>
      <c r="AG43" s="109" t="inlineStr">
        <is>
          <t>White</t>
        </is>
      </c>
    </row>
    <row r="44">
      <c r="A44" s="109">
        <f>AND(OR(Dashboard!$C$4="All",Dashboard!$C$4=D44),OR(Dashboard!$C$5="All",Dashboard!$C$5=E44),OR(Dashboard!$C$6="All",Dashboard!$C$6=G44),OR(Dashboard!$C$7="All",Dashboard!$C$7=H44),OR(Dashboard!$C$8="All",Dashboard!$C$8=F44))</f>
        <v/>
      </c>
      <c r="B44" s="109">
        <f>IF(A44,B43+1,B43)</f>
        <v/>
      </c>
      <c r="C44" s="109" t="n">
        <v>59</v>
      </c>
      <c r="D44" s="109" t="inlineStr">
        <is>
          <t>DC B4</t>
        </is>
      </c>
      <c r="E44" s="109" t="inlineStr">
        <is>
          <t>US</t>
        </is>
      </c>
      <c r="F44" s="109" t="inlineStr">
        <is>
          <t>Bamboo</t>
        </is>
      </c>
      <c r="G44" s="109" t="inlineStr">
        <is>
          <t>TWK</t>
        </is>
      </c>
      <c r="H44" s="109" t="inlineStr">
        <is>
          <t>Poor</t>
        </is>
      </c>
      <c r="I44" s="109" t="inlineStr">
        <is>
          <t>TWK Luxury Sheet Set, Genuine 100% Organic Viscose Derived from Bamboo, Cooling &amp; Breathable, Silky Soft, Bedding Sheets &amp; Pillowcases (Mist Gray, King)</t>
        </is>
      </c>
      <c r="J44" s="109" t="inlineStr">
        <is>
          <t>https://images-na.ssl-images-amazon.com/images/I/71gw0WpuNuL.jpg</t>
        </is>
      </c>
      <c r="K44" s="109" t="inlineStr">
        <is>
          <t>B0DYT2QWLC</t>
        </is>
      </c>
      <c r="L44" s="109" t="inlineStr">
        <is>
          <t>B0DYT2QWLC</t>
        </is>
      </c>
      <c r="M44" s="109" t="n">
        <v>1</v>
      </c>
      <c r="N44" s="109" t="n">
        <v>109.99</v>
      </c>
      <c r="O44" s="109" t="n"/>
      <c r="P44" s="109">
        <f>IF(AND(ISNUMBER(O44),ISNUMBER(N44),N(N44)&gt;0),O44/N44-1,"")</f>
        <v/>
      </c>
      <c r="Q44" s="109" t="n">
        <v>94.98999999999999</v>
      </c>
      <c r="R44" s="109">
        <f>IF(AND(ISNUMBER(N44),ISNUMBER(Q44),N(Q44)&gt;0),N44/Q44-1,"")</f>
        <v/>
      </c>
      <c r="S44" s="109" t="n">
        <v>1506045</v>
      </c>
      <c r="T44" s="109" t="n">
        <v>5</v>
      </c>
      <c r="U44" s="109" t="n">
        <v>4.5</v>
      </c>
      <c r="V44" s="109" t="n">
        <v>39</v>
      </c>
      <c r="W44" s="109" t="n"/>
      <c r="X44" s="109" t="n"/>
      <c r="Y44" s="109" t="n"/>
      <c r="Z44" s="109" t="n"/>
      <c r="AA44" s="109" t="n"/>
      <c r="AB44" s="109" t="n"/>
      <c r="AC44" s="109" t="inlineStr">
        <is>
          <t>US DC B4</t>
        </is>
      </c>
      <c r="AD44" s="109">
        <f>'US DC B4'!BC161</f>
        <v/>
      </c>
      <c r="AE44" s="109">
        <f>'US DC B4'!BF161</f>
        <v/>
      </c>
      <c r="AF44" s="109" t="inlineStr">
        <is>
          <t>King</t>
        </is>
      </c>
      <c r="AG44" s="109" t="inlineStr">
        <is>
          <t>Mist Gray</t>
        </is>
      </c>
    </row>
    <row r="45">
      <c r="A45" s="109">
        <f>AND(OR(Dashboard!$C$4="All",Dashboard!$C$4=D45),OR(Dashboard!$C$5="All",Dashboard!$C$5=E45),OR(Dashboard!$C$6="All",Dashboard!$C$6=G45),OR(Dashboard!$C$7="All",Dashboard!$C$7=H45),OR(Dashboard!$C$8="All",Dashboard!$C$8=F45))</f>
        <v/>
      </c>
      <c r="B45" s="109">
        <f>IF(A45,B44+1,B44)</f>
        <v/>
      </c>
      <c r="C45" s="109" t="n">
        <v>59</v>
      </c>
      <c r="D45" s="109" t="inlineStr">
        <is>
          <t>DC B4</t>
        </is>
      </c>
      <c r="E45" s="109" t="inlineStr">
        <is>
          <t>US</t>
        </is>
      </c>
      <c r="F45" s="109" t="inlineStr">
        <is>
          <t>Bamboo</t>
        </is>
      </c>
      <c r="G45" s="109" t="inlineStr">
        <is>
          <t>TWK</t>
        </is>
      </c>
      <c r="H45" s="109" t="inlineStr">
        <is>
          <t>Poor</t>
        </is>
      </c>
      <c r="I45" s="109" t="inlineStr">
        <is>
          <t>4 Piece Bamboo Sheet Set</t>
        </is>
      </c>
      <c r="J45" s="109" t="n"/>
      <c r="K45" s="109" t="inlineStr">
        <is>
          <t>B0GKFHP6L6</t>
        </is>
      </c>
      <c r="L45" s="109" t="inlineStr">
        <is>
          <t>B0GW7H7RHY</t>
        </is>
      </c>
      <c r="M45" s="109" t="n"/>
      <c r="N45" s="109" t="n">
        <v>109.99</v>
      </c>
      <c r="O45" s="109" t="n"/>
      <c r="P45" s="109">
        <f>IF(AND(ISNUMBER(O45),ISNUMBER(N45),N(N45)&gt;0),O45/N45-1,"")</f>
        <v/>
      </c>
      <c r="Q45" s="109" t="n">
        <v>89.98999999999999</v>
      </c>
      <c r="R45" s="109">
        <f>IF(AND(ISNUMBER(N45),ISNUMBER(Q45),N(Q45)&gt;0),N45/Q45-1,"")</f>
        <v/>
      </c>
      <c r="S45" s="109" t="n">
        <v>4355899</v>
      </c>
      <c r="T45" s="109" t="n">
        <v>5</v>
      </c>
      <c r="U45" s="109" t="n">
        <v>4.5</v>
      </c>
      <c r="V45" s="109" t="n">
        <v>2</v>
      </c>
      <c r="W45" s="109" t="n"/>
      <c r="X45" s="109" t="n"/>
      <c r="Y45" s="109" t="n"/>
      <c r="Z45" s="109" t="n"/>
      <c r="AA45" s="109" t="n"/>
      <c r="AB45" s="109" t="n"/>
      <c r="AC45" s="109" t="inlineStr">
        <is>
          <t>US DC B4</t>
        </is>
      </c>
      <c r="AD45" s="109">
        <f>'US DC B4'!BC162</f>
        <v/>
      </c>
      <c r="AE45" s="109">
        <f>'US DC B4'!BF162</f>
        <v/>
      </c>
      <c r="AF45" s="109" t="n"/>
      <c r="AG45" s="109" t="n"/>
    </row>
    <row r="46">
      <c r="A46" s="109">
        <f>AND(OR(Dashboard!$C$4="All",Dashboard!$C$4=D46),OR(Dashboard!$C$5="All",Dashboard!$C$5=E46),OR(Dashboard!$C$6="All",Dashboard!$C$6=G46),OR(Dashboard!$C$7="All",Dashboard!$C$7=H46),OR(Dashboard!$C$8="All",Dashboard!$C$8=F46))</f>
        <v/>
      </c>
      <c r="B46" s="109">
        <f>IF(A46,B45+1,B45)</f>
        <v/>
      </c>
      <c r="C46" s="109" t="n">
        <v>59</v>
      </c>
      <c r="D46" s="109" t="inlineStr">
        <is>
          <t>DC B4</t>
        </is>
      </c>
      <c r="E46" s="109" t="inlineStr">
        <is>
          <t>US</t>
        </is>
      </c>
      <c r="F46" s="109" t="inlineStr">
        <is>
          <t>Bamboo</t>
        </is>
      </c>
      <c r="G46" s="109" t="inlineStr">
        <is>
          <t>Vesta</t>
        </is>
      </c>
      <c r="H46" s="109" t="inlineStr">
        <is>
          <t>Poor</t>
        </is>
      </c>
      <c r="I46" s="109" t="inlineStr">
        <is>
          <t>Vesta Sheet Set – Soft, Breathable &amp; Cooling, 100% Viscose Derived from Bamboo,</t>
        </is>
      </c>
      <c r="J46" s="109" t="n"/>
      <c r="K46" s="109" t="inlineStr">
        <is>
          <t>B0CZRJY68B</t>
        </is>
      </c>
      <c r="L46" s="109" t="inlineStr">
        <is>
          <t>B0DM214YG3</t>
        </is>
      </c>
      <c r="M46" s="109" t="n"/>
      <c r="N46" s="109" t="n">
        <v>174.3</v>
      </c>
      <c r="O46" s="109" t="n"/>
      <c r="P46" s="109">
        <f>IF(AND(ISNUMBER(O46),ISNUMBER(N46),N(N46)&gt;0),O46/N46-1,"")</f>
        <v/>
      </c>
      <c r="Q46" s="109" t="n">
        <v>89.98999999999999</v>
      </c>
      <c r="R46" s="109">
        <f>IF(AND(ISNUMBER(N46),ISNUMBER(Q46),N(Q46)&gt;0),N46/Q46-1,"")</f>
        <v/>
      </c>
      <c r="S46" s="109" t="n">
        <v>591414</v>
      </c>
      <c r="T46" s="109" t="n">
        <v>5</v>
      </c>
      <c r="U46" s="109" t="n">
        <v>4.3</v>
      </c>
      <c r="V46" s="109" t="n">
        <v>35</v>
      </c>
      <c r="W46" s="109" t="n"/>
      <c r="X46" s="109" t="n"/>
      <c r="Y46" s="109" t="n"/>
      <c r="Z46" s="109" t="n"/>
      <c r="AA46" s="109" t="n"/>
      <c r="AB46" s="109" t="n"/>
      <c r="AC46" s="109" t="inlineStr">
        <is>
          <t>US DC B4</t>
        </is>
      </c>
      <c r="AD46" s="109">
        <f>'US DC B4'!BC163</f>
        <v/>
      </c>
      <c r="AE46" s="109">
        <f>'US DC B4'!BF163</f>
        <v/>
      </c>
      <c r="AF46" s="109" t="n"/>
      <c r="AG46" s="109" t="n"/>
    </row>
    <row r="47">
      <c r="A47" s="109">
        <f>AND(OR(Dashboard!$C$4="All",Dashboard!$C$4=D47),OR(Dashboard!$C$5="All",Dashboard!$C$5=E47),OR(Dashboard!$C$6="All",Dashboard!$C$6=G47),OR(Dashboard!$C$7="All",Dashboard!$C$7=H47),OR(Dashboard!$C$8="All",Dashboard!$C$8=F47))</f>
        <v/>
      </c>
      <c r="B47" s="109">
        <f>IF(A47,B46+1,B46)</f>
        <v/>
      </c>
      <c r="C47" s="109" t="n">
        <v>59</v>
      </c>
      <c r="D47" s="109" t="inlineStr">
        <is>
          <t>DC B4</t>
        </is>
      </c>
      <c r="E47" s="109" t="inlineStr">
        <is>
          <t>US</t>
        </is>
      </c>
      <c r="F47" s="109" t="inlineStr">
        <is>
          <t>Bamboo</t>
        </is>
      </c>
      <c r="G47" s="109" t="inlineStr">
        <is>
          <t>CozyLux</t>
        </is>
      </c>
      <c r="H47" s="109" t="inlineStr">
        <is>
          <t>Untiered</t>
        </is>
      </c>
      <c r="I47" s="109" t="inlineStr">
        <is>
          <t>CozyLux King Size Sheets Set, 100% Rayon Derived from Bamboo, Sateen Weave</t>
        </is>
      </c>
      <c r="J47" s="109" t="inlineStr">
        <is>
          <t>https://images-na.ssl-images-amazon.com/images/I/716Vqhk8VxL.jpg</t>
        </is>
      </c>
      <c r="K47" s="109" t="inlineStr">
        <is>
          <t>B0GC2GQNMT</t>
        </is>
      </c>
      <c r="L47" s="109" t="inlineStr">
        <is>
          <t>B0GC5CJGWC</t>
        </is>
      </c>
      <c r="M47" s="109" t="n">
        <v>18</v>
      </c>
      <c r="N47" s="109" t="n">
        <v>35.99</v>
      </c>
      <c r="O47" s="109" t="n"/>
      <c r="P47" s="109">
        <f>IF(AND(ISNUMBER(O47),ISNUMBER(N47),N(N47)&gt;0),O47/N47-1,"")</f>
        <v/>
      </c>
      <c r="Q47" s="109" t="n">
        <v>94.98999999999999</v>
      </c>
      <c r="R47" s="109">
        <f>IF(AND(ISNUMBER(N47),ISNUMBER(Q47),N(Q47)&gt;0),N47/Q47-1,"")</f>
        <v/>
      </c>
      <c r="S47" s="109" t="n">
        <v>33018</v>
      </c>
      <c r="T47" s="109" t="n">
        <v>185</v>
      </c>
      <c r="U47" s="109" t="n">
        <v>4.6</v>
      </c>
      <c r="V47" s="109" t="n">
        <v>93</v>
      </c>
      <c r="W47" s="109" t="n"/>
      <c r="X47" s="109" t="n"/>
      <c r="Y47" s="109" t="n"/>
      <c r="Z47" s="109" t="n"/>
      <c r="AA47" s="109" t="n"/>
      <c r="AB47" s="109" t="n"/>
      <c r="AC47" s="109" t="inlineStr">
        <is>
          <t>US DC B4</t>
        </is>
      </c>
      <c r="AD47" s="109">
        <f>'US DC B4'!BC164</f>
        <v/>
      </c>
      <c r="AE47" s="109">
        <f>'US DC B4'!BF164</f>
        <v/>
      </c>
      <c r="AF47" s="109" t="inlineStr">
        <is>
          <t>King</t>
        </is>
      </c>
      <c r="AG47" s="109" t="n"/>
    </row>
    <row r="48">
      <c r="A48" s="109">
        <f>AND(OR(Dashboard!$C$4="All",Dashboard!$C$4=D48),OR(Dashboard!$C$5="All",Dashboard!$C$5=E48),OR(Dashboard!$C$6="All",Dashboard!$C$6=G48),OR(Dashboard!$C$7="All",Dashboard!$C$7=H48),OR(Dashboard!$C$8="All",Dashboard!$C$8=F48))</f>
        <v/>
      </c>
      <c r="B48" s="109">
        <f>IF(A48,B47+1,B47)</f>
        <v/>
      </c>
      <c r="C48" s="109" t="n">
        <v>59</v>
      </c>
      <c r="D48" s="109" t="inlineStr">
        <is>
          <t>DC B4</t>
        </is>
      </c>
      <c r="E48" s="109" t="inlineStr">
        <is>
          <t>US</t>
        </is>
      </c>
      <c r="F48" s="109" t="inlineStr">
        <is>
          <t>Bamboo</t>
        </is>
      </c>
      <c r="G48" s="109" t="inlineStr">
        <is>
          <t>Amazon Basics</t>
        </is>
      </c>
      <c r="H48" s="109" t="inlineStr">
        <is>
          <t>Untiered</t>
        </is>
      </c>
      <c r="I48" s="109" t="inlineStr">
        <is>
          <t>Amazon Basics Bamboo Viscose Sheet Set, 4-Piece, Queen, White</t>
        </is>
      </c>
      <c r="J48" s="109" t="n"/>
      <c r="K48" s="109" t="inlineStr">
        <is>
          <t>B0GFHP5V9H</t>
        </is>
      </c>
      <c r="L48" s="109" t="inlineStr">
        <is>
          <t>B0GFHGS4DP</t>
        </is>
      </c>
      <c r="M48" s="109" t="n"/>
      <c r="N48" s="109" t="n">
        <v>29.99</v>
      </c>
      <c r="O48" s="109" t="n"/>
      <c r="P48" s="109">
        <f>IF(AND(ISNUMBER(O48),ISNUMBER(N48),N(N48)&gt;0),O48/N48-1,"")</f>
        <v/>
      </c>
      <c r="Q48" s="109" t="n">
        <v>89.98999999999999</v>
      </c>
      <c r="R48" s="109">
        <f>IF(AND(ISNUMBER(N48),ISNUMBER(Q48),N(Q48)&gt;0),N48/Q48-1,"")</f>
        <v/>
      </c>
      <c r="S48" s="109" t="n">
        <v>21965</v>
      </c>
      <c r="T48" s="109" t="n">
        <v>173</v>
      </c>
      <c r="U48" s="109" t="n">
        <v>4</v>
      </c>
      <c r="V48" s="109" t="n">
        <v>36</v>
      </c>
      <c r="W48" s="109" t="n"/>
      <c r="X48" s="109" t="n"/>
      <c r="Y48" s="109" t="n"/>
      <c r="Z48" s="109" t="n"/>
      <c r="AA48" s="109" t="n"/>
      <c r="AB48" s="109" t="n"/>
      <c r="AC48" s="109" t="inlineStr">
        <is>
          <t>US DC B4</t>
        </is>
      </c>
      <c r="AD48" s="109">
        <f>'US DC B4'!BC165</f>
        <v/>
      </c>
      <c r="AE48" s="109">
        <f>'US DC B4'!BF165</f>
        <v/>
      </c>
      <c r="AF48" s="109" t="inlineStr">
        <is>
          <t>Queen</t>
        </is>
      </c>
      <c r="AG48" s="109" t="inlineStr">
        <is>
          <t>White</t>
        </is>
      </c>
    </row>
    <row r="49">
      <c r="A49" s="109">
        <f>AND(OR(Dashboard!$C$4="All",Dashboard!$C$4=D49),OR(Dashboard!$C$5="All",Dashboard!$C$5=E49),OR(Dashboard!$C$6="All",Dashboard!$C$6=G49),OR(Dashboard!$C$7="All",Dashboard!$C$7=H49),OR(Dashboard!$C$8="All",Dashboard!$C$8=F49))</f>
        <v/>
      </c>
      <c r="B49" s="109">
        <f>IF(A49,B48+1,B48)</f>
        <v/>
      </c>
      <c r="C49" s="109" t="n">
        <v>59</v>
      </c>
      <c r="D49" s="109" t="inlineStr">
        <is>
          <t>DC B4</t>
        </is>
      </c>
      <c r="E49" s="109" t="inlineStr">
        <is>
          <t>US</t>
        </is>
      </c>
      <c r="F49" s="109" t="inlineStr">
        <is>
          <t>Bamboo</t>
        </is>
      </c>
      <c r="G49" s="109" t="inlineStr">
        <is>
          <t>CGK Unlimited</t>
        </is>
      </c>
      <c r="H49" s="109" t="inlineStr">
        <is>
          <t>Untiered</t>
        </is>
      </c>
      <c r="I49" s="109" t="inlineStr">
        <is>
          <t>100% Rayon Derived from Bamboo - Bamboo Sheets Queen Size - Black</t>
        </is>
      </c>
      <c r="J49" s="109" t="inlineStr">
        <is>
          <t>https://images-na.ssl-images-amazon.com/images/I/61WgRn96SbL.jpg</t>
        </is>
      </c>
      <c r="K49" s="109" t="inlineStr">
        <is>
          <t>B0F2GR2DKR</t>
        </is>
      </c>
      <c r="L49" s="109" t="inlineStr">
        <is>
          <t>B0D429MCF7</t>
        </is>
      </c>
      <c r="M49" s="109" t="n">
        <v>58</v>
      </c>
      <c r="N49" s="109" t="n">
        <v>49.99</v>
      </c>
      <c r="O49" s="109" t="n"/>
      <c r="P49" s="109">
        <f>IF(AND(ISNUMBER(O49),ISNUMBER(N49),N(N49)&gt;0),O49/N49-1,"")</f>
        <v/>
      </c>
      <c r="Q49" s="109" t="n">
        <v>89.98999999999999</v>
      </c>
      <c r="R49" s="109">
        <f>IF(AND(ISNUMBER(N49),ISNUMBER(Q49),N(Q49)&gt;0),N49/Q49-1,"")</f>
        <v/>
      </c>
      <c r="S49" s="109" t="n">
        <v>2554</v>
      </c>
      <c r="T49" s="109" t="n">
        <v>173</v>
      </c>
      <c r="U49" s="109" t="n">
        <v>4.4</v>
      </c>
      <c r="V49" s="109" t="n">
        <v>1169</v>
      </c>
      <c r="W49" s="109" t="n"/>
      <c r="X49" s="109" t="n"/>
      <c r="Y49" s="109" t="n"/>
      <c r="Z49" s="109" t="n"/>
      <c r="AA49" s="109" t="n"/>
      <c r="AB49" s="109" t="n"/>
      <c r="AC49" s="109" t="inlineStr">
        <is>
          <t>US DC B4</t>
        </is>
      </c>
      <c r="AD49" s="109">
        <f>'US DC B4'!BC166</f>
        <v/>
      </c>
      <c r="AE49" s="109">
        <f>'US DC B4'!BF166</f>
        <v/>
      </c>
      <c r="AF49" s="109" t="inlineStr">
        <is>
          <t>Queen</t>
        </is>
      </c>
      <c r="AG49" s="109" t="inlineStr">
        <is>
          <t>Black</t>
        </is>
      </c>
    </row>
    <row r="50">
      <c r="A50" s="109">
        <f>AND(OR(Dashboard!$C$4="All",Dashboard!$C$4=D50),OR(Dashboard!$C$5="All",Dashboard!$C$5=E50),OR(Dashboard!$C$6="All",Dashboard!$C$6=G50),OR(Dashboard!$C$7="All",Dashboard!$C$7=H50),OR(Dashboard!$C$8="All",Dashboard!$C$8=F50))</f>
        <v/>
      </c>
      <c r="B50" s="109">
        <f>IF(A50,B49+1,B49)</f>
        <v/>
      </c>
      <c r="C50" s="109" t="n">
        <v>59</v>
      </c>
      <c r="D50" s="109" t="inlineStr">
        <is>
          <t>DC B4</t>
        </is>
      </c>
      <c r="E50" s="109" t="inlineStr">
        <is>
          <t>US</t>
        </is>
      </c>
      <c r="F50" s="109" t="inlineStr">
        <is>
          <t>Bamboo</t>
        </is>
      </c>
      <c r="G50" s="109" t="inlineStr">
        <is>
          <t>Shilucheng</t>
        </is>
      </c>
      <c r="H50" s="109" t="inlineStr">
        <is>
          <t>Untiered</t>
        </is>
      </c>
      <c r="I50" s="109" t="inlineStr">
        <is>
          <t>Shilucheng 4 Piece Queen Sheet Sets, Cooling Sheets, Dark Grey</t>
        </is>
      </c>
      <c r="J50" s="109" t="inlineStr">
        <is>
          <t>https://images-na.ssl-images-amazon.com/images/I/81fpVjndH2L.jpg</t>
        </is>
      </c>
      <c r="K50" s="109" t="inlineStr">
        <is>
          <t>B0HJSVWNRS</t>
        </is>
      </c>
      <c r="L50" s="109" t="inlineStr">
        <is>
          <t>B0FWY1TGFK</t>
        </is>
      </c>
      <c r="M50" s="109" t="n">
        <v>49</v>
      </c>
      <c r="N50" s="109" t="n">
        <v>34.99</v>
      </c>
      <c r="O50" s="109" t="n"/>
      <c r="P50" s="109">
        <f>IF(AND(ISNUMBER(O50),ISNUMBER(N50),N(N50)&gt;0),O50/N50-1,"")</f>
        <v/>
      </c>
      <c r="Q50" s="109" t="n">
        <v>89.98999999999999</v>
      </c>
      <c r="R50" s="109">
        <f>IF(AND(ISNUMBER(N50),ISNUMBER(Q50),N(Q50)&gt;0),N50/Q50-1,"")</f>
        <v/>
      </c>
      <c r="S50" s="109" t="n">
        <v>5396</v>
      </c>
      <c r="T50" s="109" t="n">
        <v>173</v>
      </c>
      <c r="U50" s="109" t="n">
        <v>4.3</v>
      </c>
      <c r="V50" s="109" t="n">
        <v>24352</v>
      </c>
      <c r="W50" s="109" t="n">
        <v>135323</v>
      </c>
      <c r="X50" s="109" t="n">
        <v>0.7652350080917514</v>
      </c>
      <c r="Y50" s="109" t="n">
        <v>214</v>
      </c>
      <c r="Z50" s="109" t="n">
        <v>439</v>
      </c>
      <c r="AA50" s="109" t="n">
        <v>384</v>
      </c>
      <c r="AB50" s="109" t="n"/>
      <c r="AC50" s="109" t="inlineStr">
        <is>
          <t>US DC B4</t>
        </is>
      </c>
      <c r="AD50" s="109">
        <f>'US DC B4'!BC167</f>
        <v/>
      </c>
      <c r="AE50" s="109">
        <f>'US DC B4'!BF167</f>
        <v/>
      </c>
      <c r="AF50" s="109" t="inlineStr">
        <is>
          <t>Queen</t>
        </is>
      </c>
      <c r="AG50" s="109" t="inlineStr">
        <is>
          <t>Grey</t>
        </is>
      </c>
    </row>
    <row r="51">
      <c r="A51" s="109">
        <f>AND(OR(Dashboard!$C$4="All",Dashboard!$C$4=D51),OR(Dashboard!$C$5="All",Dashboard!$C$5=E51),OR(Dashboard!$C$6="All",Dashboard!$C$6=G51),OR(Dashboard!$C$7="All",Dashboard!$C$7=H51),OR(Dashboard!$C$8="All",Dashboard!$C$8=F51))</f>
        <v/>
      </c>
      <c r="B51" s="109">
        <f>IF(A51,B50+1,B50)</f>
        <v/>
      </c>
      <c r="C51" s="109" t="n">
        <v>59</v>
      </c>
      <c r="D51" s="109" t="inlineStr">
        <is>
          <t>DC B4</t>
        </is>
      </c>
      <c r="E51" s="109" t="inlineStr">
        <is>
          <t>US</t>
        </is>
      </c>
      <c r="F51" s="109" t="inlineStr">
        <is>
          <t>Bamboo</t>
        </is>
      </c>
      <c r="G51" s="109" t="inlineStr">
        <is>
          <t>Cosy House Collection</t>
        </is>
      </c>
      <c r="H51" s="109" t="inlineStr">
        <is>
          <t>Untiered</t>
        </is>
      </c>
      <c r="I51" s="109" t="inlineStr">
        <is>
          <t>Cosy House Collection 100% Rayon Derived from Bamboo Bed Sheet Set</t>
        </is>
      </c>
      <c r="J51" s="109" t="inlineStr">
        <is>
          <t>https://images-na.ssl-images-amazon.com/images/I/61sz2mcvZmL.jpg</t>
        </is>
      </c>
      <c r="K51" s="109" t="inlineStr">
        <is>
          <t>B0CLBDW265</t>
        </is>
      </c>
      <c r="L51" s="109" t="inlineStr">
        <is>
          <t>B0B4F4NTBL</t>
        </is>
      </c>
      <c r="M51" s="109" t="n">
        <v>77</v>
      </c>
      <c r="N51" s="109" t="n">
        <v>89.95</v>
      </c>
      <c r="O51" s="109" t="n"/>
      <c r="P51" s="109">
        <f>IF(AND(ISNUMBER(O51),ISNUMBER(N51),N(N51)&gt;0),O51/N51-1,"")</f>
        <v/>
      </c>
      <c r="Q51" s="109" t="n">
        <v>89.98999999999999</v>
      </c>
      <c r="R51" s="109">
        <f>IF(AND(ISNUMBER(N51),ISNUMBER(Q51),N(Q51)&gt;0),N51/Q51-1,"")</f>
        <v/>
      </c>
      <c r="S51" s="109" t="n">
        <v>20356</v>
      </c>
      <c r="T51" s="109" t="n">
        <v>35</v>
      </c>
      <c r="U51" s="109" t="n">
        <v>4.3</v>
      </c>
      <c r="V51" s="109" t="n">
        <v>7941</v>
      </c>
      <c r="W51" s="109" t="n"/>
      <c r="X51" s="109" t="n"/>
      <c r="Y51" s="109" t="n"/>
      <c r="Z51" s="109" t="n"/>
      <c r="AA51" s="109" t="n"/>
      <c r="AB51" s="109" t="n"/>
      <c r="AC51" s="109" t="inlineStr">
        <is>
          <t>US DC B4</t>
        </is>
      </c>
      <c r="AD51" s="109">
        <f>'US DC B4'!BC168</f>
        <v/>
      </c>
      <c r="AE51" s="109">
        <f>'US DC B4'!BF168</f>
        <v/>
      </c>
      <c r="AF51" s="109" t="n"/>
      <c r="AG51" s="109" t="n"/>
    </row>
    <row r="52">
      <c r="A52" s="109">
        <f>AND(OR(Dashboard!$C$4="All",Dashboard!$C$4=D52),OR(Dashboard!$C$5="All",Dashboard!$C$5=E52),OR(Dashboard!$C$6="All",Dashboard!$C$6=G52),OR(Dashboard!$C$7="All",Dashboard!$C$7=H52),OR(Dashboard!$C$8="All",Dashboard!$C$8=F52))</f>
        <v/>
      </c>
      <c r="B52" s="109">
        <f>IF(A52,B51+1,B51)</f>
        <v/>
      </c>
      <c r="C52" s="109" t="n">
        <v>59</v>
      </c>
      <c r="D52" s="109" t="inlineStr">
        <is>
          <t>DC B4</t>
        </is>
      </c>
      <c r="E52" s="109" t="inlineStr">
        <is>
          <t>US</t>
        </is>
      </c>
      <c r="F52" s="109" t="inlineStr">
        <is>
          <t>Bamboo</t>
        </is>
      </c>
      <c r="G52" s="109" t="inlineStr">
        <is>
          <t>MR&amp;HM</t>
        </is>
      </c>
      <c r="H52" s="109" t="inlineStr">
        <is>
          <t>Untiered</t>
        </is>
      </c>
      <c r="I52" s="109" t="inlineStr">
        <is>
          <t>MR&amp;HM Queen Sheets 4 Pieces, Rayon Derived from Bamboo Blend, Dark Grey</t>
        </is>
      </c>
      <c r="J52" s="109" t="inlineStr">
        <is>
          <t>https://images-na.ssl-images-amazon.com/images/I/71QdkBMIZ3L.jpg</t>
        </is>
      </c>
      <c r="K52" s="109" t="inlineStr">
        <is>
          <t>B0DQDMN3WK</t>
        </is>
      </c>
      <c r="L52" s="109" t="inlineStr">
        <is>
          <t>B0DL5NCTYF</t>
        </is>
      </c>
      <c r="M52" s="109" t="n">
        <v>65</v>
      </c>
      <c r="N52" s="109" t="n">
        <v>36.99</v>
      </c>
      <c r="O52" s="109" t="n"/>
      <c r="P52" s="109">
        <f>IF(AND(ISNUMBER(O52),ISNUMBER(N52),N(N52)&gt;0),O52/N52-1,"")</f>
        <v/>
      </c>
      <c r="Q52" s="109" t="n">
        <v>89.98999999999999</v>
      </c>
      <c r="R52" s="109">
        <f>IF(AND(ISNUMBER(N52),ISNUMBER(Q52),N(Q52)&gt;0),N52/Q52-1,"")</f>
        <v/>
      </c>
      <c r="S52" s="109" t="n">
        <v>30653</v>
      </c>
      <c r="T52" s="109" t="n">
        <v>35</v>
      </c>
      <c r="U52" s="109" t="n">
        <v>4.4</v>
      </c>
      <c r="V52" s="109" t="n">
        <v>616</v>
      </c>
      <c r="W52" s="109" t="n"/>
      <c r="X52" s="109" t="n"/>
      <c r="Y52" s="109" t="n"/>
      <c r="Z52" s="109" t="n"/>
      <c r="AA52" s="109" t="n"/>
      <c r="AB52" s="109" t="n"/>
      <c r="AC52" s="109" t="inlineStr">
        <is>
          <t>US DC B4</t>
        </is>
      </c>
      <c r="AD52" s="109">
        <f>'US DC B4'!BC169</f>
        <v/>
      </c>
      <c r="AE52" s="109">
        <f>'US DC B4'!BF169</f>
        <v/>
      </c>
      <c r="AF52" s="109" t="inlineStr">
        <is>
          <t>Queen</t>
        </is>
      </c>
      <c r="AG52" s="109" t="inlineStr">
        <is>
          <t>Grey</t>
        </is>
      </c>
    </row>
    <row r="53">
      <c r="A53" s="109">
        <f>AND(OR(Dashboard!$C$4="All",Dashboard!$C$4=D53),OR(Dashboard!$C$5="All",Dashboard!$C$5=E53),OR(Dashboard!$C$6="All",Dashboard!$C$6=G53),OR(Dashboard!$C$7="All",Dashboard!$C$7=H53),OR(Dashboard!$C$8="All",Dashboard!$C$8=F53))</f>
        <v/>
      </c>
      <c r="B53" s="109">
        <f>IF(A53,B52+1,B52)</f>
        <v/>
      </c>
      <c r="C53" s="109" t="n">
        <v>59</v>
      </c>
      <c r="D53" s="109" t="inlineStr">
        <is>
          <t>DC B4</t>
        </is>
      </c>
      <c r="E53" s="109" t="inlineStr">
        <is>
          <t>US</t>
        </is>
      </c>
      <c r="F53" s="109" t="inlineStr">
        <is>
          <t>Bamboo</t>
        </is>
      </c>
      <c r="G53" s="109" t="inlineStr">
        <is>
          <t>KAKIJUMN</t>
        </is>
      </c>
      <c r="H53" s="109" t="inlineStr">
        <is>
          <t>Untiered</t>
        </is>
      </c>
      <c r="I53" s="109" t="inlineStr">
        <is>
          <t>KAKIJUMN 6 Piece King Sheets Set, Rayon Derived from Bamboo Blend</t>
        </is>
      </c>
      <c r="J53" s="109" t="n"/>
      <c r="K53" s="109" t="inlineStr">
        <is>
          <t>B0HFVC6529</t>
        </is>
      </c>
      <c r="L53" s="109" t="inlineStr">
        <is>
          <t>B0H1MNZ16Z</t>
        </is>
      </c>
      <c r="M53" s="109" t="n"/>
      <c r="N53" s="109" t="n">
        <v>38.39</v>
      </c>
      <c r="O53" s="109" t="n">
        <v>47.99</v>
      </c>
      <c r="P53" s="109">
        <f>IF(AND(ISNUMBER(O53),ISNUMBER(N53),N(N53)&gt;0),O53/N53-1,"")</f>
        <v/>
      </c>
      <c r="Q53" s="109" t="n">
        <v>94.98999999999999</v>
      </c>
      <c r="R53" s="109">
        <f>IF(AND(ISNUMBER(N53),ISNUMBER(Q53),N(Q53)&gt;0),N53/Q53-1,"")</f>
        <v/>
      </c>
      <c r="S53" s="109" t="n">
        <v>64915</v>
      </c>
      <c r="T53" s="109" t="n">
        <v>18</v>
      </c>
      <c r="U53" s="109" t="n">
        <v>4</v>
      </c>
      <c r="V53" s="109" t="n">
        <v>71</v>
      </c>
      <c r="W53" s="109" t="n"/>
      <c r="X53" s="109" t="n"/>
      <c r="Y53" s="109" t="n"/>
      <c r="Z53" s="109" t="n"/>
      <c r="AA53" s="109" t="n"/>
      <c r="AB53" s="109" t="n"/>
      <c r="AC53" s="109" t="inlineStr">
        <is>
          <t>US DC B4</t>
        </is>
      </c>
      <c r="AD53" s="109">
        <f>'US DC B4'!BC170</f>
        <v/>
      </c>
      <c r="AE53" s="109">
        <f>'US DC B4'!BF170</f>
        <v/>
      </c>
      <c r="AF53" s="109" t="inlineStr">
        <is>
          <t>King</t>
        </is>
      </c>
      <c r="AG53" s="109" t="n"/>
    </row>
    <row r="54">
      <c r="A54" s="109">
        <f>AND(OR(Dashboard!$C$4="All",Dashboard!$C$4=D54),OR(Dashboard!$C$5="All",Dashboard!$C$5=E54),OR(Dashboard!$C$6="All",Dashboard!$C$6=G54),OR(Dashboard!$C$7="All",Dashboard!$C$7=H54),OR(Dashboard!$C$8="All",Dashboard!$C$8=F54))</f>
        <v/>
      </c>
      <c r="B54" s="109">
        <f>IF(A54,B53+1,B53)</f>
        <v/>
      </c>
      <c r="C54" s="109" t="n">
        <v>59</v>
      </c>
      <c r="D54" s="109" t="inlineStr">
        <is>
          <t>DC B4</t>
        </is>
      </c>
      <c r="E54" s="109" t="inlineStr">
        <is>
          <t>US</t>
        </is>
      </c>
      <c r="F54" s="109" t="inlineStr">
        <is>
          <t>Bamboo</t>
        </is>
      </c>
      <c r="G54" s="109" t="inlineStr">
        <is>
          <t>Shilucheng</t>
        </is>
      </c>
      <c r="H54" s="109" t="inlineStr">
        <is>
          <t>Untiered</t>
        </is>
      </c>
      <c r="I54" s="109" t="inlineStr">
        <is>
          <t>Shilucheng 4 Piece King Sheet Sets, Cooling Sheets, Dark Grey</t>
        </is>
      </c>
      <c r="J54" s="109" t="inlineStr">
        <is>
          <t>https://images-na.ssl-images-amazon.com/images/I/81fpVjndH2L.jpg</t>
        </is>
      </c>
      <c r="K54" s="109" t="inlineStr">
        <is>
          <t>B098JT1RF2</t>
        </is>
      </c>
      <c r="L54" s="109" t="inlineStr">
        <is>
          <t>B098JT1RF2</t>
        </is>
      </c>
      <c r="M54" s="109" t="n">
        <v>100</v>
      </c>
      <c r="N54" s="109" t="n">
        <v>37.9</v>
      </c>
      <c r="O54" s="109" t="n"/>
      <c r="P54" s="109">
        <f>IF(AND(ISNUMBER(O54),ISNUMBER(N54),N(N54)&gt;0),O54/N54-1,"")</f>
        <v/>
      </c>
      <c r="Q54" s="109" t="n">
        <v>94.98999999999999</v>
      </c>
      <c r="R54" s="109">
        <f>IF(AND(ISNUMBER(N54),ISNUMBER(Q54),N(Q54)&gt;0),N54/Q54-1,"")</f>
        <v/>
      </c>
      <c r="S54" s="109" t="n">
        <v>9187</v>
      </c>
      <c r="T54" s="109" t="n">
        <v>18</v>
      </c>
      <c r="U54" s="109" t="n">
        <v>4.3</v>
      </c>
      <c r="V54" s="109" t="n">
        <v>24333</v>
      </c>
      <c r="W54" s="109" t="n">
        <v>23320</v>
      </c>
      <c r="X54" s="109" t="n">
        <v>0.6141093996569467</v>
      </c>
      <c r="Y54" s="109" t="n">
        <v>255</v>
      </c>
      <c r="Z54" s="109" t="n">
        <v>264</v>
      </c>
      <c r="AA54" s="109" t="n">
        <v>186</v>
      </c>
      <c r="AB54" s="109" t="n"/>
      <c r="AC54" s="109" t="inlineStr">
        <is>
          <t>US DC B4</t>
        </is>
      </c>
      <c r="AD54" s="109">
        <f>'US DC B4'!BC171</f>
        <v/>
      </c>
      <c r="AE54" s="109">
        <f>'US DC B4'!BF171</f>
        <v/>
      </c>
      <c r="AF54" s="109" t="inlineStr">
        <is>
          <t>King</t>
        </is>
      </c>
      <c r="AG54" s="109" t="inlineStr">
        <is>
          <t>Grey</t>
        </is>
      </c>
    </row>
    <row r="55">
      <c r="A55" s="109">
        <f>AND(OR(Dashboard!$C$4="All",Dashboard!$C$4=D55),OR(Dashboard!$C$5="All",Dashboard!$C$5=E55),OR(Dashboard!$C$6="All",Dashboard!$C$6=G55),OR(Dashboard!$C$7="All",Dashboard!$C$7=H55),OR(Dashboard!$C$8="All",Dashboard!$C$8=F55))</f>
        <v/>
      </c>
      <c r="B55" s="109">
        <f>IF(A55,B54+1,B54)</f>
        <v/>
      </c>
      <c r="C55" s="109" t="n">
        <v>59</v>
      </c>
      <c r="D55" s="109" t="inlineStr">
        <is>
          <t>DC B4</t>
        </is>
      </c>
      <c r="E55" s="109" t="inlineStr">
        <is>
          <t>US</t>
        </is>
      </c>
      <c r="F55" s="109" t="inlineStr">
        <is>
          <t>Bamboo</t>
        </is>
      </c>
      <c r="G55" s="109" t="inlineStr">
        <is>
          <t>Brooklyn Loom</t>
        </is>
      </c>
      <c r="H55" s="109" t="inlineStr">
        <is>
          <t>Untiered</t>
        </is>
      </c>
      <c r="I55" s="109" t="inlineStr">
        <is>
          <t>Brooklyn Loom 300 Thread Count Sateen 100% Rayon from Bamboo Deep Pocket 4 Piece</t>
        </is>
      </c>
      <c r="J55" s="109" t="n"/>
      <c r="K55" s="109" t="inlineStr">
        <is>
          <t>B0H29TVSQX</t>
        </is>
      </c>
      <c r="L55" s="109" t="inlineStr">
        <is>
          <t>B0FQ8JCH46</t>
        </is>
      </c>
      <c r="M55" s="109" t="n"/>
      <c r="N55" s="109" t="n">
        <v>84.98999999999999</v>
      </c>
      <c r="O55" s="109" t="n"/>
      <c r="P55" s="109">
        <f>IF(AND(ISNUMBER(O55),ISNUMBER(N55),N(N55)&gt;0),O55/N55-1,"")</f>
        <v/>
      </c>
      <c r="Q55" s="109" t="n">
        <v>89.98999999999999</v>
      </c>
      <c r="R55" s="109">
        <f>IF(AND(ISNUMBER(N55),ISNUMBER(Q55),N(Q55)&gt;0),N55/Q55-1,"")</f>
        <v/>
      </c>
      <c r="S55" s="109" t="n">
        <v>1216102</v>
      </c>
      <c r="T55" s="109" t="n">
        <v>5</v>
      </c>
      <c r="U55" s="109" t="n">
        <v>4.5</v>
      </c>
      <c r="V55" s="109" t="n">
        <v>13</v>
      </c>
      <c r="W55" s="109" t="n"/>
      <c r="X55" s="109" t="n"/>
      <c r="Y55" s="109" t="n"/>
      <c r="Z55" s="109" t="n"/>
      <c r="AA55" s="109" t="n"/>
      <c r="AB55" s="109" t="n"/>
      <c r="AC55" s="109" t="inlineStr">
        <is>
          <t>US DC B4</t>
        </is>
      </c>
      <c r="AD55" s="109">
        <f>'US DC B4'!BC172</f>
        <v/>
      </c>
      <c r="AE55" s="109">
        <f>'US DC B4'!BF172</f>
        <v/>
      </c>
      <c r="AF55" s="109" t="n"/>
      <c r="AG55" s="109" t="n"/>
    </row>
    <row r="56">
      <c r="A56" s="109">
        <f>AND(OR(Dashboard!$C$4="All",Dashboard!$C$4=D56),OR(Dashboard!$C$5="All",Dashboard!$C$5=E56),OR(Dashboard!$C$6="All",Dashboard!$C$6=G56),OR(Dashboard!$C$7="All",Dashboard!$C$7=H56),OR(Dashboard!$C$8="All",Dashboard!$C$8=F56))</f>
        <v/>
      </c>
      <c r="B56" s="109">
        <f>IF(A56,B55+1,B55)</f>
        <v/>
      </c>
      <c r="C56" s="109" t="n">
        <v>59</v>
      </c>
      <c r="D56" s="109" t="inlineStr">
        <is>
          <t>DC B4</t>
        </is>
      </c>
      <c r="E56" s="109" t="inlineStr">
        <is>
          <t>US</t>
        </is>
      </c>
      <c r="F56" s="109" t="inlineStr">
        <is>
          <t>Bamboo</t>
        </is>
      </c>
      <c r="G56" s="109" t="inlineStr">
        <is>
          <t>MRIDU</t>
        </is>
      </c>
      <c r="H56" s="109" t="inlineStr">
        <is>
          <t>Untiered</t>
        </is>
      </c>
      <c r="I56" s="109" t="inlineStr">
        <is>
          <t>MRIDU Bamboo Viscose Sheet Set, 4-Piece, Pure White, King</t>
        </is>
      </c>
      <c r="J56" s="109" t="n"/>
      <c r="K56" s="109" t="inlineStr">
        <is>
          <t>B0GSXPDW9C</t>
        </is>
      </c>
      <c r="L56" s="109" t="inlineStr">
        <is>
          <t>B0GSXRR9DN</t>
        </is>
      </c>
      <c r="M56" s="109" t="n"/>
      <c r="N56" s="109" t="n">
        <v>89.98999999999999</v>
      </c>
      <c r="O56" s="109" t="n"/>
      <c r="P56" s="109">
        <f>IF(AND(ISNUMBER(O56),ISNUMBER(N56),N(N56)&gt;0),O56/N56-1,"")</f>
        <v/>
      </c>
      <c r="Q56" s="109" t="n">
        <v>94.98999999999999</v>
      </c>
      <c r="R56" s="109">
        <f>IF(AND(ISNUMBER(N56),ISNUMBER(Q56),N(Q56)&gt;0),N56/Q56-1,"")</f>
        <v/>
      </c>
      <c r="S56" s="109" t="n">
        <v>1970806</v>
      </c>
      <c r="T56" s="109" t="n">
        <v>5</v>
      </c>
      <c r="U56" s="109" t="n">
        <v>3.9</v>
      </c>
      <c r="V56" s="109" t="n">
        <v>24</v>
      </c>
      <c r="W56" s="109" t="n"/>
      <c r="X56" s="109" t="n"/>
      <c r="Y56" s="109" t="n"/>
      <c r="Z56" s="109" t="n"/>
      <c r="AA56" s="109" t="n"/>
      <c r="AB56" s="109" t="n"/>
      <c r="AC56" s="109" t="inlineStr">
        <is>
          <t>US DC B4</t>
        </is>
      </c>
      <c r="AD56" s="109">
        <f>'US DC B4'!BC173</f>
        <v/>
      </c>
      <c r="AE56" s="109">
        <f>'US DC B4'!BF173</f>
        <v/>
      </c>
      <c r="AF56" s="109" t="inlineStr">
        <is>
          <t>King</t>
        </is>
      </c>
      <c r="AG56" s="109" t="inlineStr">
        <is>
          <t>White</t>
        </is>
      </c>
    </row>
    <row r="57">
      <c r="A57" s="109">
        <f>AND(OR(Dashboard!$C$4="All",Dashboard!$C$4=D57),OR(Dashboard!$C$5="All",Dashboard!$C$5=E57),OR(Dashboard!$C$6="All",Dashboard!$C$6=G57),OR(Dashboard!$C$7="All",Dashboard!$C$7=H57),OR(Dashboard!$C$8="All",Dashboard!$C$8=F57))</f>
        <v/>
      </c>
      <c r="B57" s="109">
        <f>IF(A57,B56+1,B56)</f>
        <v/>
      </c>
      <c r="C57" s="109" t="n">
        <v>59</v>
      </c>
      <c r="D57" s="109" t="inlineStr">
        <is>
          <t>DC B4</t>
        </is>
      </c>
      <c r="E57" s="109" t="inlineStr">
        <is>
          <t>CA</t>
        </is>
      </c>
      <c r="F57" s="109" t="inlineStr">
        <is>
          <t>Bamboo</t>
        </is>
      </c>
      <c r="G57" s="109" t="inlineStr">
        <is>
          <t>Bedsure</t>
        </is>
      </c>
      <c r="H57" s="109" t="inlineStr">
        <is>
          <t>Untiered</t>
        </is>
      </c>
      <c r="I57" s="109" t="inlineStr">
        <is>
          <t>Bedsure Sheet Queen Size - 4 Piece 100% Bamboo Rayon Sheet Set Dark Grey</t>
        </is>
      </c>
      <c r="J57" s="109" t="inlineStr">
        <is>
          <t>https://m.media-amazon.com/images/I/81BJgcF3cZL.jpg</t>
        </is>
      </c>
      <c r="K57" s="109" t="inlineStr">
        <is>
          <t>B086R38NZ6</t>
        </is>
      </c>
      <c r="L57" s="109" t="inlineStr">
        <is>
          <t>B07YKCZHGK</t>
        </is>
      </c>
      <c r="M57" s="109" t="n">
        <v>61</v>
      </c>
      <c r="N57" s="109" t="n">
        <v>94.98999999999999</v>
      </c>
      <c r="O57" s="109" t="n"/>
      <c r="P57" s="109">
        <f>IF(AND(ISNUMBER(O57),ISNUMBER(N57),N(N57)&gt;0),O57/N57-1,"")</f>
        <v/>
      </c>
      <c r="Q57" s="109" t="n">
        <v>100.805</v>
      </c>
      <c r="R57" s="109">
        <f>IF(AND(ISNUMBER(N57),ISNUMBER(Q57),N(Q57)&gt;0),N57/Q57-1,"")</f>
        <v/>
      </c>
      <c r="S57" s="109" t="n">
        <v>996</v>
      </c>
      <c r="T57" s="109" t="n"/>
      <c r="U57" s="109" t="n">
        <v>4.3</v>
      </c>
      <c r="V57" s="109" t="n">
        <v>60808</v>
      </c>
      <c r="W57" s="109" t="n"/>
      <c r="X57" s="109" t="n"/>
      <c r="Y57" s="109" t="n"/>
      <c r="Z57" s="109" t="n"/>
      <c r="AA57" s="109" t="n"/>
      <c r="AB57" s="109" t="n"/>
      <c r="AC57" s="109" t="inlineStr">
        <is>
          <t>CA DC B4</t>
        </is>
      </c>
      <c r="AD57" s="109">
        <f>'CA DC B4'!BC119</f>
        <v/>
      </c>
      <c r="AE57" s="109">
        <f>'CA DC B4'!BF119</f>
        <v/>
      </c>
      <c r="AF57" s="109" t="inlineStr">
        <is>
          <t>Queen</t>
        </is>
      </c>
      <c r="AG57" s="109" t="inlineStr">
        <is>
          <t>01 - Dark Grey</t>
        </is>
      </c>
    </row>
    <row r="58">
      <c r="A58" s="109">
        <f>AND(OR(Dashboard!$C$4="All",Dashboard!$C$4=D58),OR(Dashboard!$C$5="All",Dashboard!$C$5=E58),OR(Dashboard!$C$6="All",Dashboard!$C$6=G58),OR(Dashboard!$C$7="All",Dashboard!$C$7=H58),OR(Dashboard!$C$8="All",Dashboard!$C$8=F58))</f>
        <v/>
      </c>
      <c r="B58" s="109">
        <f>IF(A58,B57+1,B57)</f>
        <v/>
      </c>
      <c r="C58" s="109" t="n">
        <v>59</v>
      </c>
      <c r="D58" s="109" t="inlineStr">
        <is>
          <t>DC B4</t>
        </is>
      </c>
      <c r="E58" s="109" t="inlineStr">
        <is>
          <t>CA</t>
        </is>
      </c>
      <c r="F58" s="109" t="inlineStr">
        <is>
          <t>Bamboo</t>
        </is>
      </c>
      <c r="G58" s="109" t="inlineStr">
        <is>
          <t>BAMPURE</t>
        </is>
      </c>
      <c r="H58" s="109" t="inlineStr">
        <is>
          <t>Untiered</t>
        </is>
      </c>
      <c r="I58" s="109" t="inlineStr">
        <is>
          <t>BAMPURE 100% Organic Bamboo Sheets Queen 4PC - Cooling Sheets Set</t>
        </is>
      </c>
      <c r="J58" s="109" t="inlineStr">
        <is>
          <t>https://m.media-amazon.com/images/I/71AsFyQ2clL.jpg</t>
        </is>
      </c>
      <c r="K58" s="109" t="inlineStr">
        <is>
          <t>B0HHZYV9G4</t>
        </is>
      </c>
      <c r="L58" s="109" t="inlineStr">
        <is>
          <t>B07X8FPWJH</t>
        </is>
      </c>
      <c r="M58" s="109" t="n">
        <v>25</v>
      </c>
      <c r="N58" s="109" t="n">
        <v>83.69</v>
      </c>
      <c r="O58" s="109" t="n"/>
      <c r="P58" s="109">
        <f>IF(AND(ISNUMBER(O58),ISNUMBER(N58),N(N58)&gt;0),O58/N58-1,"")</f>
        <v/>
      </c>
      <c r="Q58" s="109" t="n">
        <v>100.805</v>
      </c>
      <c r="R58" s="109">
        <f>IF(AND(ISNUMBER(N58),ISNUMBER(Q58),N(Q58)&gt;0),N58/Q58-1,"")</f>
        <v/>
      </c>
      <c r="S58" s="109" t="n">
        <v>724</v>
      </c>
      <c r="T58" s="109" t="n"/>
      <c r="U58" s="109" t="n">
        <v>4.3</v>
      </c>
      <c r="V58" s="109" t="n">
        <v>7346</v>
      </c>
      <c r="W58" s="109" t="n"/>
      <c r="X58" s="109" t="n"/>
      <c r="Y58" s="109" t="n"/>
      <c r="Z58" s="109" t="n"/>
      <c r="AA58" s="109" t="n"/>
      <c r="AB58" s="109" t="n"/>
      <c r="AC58" s="109" t="inlineStr">
        <is>
          <t>CA DC B4</t>
        </is>
      </c>
      <c r="AD58" s="109">
        <f>'CA DC B4'!BC120</f>
        <v/>
      </c>
      <c r="AE58" s="109">
        <f>'CA DC B4'!BF120</f>
        <v/>
      </c>
      <c r="AF58" s="109" t="inlineStr">
        <is>
          <t>Queen</t>
        </is>
      </c>
      <c r="AG58" s="109" t="inlineStr">
        <is>
          <t>Stone Gray</t>
        </is>
      </c>
    </row>
    <row r="59">
      <c r="A59" s="109">
        <f>AND(OR(Dashboard!$C$4="All",Dashboard!$C$4=D59),OR(Dashboard!$C$5="All",Dashboard!$C$5=E59),OR(Dashboard!$C$6="All",Dashboard!$C$6=G59),OR(Dashboard!$C$7="All",Dashboard!$C$7=H59),OR(Dashboard!$C$8="All",Dashboard!$C$8=F59))</f>
        <v/>
      </c>
      <c r="B59" s="109">
        <f>IF(A59,B58+1,B58)</f>
        <v/>
      </c>
      <c r="C59" s="109" t="n">
        <v>59</v>
      </c>
      <c r="D59" s="109" t="inlineStr">
        <is>
          <t>DC B4</t>
        </is>
      </c>
      <c r="E59" s="109" t="inlineStr">
        <is>
          <t>CA</t>
        </is>
      </c>
      <c r="F59" s="109" t="inlineStr">
        <is>
          <t>Bamboo</t>
        </is>
      </c>
      <c r="G59" s="109" t="inlineStr">
        <is>
          <t>Sasttie</t>
        </is>
      </c>
      <c r="H59" s="109" t="inlineStr">
        <is>
          <t>Untiered</t>
        </is>
      </c>
      <c r="I59" s="109" t="inlineStr">
        <is>
          <t>Sasttie White Silky-Soft Bamboo Sheets Queen Size 4-Piece, 100% Rayon Made from Bamboo 300TC, Cooling Sheet for Hot Sleepers, 16" Deep Pocket, Secure Corner Straps, Head Tag, Washable &amp; Breathable</t>
        </is>
      </c>
      <c r="J59" s="109" t="inlineStr">
        <is>
          <t>https://m.media-amazon.com/images/I/612X5uLV3GL.jpg</t>
        </is>
      </c>
      <c r="K59" s="109" t="inlineStr">
        <is>
          <t>B0H9R791B2</t>
        </is>
      </c>
      <c r="L59" s="109" t="inlineStr">
        <is>
          <t>B0H9QD7RD5</t>
        </is>
      </c>
      <c r="M59" s="109" t="n">
        <v>38</v>
      </c>
      <c r="N59" s="109" t="n">
        <v>49.99</v>
      </c>
      <c r="O59" s="109" t="n"/>
      <c r="P59" s="109">
        <f>IF(AND(ISNUMBER(O59),ISNUMBER(N59),N(N59)&gt;0),O59/N59-1,"")</f>
        <v/>
      </c>
      <c r="Q59" s="109" t="n">
        <v>100.805</v>
      </c>
      <c r="R59" s="109">
        <f>IF(AND(ISNUMBER(N59),ISNUMBER(Q59),N(Q59)&gt;0),N59/Q59-1,"")</f>
        <v/>
      </c>
      <c r="S59" s="109" t="n">
        <v>7761</v>
      </c>
      <c r="T59" s="109" t="n"/>
      <c r="U59" s="109" t="n">
        <v>4.5</v>
      </c>
      <c r="V59" s="109" t="n">
        <v>19</v>
      </c>
      <c r="W59" s="109" t="n"/>
      <c r="X59" s="109" t="n"/>
      <c r="Y59" s="109" t="n"/>
      <c r="Z59" s="109" t="n"/>
      <c r="AA59" s="109" t="n"/>
      <c r="AB59" s="109" t="n"/>
      <c r="AC59" s="109" t="inlineStr">
        <is>
          <t>CA DC B4</t>
        </is>
      </c>
      <c r="AD59" s="109">
        <f>'CA DC B4'!BC121</f>
        <v/>
      </c>
      <c r="AE59" s="109">
        <f>'CA DC B4'!BF121</f>
        <v/>
      </c>
      <c r="AF59" s="109" t="inlineStr">
        <is>
          <t>Queen</t>
        </is>
      </c>
      <c r="AG59" s="109" t="inlineStr">
        <is>
          <t>White</t>
        </is>
      </c>
    </row>
    <row r="60">
      <c r="A60" s="109">
        <f>AND(OR(Dashboard!$C$4="All",Dashboard!$C$4=D60),OR(Dashboard!$C$5="All",Dashboard!$C$5=E60),OR(Dashboard!$C$6="All",Dashboard!$C$6=G60),OR(Dashboard!$C$7="All",Dashboard!$C$7=H60),OR(Dashboard!$C$8="All",Dashboard!$C$8=F60))</f>
        <v/>
      </c>
      <c r="B60" s="109">
        <f>IF(A60,B59+1,B59)</f>
        <v/>
      </c>
      <c r="C60" s="109" t="n">
        <v>59</v>
      </c>
      <c r="D60" s="109" t="inlineStr">
        <is>
          <t>DC B4</t>
        </is>
      </c>
      <c r="E60" s="109" t="inlineStr">
        <is>
          <t>CA</t>
        </is>
      </c>
      <c r="F60" s="109" t="inlineStr">
        <is>
          <t>Bamboo</t>
        </is>
      </c>
      <c r="G60" s="109" t="inlineStr">
        <is>
          <t>Andency</t>
        </is>
      </c>
      <c r="H60" s="109" t="inlineStr">
        <is>
          <t>Untiered</t>
        </is>
      </c>
      <c r="I60" s="109" t="inlineStr">
        <is>
          <t>Andency Bamboo Cooling Olive Sheets Set, 4pcs Queen Sheets for Hot Sleepers</t>
        </is>
      </c>
      <c r="J60" s="109" t="inlineStr">
        <is>
          <t>https://m.media-amazon.com/images/I/61iXhiLg79L.jpg</t>
        </is>
      </c>
      <c r="K60" s="109" t="inlineStr">
        <is>
          <t>B0CMV6MR96</t>
        </is>
      </c>
      <c r="L60" s="109" t="inlineStr">
        <is>
          <t>B0CWK92XQD</t>
        </is>
      </c>
      <c r="M60" s="109" t="n">
        <v>48</v>
      </c>
      <c r="N60" s="109" t="n">
        <v>69.98999999999999</v>
      </c>
      <c r="O60" s="109" t="n"/>
      <c r="P60" s="109">
        <f>IF(AND(ISNUMBER(O60),ISNUMBER(N60),N(N60)&gt;0),O60/N60-1,"")</f>
        <v/>
      </c>
      <c r="Q60" s="109" t="n">
        <v>100.805</v>
      </c>
      <c r="R60" s="109">
        <f>IF(AND(ISNUMBER(N60),ISNUMBER(Q60),N(Q60)&gt;0),N60/Q60-1,"")</f>
        <v/>
      </c>
      <c r="S60" s="109" t="n">
        <v>10681</v>
      </c>
      <c r="T60" s="109" t="n"/>
      <c r="U60" s="109" t="n">
        <v>4.4</v>
      </c>
      <c r="V60" s="109" t="n">
        <v>736</v>
      </c>
      <c r="W60" s="109" t="n"/>
      <c r="X60" s="109" t="n"/>
      <c r="Y60" s="109" t="n"/>
      <c r="Z60" s="109" t="n"/>
      <c r="AA60" s="109" t="n"/>
      <c r="AB60" s="109" t="n"/>
      <c r="AC60" s="109" t="inlineStr">
        <is>
          <t>CA DC B4</t>
        </is>
      </c>
      <c r="AD60" s="109">
        <f>'CA DC B4'!BC122</f>
        <v/>
      </c>
      <c r="AE60" s="109">
        <f>'CA DC B4'!BF122</f>
        <v/>
      </c>
      <c r="AF60" s="109" t="inlineStr">
        <is>
          <t>Queen</t>
        </is>
      </c>
      <c r="AG60" s="109" t="inlineStr">
        <is>
          <t>Olive Green</t>
        </is>
      </c>
    </row>
    <row r="61">
      <c r="A61" s="109">
        <f>AND(OR(Dashboard!$C$4="All",Dashboard!$C$4=D61),OR(Dashboard!$C$5="All",Dashboard!$C$5=E61),OR(Dashboard!$C$6="All",Dashboard!$C$6=G61),OR(Dashboard!$C$7="All",Dashboard!$C$7=H61),OR(Dashboard!$C$8="All",Dashboard!$C$8=F61))</f>
        <v/>
      </c>
      <c r="B61" s="109">
        <f>IF(A61,B60+1,B60)</f>
        <v/>
      </c>
      <c r="C61" s="109" t="n">
        <v>59</v>
      </c>
      <c r="D61" s="109" t="inlineStr">
        <is>
          <t>DC B4</t>
        </is>
      </c>
      <c r="E61" s="109" t="inlineStr">
        <is>
          <t>CA</t>
        </is>
      </c>
      <c r="F61" s="109" t="inlineStr">
        <is>
          <t>Bamboo</t>
        </is>
      </c>
      <c r="G61" s="109" t="inlineStr">
        <is>
          <t>ACCURATEX</t>
        </is>
      </c>
      <c r="H61" s="109" t="inlineStr">
        <is>
          <t>Untiered</t>
        </is>
      </c>
      <c r="I61" s="109" t="inlineStr">
        <is>
          <t>ACCURATEX Bamboo Cooling Sheets for Hot Sleepers, Queen Size, Grey</t>
        </is>
      </c>
      <c r="J61" s="109" t="inlineStr">
        <is>
          <t>https://m.media-amazon.com/images/I/81Oi9KYdBWL.jpg</t>
        </is>
      </c>
      <c r="K61" s="109" t="inlineStr">
        <is>
          <t>B0DK51QCDN</t>
        </is>
      </c>
      <c r="L61" s="109" t="inlineStr">
        <is>
          <t>B0BKLHTWGS</t>
        </is>
      </c>
      <c r="M61" s="109" t="n">
        <v>51</v>
      </c>
      <c r="N61" s="109" t="n">
        <v>94.98999999999999</v>
      </c>
      <c r="O61" s="109" t="n"/>
      <c r="P61" s="109">
        <f>IF(AND(ISNUMBER(O61),ISNUMBER(N61),N(N61)&gt;0),O61/N61-1,"")</f>
        <v/>
      </c>
      <c r="Q61" s="109" t="n">
        <v>100.805</v>
      </c>
      <c r="R61" s="109">
        <f>IF(AND(ISNUMBER(N61),ISNUMBER(Q61),N(Q61)&gt;0),N61/Q61-1,"")</f>
        <v/>
      </c>
      <c r="S61" s="109" t="n">
        <v>14889</v>
      </c>
      <c r="T61" s="109" t="n"/>
      <c r="U61" s="109" t="n">
        <v>4.3</v>
      </c>
      <c r="V61" s="109" t="n">
        <v>1019</v>
      </c>
      <c r="W61" s="109" t="n"/>
      <c r="X61" s="109" t="n"/>
      <c r="Y61" s="109" t="n"/>
      <c r="Z61" s="109" t="n"/>
      <c r="AA61" s="109" t="n"/>
      <c r="AB61" s="109" t="n"/>
      <c r="AC61" s="109" t="inlineStr">
        <is>
          <t>CA DC B4</t>
        </is>
      </c>
      <c r="AD61" s="109">
        <f>'CA DC B4'!BC123</f>
        <v/>
      </c>
      <c r="AE61" s="109">
        <f>'CA DC B4'!BF123</f>
        <v/>
      </c>
      <c r="AF61" s="109" t="inlineStr">
        <is>
          <t>Queen</t>
        </is>
      </c>
      <c r="AG61" s="109" t="inlineStr">
        <is>
          <t>Grey</t>
        </is>
      </c>
    </row>
    <row r="62">
      <c r="A62" s="109">
        <f>AND(OR(Dashboard!$C$4="All",Dashboard!$C$4=D62),OR(Dashboard!$C$5="All",Dashboard!$C$5=E62),OR(Dashboard!$C$6="All",Dashboard!$C$6=G62),OR(Dashboard!$C$7="All",Dashboard!$C$7=H62),OR(Dashboard!$C$8="All",Dashboard!$C$8=F62))</f>
        <v/>
      </c>
      <c r="B62" s="109">
        <f>IF(A62,B61+1,B61)</f>
        <v/>
      </c>
      <c r="C62" s="109" t="n">
        <v>59</v>
      </c>
      <c r="D62" s="109" t="inlineStr">
        <is>
          <t>DC B4</t>
        </is>
      </c>
      <c r="E62" s="109" t="inlineStr">
        <is>
          <t>CA</t>
        </is>
      </c>
      <c r="F62" s="109" t="inlineStr">
        <is>
          <t>Bamboo</t>
        </is>
      </c>
      <c r="G62" s="109" t="inlineStr">
        <is>
          <t>KRIMANO</t>
        </is>
      </c>
      <c r="H62" s="109" t="inlineStr">
        <is>
          <t>Untiered</t>
        </is>
      </c>
      <c r="I62" s="109" t="inlineStr">
        <is>
          <t>Bamboo Viscose Sheet Set Queen Size, Cooling Sheets Bed Set 4pcs</t>
        </is>
      </c>
      <c r="J62" s="109" t="inlineStr">
        <is>
          <t>https://m.media-amazon.com/images/I/61-LBYlR5KL.jpg</t>
        </is>
      </c>
      <c r="K62" s="109" t="inlineStr">
        <is>
          <t>B0FXVJLRTW</t>
        </is>
      </c>
      <c r="L62" s="109" t="inlineStr">
        <is>
          <t>B0FT7LV7PP</t>
        </is>
      </c>
      <c r="M62" s="109" t="n">
        <v>47</v>
      </c>
      <c r="N62" s="109" t="n">
        <v>97.98999999999999</v>
      </c>
      <c r="O62" s="109" t="n"/>
      <c r="P62" s="109">
        <f>IF(AND(ISNUMBER(O62),ISNUMBER(N62),N(N62)&gt;0),O62/N62-1,"")</f>
        <v/>
      </c>
      <c r="Q62" s="109" t="n">
        <v>100.805</v>
      </c>
      <c r="R62" s="109">
        <f>IF(AND(ISNUMBER(N62),ISNUMBER(Q62),N(Q62)&gt;0),N62/Q62-1,"")</f>
        <v/>
      </c>
      <c r="S62" s="109" t="n">
        <v>32819</v>
      </c>
      <c r="T62" s="109" t="n"/>
      <c r="U62" s="109" t="n">
        <v>4.4</v>
      </c>
      <c r="V62" s="109" t="n">
        <v>765</v>
      </c>
      <c r="W62" s="109" t="n"/>
      <c r="X62" s="109" t="n"/>
      <c r="Y62" s="109" t="n"/>
      <c r="Z62" s="109" t="n"/>
      <c r="AA62" s="109" t="n"/>
      <c r="AB62" s="109" t="n"/>
      <c r="AC62" s="109" t="inlineStr">
        <is>
          <t>CA DC B4</t>
        </is>
      </c>
      <c r="AD62" s="109">
        <f>'CA DC B4'!BC124</f>
        <v/>
      </c>
      <c r="AE62" s="109">
        <f>'CA DC B4'!BF124</f>
        <v/>
      </c>
      <c r="AF62" s="109" t="inlineStr">
        <is>
          <t>Queen</t>
        </is>
      </c>
      <c r="AG62" s="109" t="inlineStr">
        <is>
          <t>1.navy Blue</t>
        </is>
      </c>
    </row>
    <row r="63">
      <c r="A63" s="109">
        <f>AND(OR(Dashboard!$C$4="All",Dashboard!$C$4=D63),OR(Dashboard!$C$5="All",Dashboard!$C$5=E63),OR(Dashboard!$C$6="All",Dashboard!$C$6=G63),OR(Dashboard!$C$7="All",Dashboard!$C$7=H63),OR(Dashboard!$C$8="All",Dashboard!$C$8=F63))</f>
        <v/>
      </c>
      <c r="B63" s="109">
        <f>IF(A63,B62+1,B62)</f>
        <v/>
      </c>
      <c r="C63" s="109" t="n">
        <v>59</v>
      </c>
      <c r="D63" s="109" t="inlineStr">
        <is>
          <t>DC B4</t>
        </is>
      </c>
      <c r="E63" s="109" t="inlineStr">
        <is>
          <t>CA</t>
        </is>
      </c>
      <c r="F63" s="109" t="inlineStr">
        <is>
          <t>Bamboo</t>
        </is>
      </c>
      <c r="G63" s="109" t="inlineStr">
        <is>
          <t>MCO</t>
        </is>
      </c>
      <c r="H63" s="109" t="inlineStr">
        <is>
          <t>Untiered</t>
        </is>
      </c>
      <c r="I63" s="109" t="inlineStr">
        <is>
          <t>100% Bamboo King Size Sheets Set, Cooling&amp;Breathable-Light Blue</t>
        </is>
      </c>
      <c r="J63" s="109" t="inlineStr">
        <is>
          <t>https://m.media-amazon.com/images/I/71UaTjhX+fL.jpg</t>
        </is>
      </c>
      <c r="K63" s="109" t="inlineStr">
        <is>
          <t>B0CDCNVNPR</t>
        </is>
      </c>
      <c r="L63" s="109" t="inlineStr">
        <is>
          <t>B0C8CXS58F</t>
        </is>
      </c>
      <c r="M63" s="109" t="n">
        <v>3</v>
      </c>
      <c r="N63" s="109" t="n">
        <v>38.99</v>
      </c>
      <c r="O63" s="109" t="n"/>
      <c r="P63" s="109">
        <f>IF(AND(ISNUMBER(O63),ISNUMBER(N63),N(N63)&gt;0),O63/N63-1,"")</f>
        <v/>
      </c>
      <c r="Q63" s="109" t="n">
        <v>101.5498882681564</v>
      </c>
      <c r="R63" s="109">
        <f>IF(AND(ISNUMBER(N63),ISNUMBER(Q63),N(Q63)&gt;0),N63/Q63-1,"")</f>
        <v/>
      </c>
      <c r="S63" s="109" t="n">
        <v>67260</v>
      </c>
      <c r="T63" s="109" t="n"/>
      <c r="U63" s="109" t="n">
        <v>3.9</v>
      </c>
      <c r="V63" s="109" t="n">
        <v>255</v>
      </c>
      <c r="W63" s="109" t="n"/>
      <c r="X63" s="109" t="n"/>
      <c r="Y63" s="109" t="n"/>
      <c r="Z63" s="109" t="n"/>
      <c r="AA63" s="109" t="n"/>
      <c r="AB63" s="109" t="n"/>
      <c r="AC63" s="109" t="inlineStr">
        <is>
          <t>CA DC B4</t>
        </is>
      </c>
      <c r="AD63" s="109">
        <f>'CA DC B4'!BC125</f>
        <v/>
      </c>
      <c r="AE63" s="109">
        <f>'CA DC B4'!BF125</f>
        <v/>
      </c>
      <c r="AF63" s="109" t="inlineStr">
        <is>
          <t>King</t>
        </is>
      </c>
      <c r="AG63" s="109" t="inlineStr">
        <is>
          <t>Light Blue</t>
        </is>
      </c>
    </row>
    <row r="64">
      <c r="A64" s="109">
        <f>AND(OR(Dashboard!$C$4="All",Dashboard!$C$4=D64),OR(Dashboard!$C$5="All",Dashboard!$C$5=E64),OR(Dashboard!$C$6="All",Dashboard!$C$6=G64),OR(Dashboard!$C$7="All",Dashboard!$C$7=H64),OR(Dashboard!$C$8="All",Dashboard!$C$8=F64))</f>
        <v/>
      </c>
      <c r="B64" s="109">
        <f>IF(A64,B63+1,B63)</f>
        <v/>
      </c>
      <c r="C64" s="109" t="n">
        <v>59</v>
      </c>
      <c r="D64" s="109" t="inlineStr">
        <is>
          <t>DC B4</t>
        </is>
      </c>
      <c r="E64" s="109" t="inlineStr">
        <is>
          <t>CA</t>
        </is>
      </c>
      <c r="F64" s="109" t="inlineStr">
        <is>
          <t>Bamboo</t>
        </is>
      </c>
      <c r="G64" s="109" t="inlineStr">
        <is>
          <t>KRIMANO</t>
        </is>
      </c>
      <c r="H64" s="109" t="inlineStr">
        <is>
          <t>Untiered</t>
        </is>
      </c>
      <c r="I64" s="109" t="inlineStr">
        <is>
          <t>Queen Size Sheet Set, Viscose Bamboo Sheets 4-Piece, 100% Viscose Derived from Bamboo, Hotel Luxury Silky &amp; Cooling for Hot Sleepers, Deep Pocket Up to 17", Taupe</t>
        </is>
      </c>
      <c r="J64" s="109" t="inlineStr">
        <is>
          <t>https://m.media-amazon.com/images/I/7132udf75EL.jpg</t>
        </is>
      </c>
      <c r="K64" s="109" t="inlineStr">
        <is>
          <t>B0H4LQ1XJH</t>
        </is>
      </c>
      <c r="L64" s="109" t="inlineStr">
        <is>
          <t>B0H4LHZTBY</t>
        </is>
      </c>
      <c r="M64" s="109" t="n">
        <v>12</v>
      </c>
      <c r="N64" s="109" t="n">
        <v>85.48999999999999</v>
      </c>
      <c r="O64" s="109" t="n"/>
      <c r="P64" s="109">
        <f>IF(AND(ISNUMBER(O64),ISNUMBER(N64),N(N64)&gt;0),O64/N64-1,"")</f>
        <v/>
      </c>
      <c r="Q64" s="109" t="n">
        <v>100.805</v>
      </c>
      <c r="R64" s="109">
        <f>IF(AND(ISNUMBER(N64),ISNUMBER(Q64),N(Q64)&gt;0),N64/Q64-1,"")</f>
        <v/>
      </c>
      <c r="S64" s="109" t="n">
        <v>39816</v>
      </c>
      <c r="T64" s="109" t="n"/>
      <c r="U64" s="109" t="n">
        <v>4.5</v>
      </c>
      <c r="V64" s="109" t="n">
        <v>23</v>
      </c>
      <c r="W64" s="109" t="n"/>
      <c r="X64" s="109" t="n"/>
      <c r="Y64" s="109" t="n"/>
      <c r="Z64" s="109" t="n"/>
      <c r="AA64" s="109" t="n"/>
      <c r="AB64" s="109" t="n"/>
      <c r="AC64" s="109" t="inlineStr">
        <is>
          <t>CA DC B4</t>
        </is>
      </c>
      <c r="AD64" s="109">
        <f>'CA DC B4'!BC126</f>
        <v/>
      </c>
      <c r="AE64" s="109">
        <f>'CA DC B4'!BF126</f>
        <v/>
      </c>
      <c r="AF64" s="109" t="inlineStr">
        <is>
          <t>Queen</t>
        </is>
      </c>
      <c r="AG64" s="109" t="inlineStr">
        <is>
          <t>3. Premium Taupe</t>
        </is>
      </c>
    </row>
    <row r="65">
      <c r="A65" s="109">
        <f>AND(OR(Dashboard!$C$4="All",Dashboard!$C$4=D65),OR(Dashboard!$C$5="All",Dashboard!$C$5=E65),OR(Dashboard!$C$6="All",Dashboard!$C$6=G65),OR(Dashboard!$C$7="All",Dashboard!$C$7=H65),OR(Dashboard!$C$8="All",Dashboard!$C$8=F65))</f>
        <v/>
      </c>
      <c r="B65" s="109">
        <f>IF(A65,B64+1,B64)</f>
        <v/>
      </c>
      <c r="C65" s="109" t="n">
        <v>59</v>
      </c>
      <c r="D65" s="109" t="inlineStr">
        <is>
          <t>DC B4</t>
        </is>
      </c>
      <c r="E65" s="109" t="inlineStr">
        <is>
          <t>CA</t>
        </is>
      </c>
      <c r="F65" s="109" t="inlineStr">
        <is>
          <t>Bamboo</t>
        </is>
      </c>
      <c r="G65" s="109" t="inlineStr">
        <is>
          <t>Bambaw</t>
        </is>
      </c>
      <c r="H65" s="109" t="inlineStr">
        <is>
          <t>Untiered</t>
        </is>
      </c>
      <c r="I65" s="109" t="inlineStr">
        <is>
          <t>Bambaw 100% Viscose Derived from Bamboo Sheets Queen Size Set – 4pcs Cooling Sheet Set, Super Soft Sheets Queen Size, Luxury Bed Sheets, Deep Pocket Fits Up to 16'' Mattresses (Charcoal)</t>
        </is>
      </c>
      <c r="J65" s="109" t="inlineStr">
        <is>
          <t>https://m.media-amazon.com/images/I/81svKInu7aL.jpg</t>
        </is>
      </c>
      <c r="K65" s="109" t="inlineStr">
        <is>
          <t>B07K6SYX8L</t>
        </is>
      </c>
      <c r="L65" s="109" t="inlineStr">
        <is>
          <t>B0DR99Q37Y</t>
        </is>
      </c>
      <c r="M65" s="109" t="n">
        <v>112</v>
      </c>
      <c r="N65" s="109" t="n">
        <v>139.95</v>
      </c>
      <c r="O65" s="109" t="n"/>
      <c r="P65" s="109">
        <f>IF(AND(ISNUMBER(O65),ISNUMBER(N65),N(N65)&gt;0),O65/N65-1,"")</f>
        <v/>
      </c>
      <c r="Q65" s="109" t="n">
        <v>100.805</v>
      </c>
      <c r="R65" s="109">
        <f>IF(AND(ISNUMBER(N65),ISNUMBER(Q65),N(Q65)&gt;0),N65/Q65-1,"")</f>
        <v/>
      </c>
      <c r="S65" s="109" t="n">
        <v>5024</v>
      </c>
      <c r="T65" s="109" t="n"/>
      <c r="U65" s="109" t="n">
        <v>4.3</v>
      </c>
      <c r="V65" s="109" t="n">
        <v>3030</v>
      </c>
      <c r="W65" s="109" t="n"/>
      <c r="X65" s="109" t="n"/>
      <c r="Y65" s="109" t="n"/>
      <c r="Z65" s="109" t="n"/>
      <c r="AA65" s="109" t="n"/>
      <c r="AB65" s="109" t="n"/>
      <c r="AC65" s="109" t="inlineStr">
        <is>
          <t>CA DC B4</t>
        </is>
      </c>
      <c r="AD65" s="109">
        <f>'CA DC B4'!BC127</f>
        <v/>
      </c>
      <c r="AE65" s="109">
        <f>'CA DC B4'!BF127</f>
        <v/>
      </c>
      <c r="AF65" s="109" t="inlineStr">
        <is>
          <t>Queen</t>
        </is>
      </c>
      <c r="AG65" s="109" t="inlineStr">
        <is>
          <t>Charcoal</t>
        </is>
      </c>
    </row>
    <row r="66">
      <c r="A66" s="109">
        <f>AND(OR(Dashboard!$C$4="All",Dashboard!$C$4=D66),OR(Dashboard!$C$5="All",Dashboard!$C$5=E66),OR(Dashboard!$C$6="All",Dashboard!$C$6=G66),OR(Dashboard!$C$7="All",Dashboard!$C$7=H66),OR(Dashboard!$C$8="All",Dashboard!$C$8=F66))</f>
        <v/>
      </c>
      <c r="B66" s="109">
        <f>IF(A66,B65+1,B65)</f>
        <v/>
      </c>
      <c r="C66" s="109" t="n">
        <v>59</v>
      </c>
      <c r="D66" s="109" t="inlineStr">
        <is>
          <t>DC B4</t>
        </is>
      </c>
      <c r="E66" s="109" t="inlineStr">
        <is>
          <t>CA</t>
        </is>
      </c>
      <c r="F66" s="109" t="inlineStr">
        <is>
          <t>Bamboo</t>
        </is>
      </c>
      <c r="G66" s="109" t="inlineStr">
        <is>
          <t>GOKOTTA</t>
        </is>
      </c>
      <c r="H66" s="109" t="inlineStr">
        <is>
          <t>Untiered</t>
        </is>
      </c>
      <c r="I66" s="109" t="inlineStr">
        <is>
          <t>Gökotta Queen Bed Sheets 4 Piece, 100% FSC® Certified Bamboo, Cooling</t>
        </is>
      </c>
      <c r="J66" s="109" t="inlineStr">
        <is>
          <t>https://m.media-amazon.com/images/I/819Dj6rLeGL.jpg</t>
        </is>
      </c>
      <c r="K66" s="109" t="inlineStr">
        <is>
          <t>B09WY1GFH8</t>
        </is>
      </c>
      <c r="L66" s="109" t="inlineStr">
        <is>
          <t>B08F3HFQ6X</t>
        </is>
      </c>
      <c r="M66" s="109" t="n">
        <v>101</v>
      </c>
      <c r="N66" s="109" t="n">
        <v>139.99</v>
      </c>
      <c r="O66" s="109" t="n"/>
      <c r="P66" s="109">
        <f>IF(AND(ISNUMBER(O66),ISNUMBER(N66),N(N66)&gt;0),O66/N66-1,"")</f>
        <v/>
      </c>
      <c r="Q66" s="109" t="n">
        <v>100.805</v>
      </c>
      <c r="R66" s="109">
        <f>IF(AND(ISNUMBER(N66),ISNUMBER(Q66),N(Q66)&gt;0),N66/Q66-1,"")</f>
        <v/>
      </c>
      <c r="S66" s="109" t="n">
        <v>4180</v>
      </c>
      <c r="T66" s="109" t="n"/>
      <c r="U66" s="109" t="n">
        <v>4.4</v>
      </c>
      <c r="V66" s="109" t="n">
        <v>2698</v>
      </c>
      <c r="W66" s="109" t="n"/>
      <c r="X66" s="109" t="n"/>
      <c r="Y66" s="109" t="n"/>
      <c r="Z66" s="109" t="n"/>
      <c r="AA66" s="109" t="n"/>
      <c r="AB66" s="109" t="n"/>
      <c r="AC66" s="109" t="inlineStr">
        <is>
          <t>CA DC B4</t>
        </is>
      </c>
      <c r="AD66" s="109">
        <f>'CA DC B4'!BC128</f>
        <v/>
      </c>
      <c r="AE66" s="109">
        <f>'CA DC B4'!BF128</f>
        <v/>
      </c>
      <c r="AF66" s="109" t="inlineStr">
        <is>
          <t>Queen</t>
        </is>
      </c>
      <c r="AG66" s="109" t="inlineStr">
        <is>
          <t>01 Cream White</t>
        </is>
      </c>
    </row>
    <row r="67">
      <c r="A67" s="109">
        <f>AND(OR(Dashboard!$C$4="All",Dashboard!$C$4=D67),OR(Dashboard!$C$5="All",Dashboard!$C$5=E67),OR(Dashboard!$C$6="All",Dashboard!$C$6=G67),OR(Dashboard!$C$7="All",Dashboard!$C$7=H67),OR(Dashboard!$C$8="All",Dashboard!$C$8=F67))</f>
        <v/>
      </c>
      <c r="B67" s="109">
        <f>IF(A67,B66+1,B66)</f>
        <v/>
      </c>
      <c r="C67" s="109" t="n">
        <v>59</v>
      </c>
      <c r="D67" s="109" t="inlineStr">
        <is>
          <t>DC B4</t>
        </is>
      </c>
      <c r="E67" s="109" t="inlineStr">
        <is>
          <t>CA</t>
        </is>
      </c>
      <c r="F67" s="109" t="inlineStr">
        <is>
          <t>Bamboo</t>
        </is>
      </c>
      <c r="G67" s="109" t="inlineStr">
        <is>
          <t>Viviland</t>
        </is>
      </c>
      <c r="H67" s="109" t="inlineStr">
        <is>
          <t>Untiered</t>
        </is>
      </c>
      <c r="I67" s="109" t="inlineStr">
        <is>
          <t>Viviland Cooling Queen Sheets, 100% Viscose Derived Bamboo, Sage Green</t>
        </is>
      </c>
      <c r="J67" s="109" t="inlineStr">
        <is>
          <t>https://m.media-amazon.com/images/I/71wGI7mFbBL.jpg</t>
        </is>
      </c>
      <c r="K67" s="109" t="inlineStr">
        <is>
          <t>B0F24WLDTG</t>
        </is>
      </c>
      <c r="L67" s="109" t="inlineStr">
        <is>
          <t>B0H8S57BK7</t>
        </is>
      </c>
      <c r="M67" s="109" t="n">
        <v>52</v>
      </c>
      <c r="N67" s="109" t="n">
        <v>68.39</v>
      </c>
      <c r="O67" s="109" t="n"/>
      <c r="P67" s="109">
        <f>IF(AND(ISNUMBER(O67),ISNUMBER(N67),N(N67)&gt;0),O67/N67-1,"")</f>
        <v/>
      </c>
      <c r="Q67" s="109" t="n">
        <v>100.805</v>
      </c>
      <c r="R67" s="109">
        <f>IF(AND(ISNUMBER(N67),ISNUMBER(Q67),N(Q67)&gt;0),N67/Q67-1,"")</f>
        <v/>
      </c>
      <c r="S67" s="109" t="n">
        <v>12341</v>
      </c>
      <c r="T67" s="109" t="n"/>
      <c r="U67" s="109" t="n">
        <v>4.4</v>
      </c>
      <c r="V67" s="109" t="n">
        <v>146</v>
      </c>
      <c r="W67" s="109" t="n"/>
      <c r="X67" s="109" t="n"/>
      <c r="Y67" s="109" t="n"/>
      <c r="Z67" s="109" t="n"/>
      <c r="AA67" s="109" t="n"/>
      <c r="AB67" s="109" t="n"/>
      <c r="AC67" s="109" t="inlineStr">
        <is>
          <t>CA DC B4</t>
        </is>
      </c>
      <c r="AD67" s="109">
        <f>'CA DC B4'!BC129</f>
        <v/>
      </c>
      <c r="AE67" s="109">
        <f>'CA DC B4'!BF129</f>
        <v/>
      </c>
      <c r="AF67" s="109" t="inlineStr">
        <is>
          <t>Queen</t>
        </is>
      </c>
      <c r="AG67" s="109" t="inlineStr">
        <is>
          <t>Sage Green</t>
        </is>
      </c>
    </row>
    <row r="68">
      <c r="A68" s="109">
        <f>AND(OR(Dashboard!$C$4="All",Dashboard!$C$4=D68),OR(Dashboard!$C$5="All",Dashboard!$C$5=E68),OR(Dashboard!$C$6="All",Dashboard!$C$6=G68),OR(Dashboard!$C$7="All",Dashboard!$C$7=H68),OR(Dashboard!$C$8="All",Dashboard!$C$8=F68))</f>
        <v/>
      </c>
      <c r="B68" s="109">
        <f>IF(A68,B67+1,B67)</f>
        <v/>
      </c>
      <c r="C68" s="109" t="n">
        <v>59</v>
      </c>
      <c r="D68" s="109" t="inlineStr">
        <is>
          <t>DC B4</t>
        </is>
      </c>
      <c r="E68" s="109" t="inlineStr">
        <is>
          <t>CA</t>
        </is>
      </c>
      <c r="F68" s="109" t="inlineStr">
        <is>
          <t>Bamboo</t>
        </is>
      </c>
      <c r="G68" s="109" t="inlineStr">
        <is>
          <t>BAMPURE</t>
        </is>
      </c>
      <c r="H68" s="109" t="inlineStr">
        <is>
          <t>Untiered</t>
        </is>
      </c>
      <c r="I68" s="109" t="inlineStr">
        <is>
          <t>BAMPURE 100% Organic Bamboo Sheets Queen 4PC - Cooling Sheets Set</t>
        </is>
      </c>
      <c r="J68" s="109" t="inlineStr">
        <is>
          <t>https://m.media-amazon.com/images/I/717ErtYBKJL.jpg</t>
        </is>
      </c>
      <c r="K68" s="109" t="n"/>
      <c r="L68" s="109" t="inlineStr">
        <is>
          <t>B0DPLJ4BN4</t>
        </is>
      </c>
      <c r="M68" s="109" t="n"/>
      <c r="N68" s="109" t="n">
        <v>74.98999999999999</v>
      </c>
      <c r="O68" s="109" t="n"/>
      <c r="P68" s="109">
        <f>IF(AND(ISNUMBER(O68),ISNUMBER(N68),N(N68)&gt;0),O68/N68-1,"")</f>
        <v/>
      </c>
      <c r="Q68" s="109" t="n">
        <v>100.805</v>
      </c>
      <c r="R68" s="109">
        <f>IF(AND(ISNUMBER(N68),ISNUMBER(Q68),N(Q68)&gt;0),N68/Q68-1,"")</f>
        <v/>
      </c>
      <c r="S68" s="109" t="n">
        <v>110902</v>
      </c>
      <c r="T68" s="109" t="n"/>
      <c r="U68" s="109" t="n">
        <v>3.3</v>
      </c>
      <c r="V68" s="109" t="n">
        <v>18</v>
      </c>
      <c r="W68" s="109" t="n"/>
      <c r="X68" s="109" t="n"/>
      <c r="Y68" s="109" t="n"/>
      <c r="Z68" s="109" t="n"/>
      <c r="AA68" s="109" t="n"/>
      <c r="AB68" s="109" t="n"/>
      <c r="AC68" s="109" t="inlineStr">
        <is>
          <t>CA DC B4</t>
        </is>
      </c>
      <c r="AD68" s="109">
        <f>'CA DC B4'!BC130</f>
        <v/>
      </c>
      <c r="AE68" s="109">
        <f>'CA DC B4'!BF130</f>
        <v/>
      </c>
      <c r="AF68" s="109" t="inlineStr">
        <is>
          <t>Queen</t>
        </is>
      </c>
      <c r="AG68" s="109" t="inlineStr">
        <is>
          <t>Navy</t>
        </is>
      </c>
    </row>
    <row r="69">
      <c r="A69" s="109">
        <f>AND(OR(Dashboard!$C$4="All",Dashboard!$C$4=D69),OR(Dashboard!$C$5="All",Dashboard!$C$5=E69),OR(Dashboard!$C$6="All",Dashboard!$C$6=G69),OR(Dashboard!$C$7="All",Dashboard!$C$7=H69),OR(Dashboard!$C$8="All",Dashboard!$C$8=F69))</f>
        <v/>
      </c>
      <c r="B69" s="109">
        <f>IF(A69,B68+1,B68)</f>
        <v/>
      </c>
      <c r="C69" s="109" t="n">
        <v>59</v>
      </c>
      <c r="D69" s="109" t="inlineStr">
        <is>
          <t>DC B4</t>
        </is>
      </c>
      <c r="E69" s="109" t="inlineStr">
        <is>
          <t>CA</t>
        </is>
      </c>
      <c r="F69" s="109" t="inlineStr">
        <is>
          <t>Bamboo</t>
        </is>
      </c>
      <c r="G69" s="109" t="inlineStr">
        <is>
          <t>YASMENG</t>
        </is>
      </c>
      <c r="H69" s="109" t="inlineStr">
        <is>
          <t>Untiered</t>
        </is>
      </c>
      <c r="I69" s="109" t="inlineStr">
        <is>
          <t>100% Bamboo Rayon Cooling Sheets Queen Set Black Silky Soft Bedding</t>
        </is>
      </c>
      <c r="J69" s="109" t="inlineStr">
        <is>
          <t>https://m.media-amazon.com/images/I/81cBDD-c36L.jpg</t>
        </is>
      </c>
      <c r="K69" s="109" t="n"/>
      <c r="L69" s="109" t="inlineStr">
        <is>
          <t>B0FXWJD1B1</t>
        </is>
      </c>
      <c r="M69" s="109" t="n"/>
      <c r="N69" s="109" t="n">
        <v>44.99</v>
      </c>
      <c r="O69" s="109" t="n"/>
      <c r="P69" s="109">
        <f>IF(AND(ISNUMBER(O69),ISNUMBER(N69),N(N69)&gt;0),O69/N69-1,"")</f>
        <v/>
      </c>
      <c r="Q69" s="109" t="n">
        <v>100.805</v>
      </c>
      <c r="R69" s="109">
        <f>IF(AND(ISNUMBER(N69),ISNUMBER(Q69),N(Q69)&gt;0),N69/Q69-1,"")</f>
        <v/>
      </c>
      <c r="S69" s="109" t="n">
        <v>153053</v>
      </c>
      <c r="T69" s="109" t="n"/>
      <c r="U69" s="109" t="n">
        <v>1</v>
      </c>
      <c r="V69" s="109" t="n">
        <v>1</v>
      </c>
      <c r="W69" s="109" t="n"/>
      <c r="X69" s="109" t="n"/>
      <c r="Y69" s="109" t="n"/>
      <c r="Z69" s="109" t="n"/>
      <c r="AA69" s="109" t="n"/>
      <c r="AB69" s="109" t="n"/>
      <c r="AC69" s="109" t="inlineStr">
        <is>
          <t>CA DC B4</t>
        </is>
      </c>
      <c r="AD69" s="109">
        <f>'CA DC B4'!BC131</f>
        <v/>
      </c>
      <c r="AE69" s="109">
        <f>'CA DC B4'!BF131</f>
        <v/>
      </c>
      <c r="AF69" s="109" t="inlineStr">
        <is>
          <t>Queen</t>
        </is>
      </c>
      <c r="AG69" s="109" t="inlineStr">
        <is>
          <t>Black</t>
        </is>
      </c>
    </row>
    <row r="70">
      <c r="A70" s="109">
        <f>AND(OR(Dashboard!$C$4="All",Dashboard!$C$4=D70),OR(Dashboard!$C$5="All",Dashboard!$C$5=E70),OR(Dashboard!$C$6="All",Dashboard!$C$6=G70),OR(Dashboard!$C$7="All",Dashboard!$C$7=H70),OR(Dashboard!$C$8="All",Dashboard!$C$8=F70))</f>
        <v/>
      </c>
      <c r="B70" s="109">
        <f>IF(A70,B69+1,B69)</f>
        <v/>
      </c>
      <c r="C70" s="109" t="n">
        <v>59</v>
      </c>
      <c r="D70" s="109" t="inlineStr">
        <is>
          <t>DC B4</t>
        </is>
      </c>
      <c r="E70" s="109" t="inlineStr">
        <is>
          <t>CA</t>
        </is>
      </c>
      <c r="F70" s="109" t="inlineStr">
        <is>
          <t>Bamboo</t>
        </is>
      </c>
      <c r="G70" s="109" t="inlineStr">
        <is>
          <t>Sweave</t>
        </is>
      </c>
      <c r="H70" s="109" t="inlineStr">
        <is>
          <t>Untiered</t>
        </is>
      </c>
      <c r="I70" s="109" t="inlineStr">
        <is>
          <t>100% Organically Rayon Derived from Bamboo Sheets Queen, 4Pcs Set, Ivory</t>
        </is>
      </c>
      <c r="J70" s="109" t="inlineStr">
        <is>
          <t>https://m.media-amazon.com/images/I/717dwVGXtTL.jpg</t>
        </is>
      </c>
      <c r="K70" s="109" t="inlineStr">
        <is>
          <t>B091Z7KM7B</t>
        </is>
      </c>
      <c r="L70" s="109" t="inlineStr">
        <is>
          <t>B0CNRQXKYR</t>
        </is>
      </c>
      <c r="M70" s="109" t="n">
        <v>15</v>
      </c>
      <c r="N70" s="109" t="n">
        <v>71.98999999999999</v>
      </c>
      <c r="O70" s="109" t="n"/>
      <c r="P70" s="109">
        <f>IF(AND(ISNUMBER(O70),ISNUMBER(N70),N(N70)&gt;0),O70/N70-1,"")</f>
        <v/>
      </c>
      <c r="Q70" s="109" t="n">
        <v>100.805</v>
      </c>
      <c r="R70" s="109">
        <f>IF(AND(ISNUMBER(N70),ISNUMBER(Q70),N(Q70)&gt;0),N70/Q70-1,"")</f>
        <v/>
      </c>
      <c r="S70" s="109" t="n">
        <v>46605</v>
      </c>
      <c r="T70" s="109" t="n"/>
      <c r="U70" s="109" t="n">
        <v>4</v>
      </c>
      <c r="V70" s="109" t="n">
        <v>25</v>
      </c>
      <c r="W70" s="109" t="n"/>
      <c r="X70" s="109" t="n"/>
      <c r="Y70" s="109" t="n"/>
      <c r="Z70" s="109" t="n"/>
      <c r="AA70" s="109" t="n"/>
      <c r="AB70" s="109" t="n"/>
      <c r="AC70" s="109" t="inlineStr">
        <is>
          <t>CA DC B4</t>
        </is>
      </c>
      <c r="AD70" s="109">
        <f>'CA DC B4'!BC132</f>
        <v/>
      </c>
      <c r="AE70" s="109">
        <f>'CA DC B4'!BF132</f>
        <v/>
      </c>
      <c r="AF70" s="109" t="inlineStr">
        <is>
          <t>Queen</t>
        </is>
      </c>
      <c r="AG70" s="109" t="inlineStr">
        <is>
          <t>Ivory (100% Organic Viscose Made from Bamboo)</t>
        </is>
      </c>
    </row>
    <row r="71">
      <c r="A71" s="109">
        <f>AND(OR(Dashboard!$C$4="All",Dashboard!$C$4=D71),OR(Dashboard!$C$5="All",Dashboard!$C$5=E71),OR(Dashboard!$C$6="All",Dashboard!$C$6=G71),OR(Dashboard!$C$7="All",Dashboard!$C$7=H71),OR(Dashboard!$C$8="All",Dashboard!$C$8=F71))</f>
        <v/>
      </c>
      <c r="B71" s="109">
        <f>IF(A71,B70+1,B70)</f>
        <v/>
      </c>
      <c r="C71" s="109" t="n">
        <v>59</v>
      </c>
      <c r="D71" s="109" t="inlineStr">
        <is>
          <t>DC B4</t>
        </is>
      </c>
      <c r="E71" s="109" t="inlineStr">
        <is>
          <t>CA</t>
        </is>
      </c>
      <c r="F71" s="109" t="inlineStr">
        <is>
          <t>Bamboo</t>
        </is>
      </c>
      <c r="G71" s="109" t="inlineStr">
        <is>
          <t>CAROMIO</t>
        </is>
      </c>
      <c r="H71" s="109" t="inlineStr">
        <is>
          <t>Untiered</t>
        </is>
      </c>
      <c r="I71" s="109" t="inlineStr">
        <is>
          <t>CAROMIO Sheets Set Queen Size Rayon Derived from Bamboo, Cooling Bed Sheets</t>
        </is>
      </c>
      <c r="J71" s="109" t="inlineStr">
        <is>
          <t>https://m.media-amazon.com/images/I/71XnPNu62FL.jpg</t>
        </is>
      </c>
      <c r="K71" s="109" t="inlineStr">
        <is>
          <t>B095L9VFG4</t>
        </is>
      </c>
      <c r="L71" s="109" t="inlineStr">
        <is>
          <t>B08XK2ZFTL</t>
        </is>
      </c>
      <c r="M71" s="109" t="n">
        <v>29</v>
      </c>
      <c r="N71" s="109" t="n">
        <v>69.98999999999999</v>
      </c>
      <c r="O71" s="109" t="n"/>
      <c r="P71" s="109">
        <f>IF(AND(ISNUMBER(O71),ISNUMBER(N71),N(N71)&gt;0),O71/N71-1,"")</f>
        <v/>
      </c>
      <c r="Q71" s="109" t="n">
        <v>100.805</v>
      </c>
      <c r="R71" s="109">
        <f>IF(AND(ISNUMBER(N71),ISNUMBER(Q71),N(Q71)&gt;0),N71/Q71-1,"")</f>
        <v/>
      </c>
      <c r="S71" s="109" t="n">
        <v>70805</v>
      </c>
      <c r="T71" s="109" t="n"/>
      <c r="U71" s="109" t="n">
        <v>4.2</v>
      </c>
      <c r="V71" s="109" t="n">
        <v>1050</v>
      </c>
      <c r="W71" s="109" t="n"/>
      <c r="X71" s="109" t="n"/>
      <c r="Y71" s="109" t="n"/>
      <c r="Z71" s="109" t="n"/>
      <c r="AA71" s="109" t="n"/>
      <c r="AB71" s="109" t="n"/>
      <c r="AC71" s="109" t="inlineStr">
        <is>
          <t>CA DC B4</t>
        </is>
      </c>
      <c r="AD71" s="109">
        <f>'CA DC B4'!BC133</f>
        <v/>
      </c>
      <c r="AE71" s="109">
        <f>'CA DC B4'!BF133</f>
        <v/>
      </c>
      <c r="AF71" s="109" t="inlineStr">
        <is>
          <t>Queen</t>
        </is>
      </c>
      <c r="AG71" s="109" t="inlineStr">
        <is>
          <t>White</t>
        </is>
      </c>
    </row>
    <row r="72">
      <c r="A72" s="109">
        <f>AND(OR(Dashboard!$C$4="All",Dashboard!$C$4=D72),OR(Dashboard!$C$5="All",Dashboard!$C$5=E72),OR(Dashboard!$C$6="All",Dashboard!$C$6=G72),OR(Dashboard!$C$7="All",Dashboard!$C$7=H72),OR(Dashboard!$C$8="All",Dashboard!$C$8=F72))</f>
        <v/>
      </c>
      <c r="B72" s="109">
        <f>IF(A72,B71+1,B71)</f>
        <v/>
      </c>
      <c r="C72" s="109" t="n">
        <v>30</v>
      </c>
      <c r="D72" s="109" t="inlineStr">
        <is>
          <t>DC B6</t>
        </is>
      </c>
      <c r="E72" s="109" t="inlineStr">
        <is>
          <t>US</t>
        </is>
      </c>
      <c r="F72" s="109" t="inlineStr">
        <is>
          <t>Bamboo</t>
        </is>
      </c>
      <c r="G72" s="109" t="inlineStr">
        <is>
          <t>Bedsure</t>
        </is>
      </c>
      <c r="H72" s="109" t="inlineStr">
        <is>
          <t>Aspirational</t>
        </is>
      </c>
      <c r="I72" s="109" t="inlineStr">
        <is>
          <t>Bedsure PureWoven 100% Rayon Derived from Bamboo, Queen Sheets, 4 Pieces</t>
        </is>
      </c>
      <c r="J72" s="109" t="inlineStr">
        <is>
          <t>https://images-na.ssl-images-amazon.com/images/I/81L2xb5ly6L.jpg</t>
        </is>
      </c>
      <c r="K72" s="109" t="inlineStr">
        <is>
          <t>B0BZ8T5BJ6</t>
        </is>
      </c>
      <c r="L72" s="109" t="inlineStr">
        <is>
          <t>B07YK8VTJV</t>
        </is>
      </c>
      <c r="M72" s="109" t="n">
        <v>131</v>
      </c>
      <c r="N72" s="109" t="n">
        <v>62.99</v>
      </c>
      <c r="O72" s="109" t="n">
        <v>69.98999999999999</v>
      </c>
      <c r="P72" s="109">
        <f>IF(AND(ISNUMBER(O72),ISNUMBER(N72),N(N72)&gt;0),O72/N72-1,"")</f>
        <v/>
      </c>
      <c r="Q72" s="109" t="n">
        <v>94.98999999999999</v>
      </c>
      <c r="R72" s="109">
        <f>IF(AND(ISNUMBER(N72),ISNUMBER(Q72),N(Q72)&gt;0),N72/Q72-1,"")</f>
        <v/>
      </c>
      <c r="S72" s="109" t="n">
        <v>256</v>
      </c>
      <c r="T72" s="109" t="n">
        <v>809</v>
      </c>
      <c r="U72" s="109" t="n">
        <v>4.4</v>
      </c>
      <c r="V72" s="109" t="n">
        <v>65061</v>
      </c>
      <c r="W72" s="109" t="n">
        <v>2166046</v>
      </c>
      <c r="X72" s="109" t="n">
        <v>0.5902383405984899</v>
      </c>
      <c r="Y72" s="109" t="n">
        <v>174</v>
      </c>
      <c r="Z72" s="109" t="n">
        <v>1559</v>
      </c>
      <c r="AA72" s="109" t="n">
        <v>2778</v>
      </c>
      <c r="AB72" s="109" t="n">
        <v>1.066623404715553</v>
      </c>
      <c r="AC72" s="109" t="inlineStr">
        <is>
          <t>US DC B6</t>
        </is>
      </c>
      <c r="AD72" s="109">
        <f>'US DC B6'!BC124</f>
        <v/>
      </c>
      <c r="AE72" s="109">
        <f>'US DC B6'!BF124</f>
        <v/>
      </c>
      <c r="AF72" s="109" t="inlineStr">
        <is>
          <t>Queen</t>
        </is>
      </c>
      <c r="AG72" s="109" t="n"/>
    </row>
    <row r="73">
      <c r="A73" s="109">
        <f>AND(OR(Dashboard!$C$4="All",Dashboard!$C$4=D73),OR(Dashboard!$C$5="All",Dashboard!$C$5=E73),OR(Dashboard!$C$6="All",Dashboard!$C$6=G73),OR(Dashboard!$C$7="All",Dashboard!$C$7=H73),OR(Dashboard!$C$8="All",Dashboard!$C$8=F73))</f>
        <v/>
      </c>
      <c r="B73" s="109">
        <f>IF(A73,B72+1,B72)</f>
        <v/>
      </c>
      <c r="C73" s="109" t="n">
        <v>30</v>
      </c>
      <c r="D73" s="109" t="inlineStr">
        <is>
          <t>DC B6</t>
        </is>
      </c>
      <c r="E73" s="109" t="inlineStr">
        <is>
          <t>US</t>
        </is>
      </c>
      <c r="F73" s="109" t="inlineStr">
        <is>
          <t>Bamboo</t>
        </is>
      </c>
      <c r="G73" s="109" t="inlineStr">
        <is>
          <t>Pure Bamboo</t>
        </is>
      </c>
      <c r="H73" s="109" t="inlineStr">
        <is>
          <t>Aspirational</t>
        </is>
      </c>
      <c r="I73" s="109" t="inlineStr">
        <is>
          <t>Pure Bamboo King Sheets, Genuine 100% Organic Viscose Derived from Bamboo Bed Sheet Set, Luxuriously Soft &amp; Cooling, Double Stitching, 2 Year Quality Promise (King, Ivory)</t>
        </is>
      </c>
      <c r="J73" s="109" t="inlineStr">
        <is>
          <t>https://images-na.ssl-images-amazon.com/images/I/91dfner9BkL.jpg</t>
        </is>
      </c>
      <c r="K73" s="109" t="inlineStr">
        <is>
          <t>B0CZQ52MTQ</t>
        </is>
      </c>
      <c r="L73" s="109" t="inlineStr">
        <is>
          <t>B07DZTQ4JC</t>
        </is>
      </c>
      <c r="M73" s="109" t="n">
        <v>181</v>
      </c>
      <c r="N73" s="109" t="n">
        <v>109.99</v>
      </c>
      <c r="O73" s="109" t="n"/>
      <c r="P73" s="109">
        <f>IF(AND(ISNUMBER(O73),ISNUMBER(N73),N(N73)&gt;0),O73/N73-1,"")</f>
        <v/>
      </c>
      <c r="Q73" s="109" t="n">
        <v>99.98999999999999</v>
      </c>
      <c r="R73" s="109">
        <f>IF(AND(ISNUMBER(N73),ISNUMBER(Q73),N(Q73)&gt;0),N73/Q73-1,"")</f>
        <v/>
      </c>
      <c r="S73" s="109" t="n">
        <v>304</v>
      </c>
      <c r="T73" s="109" t="n">
        <v>809</v>
      </c>
      <c r="U73" s="109" t="n">
        <v>4.5</v>
      </c>
      <c r="V73" s="109" t="n">
        <v>21927</v>
      </c>
      <c r="W73" s="109" t="n">
        <v>2565055</v>
      </c>
      <c r="X73" s="109" t="n">
        <v>0.4648594811807159</v>
      </c>
      <c r="Y73" s="109" t="n">
        <v>155</v>
      </c>
      <c r="Z73" s="109" t="n">
        <v>1506</v>
      </c>
      <c r="AA73" s="109" t="n">
        <v>3237</v>
      </c>
      <c r="AB73" s="109" t="n">
        <v>1.180104147961932</v>
      </c>
      <c r="AC73" s="109" t="inlineStr">
        <is>
          <t>US DC B6</t>
        </is>
      </c>
      <c r="AD73" s="109">
        <f>'US DC B6'!BC125</f>
        <v/>
      </c>
      <c r="AE73" s="109">
        <f>'US DC B6'!BF125</f>
        <v/>
      </c>
      <c r="AF73" s="109" t="inlineStr">
        <is>
          <t>King</t>
        </is>
      </c>
      <c r="AG73" s="109" t="inlineStr">
        <is>
          <t>Ivory</t>
        </is>
      </c>
    </row>
    <row r="74">
      <c r="A74" s="109">
        <f>AND(OR(Dashboard!$C$4="All",Dashboard!$C$4=D74),OR(Dashboard!$C$5="All",Dashboard!$C$5=E74),OR(Dashboard!$C$6="All",Dashboard!$C$6=G74),OR(Dashboard!$C$7="All",Dashboard!$C$7=H74),OR(Dashboard!$C$8="All",Dashboard!$C$8=F74))</f>
        <v/>
      </c>
      <c r="B74" s="109">
        <f>IF(A74,B73+1,B73)</f>
        <v/>
      </c>
      <c r="C74" s="109" t="n">
        <v>30</v>
      </c>
      <c r="D74" s="109" t="inlineStr">
        <is>
          <t>DC B6</t>
        </is>
      </c>
      <c r="E74" s="109" t="inlineStr">
        <is>
          <t>US</t>
        </is>
      </c>
      <c r="F74" s="109" t="inlineStr">
        <is>
          <t>Bamboo</t>
        </is>
      </c>
      <c r="G74" s="109" t="inlineStr">
        <is>
          <t>Hotel Sheets Direct</t>
        </is>
      </c>
      <c r="H74" s="109" t="inlineStr">
        <is>
          <t>Aspirational</t>
        </is>
      </c>
      <c r="I74" s="109" t="inlineStr">
        <is>
          <t>Hotel Sheets Direct 4 Piece Bed Sheet Set Queen Size, 100% Viscose Derived from Bamboo Sheets Set with 2 Pillowcases, Cooling &amp; Breathable Luxury Bedding, Moisture-Wicking &amp; Silky Soft Texture, White</t>
        </is>
      </c>
      <c r="J74" s="109" t="inlineStr">
        <is>
          <t>https://images-na.ssl-images-amazon.com/images/I/71oEhkRYQ+L.jpg</t>
        </is>
      </c>
      <c r="K74" s="109" t="inlineStr">
        <is>
          <t>B0G5N99X9R</t>
        </is>
      </c>
      <c r="L74" s="109" t="inlineStr">
        <is>
          <t>B01N9L2O9P</t>
        </is>
      </c>
      <c r="M74" s="109" t="n">
        <v>61</v>
      </c>
      <c r="N74" s="109" t="n">
        <v>79.98999999999999</v>
      </c>
      <c r="O74" s="109" t="n"/>
      <c r="P74" s="109">
        <f>IF(AND(ISNUMBER(O74),ISNUMBER(N74),N(N74)&gt;0),O74/N74-1,"")</f>
        <v/>
      </c>
      <c r="Q74" s="109" t="n">
        <v>94.98999999999999</v>
      </c>
      <c r="R74" s="109">
        <f>IF(AND(ISNUMBER(N74),ISNUMBER(Q74),N(Q74)&gt;0),N74/Q74-1,"")</f>
        <v/>
      </c>
      <c r="S74" s="109" t="n">
        <v>2984</v>
      </c>
      <c r="T74" s="109" t="n">
        <v>347</v>
      </c>
      <c r="U74" s="109" t="n">
        <v>4.4</v>
      </c>
      <c r="V74" s="109" t="n">
        <v>37179</v>
      </c>
      <c r="W74" s="109" t="n">
        <v>451969</v>
      </c>
      <c r="X74" s="109" t="n">
        <v>0.6071584272372669</v>
      </c>
      <c r="Y74" s="109" t="n">
        <v>614</v>
      </c>
      <c r="Z74" s="109" t="n">
        <v>775</v>
      </c>
      <c r="AA74" s="109" t="n">
        <v>616</v>
      </c>
      <c r="AB74" s="109" t="n">
        <v>1.799620493358634</v>
      </c>
      <c r="AC74" s="109" t="inlineStr">
        <is>
          <t>US DC B6</t>
        </is>
      </c>
      <c r="AD74" s="109">
        <f>'US DC B6'!BC126</f>
        <v/>
      </c>
      <c r="AE74" s="109">
        <f>'US DC B6'!BF126</f>
        <v/>
      </c>
      <c r="AF74" s="109" t="inlineStr">
        <is>
          <t>Queen</t>
        </is>
      </c>
      <c r="AG74" s="109" t="inlineStr">
        <is>
          <t>White</t>
        </is>
      </c>
    </row>
    <row r="75">
      <c r="A75" s="109">
        <f>AND(OR(Dashboard!$C$4="All",Dashboard!$C$4=D75),OR(Dashboard!$C$5="All",Dashboard!$C$5=E75),OR(Dashboard!$C$6="All",Dashboard!$C$6=G75),OR(Dashboard!$C$7="All",Dashboard!$C$7=H75),OR(Dashboard!$C$8="All",Dashboard!$C$8=F75))</f>
        <v/>
      </c>
      <c r="B75" s="109">
        <f>IF(A75,B74+1,B74)</f>
        <v/>
      </c>
      <c r="C75" s="109" t="n">
        <v>30</v>
      </c>
      <c r="D75" s="109" t="inlineStr">
        <is>
          <t>DC B6</t>
        </is>
      </c>
      <c r="E75" s="109" t="inlineStr">
        <is>
          <t>US</t>
        </is>
      </c>
      <c r="F75" s="109" t="inlineStr">
        <is>
          <t>Bamboo</t>
        </is>
      </c>
      <c r="G75" s="109" t="inlineStr">
        <is>
          <t>BAMPURE</t>
        </is>
      </c>
      <c r="H75" s="109" t="inlineStr">
        <is>
          <t>Aspirational</t>
        </is>
      </c>
      <c r="I75" s="109" t="inlineStr">
        <is>
          <t>Bamboo Sheets</t>
        </is>
      </c>
      <c r="J75" s="109" t="n"/>
      <c r="K75" s="109" t="inlineStr">
        <is>
          <t>B0FH2WGKJV</t>
        </is>
      </c>
      <c r="L75" s="109" t="inlineStr">
        <is>
          <t>B07XC2KVM7</t>
        </is>
      </c>
      <c r="M75" s="109" t="n"/>
      <c r="N75" s="109" t="n">
        <v>37.99</v>
      </c>
      <c r="O75" s="109" t="n"/>
      <c r="P75" s="109">
        <f>IF(AND(ISNUMBER(O75),ISNUMBER(N75),N(N75)&gt;0),O75/N75-1,"")</f>
        <v/>
      </c>
      <c r="Q75" s="109" t="n">
        <v>94.98999999999999</v>
      </c>
      <c r="R75" s="109">
        <f>IF(AND(ISNUMBER(N75),ISNUMBER(Q75),N(Q75)&gt;0),N75/Q75-1,"")</f>
        <v/>
      </c>
      <c r="S75" s="109" t="n">
        <v>2541068</v>
      </c>
      <c r="T75" s="109" t="n">
        <v>5</v>
      </c>
      <c r="U75" s="109" t="n">
        <v>4.4</v>
      </c>
      <c r="V75" s="109" t="n">
        <v>30</v>
      </c>
      <c r="W75" s="109" t="n"/>
      <c r="X75" s="109" t="n"/>
      <c r="Y75" s="109" t="n"/>
      <c r="Z75" s="109" t="n"/>
      <c r="AA75" s="109" t="n"/>
      <c r="AB75" s="109" t="n"/>
      <c r="AC75" s="109" t="inlineStr">
        <is>
          <t>US DC B6</t>
        </is>
      </c>
      <c r="AD75" s="109">
        <f>'US DC B6'!BC127</f>
        <v/>
      </c>
      <c r="AE75" s="109">
        <f>'US DC B6'!BF127</f>
        <v/>
      </c>
      <c r="AF75" s="109" t="n"/>
      <c r="AG75" s="109" t="n"/>
    </row>
    <row r="76">
      <c r="A76" s="109">
        <f>AND(OR(Dashboard!$C$4="All",Dashboard!$C$4=D76),OR(Dashboard!$C$5="All",Dashboard!$C$5=E76),OR(Dashboard!$C$6="All",Dashboard!$C$6=G76),OR(Dashboard!$C$7="All",Dashboard!$C$7=H76),OR(Dashboard!$C$8="All",Dashboard!$C$8=F76))</f>
        <v/>
      </c>
      <c r="B76" s="109">
        <f>IF(A76,B75+1,B75)</f>
        <v/>
      </c>
      <c r="C76" s="109" t="n">
        <v>30</v>
      </c>
      <c r="D76" s="109" t="inlineStr">
        <is>
          <t>DC B6</t>
        </is>
      </c>
      <c r="E76" s="109" t="inlineStr">
        <is>
          <t>US</t>
        </is>
      </c>
      <c r="F76" s="109" t="inlineStr">
        <is>
          <t>Bamboo</t>
        </is>
      </c>
      <c r="G76" s="109" t="inlineStr">
        <is>
          <t>Love's cabin</t>
        </is>
      </c>
      <c r="H76" s="109" t="inlineStr">
        <is>
          <t>Beatable</t>
        </is>
      </c>
      <c r="I76" s="109" t="inlineStr">
        <is>
          <t>Love's cabin 4 Piece Queen Sheet Set, 100% Rayon Derived from Bamboo, Cooling &amp; Breathable, Soft Silky Deep Pocket up to 16", Hotel Luxury Bedding for Hot Sleepers, Beige</t>
        </is>
      </c>
      <c r="J76" s="109" t="inlineStr">
        <is>
          <t>https://images-na.ssl-images-amazon.com/images/I/71AudKmD2JL.jpg</t>
        </is>
      </c>
      <c r="K76" s="109" t="inlineStr">
        <is>
          <t>B0DN1GGFL7</t>
        </is>
      </c>
      <c r="L76" s="109" t="inlineStr">
        <is>
          <t>B0DN1DVKH5</t>
        </is>
      </c>
      <c r="M76" s="109" t="n">
        <v>176</v>
      </c>
      <c r="N76" s="109" t="n">
        <v>37.99</v>
      </c>
      <c r="O76" s="109" t="n">
        <v>44.99</v>
      </c>
      <c r="P76" s="109">
        <f>IF(AND(ISNUMBER(O76),ISNUMBER(N76),N(N76)&gt;0),O76/N76-1,"")</f>
        <v/>
      </c>
      <c r="Q76" s="109" t="n">
        <v>94.98999999999999</v>
      </c>
      <c r="R76" s="109">
        <f>IF(AND(ISNUMBER(N76),ISNUMBER(Q76),N(Q76)&gt;0),N76/Q76-1,"")</f>
        <v/>
      </c>
      <c r="S76" s="109" t="n">
        <v>501</v>
      </c>
      <c r="T76" s="109" t="n">
        <v>924</v>
      </c>
      <c r="U76" s="109" t="n">
        <v>4.4</v>
      </c>
      <c r="V76" s="109" t="n">
        <v>1900</v>
      </c>
      <c r="W76" s="109" t="n">
        <v>906346</v>
      </c>
      <c r="X76" s="109" t="n">
        <v>0.9184238707954808</v>
      </c>
      <c r="Y76" s="109" t="n">
        <v>267</v>
      </c>
      <c r="Z76" s="109" t="n">
        <v>1198</v>
      </c>
      <c r="AA76" s="109" t="n">
        <v>844</v>
      </c>
      <c r="AB76" s="109" t="n">
        <v>0.8953669259384511</v>
      </c>
      <c r="AC76" s="109" t="inlineStr">
        <is>
          <t>US DC B6</t>
        </is>
      </c>
      <c r="AD76" s="109">
        <f>'US DC B6'!BC128</f>
        <v/>
      </c>
      <c r="AE76" s="109">
        <f>'US DC B6'!BF128</f>
        <v/>
      </c>
      <c r="AF76" s="109" t="inlineStr">
        <is>
          <t>Queen</t>
        </is>
      </c>
      <c r="AG76" s="109" t="inlineStr">
        <is>
          <t>Beige</t>
        </is>
      </c>
    </row>
    <row r="77">
      <c r="A77" s="109">
        <f>AND(OR(Dashboard!$C$4="All",Dashboard!$C$4=D77),OR(Dashboard!$C$5="All",Dashboard!$C$5=E77),OR(Dashboard!$C$6="All",Dashboard!$C$6=G77),OR(Dashboard!$C$7="All",Dashboard!$C$7=H77),OR(Dashboard!$C$8="All",Dashboard!$C$8=F77))</f>
        <v/>
      </c>
      <c r="B77" s="109">
        <f>IF(A77,B76+1,B76)</f>
        <v/>
      </c>
      <c r="C77" s="109" t="n">
        <v>30</v>
      </c>
      <c r="D77" s="109" t="inlineStr">
        <is>
          <t>DC B6</t>
        </is>
      </c>
      <c r="E77" s="109" t="inlineStr">
        <is>
          <t>US</t>
        </is>
      </c>
      <c r="F77" s="109" t="inlineStr">
        <is>
          <t>Bamboo</t>
        </is>
      </c>
      <c r="G77" s="109" t="inlineStr">
        <is>
          <t>KRIMANO</t>
        </is>
      </c>
      <c r="H77" s="109" t="inlineStr">
        <is>
          <t>Beatable</t>
        </is>
      </c>
      <c r="I77" s="109" t="inlineStr">
        <is>
          <t>KRIMANO Bamboo Viscose Sheet Set King Size, Cooling Sheets Bed Set</t>
        </is>
      </c>
      <c r="J77" s="109" t="inlineStr">
        <is>
          <t>https://images-na.ssl-images-amazon.com/images/I/61-LBYlR5KL.jpg</t>
        </is>
      </c>
      <c r="K77" s="109" t="inlineStr">
        <is>
          <t>B0FT7L9RSX</t>
        </is>
      </c>
      <c r="L77" s="109" t="inlineStr">
        <is>
          <t>B0FT7LZ2CD</t>
        </is>
      </c>
      <c r="M77" s="109" t="n">
        <v>43</v>
      </c>
      <c r="N77" s="109" t="n">
        <v>84.98999999999999</v>
      </c>
      <c r="O77" s="109" t="n"/>
      <c r="P77" s="109">
        <f>IF(AND(ISNUMBER(O77),ISNUMBER(N77),N(N77)&gt;0),O77/N77-1,"")</f>
        <v/>
      </c>
      <c r="Q77" s="109" t="n">
        <v>99.98999999999999</v>
      </c>
      <c r="R77" s="109">
        <f>IF(AND(ISNUMBER(N77),ISNUMBER(Q77),N(Q77)&gt;0),N77/Q77-1,"")</f>
        <v/>
      </c>
      <c r="S77" s="109" t="n">
        <v>5664</v>
      </c>
      <c r="T77" s="109" t="n">
        <v>185</v>
      </c>
      <c r="U77" s="109" t="n">
        <v>4.5</v>
      </c>
      <c r="V77" s="109" t="n">
        <v>263</v>
      </c>
      <c r="W77" s="109" t="n">
        <v>334819</v>
      </c>
      <c r="X77" s="109" t="n">
        <v>0.6137371774003271</v>
      </c>
      <c r="Y77" s="109" t="n">
        <v>430</v>
      </c>
      <c r="Z77" s="109" t="n">
        <v>737</v>
      </c>
      <c r="AA77" s="109" t="n">
        <v>238</v>
      </c>
      <c r="AB77" s="109" t="n">
        <v>1.312468450277638</v>
      </c>
      <c r="AC77" s="109" t="inlineStr">
        <is>
          <t>US DC B6</t>
        </is>
      </c>
      <c r="AD77" s="109">
        <f>'US DC B6'!BC129</f>
        <v/>
      </c>
      <c r="AE77" s="109">
        <f>'US DC B6'!BF129</f>
        <v/>
      </c>
      <c r="AF77" s="109" t="inlineStr">
        <is>
          <t>King</t>
        </is>
      </c>
      <c r="AG77" s="109" t="n"/>
    </row>
    <row r="78">
      <c r="A78" s="109">
        <f>AND(OR(Dashboard!$C$4="All",Dashboard!$C$4=D78),OR(Dashboard!$C$5="All",Dashboard!$C$5=E78),OR(Dashboard!$C$6="All",Dashboard!$C$6=G78),OR(Dashboard!$C$7="All",Dashboard!$C$7=H78),OR(Dashboard!$C$8="All",Dashboard!$C$8=F78))</f>
        <v/>
      </c>
      <c r="B78" s="109">
        <f>IF(A78,B77+1,B77)</f>
        <v/>
      </c>
      <c r="C78" s="109" t="n">
        <v>30</v>
      </c>
      <c r="D78" s="109" t="inlineStr">
        <is>
          <t>DC B6</t>
        </is>
      </c>
      <c r="E78" s="109" t="inlineStr">
        <is>
          <t>US</t>
        </is>
      </c>
      <c r="F78" s="109" t="inlineStr">
        <is>
          <t>Bamboo</t>
        </is>
      </c>
      <c r="G78" s="109" t="inlineStr">
        <is>
          <t>TRUE BAMBOO</t>
        </is>
      </c>
      <c r="H78" s="109" t="inlineStr">
        <is>
          <t>Beatable</t>
        </is>
      </c>
      <c r="I78" s="109" t="inlineStr">
        <is>
          <t>TRUE BAMBOO Sheets Set King Size - Silky Soft &amp; Cooling - Dark Gray</t>
        </is>
      </c>
      <c r="J78" s="109" t="n"/>
      <c r="K78" s="109" t="inlineStr">
        <is>
          <t>B0HHQ97HBL</t>
        </is>
      </c>
      <c r="L78" s="109" t="inlineStr">
        <is>
          <t>B0HD7R5L1D</t>
        </is>
      </c>
      <c r="M78" s="109" t="n">
        <v>30</v>
      </c>
      <c r="N78" s="109" t="n">
        <v>114.99</v>
      </c>
      <c r="O78" s="109" t="n">
        <v>129.99</v>
      </c>
      <c r="P78" s="109">
        <f>IF(AND(ISNUMBER(O78),ISNUMBER(N78),N(N78)&gt;0),O78/N78-1,"")</f>
        <v/>
      </c>
      <c r="Q78" s="109" t="n">
        <v>99.98999999999999</v>
      </c>
      <c r="R78" s="109">
        <f>IF(AND(ISNUMBER(N78),ISNUMBER(Q78),N(Q78)&gt;0),N78/Q78-1,"")</f>
        <v/>
      </c>
      <c r="S78" s="109" t="n">
        <v>5934</v>
      </c>
      <c r="T78" s="109" t="n">
        <v>185</v>
      </c>
      <c r="U78" s="109" t="n">
        <v>4.6</v>
      </c>
      <c r="V78" s="109" t="n">
        <v>167</v>
      </c>
      <c r="W78" s="109" t="n">
        <v>557658</v>
      </c>
      <c r="X78" s="109" t="n">
        <v>0.518044597943542</v>
      </c>
      <c r="Y78" s="109" t="n">
        <v>383</v>
      </c>
      <c r="Z78" s="109" t="n">
        <v>713</v>
      </c>
      <c r="AA78" s="109" t="n">
        <v>532</v>
      </c>
      <c r="AB78" s="109" t="n"/>
      <c r="AC78" s="109" t="inlineStr">
        <is>
          <t>US DC B6</t>
        </is>
      </c>
      <c r="AD78" s="109">
        <f>'US DC B6'!BC130</f>
        <v/>
      </c>
      <c r="AE78" s="109">
        <f>'US DC B6'!BF130</f>
        <v/>
      </c>
      <c r="AF78" s="109" t="inlineStr">
        <is>
          <t>King</t>
        </is>
      </c>
      <c r="AG78" s="109" t="inlineStr">
        <is>
          <t>Gray</t>
        </is>
      </c>
    </row>
    <row r="79">
      <c r="A79" s="109">
        <f>AND(OR(Dashboard!$C$4="All",Dashboard!$C$4=D79),OR(Dashboard!$C$5="All",Dashboard!$C$5=E79),OR(Dashboard!$C$6="All",Dashboard!$C$6=G79),OR(Dashboard!$C$7="All",Dashboard!$C$7=H79),OR(Dashboard!$C$8="All",Dashboard!$C$8=F79))</f>
        <v/>
      </c>
      <c r="B79" s="109">
        <f>IF(A79,B78+1,B78)</f>
        <v/>
      </c>
      <c r="C79" s="109" t="n">
        <v>30</v>
      </c>
      <c r="D79" s="109" t="inlineStr">
        <is>
          <t>DC B6</t>
        </is>
      </c>
      <c r="E79" s="109" t="inlineStr">
        <is>
          <t>US</t>
        </is>
      </c>
      <c r="F79" s="109" t="inlineStr">
        <is>
          <t>Bamboo</t>
        </is>
      </c>
      <c r="G79" s="109" t="inlineStr">
        <is>
          <t>Shilucheng</t>
        </is>
      </c>
      <c r="H79" s="109" t="inlineStr">
        <is>
          <t>Beatable</t>
        </is>
      </c>
      <c r="I79" s="109" t="inlineStr">
        <is>
          <t>Shilucheng 4 Piece Queen Sheet Sets, Cooling Sheets, Dark Grey</t>
        </is>
      </c>
      <c r="J79" s="109" t="inlineStr">
        <is>
          <t>https://images-na.ssl-images-amazon.com/images/I/81fpVjndH2L.jpg</t>
        </is>
      </c>
      <c r="K79" s="109" t="inlineStr">
        <is>
          <t>B0HJSVWNRS</t>
        </is>
      </c>
      <c r="L79" s="109" t="inlineStr">
        <is>
          <t>B0FWY1TGFK</t>
        </is>
      </c>
      <c r="M79" s="109" t="n">
        <v>49</v>
      </c>
      <c r="N79" s="109" t="n">
        <v>34.99</v>
      </c>
      <c r="O79" s="109" t="n"/>
      <c r="P79" s="109">
        <f>IF(AND(ISNUMBER(O79),ISNUMBER(N79),N(N79)&gt;0),O79/N79-1,"")</f>
        <v/>
      </c>
      <c r="Q79" s="109" t="n">
        <v>94.98999999999999</v>
      </c>
      <c r="R79" s="109">
        <f>IF(AND(ISNUMBER(N79),ISNUMBER(Q79),N(Q79)&gt;0),N79/Q79-1,"")</f>
        <v/>
      </c>
      <c r="S79" s="109" t="n">
        <v>5396</v>
      </c>
      <c r="T79" s="109" t="n">
        <v>173</v>
      </c>
      <c r="U79" s="109" t="n">
        <v>4.3</v>
      </c>
      <c r="V79" s="109" t="n">
        <v>24352</v>
      </c>
      <c r="W79" s="109" t="n">
        <v>135323</v>
      </c>
      <c r="X79" s="109" t="n">
        <v>0.7652350080917514</v>
      </c>
      <c r="Y79" s="109" t="n">
        <v>321</v>
      </c>
      <c r="Z79" s="109" t="n">
        <v>415</v>
      </c>
      <c r="AA79" s="109" t="n">
        <v>346</v>
      </c>
      <c r="AB79" s="109" t="n"/>
      <c r="AC79" s="109" t="inlineStr">
        <is>
          <t>US DC B6</t>
        </is>
      </c>
      <c r="AD79" s="109">
        <f>'US DC B6'!BC131</f>
        <v/>
      </c>
      <c r="AE79" s="109">
        <f>'US DC B6'!BF131</f>
        <v/>
      </c>
      <c r="AF79" s="109" t="inlineStr">
        <is>
          <t>Queen</t>
        </is>
      </c>
      <c r="AG79" s="109" t="inlineStr">
        <is>
          <t>Grey</t>
        </is>
      </c>
    </row>
    <row r="80">
      <c r="A80" s="109">
        <f>AND(OR(Dashboard!$C$4="All",Dashboard!$C$4=D80),OR(Dashboard!$C$5="All",Dashboard!$C$5=E80),OR(Dashboard!$C$6="All",Dashboard!$C$6=G80),OR(Dashboard!$C$7="All",Dashboard!$C$7=H80),OR(Dashboard!$C$8="All",Dashboard!$C$8=F80))</f>
        <v/>
      </c>
      <c r="B80" s="109">
        <f>IF(A80,B79+1,B79)</f>
        <v/>
      </c>
      <c r="C80" s="109" t="n">
        <v>30</v>
      </c>
      <c r="D80" s="109" t="inlineStr">
        <is>
          <t>DC B6</t>
        </is>
      </c>
      <c r="E80" s="109" t="inlineStr">
        <is>
          <t>US</t>
        </is>
      </c>
      <c r="F80" s="109" t="inlineStr">
        <is>
          <t>Bamboo</t>
        </is>
      </c>
      <c r="G80" s="109" t="inlineStr">
        <is>
          <t>Bambaw</t>
        </is>
      </c>
      <c r="H80" s="109" t="inlineStr">
        <is>
          <t>Beatable</t>
        </is>
      </c>
      <c r="I80" s="109" t="inlineStr">
        <is>
          <t>Bambaw 100% Viscose Derived from Bamboo Sheets Queen Size Set – 4pcs Cooling Sheet Set, Super Soft Sheets Queen Size, Luxury Bed Sheets, Deep Pocket Fits Up to 16'' Mattresses (Charcoal)</t>
        </is>
      </c>
      <c r="J80" s="109" t="inlineStr">
        <is>
          <t>https://images-na.ssl-images-amazon.com/images/I/81svKInu7aL.jpg</t>
        </is>
      </c>
      <c r="K80" s="109" t="inlineStr">
        <is>
          <t>B07K6SYX8L</t>
        </is>
      </c>
      <c r="L80" s="109" t="inlineStr">
        <is>
          <t>B0DR99Q37Y</t>
        </is>
      </c>
      <c r="M80" s="109" t="n">
        <v>104</v>
      </c>
      <c r="N80" s="109" t="n">
        <v>89.98999999999999</v>
      </c>
      <c r="O80" s="109" t="n"/>
      <c r="P80" s="109">
        <f>IF(AND(ISNUMBER(O80),ISNUMBER(N80),N(N80)&gt;0),O80/N80-1,"")</f>
        <v/>
      </c>
      <c r="Q80" s="109" t="n">
        <v>94.98999999999999</v>
      </c>
      <c r="R80" s="109">
        <f>IF(AND(ISNUMBER(N80),ISNUMBER(Q80),N(Q80)&gt;0),N80/Q80-1,"")</f>
        <v/>
      </c>
      <c r="S80" s="109" t="n">
        <v>6971</v>
      </c>
      <c r="T80" s="109" t="n">
        <v>104</v>
      </c>
      <c r="U80" s="109" t="n">
        <v>4.3</v>
      </c>
      <c r="V80" s="109" t="n">
        <v>2766</v>
      </c>
      <c r="W80" s="109" t="n">
        <v>407949</v>
      </c>
      <c r="X80" s="109" t="n">
        <v>0.5037485506766772</v>
      </c>
      <c r="Y80" s="109" t="n">
        <v>414</v>
      </c>
      <c r="Z80" s="109" t="n">
        <v>680</v>
      </c>
      <c r="AA80" s="109" t="n">
        <v>352</v>
      </c>
      <c r="AB80" s="109" t="n">
        <v>1.374474053295933</v>
      </c>
      <c r="AC80" s="109" t="inlineStr">
        <is>
          <t>US DC B6</t>
        </is>
      </c>
      <c r="AD80" s="109">
        <f>'US DC B6'!BC132</f>
        <v/>
      </c>
      <c r="AE80" s="109">
        <f>'US DC B6'!BF132</f>
        <v/>
      </c>
      <c r="AF80" s="109" t="inlineStr">
        <is>
          <t>Queen</t>
        </is>
      </c>
      <c r="AG80" s="109" t="inlineStr">
        <is>
          <t>Charcoal</t>
        </is>
      </c>
    </row>
    <row r="81">
      <c r="A81" s="109">
        <f>AND(OR(Dashboard!$C$4="All",Dashboard!$C$4=D81),OR(Dashboard!$C$5="All",Dashboard!$C$5=E81),OR(Dashboard!$C$6="All",Dashboard!$C$6=G81),OR(Dashboard!$C$7="All",Dashboard!$C$7=H81),OR(Dashboard!$C$8="All",Dashboard!$C$8=F81))</f>
        <v/>
      </c>
      <c r="B81" s="109">
        <f>IF(A81,B80+1,B80)</f>
        <v/>
      </c>
      <c r="C81" s="109" t="n">
        <v>30</v>
      </c>
      <c r="D81" s="109" t="inlineStr">
        <is>
          <t>DC B6</t>
        </is>
      </c>
      <c r="E81" s="109" t="inlineStr">
        <is>
          <t>US</t>
        </is>
      </c>
      <c r="F81" s="109" t="inlineStr">
        <is>
          <t>Bamboo</t>
        </is>
      </c>
      <c r="G81" s="109" t="inlineStr">
        <is>
          <t>Bedsure</t>
        </is>
      </c>
      <c r="H81" s="109" t="inlineStr">
        <is>
          <t>Beatable</t>
        </is>
      </c>
      <c r="I81" s="109" t="inlineStr">
        <is>
          <t>Bedsure PureWoven Organically Grown Bamboo Viscose Queen Sheet Set, 4PCS</t>
        </is>
      </c>
      <c r="J81" s="109" t="inlineStr">
        <is>
          <t>https://images-na.ssl-images-amazon.com/images/I/81suQgVR0GL.jpg</t>
        </is>
      </c>
      <c r="K81" s="109" t="inlineStr">
        <is>
          <t>B0FB8XS4D1</t>
        </is>
      </c>
      <c r="L81" s="109" t="inlineStr">
        <is>
          <t>B0FB8XR43Q</t>
        </is>
      </c>
      <c r="M81" s="109" t="n">
        <v>39</v>
      </c>
      <c r="N81" s="109" t="n">
        <v>89.98999999999999</v>
      </c>
      <c r="O81" s="109" t="n">
        <v>119.99</v>
      </c>
      <c r="P81" s="109">
        <f>IF(AND(ISNUMBER(O81),ISNUMBER(N81),N(N81)&gt;0),O81/N81-1,"")</f>
        <v/>
      </c>
      <c r="Q81" s="109" t="n">
        <v>94.98999999999999</v>
      </c>
      <c r="R81" s="109">
        <f>IF(AND(ISNUMBER(N81),ISNUMBER(Q81),N(Q81)&gt;0),N81/Q81-1,"")</f>
        <v/>
      </c>
      <c r="S81" s="109" t="n">
        <v>8938</v>
      </c>
      <c r="T81" s="109" t="n">
        <v>104</v>
      </c>
      <c r="U81" s="109" t="n">
        <v>4.5</v>
      </c>
      <c r="V81" s="109" t="n">
        <v>588</v>
      </c>
      <c r="W81" s="109" t="n">
        <v>840292</v>
      </c>
      <c r="X81" s="109" t="n">
        <v>0.1404099194089678</v>
      </c>
      <c r="Y81" s="109" t="n">
        <v>269</v>
      </c>
      <c r="Z81" s="109" t="n">
        <v>1174</v>
      </c>
      <c r="AA81" s="109" t="n">
        <v>1856</v>
      </c>
      <c r="AB81" s="109" t="n">
        <v>1.764832022873481</v>
      </c>
      <c r="AC81" s="109" t="inlineStr">
        <is>
          <t>US DC B6</t>
        </is>
      </c>
      <c r="AD81" s="109">
        <f>'US DC B6'!BC133</f>
        <v/>
      </c>
      <c r="AE81" s="109">
        <f>'US DC B6'!BF133</f>
        <v/>
      </c>
      <c r="AF81" s="109" t="inlineStr">
        <is>
          <t>Queen</t>
        </is>
      </c>
      <c r="AG81" s="109" t="n"/>
    </row>
    <row r="82">
      <c r="A82" s="109">
        <f>AND(OR(Dashboard!$C$4="All",Dashboard!$C$4=D82),OR(Dashboard!$C$5="All",Dashboard!$C$5=E82),OR(Dashboard!$C$6="All",Dashboard!$C$6=G82),OR(Dashboard!$C$7="All",Dashboard!$C$7=H82),OR(Dashboard!$C$8="All",Dashboard!$C$8=F82))</f>
        <v/>
      </c>
      <c r="B82" s="109">
        <f>IF(A82,B81+1,B81)</f>
        <v/>
      </c>
      <c r="C82" s="109" t="n">
        <v>30</v>
      </c>
      <c r="D82" s="109" t="inlineStr">
        <is>
          <t>DC B6</t>
        </is>
      </c>
      <c r="E82" s="109" t="inlineStr">
        <is>
          <t>US</t>
        </is>
      </c>
      <c r="F82" s="109" t="inlineStr">
        <is>
          <t>Bamboo</t>
        </is>
      </c>
      <c r="G82" s="109" t="inlineStr">
        <is>
          <t>SONORO KATE</t>
        </is>
      </c>
      <c r="H82" s="109" t="inlineStr">
        <is>
          <t>Beatable</t>
        </is>
      </c>
      <c r="I82" s="109" t="inlineStr">
        <is>
          <t>Bamboo Sheets</t>
        </is>
      </c>
      <c r="J82" s="109" t="inlineStr">
        <is>
          <t>https://images-na.ssl-images-amazon.com/images/I/71sqxa1EquL.jpg</t>
        </is>
      </c>
      <c r="K82" s="109" t="inlineStr">
        <is>
          <t>B0F4852T9V</t>
        </is>
      </c>
      <c r="L82" s="109" t="inlineStr">
        <is>
          <t>B0F4873G4H</t>
        </is>
      </c>
      <c r="M82" s="109" t="n">
        <v>33</v>
      </c>
      <c r="N82" s="109" t="n">
        <v>79.98999999999999</v>
      </c>
      <c r="O82" s="109" t="n"/>
      <c r="P82" s="109">
        <f>IF(AND(ISNUMBER(O82),ISNUMBER(N82),N(N82)&gt;0),O82/N82-1,"")</f>
        <v/>
      </c>
      <c r="Q82" s="109" t="n">
        <v>94.98999999999999</v>
      </c>
      <c r="R82" s="109">
        <f>IF(AND(ISNUMBER(N82),ISNUMBER(Q82),N(Q82)&gt;0),N82/Q82-1,"")</f>
        <v/>
      </c>
      <c r="S82" s="109" t="n">
        <v>7961</v>
      </c>
      <c r="T82" s="109" t="n">
        <v>104</v>
      </c>
      <c r="U82" s="109" t="n">
        <v>4.5</v>
      </c>
      <c r="V82" s="109" t="n">
        <v>3776</v>
      </c>
      <c r="W82" s="109" t="n">
        <v>185157</v>
      </c>
      <c r="X82" s="109" t="n">
        <v>0.9776013545261586</v>
      </c>
      <c r="Y82" s="109" t="n">
        <v>331</v>
      </c>
      <c r="Z82" s="109" t="n">
        <v>521</v>
      </c>
      <c r="AA82" s="109" t="n">
        <v>71</v>
      </c>
      <c r="AB82" s="109" t="n">
        <v>1.314808539478143</v>
      </c>
      <c r="AC82" s="109" t="inlineStr">
        <is>
          <t>US DC B6</t>
        </is>
      </c>
      <c r="AD82" s="109">
        <f>'US DC B6'!BC134</f>
        <v/>
      </c>
      <c r="AE82" s="109">
        <f>'US DC B6'!BF134</f>
        <v/>
      </c>
      <c r="AF82" s="109" t="n"/>
      <c r="AG82" s="109" t="n"/>
    </row>
    <row r="83">
      <c r="A83" s="109">
        <f>AND(OR(Dashboard!$C$4="All",Dashboard!$C$4=D83),OR(Dashboard!$C$5="All",Dashboard!$C$5=E83),OR(Dashboard!$C$6="All",Dashboard!$C$6=G83),OR(Dashboard!$C$7="All",Dashboard!$C$7=H83),OR(Dashboard!$C$8="All",Dashboard!$C$8=F83))</f>
        <v/>
      </c>
      <c r="B83" s="109">
        <f>IF(A83,B82+1,B82)</f>
        <v/>
      </c>
      <c r="C83" s="109" t="n">
        <v>30</v>
      </c>
      <c r="D83" s="109" t="inlineStr">
        <is>
          <t>DC B6</t>
        </is>
      </c>
      <c r="E83" s="109" t="inlineStr">
        <is>
          <t>US</t>
        </is>
      </c>
      <c r="F83" s="109" t="inlineStr">
        <is>
          <t>Bamboo</t>
        </is>
      </c>
      <c r="G83" s="109" t="inlineStr">
        <is>
          <t>BC BELLA COTERIE</t>
        </is>
      </c>
      <c r="H83" s="109" t="inlineStr">
        <is>
          <t>Beatable</t>
        </is>
      </c>
      <c r="I83" s="109" t="inlineStr">
        <is>
          <t>Bella Coterie Luxury Bamboo Viscose King Size Sheet Set</t>
        </is>
      </c>
      <c r="J83" s="109" t="inlineStr">
        <is>
          <t>https://images-na.ssl-images-amazon.com/images/I/71Pl57-j67L.jpg</t>
        </is>
      </c>
      <c r="K83" s="109" t="inlineStr">
        <is>
          <t>B0H29V113N</t>
        </is>
      </c>
      <c r="L83" s="109" t="inlineStr">
        <is>
          <t>B08L86VLZB</t>
        </is>
      </c>
      <c r="M83" s="109" t="n">
        <v>258</v>
      </c>
      <c r="N83" s="109" t="n">
        <v>134.99</v>
      </c>
      <c r="O83" s="109" t="n"/>
      <c r="P83" s="109">
        <f>IF(AND(ISNUMBER(O83),ISNUMBER(N83),N(N83)&gt;0),O83/N83-1,"")</f>
        <v/>
      </c>
      <c r="Q83" s="109" t="n">
        <v>99.98999999999999</v>
      </c>
      <c r="R83" s="109">
        <f>IF(AND(ISNUMBER(N83),ISNUMBER(Q83),N(Q83)&gt;0),N83/Q83-1,"")</f>
        <v/>
      </c>
      <c r="S83" s="109" t="n">
        <v>1358</v>
      </c>
      <c r="T83" s="109" t="n">
        <v>92</v>
      </c>
      <c r="U83" s="109" t="n">
        <v>4.4</v>
      </c>
      <c r="V83" s="109" t="n">
        <v>5871</v>
      </c>
      <c r="W83" s="109" t="n">
        <v>591713</v>
      </c>
      <c r="X83" s="109" t="n">
        <v>0.3622702587234016</v>
      </c>
      <c r="Y83" s="109" t="n">
        <v>514</v>
      </c>
      <c r="Z83" s="109" t="n">
        <v>1033</v>
      </c>
      <c r="AA83" s="109" t="n">
        <v>1851</v>
      </c>
      <c r="AB83" s="109" t="n">
        <v>1.778087279480037</v>
      </c>
      <c r="AC83" s="109" t="inlineStr">
        <is>
          <t>US DC B6</t>
        </is>
      </c>
      <c r="AD83" s="109">
        <f>'US DC B6'!BC135</f>
        <v/>
      </c>
      <c r="AE83" s="109">
        <f>'US DC B6'!BF135</f>
        <v/>
      </c>
      <c r="AF83" s="109" t="inlineStr">
        <is>
          <t>King</t>
        </is>
      </c>
      <c r="AG83" s="109" t="n"/>
    </row>
    <row r="84">
      <c r="A84" s="109">
        <f>AND(OR(Dashboard!$C$4="All",Dashboard!$C$4=D84),OR(Dashboard!$C$5="All",Dashboard!$C$5=E84),OR(Dashboard!$C$6="All",Dashboard!$C$6=G84),OR(Dashboard!$C$7="All",Dashboard!$C$7=H84),OR(Dashboard!$C$8="All",Dashboard!$C$8=F84))</f>
        <v/>
      </c>
      <c r="B84" s="109">
        <f>IF(A84,B83+1,B83)</f>
        <v/>
      </c>
      <c r="C84" s="109" t="n">
        <v>30</v>
      </c>
      <c r="D84" s="109" t="inlineStr">
        <is>
          <t>DC B6</t>
        </is>
      </c>
      <c r="E84" s="109" t="inlineStr">
        <is>
          <t>US</t>
        </is>
      </c>
      <c r="F84" s="109" t="inlineStr">
        <is>
          <t>Bamboo</t>
        </is>
      </c>
      <c r="G84" s="109" t="inlineStr">
        <is>
          <t>BAMPURE</t>
        </is>
      </c>
      <c r="H84" s="109" t="inlineStr">
        <is>
          <t>Beatable</t>
        </is>
      </c>
      <c r="I84" s="109" t="inlineStr">
        <is>
          <t>BAMPURE 100% Rayon from Bamboo Sheets King Size - 4pc Cooling King Sheets</t>
        </is>
      </c>
      <c r="J84" s="109" t="inlineStr">
        <is>
          <t>https://images-na.ssl-images-amazon.com/images/I/61fbapIObwL.jpg</t>
        </is>
      </c>
      <c r="K84" s="109" t="inlineStr">
        <is>
          <t>B0HC778XB4</t>
        </is>
      </c>
      <c r="L84" s="109" t="inlineStr">
        <is>
          <t>B07XFP6BY2</t>
        </is>
      </c>
      <c r="M84" s="109" t="n">
        <v>40</v>
      </c>
      <c r="N84" s="109" t="n">
        <v>67.98</v>
      </c>
      <c r="O84" s="109" t="n">
        <v>99.98999999999999</v>
      </c>
      <c r="P84" s="109">
        <f>IF(AND(ISNUMBER(O84),ISNUMBER(N84),N(N84)&gt;0),O84/N84-1,"")</f>
        <v/>
      </c>
      <c r="Q84" s="109" t="n">
        <v>99.98999999999999</v>
      </c>
      <c r="R84" s="109">
        <f>IF(AND(ISNUMBER(N84),ISNUMBER(Q84),N(Q84)&gt;0),N84/Q84-1,"")</f>
        <v/>
      </c>
      <c r="S84" s="109" t="n">
        <v>14479</v>
      </c>
      <c r="T84" s="109" t="n">
        <v>81</v>
      </c>
      <c r="U84" s="109" t="n">
        <v>4.4</v>
      </c>
      <c r="V84" s="109" t="n">
        <v>4095</v>
      </c>
      <c r="W84" s="109" t="n">
        <v>67699</v>
      </c>
      <c r="X84" s="109" t="n">
        <v>0.8589487052984534</v>
      </c>
      <c r="Y84" s="109" t="n">
        <v>661</v>
      </c>
      <c r="Z84" s="109" t="n">
        <v>167</v>
      </c>
      <c r="AA84" s="109" t="n">
        <v>162</v>
      </c>
      <c r="AB84" s="109" t="n">
        <v>1.016706443914081</v>
      </c>
      <c r="AC84" s="109" t="inlineStr">
        <is>
          <t>US DC B6</t>
        </is>
      </c>
      <c r="AD84" s="109">
        <f>'US DC B6'!BC136</f>
        <v/>
      </c>
      <c r="AE84" s="109">
        <f>'US DC B6'!BF136</f>
        <v/>
      </c>
      <c r="AF84" s="109" t="inlineStr">
        <is>
          <t>King</t>
        </is>
      </c>
      <c r="AG84" s="109" t="n"/>
    </row>
    <row r="85">
      <c r="A85" s="109">
        <f>AND(OR(Dashboard!$C$4="All",Dashboard!$C$4=D85),OR(Dashboard!$C$5="All",Dashboard!$C$5=E85),OR(Dashboard!$C$6="All",Dashboard!$C$6=G85),OR(Dashboard!$C$7="All",Dashboard!$C$7=H85),OR(Dashboard!$C$8="All",Dashboard!$C$8=F85))</f>
        <v/>
      </c>
      <c r="B85" s="109">
        <f>IF(A85,B84+1,B84)</f>
        <v/>
      </c>
      <c r="C85" s="109" t="n">
        <v>30</v>
      </c>
      <c r="D85" s="109" t="inlineStr">
        <is>
          <t>DC B6</t>
        </is>
      </c>
      <c r="E85" s="109" t="inlineStr">
        <is>
          <t>US</t>
        </is>
      </c>
      <c r="F85" s="109" t="inlineStr">
        <is>
          <t>Bamboo</t>
        </is>
      </c>
      <c r="G85" s="109" t="inlineStr">
        <is>
          <t>BEDELITE</t>
        </is>
      </c>
      <c r="H85" s="109" t="inlineStr">
        <is>
          <t>Beatable</t>
        </is>
      </c>
      <c r="I85" s="109" t="inlineStr">
        <is>
          <t>BEDELITE Bamboo Viscose Sheet Set, Queen Size, 4 Pieces, White</t>
        </is>
      </c>
      <c r="J85" s="109" t="n"/>
      <c r="K85" s="109" t="inlineStr">
        <is>
          <t>B0GT98GVQN</t>
        </is>
      </c>
      <c r="L85" s="109" t="inlineStr">
        <is>
          <t>B0GT8Z4X5D</t>
        </is>
      </c>
      <c r="M85" s="109" t="n">
        <v>8</v>
      </c>
      <c r="N85" s="109" t="n">
        <v>84.98</v>
      </c>
      <c r="O85" s="109" t="n">
        <v>99.89</v>
      </c>
      <c r="P85" s="109">
        <f>IF(AND(ISNUMBER(O85),ISNUMBER(N85),N(N85)&gt;0),O85/N85-1,"")</f>
        <v/>
      </c>
      <c r="Q85" s="109" t="n">
        <v>94.98999999999999</v>
      </c>
      <c r="R85" s="109">
        <f>IF(AND(ISNUMBER(N85),ISNUMBER(Q85),N(Q85)&gt;0),N85/Q85-1,"")</f>
        <v/>
      </c>
      <c r="S85" s="109" t="n">
        <v>65907</v>
      </c>
      <c r="T85" s="109" t="n">
        <v>81</v>
      </c>
      <c r="U85" s="109" t="n">
        <v>4.5</v>
      </c>
      <c r="V85" s="109" t="n">
        <v>113</v>
      </c>
      <c r="W85" s="109" t="n">
        <v>212120</v>
      </c>
      <c r="X85" s="109" t="n">
        <v>0.1115827267584386</v>
      </c>
      <c r="Y85" s="109" t="n">
        <v>383</v>
      </c>
      <c r="Z85" s="109" t="n">
        <v>428</v>
      </c>
      <c r="AA85" s="109" t="n">
        <v>854</v>
      </c>
      <c r="AB85" s="109" t="n">
        <v>0.8073654390934845</v>
      </c>
      <c r="AC85" s="109" t="inlineStr">
        <is>
          <t>US DC B6</t>
        </is>
      </c>
      <c r="AD85" s="109">
        <f>'US DC B6'!BC137</f>
        <v/>
      </c>
      <c r="AE85" s="109">
        <f>'US DC B6'!BF137</f>
        <v/>
      </c>
      <c r="AF85" s="109" t="inlineStr">
        <is>
          <t>Queen</t>
        </is>
      </c>
      <c r="AG85" s="109" t="inlineStr">
        <is>
          <t>White</t>
        </is>
      </c>
    </row>
    <row r="86">
      <c r="A86" s="109">
        <f>AND(OR(Dashboard!$C$4="All",Dashboard!$C$4=D86),OR(Dashboard!$C$5="All",Dashboard!$C$5=E86),OR(Dashboard!$C$6="All",Dashboard!$C$6=G86),OR(Dashboard!$C$7="All",Dashboard!$C$7=H86),OR(Dashboard!$C$8="All",Dashboard!$C$8=F86))</f>
        <v/>
      </c>
      <c r="B86" s="109">
        <f>IF(A86,B85+1,B85)</f>
        <v/>
      </c>
      <c r="C86" s="109" t="n">
        <v>30</v>
      </c>
      <c r="D86" s="109" t="inlineStr">
        <is>
          <t>DC B6</t>
        </is>
      </c>
      <c r="E86" s="109" t="inlineStr">
        <is>
          <t>US</t>
        </is>
      </c>
      <c r="F86" s="109" t="inlineStr">
        <is>
          <t>Bamboo</t>
        </is>
      </c>
      <c r="G86" s="109" t="inlineStr">
        <is>
          <t>SONORO KATE</t>
        </is>
      </c>
      <c r="H86" s="109" t="inlineStr">
        <is>
          <t>Beatable</t>
        </is>
      </c>
      <c r="I86" s="109" t="inlineStr">
        <is>
          <t>SONORO KATE 100% Viscose Derived from Bamboo_Sheets Queen Size,4PC</t>
        </is>
      </c>
      <c r="J86" s="109" t="inlineStr">
        <is>
          <t>https://images-na.ssl-images-amazon.com/images/I/71HeTCWM4hL.jpg</t>
        </is>
      </c>
      <c r="K86" s="109" t="inlineStr">
        <is>
          <t>B0F29FQLFD</t>
        </is>
      </c>
      <c r="L86" s="109" t="inlineStr">
        <is>
          <t>B0F29F1JM5</t>
        </is>
      </c>
      <c r="M86" s="109" t="n">
        <v>42</v>
      </c>
      <c r="N86" s="109" t="n">
        <v>59.99</v>
      </c>
      <c r="O86" s="109" t="n"/>
      <c r="P86" s="109">
        <f>IF(AND(ISNUMBER(O86),ISNUMBER(N86),N(N86)&gt;0),O86/N86-1,"")</f>
        <v/>
      </c>
      <c r="Q86" s="109" t="n">
        <v>94.98999999999999</v>
      </c>
      <c r="R86" s="109">
        <f>IF(AND(ISNUMBER(N86),ISNUMBER(Q86),N(Q86)&gt;0),N86/Q86-1,"")</f>
        <v/>
      </c>
      <c r="S86" s="109" t="n">
        <v>23979</v>
      </c>
      <c r="T86" s="109" t="n">
        <v>81</v>
      </c>
      <c r="U86" s="109" t="n">
        <v>4.5</v>
      </c>
      <c r="V86" s="109" t="n">
        <v>3911</v>
      </c>
      <c r="W86" s="109" t="n">
        <v>114504</v>
      </c>
      <c r="X86" s="109" t="n">
        <v>0.8792897182631171</v>
      </c>
      <c r="Y86" s="109" t="n">
        <v>324</v>
      </c>
      <c r="Z86" s="109" t="n">
        <v>347</v>
      </c>
      <c r="AA86" s="109" t="n">
        <v>59</v>
      </c>
      <c r="AB86" s="109" t="n">
        <v>1.095271210013908</v>
      </c>
      <c r="AC86" s="109" t="inlineStr">
        <is>
          <t>US DC B6</t>
        </is>
      </c>
      <c r="AD86" s="109">
        <f>'US DC B6'!BC138</f>
        <v/>
      </c>
      <c r="AE86" s="109">
        <f>'US DC B6'!BF138</f>
        <v/>
      </c>
      <c r="AF86" s="109" t="inlineStr">
        <is>
          <t>Queen</t>
        </is>
      </c>
      <c r="AG86" s="109" t="n"/>
    </row>
    <row r="87">
      <c r="A87" s="109">
        <f>AND(OR(Dashboard!$C$4="All",Dashboard!$C$4=D87),OR(Dashboard!$C$5="All",Dashboard!$C$5=E87),OR(Dashboard!$C$6="All",Dashboard!$C$6=G87),OR(Dashboard!$C$7="All",Dashboard!$C$7=H87),OR(Dashboard!$C$8="All",Dashboard!$C$8=F87))</f>
        <v/>
      </c>
      <c r="B87" s="109">
        <f>IF(A87,B86+1,B86)</f>
        <v/>
      </c>
      <c r="C87" s="109" t="n">
        <v>30</v>
      </c>
      <c r="D87" s="109" t="inlineStr">
        <is>
          <t>DC B6</t>
        </is>
      </c>
      <c r="E87" s="109" t="inlineStr">
        <is>
          <t>US</t>
        </is>
      </c>
      <c r="F87" s="109" t="inlineStr">
        <is>
          <t>Bamboo</t>
        </is>
      </c>
      <c r="G87" s="109" t="inlineStr">
        <is>
          <t>Davmabcjy</t>
        </is>
      </c>
      <c r="H87" s="109" t="inlineStr">
        <is>
          <t>Beatable</t>
        </is>
      </c>
      <c r="I87" s="109" t="inlineStr">
        <is>
          <t>100% Organically Grown Bamboo Viscose King Sheet Set with Pockets on Side</t>
        </is>
      </c>
      <c r="J87" s="109" t="n"/>
      <c r="K87" s="109" t="inlineStr">
        <is>
          <t>B0HJZNMQ5G</t>
        </is>
      </c>
      <c r="L87" s="109" t="inlineStr">
        <is>
          <t>B0GXJYQR7H</t>
        </is>
      </c>
      <c r="M87" s="109" t="n">
        <v>7</v>
      </c>
      <c r="N87" s="109" t="n">
        <v>59.99</v>
      </c>
      <c r="O87" s="109" t="n"/>
      <c r="P87" s="109">
        <f>IF(AND(ISNUMBER(O87),ISNUMBER(N87),N(N87)&gt;0),O87/N87-1,"")</f>
        <v/>
      </c>
      <c r="Q87" s="109" t="n">
        <v>99.98999999999999</v>
      </c>
      <c r="R87" s="109">
        <f>IF(AND(ISNUMBER(N87),ISNUMBER(Q87),N(Q87)&gt;0),N87/Q87-1,"")</f>
        <v/>
      </c>
      <c r="S87" s="109" t="n">
        <v>205508</v>
      </c>
      <c r="T87" s="109" t="n">
        <v>35</v>
      </c>
      <c r="U87" s="109" t="n">
        <v>4.2</v>
      </c>
      <c r="V87" s="109" t="n">
        <v>81</v>
      </c>
      <c r="W87" s="109" t="n">
        <v>75425</v>
      </c>
      <c r="X87" s="109" t="n">
        <v>0.8470417779250914</v>
      </c>
      <c r="Y87" s="109" t="n">
        <v>332</v>
      </c>
      <c r="Z87" s="109" t="n">
        <v>367</v>
      </c>
      <c r="AA87" s="109" t="n">
        <v>285</v>
      </c>
      <c r="AB87" s="109" t="n"/>
      <c r="AC87" s="109" t="inlineStr">
        <is>
          <t>US DC B6</t>
        </is>
      </c>
      <c r="AD87" s="109">
        <f>'US DC B6'!BC139</f>
        <v/>
      </c>
      <c r="AE87" s="109">
        <f>'US DC B6'!BF139</f>
        <v/>
      </c>
      <c r="AF87" s="109" t="inlineStr">
        <is>
          <t>King</t>
        </is>
      </c>
      <c r="AG87" s="109" t="n"/>
    </row>
    <row r="88">
      <c r="A88" s="109">
        <f>AND(OR(Dashboard!$C$4="All",Dashboard!$C$4=D88),OR(Dashboard!$C$5="All",Dashboard!$C$5=E88),OR(Dashboard!$C$6="All",Dashboard!$C$6=G88),OR(Dashboard!$C$7="All",Dashboard!$C$7=H88),OR(Dashboard!$C$8="All",Dashboard!$C$8=F88))</f>
        <v/>
      </c>
      <c r="B88" s="109">
        <f>IF(A88,B87+1,B87)</f>
        <v/>
      </c>
      <c r="C88" s="109" t="n">
        <v>30</v>
      </c>
      <c r="D88" s="109" t="inlineStr">
        <is>
          <t>DC B6</t>
        </is>
      </c>
      <c r="E88" s="109" t="inlineStr">
        <is>
          <t>US</t>
        </is>
      </c>
      <c r="F88" s="109" t="inlineStr">
        <is>
          <t>Bamboo</t>
        </is>
      </c>
      <c r="G88" s="109" t="inlineStr">
        <is>
          <t>DOZ by SIJO</t>
        </is>
      </c>
      <c r="H88" s="109" t="inlineStr">
        <is>
          <t>Beatable</t>
        </is>
      </c>
      <c r="I88" s="109" t="inlineStr">
        <is>
          <t>Bamboo Sheets</t>
        </is>
      </c>
      <c r="J88" s="109" t="inlineStr">
        <is>
          <t>https://images-na.ssl-images-amazon.com/images/I/710aWpCd4AL.jpg</t>
        </is>
      </c>
      <c r="K88" s="109" t="inlineStr">
        <is>
          <t>B0DCZGYVZ9</t>
        </is>
      </c>
      <c r="L88" s="109" t="inlineStr">
        <is>
          <t>B0F24TRXCZ</t>
        </is>
      </c>
      <c r="M88" s="109" t="n">
        <v>131</v>
      </c>
      <c r="N88" s="109" t="n">
        <v>55</v>
      </c>
      <c r="O88" s="109" t="n"/>
      <c r="P88" s="109">
        <f>IF(AND(ISNUMBER(O88),ISNUMBER(N88),N(N88)&gt;0),O88/N88-1,"")</f>
        <v/>
      </c>
      <c r="Q88" s="109" t="n">
        <v>94.98999999999999</v>
      </c>
      <c r="R88" s="109">
        <f>IF(AND(ISNUMBER(N88),ISNUMBER(Q88),N(Q88)&gt;0),N88/Q88-1,"")</f>
        <v/>
      </c>
      <c r="S88" s="109" t="n">
        <v>4051</v>
      </c>
      <c r="T88" s="109" t="n">
        <v>35</v>
      </c>
      <c r="U88" s="109" t="n">
        <v>4.4</v>
      </c>
      <c r="V88" s="109" t="n">
        <v>1909</v>
      </c>
      <c r="W88" s="109" t="n">
        <v>171534</v>
      </c>
      <c r="X88" s="109" t="n">
        <v>0.5544749851341424</v>
      </c>
      <c r="Y88" s="109" t="n">
        <v>462</v>
      </c>
      <c r="Z88" s="109" t="n">
        <v>649</v>
      </c>
      <c r="AA88" s="109" t="n">
        <v>549</v>
      </c>
      <c r="AB88" s="109" t="n"/>
      <c r="AC88" s="109" t="inlineStr">
        <is>
          <t>US DC B6</t>
        </is>
      </c>
      <c r="AD88" s="109">
        <f>'US DC B6'!BC140</f>
        <v/>
      </c>
      <c r="AE88" s="109">
        <f>'US DC B6'!BF140</f>
        <v/>
      </c>
      <c r="AF88" s="109" t="n"/>
      <c r="AG88" s="109" t="n"/>
    </row>
    <row r="89">
      <c r="A89" s="109">
        <f>AND(OR(Dashboard!$C$4="All",Dashboard!$C$4=D89),OR(Dashboard!$C$5="All",Dashboard!$C$5=E89),OR(Dashboard!$C$6="All",Dashboard!$C$6=G89),OR(Dashboard!$C$7="All",Dashboard!$C$7=H89),OR(Dashboard!$C$8="All",Dashboard!$C$8=F89))</f>
        <v/>
      </c>
      <c r="B89" s="109">
        <f>IF(A89,B88+1,B88)</f>
        <v/>
      </c>
      <c r="C89" s="109" t="n">
        <v>30</v>
      </c>
      <c r="D89" s="109" t="inlineStr">
        <is>
          <t>DC B6</t>
        </is>
      </c>
      <c r="E89" s="109" t="inlineStr">
        <is>
          <t>US</t>
        </is>
      </c>
      <c r="F89" s="109" t="inlineStr">
        <is>
          <t>Bamboo</t>
        </is>
      </c>
      <c r="G89" s="109" t="inlineStr">
        <is>
          <t>GOKOTTA</t>
        </is>
      </c>
      <c r="H89" s="109" t="inlineStr">
        <is>
          <t>Beatable</t>
        </is>
      </c>
      <c r="I89" s="109" t="inlineStr">
        <is>
          <t>GOKOTTA King Bamboo Rayon Sheets Set, Silky Soft Cooling Sheets Stay Put</t>
        </is>
      </c>
      <c r="J89" s="109" t="inlineStr">
        <is>
          <t>https://images-na.ssl-images-amazon.com/images/I/81EdgN1LRmL.jpg</t>
        </is>
      </c>
      <c r="K89" s="109" t="inlineStr">
        <is>
          <t>B09WV7RN1V</t>
        </is>
      </c>
      <c r="L89" s="109" t="inlineStr">
        <is>
          <t>B0BR53P7DY</t>
        </is>
      </c>
      <c r="M89" s="109" t="n">
        <v>99</v>
      </c>
      <c r="N89" s="109" t="n">
        <v>109</v>
      </c>
      <c r="O89" s="109" t="n"/>
      <c r="P89" s="109">
        <f>IF(AND(ISNUMBER(O89),ISNUMBER(N89),N(N89)&gt;0),O89/N89-1,"")</f>
        <v/>
      </c>
      <c r="Q89" s="109" t="n">
        <v>99.98999999999999</v>
      </c>
      <c r="R89" s="109">
        <f>IF(AND(ISNUMBER(N89),ISNUMBER(Q89),N(Q89)&gt;0),N89/Q89-1,"")</f>
        <v/>
      </c>
      <c r="S89" s="109" t="n">
        <v>16154</v>
      </c>
      <c r="T89" s="109" t="n">
        <v>35</v>
      </c>
      <c r="U89" s="109" t="n">
        <v>4.4</v>
      </c>
      <c r="V89" s="109" t="n">
        <v>3371</v>
      </c>
      <c r="W89" s="109" t="n">
        <v>76017</v>
      </c>
      <c r="X89" s="109" t="n">
        <v>0.8206756843863878</v>
      </c>
      <c r="Y89" s="109" t="n">
        <v>491</v>
      </c>
      <c r="Z89" s="109" t="n">
        <v>167</v>
      </c>
      <c r="AA89" s="109" t="n">
        <v>218</v>
      </c>
      <c r="AB89" s="109" t="n"/>
      <c r="AC89" s="109" t="inlineStr">
        <is>
          <t>US DC B6</t>
        </is>
      </c>
      <c r="AD89" s="109">
        <f>'US DC B6'!BC141</f>
        <v/>
      </c>
      <c r="AE89" s="109">
        <f>'US DC B6'!BF141</f>
        <v/>
      </c>
      <c r="AF89" s="109" t="inlineStr">
        <is>
          <t>King</t>
        </is>
      </c>
      <c r="AG89" s="109" t="n"/>
    </row>
    <row r="90">
      <c r="A90" s="109">
        <f>AND(OR(Dashboard!$C$4="All",Dashboard!$C$4=D90),OR(Dashboard!$C$5="All",Dashboard!$C$5=E90),OR(Dashboard!$C$6="All",Dashboard!$C$6=G90),OR(Dashboard!$C$7="All",Dashboard!$C$7=H90),OR(Dashboard!$C$8="All",Dashboard!$C$8=F90))</f>
        <v/>
      </c>
      <c r="B90" s="109">
        <f>IF(A90,B89+1,B89)</f>
        <v/>
      </c>
      <c r="C90" s="109" t="n">
        <v>30</v>
      </c>
      <c r="D90" s="109" t="inlineStr">
        <is>
          <t>DC B6</t>
        </is>
      </c>
      <c r="E90" s="109" t="inlineStr">
        <is>
          <t>US</t>
        </is>
      </c>
      <c r="F90" s="109" t="inlineStr">
        <is>
          <t>Bamboo</t>
        </is>
      </c>
      <c r="G90" s="109" t="inlineStr">
        <is>
          <t>KARISSA MAE</t>
        </is>
      </c>
      <c r="H90" s="109" t="inlineStr">
        <is>
          <t>Beatable</t>
        </is>
      </c>
      <c r="I90" s="109" t="inlineStr">
        <is>
          <t>Cooling Sheets</t>
        </is>
      </c>
      <c r="J90" s="109" t="inlineStr">
        <is>
          <t>https://images-na.ssl-images-amazon.com/images/I/71rcYip7GcL.jpg</t>
        </is>
      </c>
      <c r="K90" s="109" t="inlineStr">
        <is>
          <t>B0GT172Y8L</t>
        </is>
      </c>
      <c r="L90" s="109" t="inlineStr">
        <is>
          <t>B0G1CSCQTB</t>
        </is>
      </c>
      <c r="M90" s="109" t="n">
        <v>138</v>
      </c>
      <c r="N90" s="109" t="n">
        <v>119.99</v>
      </c>
      <c r="O90" s="109" t="n"/>
      <c r="P90" s="109">
        <f>IF(AND(ISNUMBER(O90),ISNUMBER(N90),N(N90)&gt;0),O90/N90-1,"")</f>
        <v/>
      </c>
      <c r="Q90" s="109" t="n">
        <v>94.98999999999999</v>
      </c>
      <c r="R90" s="109">
        <f>IF(AND(ISNUMBER(N90),ISNUMBER(Q90),N(Q90)&gt;0),N90/Q90-1,"")</f>
        <v/>
      </c>
      <c r="S90" s="109" t="n">
        <v>15914</v>
      </c>
      <c r="T90" s="109" t="n">
        <v>35</v>
      </c>
      <c r="U90" s="109" t="n">
        <v>4.3</v>
      </c>
      <c r="V90" s="109" t="n">
        <v>474</v>
      </c>
      <c r="W90" s="109" t="n">
        <v>243610</v>
      </c>
      <c r="X90" s="109" t="n">
        <v>0.1385290000410493</v>
      </c>
      <c r="Y90" s="109" t="n">
        <v>772</v>
      </c>
      <c r="Z90" s="109" t="n">
        <v>551</v>
      </c>
      <c r="AA90" s="109" t="n">
        <v>1255</v>
      </c>
      <c r="AB90" s="109" t="n">
        <v>2.102564102564103</v>
      </c>
      <c r="AC90" s="109" t="inlineStr">
        <is>
          <t>US DC B6</t>
        </is>
      </c>
      <c r="AD90" s="109">
        <f>'US DC B6'!BC142</f>
        <v/>
      </c>
      <c r="AE90" s="109">
        <f>'US DC B6'!BF142</f>
        <v/>
      </c>
      <c r="AF90" s="109" t="n"/>
      <c r="AG90" s="109" t="n"/>
    </row>
    <row r="91">
      <c r="A91" s="109">
        <f>AND(OR(Dashboard!$C$4="All",Dashboard!$C$4=D91),OR(Dashboard!$C$5="All",Dashboard!$C$5=E91),OR(Dashboard!$C$6="All",Dashboard!$C$6=G91),OR(Dashboard!$C$7="All",Dashboard!$C$7=H91),OR(Dashboard!$C$8="All",Dashboard!$C$8=F91))</f>
        <v/>
      </c>
      <c r="B91" s="109">
        <f>IF(A91,B90+1,B90)</f>
        <v/>
      </c>
      <c r="C91" s="109" t="n">
        <v>30</v>
      </c>
      <c r="D91" s="109" t="inlineStr">
        <is>
          <t>DC B6</t>
        </is>
      </c>
      <c r="E91" s="109" t="inlineStr">
        <is>
          <t>US</t>
        </is>
      </c>
      <c r="F91" s="109" t="inlineStr">
        <is>
          <t>Bamboo</t>
        </is>
      </c>
      <c r="G91" s="109" t="inlineStr">
        <is>
          <t>Pillcase</t>
        </is>
      </c>
      <c r="H91" s="109" t="inlineStr">
        <is>
          <t>Beatable</t>
        </is>
      </c>
      <c r="I91" s="109" t="inlineStr">
        <is>
          <t>100% Real Bamboo Viscose &amp; Lyocell Tencel Sheets Set Queen Size | Breathable &amp; C</t>
        </is>
      </c>
      <c r="J91" s="109" t="n"/>
      <c r="K91" s="109" t="inlineStr">
        <is>
          <t>B0H1GGHHVN</t>
        </is>
      </c>
      <c r="L91" s="109" t="inlineStr">
        <is>
          <t>B0HFZQRXXQ</t>
        </is>
      </c>
      <c r="M91" s="109" t="n">
        <v>20</v>
      </c>
      <c r="N91" s="109" t="n">
        <v>79</v>
      </c>
      <c r="O91" s="109" t="n">
        <v>109</v>
      </c>
      <c r="P91" s="109">
        <f>IF(AND(ISNUMBER(O91),ISNUMBER(N91),N(N91)&gt;0),O91/N91-1,"")</f>
        <v/>
      </c>
      <c r="Q91" s="109" t="n">
        <v>94.98999999999999</v>
      </c>
      <c r="R91" s="109">
        <f>IF(AND(ISNUMBER(N91),ISNUMBER(Q91),N(Q91)&gt;0),N91/Q91-1,"")</f>
        <v/>
      </c>
      <c r="S91" s="109" t="n">
        <v>28003</v>
      </c>
      <c r="T91" s="109" t="n">
        <v>35</v>
      </c>
      <c r="U91" s="109" t="n">
        <v>4.8</v>
      </c>
      <c r="V91" s="109" t="n">
        <v>279</v>
      </c>
      <c r="W91" s="109" t="n">
        <v>216953</v>
      </c>
      <c r="X91" s="109" t="n">
        <v>0.9703615419007803</v>
      </c>
      <c r="Y91" s="109" t="n">
        <v>316</v>
      </c>
      <c r="Z91" s="109" t="n">
        <v>488</v>
      </c>
      <c r="AA91" s="109" t="n">
        <v>8</v>
      </c>
      <c r="AB91" s="109" t="n"/>
      <c r="AC91" s="109" t="inlineStr">
        <is>
          <t>US DC B6</t>
        </is>
      </c>
      <c r="AD91" s="109">
        <f>'US DC B6'!BC143</f>
        <v/>
      </c>
      <c r="AE91" s="109">
        <f>'US DC B6'!BF143</f>
        <v/>
      </c>
      <c r="AF91" s="109" t="inlineStr">
        <is>
          <t>Queen</t>
        </is>
      </c>
      <c r="AG91" s="109" t="n"/>
    </row>
    <row r="92">
      <c r="A92" s="109">
        <f>AND(OR(Dashboard!$C$4="All",Dashboard!$C$4=D92),OR(Dashboard!$C$5="All",Dashboard!$C$5=E92),OR(Dashboard!$C$6="All",Dashboard!$C$6=G92),OR(Dashboard!$C$7="All",Dashboard!$C$7=H92),OR(Dashboard!$C$8="All",Dashboard!$C$8=F92))</f>
        <v/>
      </c>
      <c r="B92" s="109">
        <f>IF(A92,B91+1,B91)</f>
        <v/>
      </c>
      <c r="C92" s="109" t="n">
        <v>30</v>
      </c>
      <c r="D92" s="109" t="inlineStr">
        <is>
          <t>DC B6</t>
        </is>
      </c>
      <c r="E92" s="109" t="inlineStr">
        <is>
          <t>US</t>
        </is>
      </c>
      <c r="F92" s="109" t="inlineStr">
        <is>
          <t>Bamboo</t>
        </is>
      </c>
      <c r="G92" s="109" t="inlineStr">
        <is>
          <t>Bamboo Bay</t>
        </is>
      </c>
      <c r="H92" s="109" t="inlineStr">
        <is>
          <t>Beatable</t>
        </is>
      </c>
      <c r="I92" s="109" t="inlineStr">
        <is>
          <t>Bamboo Bay 4 Piece Queen Size Sheet Set, 100% Viscose Made from Bamboo, Breathab</t>
        </is>
      </c>
      <c r="J92" s="109" t="n"/>
      <c r="K92" s="109" t="inlineStr">
        <is>
          <t>B0DLD8982V</t>
        </is>
      </c>
      <c r="L92" s="109" t="inlineStr">
        <is>
          <t>B08M9QK14J</t>
        </is>
      </c>
      <c r="M92" s="109" t="n">
        <v>20</v>
      </c>
      <c r="N92" s="109" t="n">
        <v>89.98</v>
      </c>
      <c r="O92" s="109" t="n"/>
      <c r="P92" s="109">
        <f>IF(AND(ISNUMBER(O92),ISNUMBER(N92),N(N92)&gt;0),O92/N92-1,"")</f>
        <v/>
      </c>
      <c r="Q92" s="109" t="n">
        <v>94.98999999999999</v>
      </c>
      <c r="R92" s="109">
        <f>IF(AND(ISNUMBER(N92),ISNUMBER(Q92),N(Q92)&gt;0),N92/Q92-1,"")</f>
        <v/>
      </c>
      <c r="S92" s="109" t="n">
        <v>263209</v>
      </c>
      <c r="T92" s="109" t="n">
        <v>18</v>
      </c>
      <c r="U92" s="109" t="n">
        <v>4.4</v>
      </c>
      <c r="V92" s="109" t="n">
        <v>739</v>
      </c>
      <c r="W92" s="109" t="n">
        <v>67928</v>
      </c>
      <c r="X92" s="109" t="n">
        <v>0.313496176834295</v>
      </c>
      <c r="Y92" s="109" t="n">
        <v>376</v>
      </c>
      <c r="Z92" s="109" t="n">
        <v>135</v>
      </c>
      <c r="AA92" s="109" t="n">
        <v>253</v>
      </c>
      <c r="AB92" s="109" t="n">
        <v>0.7336182336182336</v>
      </c>
      <c r="AC92" s="109" t="inlineStr">
        <is>
          <t>US DC B6</t>
        </is>
      </c>
      <c r="AD92" s="109">
        <f>'US DC B6'!BC144</f>
        <v/>
      </c>
      <c r="AE92" s="109">
        <f>'US DC B6'!BF144</f>
        <v/>
      </c>
      <c r="AF92" s="109" t="inlineStr">
        <is>
          <t>Queen</t>
        </is>
      </c>
      <c r="AG92" s="109" t="n"/>
    </row>
    <row r="93">
      <c r="A93" s="109">
        <f>AND(OR(Dashboard!$C$4="All",Dashboard!$C$4=D93),OR(Dashboard!$C$5="All",Dashboard!$C$5=E93),OR(Dashboard!$C$6="All",Dashboard!$C$6=G93),OR(Dashboard!$C$7="All",Dashboard!$C$7=H93),OR(Dashboard!$C$8="All",Dashboard!$C$8=F93))</f>
        <v/>
      </c>
      <c r="B93" s="109">
        <f>IF(A93,B92+1,B92)</f>
        <v/>
      </c>
      <c r="C93" s="109" t="n">
        <v>30</v>
      </c>
      <c r="D93" s="109" t="inlineStr">
        <is>
          <t>DC B6</t>
        </is>
      </c>
      <c r="E93" s="109" t="inlineStr">
        <is>
          <t>US</t>
        </is>
      </c>
      <c r="F93" s="109" t="inlineStr">
        <is>
          <t>Bamboo</t>
        </is>
      </c>
      <c r="G93" s="109" t="inlineStr">
        <is>
          <t>California Design Den</t>
        </is>
      </c>
      <c r="H93" s="109" t="inlineStr">
        <is>
          <t>Beatable</t>
        </is>
      </c>
      <c r="I93" s="109" t="inlineStr">
        <is>
          <t>California Design Den 100% Viscose from Bamboo Sheets Queen, Dark Olive</t>
        </is>
      </c>
      <c r="J93" s="109" t="n"/>
      <c r="K93" s="109" t="inlineStr">
        <is>
          <t>B0HFBJPD56</t>
        </is>
      </c>
      <c r="L93" s="109" t="inlineStr">
        <is>
          <t>B0GWHPJ9SD</t>
        </is>
      </c>
      <c r="M93" s="109" t="n">
        <v>81</v>
      </c>
      <c r="N93" s="109" t="n">
        <v>89.98999999999999</v>
      </c>
      <c r="O93" s="109" t="n"/>
      <c r="P93" s="109">
        <f>IF(AND(ISNUMBER(O93),ISNUMBER(N93),N(N93)&gt;0),O93/N93-1,"")</f>
        <v/>
      </c>
      <c r="Q93" s="109" t="n">
        <v>94.98999999999999</v>
      </c>
      <c r="R93" s="109">
        <f>IF(AND(ISNUMBER(N93),ISNUMBER(Q93),N(Q93)&gt;0),N93/Q93-1,"")</f>
        <v/>
      </c>
      <c r="S93" s="109" t="n">
        <v>21237</v>
      </c>
      <c r="T93" s="109" t="n">
        <v>18</v>
      </c>
      <c r="U93" s="109" t="n">
        <v>4.6</v>
      </c>
      <c r="V93" s="109" t="n">
        <v>76</v>
      </c>
      <c r="W93" s="109" t="n">
        <v>103642</v>
      </c>
      <c r="X93" s="109" t="n">
        <v>0.8956907055054905</v>
      </c>
      <c r="Y93" s="109" t="n">
        <v>433</v>
      </c>
      <c r="Z93" s="109" t="n">
        <v>458</v>
      </c>
      <c r="AA93" s="109" t="n">
        <v>186</v>
      </c>
      <c r="AB93" s="109" t="n"/>
      <c r="AC93" s="109" t="inlineStr">
        <is>
          <t>US DC B6</t>
        </is>
      </c>
      <c r="AD93" s="109">
        <f>'US DC B6'!BC145</f>
        <v/>
      </c>
      <c r="AE93" s="109">
        <f>'US DC B6'!BF145</f>
        <v/>
      </c>
      <c r="AF93" s="109" t="inlineStr">
        <is>
          <t>Queen</t>
        </is>
      </c>
      <c r="AG93" s="109" t="inlineStr">
        <is>
          <t>Olive</t>
        </is>
      </c>
    </row>
    <row r="94">
      <c r="A94" s="109">
        <f>AND(OR(Dashboard!$C$4="All",Dashboard!$C$4=D94),OR(Dashboard!$C$5="All",Dashboard!$C$5=E94),OR(Dashboard!$C$6="All",Dashboard!$C$6=G94),OR(Dashboard!$C$7="All",Dashboard!$C$7=H94),OR(Dashboard!$C$8="All",Dashboard!$C$8=F94))</f>
        <v/>
      </c>
      <c r="B94" s="109">
        <f>IF(A94,B93+1,B93)</f>
        <v/>
      </c>
      <c r="C94" s="109" t="n">
        <v>30</v>
      </c>
      <c r="D94" s="109" t="inlineStr">
        <is>
          <t>DC B6</t>
        </is>
      </c>
      <c r="E94" s="109" t="inlineStr">
        <is>
          <t>US</t>
        </is>
      </c>
      <c r="F94" s="109" t="inlineStr">
        <is>
          <t>Bamboo</t>
        </is>
      </c>
      <c r="G94" s="109" t="inlineStr">
        <is>
          <t>Pillcase</t>
        </is>
      </c>
      <c r="H94" s="109" t="inlineStr">
        <is>
          <t>Beatable</t>
        </is>
      </c>
      <c r="I94" s="109" t="inlineStr">
        <is>
          <t>100% Real Bamboo Viscose &amp; Lyocell Tencel Sheets Set Queen Size | Breathable &amp; C</t>
        </is>
      </c>
      <c r="J94" s="109" t="n"/>
      <c r="K94" s="109" t="inlineStr">
        <is>
          <t>B0HK71WHZW</t>
        </is>
      </c>
      <c r="L94" s="109" t="inlineStr">
        <is>
          <t>B0H1BWY4MD</t>
        </is>
      </c>
      <c r="M94" s="109" t="n">
        <v>22</v>
      </c>
      <c r="N94" s="109" t="n">
        <v>99</v>
      </c>
      <c r="O94" s="109" t="n"/>
      <c r="P94" s="109">
        <f>IF(AND(ISNUMBER(O94),ISNUMBER(N94),N(N94)&gt;0),O94/N94-1,"")</f>
        <v/>
      </c>
      <c r="Q94" s="109" t="n">
        <v>94.98999999999999</v>
      </c>
      <c r="R94" s="109">
        <f>IF(AND(ISNUMBER(N94),ISNUMBER(Q94),N(Q94)&gt;0),N94/Q94-1,"")</f>
        <v/>
      </c>
      <c r="S94" s="109" t="n">
        <v>38116</v>
      </c>
      <c r="T94" s="109" t="n">
        <v>18</v>
      </c>
      <c r="U94" s="109" t="n">
        <v>4.9</v>
      </c>
      <c r="V94" s="109" t="n">
        <v>201</v>
      </c>
      <c r="W94" s="109" t="n">
        <v>116001</v>
      </c>
      <c r="X94" s="109" t="n">
        <v>0.8987684407893036</v>
      </c>
      <c r="Y94" s="109" t="n">
        <v>365</v>
      </c>
      <c r="Z94" s="109" t="n">
        <v>310</v>
      </c>
      <c r="AA94" s="109" t="n">
        <v>39</v>
      </c>
      <c r="AB94" s="109" t="n"/>
      <c r="AC94" s="109" t="inlineStr">
        <is>
          <t>US DC B6</t>
        </is>
      </c>
      <c r="AD94" s="109">
        <f>'US DC B6'!BC146</f>
        <v/>
      </c>
      <c r="AE94" s="109">
        <f>'US DC B6'!BF146</f>
        <v/>
      </c>
      <c r="AF94" s="109" t="inlineStr">
        <is>
          <t>Queen</t>
        </is>
      </c>
      <c r="AG94" s="109" t="n"/>
    </row>
    <row r="95">
      <c r="A95" s="109">
        <f>AND(OR(Dashboard!$C$4="All",Dashboard!$C$4=D95),OR(Dashboard!$C$5="All",Dashboard!$C$5=E95),OR(Dashboard!$C$6="All",Dashboard!$C$6=G95),OR(Dashboard!$C$7="All",Dashboard!$C$7=H95),OR(Dashboard!$C$8="All",Dashboard!$C$8=F95))</f>
        <v/>
      </c>
      <c r="B95" s="109">
        <f>IF(A95,B94+1,B94)</f>
        <v/>
      </c>
      <c r="C95" s="109" t="n">
        <v>30</v>
      </c>
      <c r="D95" s="109" t="inlineStr">
        <is>
          <t>DC B6</t>
        </is>
      </c>
      <c r="E95" s="109" t="inlineStr">
        <is>
          <t>US</t>
        </is>
      </c>
      <c r="F95" s="109" t="inlineStr">
        <is>
          <t>Bamboo</t>
        </is>
      </c>
      <c r="G95" s="109" t="inlineStr">
        <is>
          <t>Shilucheng</t>
        </is>
      </c>
      <c r="H95" s="109" t="inlineStr">
        <is>
          <t>Beatable</t>
        </is>
      </c>
      <c r="I95" s="109" t="inlineStr">
        <is>
          <t>Shilucheng 4 Piece King Sheet Sets, Cooling Sheets, Dark Grey</t>
        </is>
      </c>
      <c r="J95" s="109" t="inlineStr">
        <is>
          <t>https://images-na.ssl-images-amazon.com/images/I/81fpVjndH2L.jpg</t>
        </is>
      </c>
      <c r="K95" s="109" t="inlineStr">
        <is>
          <t>B098JT1RF2</t>
        </is>
      </c>
      <c r="L95" s="109" t="inlineStr">
        <is>
          <t>B098JT1RF2</t>
        </is>
      </c>
      <c r="M95" s="109" t="n">
        <v>100</v>
      </c>
      <c r="N95" s="109" t="n">
        <v>37.9</v>
      </c>
      <c r="O95" s="109" t="n"/>
      <c r="P95" s="109">
        <f>IF(AND(ISNUMBER(O95),ISNUMBER(N95),N(N95)&gt;0),O95/N95-1,"")</f>
        <v/>
      </c>
      <c r="Q95" s="109" t="n">
        <v>99.98999999999999</v>
      </c>
      <c r="R95" s="109">
        <f>IF(AND(ISNUMBER(N95),ISNUMBER(Q95),N(Q95)&gt;0),N95/Q95-1,"")</f>
        <v/>
      </c>
      <c r="S95" s="109" t="n">
        <v>9187</v>
      </c>
      <c r="T95" s="109" t="n">
        <v>18</v>
      </c>
      <c r="U95" s="109" t="n">
        <v>4.3</v>
      </c>
      <c r="V95" s="109" t="n">
        <v>24333</v>
      </c>
      <c r="W95" s="109" t="n">
        <v>23320</v>
      </c>
      <c r="X95" s="109" t="n">
        <v>0.6141093996569467</v>
      </c>
      <c r="Y95" s="109" t="n">
        <v>368</v>
      </c>
      <c r="Z95" s="109" t="n">
        <v>208</v>
      </c>
      <c r="AA95" s="109" t="n">
        <v>176</v>
      </c>
      <c r="AB95" s="109" t="n"/>
      <c r="AC95" s="109" t="inlineStr">
        <is>
          <t>US DC B6</t>
        </is>
      </c>
      <c r="AD95" s="109">
        <f>'US DC B6'!BC147</f>
        <v/>
      </c>
      <c r="AE95" s="109">
        <f>'US DC B6'!BF147</f>
        <v/>
      </c>
      <c r="AF95" s="109" t="inlineStr">
        <is>
          <t>King</t>
        </is>
      </c>
      <c r="AG95" s="109" t="inlineStr">
        <is>
          <t>Grey</t>
        </is>
      </c>
    </row>
    <row r="96">
      <c r="A96" s="109">
        <f>AND(OR(Dashboard!$C$4="All",Dashboard!$C$4=D96),OR(Dashboard!$C$5="All",Dashboard!$C$5=E96),OR(Dashboard!$C$6="All",Dashboard!$C$6=G96),OR(Dashboard!$C$7="All",Dashboard!$C$7=H96),OR(Dashboard!$C$8="All",Dashboard!$C$8=F96))</f>
        <v/>
      </c>
      <c r="B96" s="109">
        <f>IF(A96,B95+1,B95)</f>
        <v/>
      </c>
      <c r="C96" s="109" t="n">
        <v>30</v>
      </c>
      <c r="D96" s="109" t="inlineStr">
        <is>
          <t>DC B6</t>
        </is>
      </c>
      <c r="E96" s="109" t="inlineStr">
        <is>
          <t>US</t>
        </is>
      </c>
      <c r="F96" s="109" t="inlineStr">
        <is>
          <t>Bamboo</t>
        </is>
      </c>
      <c r="G96" s="109" t="inlineStr">
        <is>
          <t>TWK</t>
        </is>
      </c>
      <c r="H96" s="109" t="inlineStr">
        <is>
          <t>Beatable</t>
        </is>
      </c>
      <c r="I96" s="109" t="inlineStr">
        <is>
          <t>TWK Real 100% Viscose Derived from Bamboo Sheets Set Queen Size, Cooling &amp; Silky</t>
        </is>
      </c>
      <c r="J96" s="109" t="inlineStr">
        <is>
          <t>https://images-na.ssl-images-amazon.com/images/I/71X+0TBtodL.jpg</t>
        </is>
      </c>
      <c r="K96" s="109" t="inlineStr">
        <is>
          <t>B0HHQG3RSW</t>
        </is>
      </c>
      <c r="L96" s="109" t="inlineStr">
        <is>
          <t>B0G1N8QS55</t>
        </is>
      </c>
      <c r="M96" s="109" t="n">
        <v>13</v>
      </c>
      <c r="N96" s="109" t="n">
        <v>65</v>
      </c>
      <c r="O96" s="109" t="n">
        <v>79</v>
      </c>
      <c r="P96" s="109">
        <f>IF(AND(ISNUMBER(O96),ISNUMBER(N96),N(N96)&gt;0),O96/N96-1,"")</f>
        <v/>
      </c>
      <c r="Q96" s="109" t="n">
        <v>94.98999999999999</v>
      </c>
      <c r="R96" s="109">
        <f>IF(AND(ISNUMBER(N96),ISNUMBER(Q96),N(Q96)&gt;0),N96/Q96-1,"")</f>
        <v/>
      </c>
      <c r="S96" s="109" t="n">
        <v>196488</v>
      </c>
      <c r="T96" s="109" t="n">
        <v>18</v>
      </c>
      <c r="U96" s="109" t="n">
        <v>4.9</v>
      </c>
      <c r="V96" s="109" t="n">
        <v>121</v>
      </c>
      <c r="W96" s="109" t="n">
        <v>82471</v>
      </c>
      <c r="X96" s="109" t="n">
        <v>0.8861114561482216</v>
      </c>
      <c r="Y96" s="109" t="n">
        <v>388</v>
      </c>
      <c r="Z96" s="109" t="n">
        <v>263</v>
      </c>
      <c r="AA96" s="109" t="n">
        <v>27</v>
      </c>
      <c r="AB96" s="109" t="n"/>
      <c r="AC96" s="109" t="inlineStr">
        <is>
          <t>US DC B6</t>
        </is>
      </c>
      <c r="AD96" s="109">
        <f>'US DC B6'!BC148</f>
        <v/>
      </c>
      <c r="AE96" s="109">
        <f>'US DC B6'!BF148</f>
        <v/>
      </c>
      <c r="AF96" s="109" t="inlineStr">
        <is>
          <t>Queen</t>
        </is>
      </c>
      <c r="AG96" s="109" t="n"/>
    </row>
    <row r="97">
      <c r="A97" s="109">
        <f>AND(OR(Dashboard!$C$4="All",Dashboard!$C$4=D97),OR(Dashboard!$C$5="All",Dashboard!$C$5=E97),OR(Dashboard!$C$6="All",Dashboard!$C$6=G97),OR(Dashboard!$C$7="All",Dashboard!$C$7=H97),OR(Dashboard!$C$8="All",Dashboard!$C$8=F97))</f>
        <v/>
      </c>
      <c r="B97" s="109">
        <f>IF(A97,B96+1,B96)</f>
        <v/>
      </c>
      <c r="C97" s="109" t="n">
        <v>30</v>
      </c>
      <c r="D97" s="109" t="inlineStr">
        <is>
          <t>DC B6</t>
        </is>
      </c>
      <c r="E97" s="109" t="inlineStr">
        <is>
          <t>US</t>
        </is>
      </c>
      <c r="F97" s="109" t="inlineStr">
        <is>
          <t>Bamboo</t>
        </is>
      </c>
      <c r="G97" s="109" t="inlineStr">
        <is>
          <t>BC BELLA COTERIE</t>
        </is>
      </c>
      <c r="H97" s="109" t="inlineStr">
        <is>
          <t>Beatable</t>
        </is>
      </c>
      <c r="I97" s="109" t="inlineStr">
        <is>
          <t>4 Piece Bamboo Sheet Set</t>
        </is>
      </c>
      <c r="J97" s="109" t="n"/>
      <c r="K97" s="109" t="inlineStr">
        <is>
          <t>B0GKBNZ8TC</t>
        </is>
      </c>
      <c r="L97" s="109" t="inlineStr">
        <is>
          <t>B0G674ZDTV</t>
        </is>
      </c>
      <c r="M97" s="109" t="n"/>
      <c r="N97" s="109" t="n">
        <v>129.99</v>
      </c>
      <c r="O97" s="109" t="n"/>
      <c r="P97" s="109">
        <f>IF(AND(ISNUMBER(O97),ISNUMBER(N97),N(N97)&gt;0),O97/N97-1,"")</f>
        <v/>
      </c>
      <c r="Q97" s="109" t="n">
        <v>94.98999999999999</v>
      </c>
      <c r="R97" s="109">
        <f>IF(AND(ISNUMBER(N97),ISNUMBER(Q97),N(Q97)&gt;0),N97/Q97-1,"")</f>
        <v/>
      </c>
      <c r="S97" s="109" t="n">
        <v>1577</v>
      </c>
      <c r="T97" s="109" t="n">
        <v>5</v>
      </c>
      <c r="U97" s="109" t="n">
        <v>4.4</v>
      </c>
      <c r="V97" s="109" t="n">
        <v>5652</v>
      </c>
      <c r="W97" s="109" t="n"/>
      <c r="X97" s="109" t="n"/>
      <c r="Y97" s="109" t="n"/>
      <c r="Z97" s="109" t="n"/>
      <c r="AA97" s="109" t="n"/>
      <c r="AB97" s="109" t="n"/>
      <c r="AC97" s="109" t="inlineStr">
        <is>
          <t>US DC B6</t>
        </is>
      </c>
      <c r="AD97" s="109">
        <f>'US DC B6'!BC149</f>
        <v/>
      </c>
      <c r="AE97" s="109">
        <f>'US DC B6'!BF149</f>
        <v/>
      </c>
      <c r="AF97" s="109" t="n"/>
      <c r="AG97" s="109" t="n"/>
    </row>
    <row r="98">
      <c r="A98" s="109">
        <f>AND(OR(Dashboard!$C$4="All",Dashboard!$C$4=D98),OR(Dashboard!$C$5="All",Dashboard!$C$5=E98),OR(Dashboard!$C$6="All",Dashboard!$C$6=G98),OR(Dashboard!$C$7="All",Dashboard!$C$7=H98),OR(Dashboard!$C$8="All",Dashboard!$C$8=F98))</f>
        <v/>
      </c>
      <c r="B98" s="109">
        <f>IF(A98,B97+1,B97)</f>
        <v/>
      </c>
      <c r="C98" s="109" t="n">
        <v>30</v>
      </c>
      <c r="D98" s="109" t="inlineStr">
        <is>
          <t>DC B6</t>
        </is>
      </c>
      <c r="E98" s="109" t="inlineStr">
        <is>
          <t>US</t>
        </is>
      </c>
      <c r="F98" s="109" t="inlineStr">
        <is>
          <t>Bamboo</t>
        </is>
      </c>
      <c r="G98" s="109" t="inlineStr">
        <is>
          <t>Tafts</t>
        </is>
      </c>
      <c r="H98" s="109" t="inlineStr">
        <is>
          <t>Beatable</t>
        </is>
      </c>
      <c r="I98" s="109" t="inlineStr">
        <is>
          <t>Bamboo Sheets Queen Size, 100% Pure Viscose derived from Bamboo Bed Sheet Set, L</t>
        </is>
      </c>
      <c r="J98" s="109" t="n"/>
      <c r="K98" s="109" t="inlineStr">
        <is>
          <t>B0D34K3FB9</t>
        </is>
      </c>
      <c r="L98" s="109" t="inlineStr">
        <is>
          <t>B07YSVNCVT</t>
        </is>
      </c>
      <c r="M98" s="109" t="n">
        <v>23</v>
      </c>
      <c r="N98" s="109" t="n">
        <v>104.99</v>
      </c>
      <c r="O98" s="109" t="n"/>
      <c r="P98" s="109">
        <f>IF(AND(ISNUMBER(O98),ISNUMBER(N98),N(N98)&gt;0),O98/N98-1,"")</f>
        <v/>
      </c>
      <c r="Q98" s="109" t="n">
        <v>94.98999999999999</v>
      </c>
      <c r="R98" s="109">
        <f>IF(AND(ISNUMBER(N98),ISNUMBER(Q98),N(Q98)&gt;0),N98/Q98-1,"")</f>
        <v/>
      </c>
      <c r="S98" s="109" t="n">
        <v>184749</v>
      </c>
      <c r="T98" s="109" t="n">
        <v>5</v>
      </c>
      <c r="U98" s="109" t="n">
        <v>4.5</v>
      </c>
      <c r="V98" s="109" t="n">
        <v>3184</v>
      </c>
      <c r="W98" s="109" t="n">
        <v>11787</v>
      </c>
      <c r="X98" s="109" t="n">
        <v>0.9613189955035204</v>
      </c>
      <c r="Y98" s="109" t="n">
        <v>180</v>
      </c>
      <c r="Z98" s="109" t="n">
        <v>26</v>
      </c>
      <c r="AA98" s="109" t="n">
        <v>13</v>
      </c>
      <c r="AB98" s="109" t="n"/>
      <c r="AC98" s="109" t="inlineStr">
        <is>
          <t>US DC B6</t>
        </is>
      </c>
      <c r="AD98" s="109">
        <f>'US DC B6'!BC150</f>
        <v/>
      </c>
      <c r="AE98" s="109">
        <f>'US DC B6'!BF150</f>
        <v/>
      </c>
      <c r="AF98" s="109" t="inlineStr">
        <is>
          <t>Queen</t>
        </is>
      </c>
      <c r="AG98" s="109" t="n"/>
    </row>
    <row r="99">
      <c r="A99" s="109">
        <f>AND(OR(Dashboard!$C$4="All",Dashboard!$C$4=D99),OR(Dashboard!$C$5="All",Dashboard!$C$5=E99),OR(Dashboard!$C$6="All",Dashboard!$C$6=G99),OR(Dashboard!$C$7="All",Dashboard!$C$7=H99),OR(Dashboard!$C$8="All",Dashboard!$C$8=F99))</f>
        <v/>
      </c>
      <c r="B99" s="109">
        <f>IF(A99,B98+1,B98)</f>
        <v/>
      </c>
      <c r="C99" s="109" t="n">
        <v>30</v>
      </c>
      <c r="D99" s="109" t="inlineStr">
        <is>
          <t>DC B6</t>
        </is>
      </c>
      <c r="E99" s="109" t="inlineStr">
        <is>
          <t>US</t>
        </is>
      </c>
      <c r="F99" s="109" t="inlineStr">
        <is>
          <t>Bamboo</t>
        </is>
      </c>
      <c r="G99" s="109" t="inlineStr">
        <is>
          <t>TWK</t>
        </is>
      </c>
      <c r="H99" s="109" t="inlineStr">
        <is>
          <t>Beatable</t>
        </is>
      </c>
      <c r="I99" s="109" t="inlineStr">
        <is>
          <t>TWK Real 100% Viscose Derived from Bamboo Sheets Set Queen Size, Cooling &amp; Silky</t>
        </is>
      </c>
      <c r="J99" s="109" t="n"/>
      <c r="K99" s="109" t="inlineStr">
        <is>
          <t>B0HHRR4XGX</t>
        </is>
      </c>
      <c r="L99" s="109" t="inlineStr">
        <is>
          <t>B0HHRR4XGX</t>
        </is>
      </c>
      <c r="M99" s="109" t="n">
        <v>1</v>
      </c>
      <c r="N99" s="109" t="n">
        <v>105</v>
      </c>
      <c r="O99" s="109" t="n"/>
      <c r="P99" s="109">
        <f>IF(AND(ISNUMBER(O99),ISNUMBER(N99),N(N99)&gt;0),O99/N99-1,"")</f>
        <v/>
      </c>
      <c r="Q99" s="109" t="n">
        <v>94.98999999999999</v>
      </c>
      <c r="R99" s="109">
        <f>IF(AND(ISNUMBER(N99),ISNUMBER(Q99),N(Q99)&gt;0),N99/Q99-1,"")</f>
        <v/>
      </c>
      <c r="S99" s="109" t="n"/>
      <c r="T99" s="109" t="n">
        <v>5</v>
      </c>
      <c r="U99" s="109" t="n">
        <v>4.5</v>
      </c>
      <c r="V99" s="109" t="n"/>
      <c r="W99" s="109" t="n">
        <v>30066</v>
      </c>
      <c r="X99" s="109" t="n">
        <v>1</v>
      </c>
      <c r="Y99" s="109" t="n">
        <v>64</v>
      </c>
      <c r="Z99" s="109" t="n">
        <v>8</v>
      </c>
      <c r="AA99" s="109" t="n">
        <v>0</v>
      </c>
      <c r="AB99" s="109" t="n"/>
      <c r="AC99" s="109" t="inlineStr">
        <is>
          <t>US DC B6</t>
        </is>
      </c>
      <c r="AD99" s="109">
        <f>'US DC B6'!BC151</f>
        <v/>
      </c>
      <c r="AE99" s="109">
        <f>'US DC B6'!BF151</f>
        <v/>
      </c>
      <c r="AF99" s="109" t="inlineStr">
        <is>
          <t>Queen</t>
        </is>
      </c>
      <c r="AG99" s="109" t="n"/>
    </row>
    <row r="100">
      <c r="A100" s="109">
        <f>AND(OR(Dashboard!$C$4="All",Dashboard!$C$4=D100),OR(Dashboard!$C$5="All",Dashboard!$C$5=E100),OR(Dashboard!$C$6="All",Dashboard!$C$6=G100),OR(Dashboard!$C$7="All",Dashboard!$C$7=H100),OR(Dashboard!$C$8="All",Dashboard!$C$8=F100))</f>
        <v/>
      </c>
      <c r="B100" s="109">
        <f>IF(A100,B99+1,B99)</f>
        <v/>
      </c>
      <c r="C100" s="109" t="n">
        <v>30</v>
      </c>
      <c r="D100" s="109" t="inlineStr">
        <is>
          <t>DC B6</t>
        </is>
      </c>
      <c r="E100" s="109" t="inlineStr">
        <is>
          <t>US</t>
        </is>
      </c>
      <c r="F100" s="109" t="inlineStr">
        <is>
          <t>Bamboo</t>
        </is>
      </c>
      <c r="G100" s="109" t="inlineStr">
        <is>
          <t>AiAngu</t>
        </is>
      </c>
      <c r="H100" s="109" t="inlineStr">
        <is>
          <t>Poor</t>
        </is>
      </c>
      <c r="I100" s="109" t="inlineStr">
        <is>
          <t>Bamboo Sheets</t>
        </is>
      </c>
      <c r="J100" s="109" t="n"/>
      <c r="K100" s="109" t="inlineStr">
        <is>
          <t>B0H3KP6R9B</t>
        </is>
      </c>
      <c r="L100" s="109" t="inlineStr">
        <is>
          <t>B0GX15Y7TT</t>
        </is>
      </c>
      <c r="M100" s="109" t="n"/>
      <c r="N100" s="109" t="n">
        <v>74.98999999999999</v>
      </c>
      <c r="O100" s="109" t="n">
        <v>79.98999999999999</v>
      </c>
      <c r="P100" s="109">
        <f>IF(AND(ISNUMBER(O100),ISNUMBER(N100),N(N100)&gt;0),O100/N100-1,"")</f>
        <v/>
      </c>
      <c r="Q100" s="109" t="n">
        <v>94.98999999999999</v>
      </c>
      <c r="R100" s="109">
        <f>IF(AND(ISNUMBER(N100),ISNUMBER(Q100),N(Q100)&gt;0),N100/Q100-1,"")</f>
        <v/>
      </c>
      <c r="S100" s="109" t="n">
        <v>39296</v>
      </c>
      <c r="T100" s="109" t="n">
        <v>81</v>
      </c>
      <c r="U100" s="109" t="n">
        <v>4.6</v>
      </c>
      <c r="V100" s="109" t="n">
        <v>121</v>
      </c>
      <c r="W100" s="109" t="n"/>
      <c r="X100" s="109" t="n"/>
      <c r="Y100" s="109" t="n"/>
      <c r="Z100" s="109" t="n"/>
      <c r="AA100" s="109" t="n"/>
      <c r="AB100" s="109" t="n"/>
      <c r="AC100" s="109" t="inlineStr">
        <is>
          <t>US DC B6</t>
        </is>
      </c>
      <c r="AD100" s="109">
        <f>'US DC B6'!BC152</f>
        <v/>
      </c>
      <c r="AE100" s="109">
        <f>'US DC B6'!BF152</f>
        <v/>
      </c>
      <c r="AF100" s="109" t="n"/>
      <c r="AG100" s="109" t="n"/>
    </row>
    <row r="101">
      <c r="A101" s="109">
        <f>AND(OR(Dashboard!$C$4="All",Dashboard!$C$4=D101),OR(Dashboard!$C$5="All",Dashboard!$C$5=E101),OR(Dashboard!$C$6="All",Dashboard!$C$6=G101),OR(Dashboard!$C$7="All",Dashboard!$C$7=H101),OR(Dashboard!$C$8="All",Dashboard!$C$8=F101))</f>
        <v/>
      </c>
      <c r="B101" s="109">
        <f>IF(A101,B100+1,B100)</f>
        <v/>
      </c>
      <c r="C101" s="109" t="n">
        <v>30</v>
      </c>
      <c r="D101" s="109" t="inlineStr">
        <is>
          <t>DC B6</t>
        </is>
      </c>
      <c r="E101" s="109" t="inlineStr">
        <is>
          <t>US</t>
        </is>
      </c>
      <c r="F101" s="109" t="inlineStr">
        <is>
          <t>Bamboo</t>
        </is>
      </c>
      <c r="G101" s="109" t="inlineStr">
        <is>
          <t>Cariloha</t>
        </is>
      </c>
      <c r="H101" s="109" t="inlineStr">
        <is>
          <t>Poor</t>
        </is>
      </c>
      <c r="I101" s="109" t="inlineStr">
        <is>
          <t>Cariloha Aloha Soft Bamboo Viscose Sheet Set - Natural - Queen</t>
        </is>
      </c>
      <c r="J101" s="109" t="inlineStr">
        <is>
          <t>https://images-na.ssl-images-amazon.com/images/I/71Kvq1YdGJL.jpg</t>
        </is>
      </c>
      <c r="K101" s="109" t="inlineStr">
        <is>
          <t>B0F89K7BXJ</t>
        </is>
      </c>
      <c r="L101" s="109" t="inlineStr">
        <is>
          <t>B0DJV1K332</t>
        </is>
      </c>
      <c r="M101" s="109" t="n">
        <v>35</v>
      </c>
      <c r="N101" s="109" t="n">
        <v>107.1</v>
      </c>
      <c r="O101" s="109" t="n"/>
      <c r="P101" s="109">
        <f>IF(AND(ISNUMBER(O101),ISNUMBER(N101),N(N101)&gt;0),O101/N101-1,"")</f>
        <v/>
      </c>
      <c r="Q101" s="109" t="n">
        <v>94.98999999999999</v>
      </c>
      <c r="R101" s="109">
        <f>IF(AND(ISNUMBER(N101),ISNUMBER(Q101),N(Q101)&gt;0),N101/Q101-1,"")</f>
        <v/>
      </c>
      <c r="S101" s="109" t="n">
        <v>15882</v>
      </c>
      <c r="T101" s="109" t="n">
        <v>81</v>
      </c>
      <c r="U101" s="109" t="n">
        <v>4.4</v>
      </c>
      <c r="V101" s="109" t="n">
        <v>426</v>
      </c>
      <c r="W101" s="109" t="n"/>
      <c r="X101" s="109" t="n"/>
      <c r="Y101" s="109" t="n"/>
      <c r="Z101" s="109" t="n"/>
      <c r="AA101" s="109" t="n"/>
      <c r="AB101" s="109" t="n"/>
      <c r="AC101" s="109" t="inlineStr">
        <is>
          <t>US DC B6</t>
        </is>
      </c>
      <c r="AD101" s="109">
        <f>'US DC B6'!BC153</f>
        <v/>
      </c>
      <c r="AE101" s="109">
        <f>'US DC B6'!BF153</f>
        <v/>
      </c>
      <c r="AF101" s="109" t="inlineStr">
        <is>
          <t>Queen</t>
        </is>
      </c>
      <c r="AG101" s="109" t="n"/>
    </row>
    <row r="102">
      <c r="A102" s="109">
        <f>AND(OR(Dashboard!$C$4="All",Dashboard!$C$4=D102),OR(Dashboard!$C$5="All",Dashboard!$C$5=E102),OR(Dashboard!$C$6="All",Dashboard!$C$6=G102),OR(Dashboard!$C$7="All",Dashboard!$C$7=H102),OR(Dashboard!$C$8="All",Dashboard!$C$8=F102))</f>
        <v/>
      </c>
      <c r="B102" s="109">
        <f>IF(A102,B101+1,B101)</f>
        <v/>
      </c>
      <c r="C102" s="109" t="n">
        <v>30</v>
      </c>
      <c r="D102" s="109" t="inlineStr">
        <is>
          <t>DC B6</t>
        </is>
      </c>
      <c r="E102" s="109" t="inlineStr">
        <is>
          <t>US</t>
        </is>
      </c>
      <c r="F102" s="109" t="inlineStr">
        <is>
          <t>Bamboo</t>
        </is>
      </c>
      <c r="G102" s="109" t="inlineStr">
        <is>
          <t>ACCURATEX</t>
        </is>
      </c>
      <c r="H102" s="109" t="inlineStr">
        <is>
          <t>Poor</t>
        </is>
      </c>
      <c r="I102" s="109" t="inlineStr">
        <is>
          <t>ACCURATEX Cooling Sheets for Hot Sleepers, King Size, Grey</t>
        </is>
      </c>
      <c r="J102" s="109" t="inlineStr">
        <is>
          <t>https://images-na.ssl-images-amazon.com/images/I/81fSDKgL-SL.jpg</t>
        </is>
      </c>
      <c r="K102" s="109" t="inlineStr">
        <is>
          <t>B0GMGSMLQ1</t>
        </is>
      </c>
      <c r="L102" s="109" t="inlineStr">
        <is>
          <t>B09PYB9C45</t>
        </is>
      </c>
      <c r="M102" s="109" t="n">
        <v>51</v>
      </c>
      <c r="N102" s="109" t="n">
        <v>69.98999999999999</v>
      </c>
      <c r="O102" s="109" t="n"/>
      <c r="P102" s="109">
        <f>IF(AND(ISNUMBER(O102),ISNUMBER(N102),N(N102)&gt;0),O102/N102-1,"")</f>
        <v/>
      </c>
      <c r="Q102" s="109" t="n">
        <v>99.98999999999999</v>
      </c>
      <c r="R102" s="109">
        <f>IF(AND(ISNUMBER(N102),ISNUMBER(Q102),N(Q102)&gt;0),N102/Q102-1,"")</f>
        <v/>
      </c>
      <c r="S102" s="109" t="n">
        <v>33423</v>
      </c>
      <c r="T102" s="109" t="n">
        <v>35</v>
      </c>
      <c r="U102" s="109" t="n">
        <v>4.4</v>
      </c>
      <c r="V102" s="109" t="n">
        <v>1040</v>
      </c>
      <c r="W102" s="109" t="n"/>
      <c r="X102" s="109" t="n"/>
      <c r="Y102" s="109" t="n"/>
      <c r="Z102" s="109" t="n"/>
      <c r="AA102" s="109" t="n"/>
      <c r="AB102" s="109" t="n"/>
      <c r="AC102" s="109" t="inlineStr">
        <is>
          <t>US DC B6</t>
        </is>
      </c>
      <c r="AD102" s="109">
        <f>'US DC B6'!BC154</f>
        <v/>
      </c>
      <c r="AE102" s="109">
        <f>'US DC B6'!BF154</f>
        <v/>
      </c>
      <c r="AF102" s="109" t="inlineStr">
        <is>
          <t>King</t>
        </is>
      </c>
      <c r="AG102" s="109" t="inlineStr">
        <is>
          <t>Grey</t>
        </is>
      </c>
    </row>
    <row r="103">
      <c r="A103" s="109">
        <f>AND(OR(Dashboard!$C$4="All",Dashboard!$C$4=D103),OR(Dashboard!$C$5="All",Dashboard!$C$5=E103),OR(Dashboard!$C$6="All",Dashboard!$C$6=G103),OR(Dashboard!$C$7="All",Dashboard!$C$7=H103),OR(Dashboard!$C$8="All",Dashboard!$C$8=F103))</f>
        <v/>
      </c>
      <c r="B103" s="109">
        <f>IF(A103,B102+1,B102)</f>
        <v/>
      </c>
      <c r="C103" s="109" t="n">
        <v>30</v>
      </c>
      <c r="D103" s="109" t="inlineStr">
        <is>
          <t>DC B6</t>
        </is>
      </c>
      <c r="E103" s="109" t="inlineStr">
        <is>
          <t>US</t>
        </is>
      </c>
      <c r="F103" s="109" t="inlineStr">
        <is>
          <t>Bamboo</t>
        </is>
      </c>
      <c r="G103" s="109" t="inlineStr">
        <is>
          <t>Cozy Earth</t>
        </is>
      </c>
      <c r="H103" s="109" t="inlineStr">
        <is>
          <t>Poor</t>
        </is>
      </c>
      <c r="I103" s="109" t="inlineStr">
        <is>
          <t>Cozy Earth Luxury Bed Sheet Set, 100% Viscose from Bamboo Fabric</t>
        </is>
      </c>
      <c r="J103" s="109" t="inlineStr">
        <is>
          <t>https://images-na.ssl-images-amazon.com/images/I/61NbNWE+BJL.jpg</t>
        </is>
      </c>
      <c r="K103" s="109" t="inlineStr">
        <is>
          <t>B0DSQ9V4ML</t>
        </is>
      </c>
      <c r="L103" s="109" t="inlineStr">
        <is>
          <t>B0F22JR4S8</t>
        </is>
      </c>
      <c r="M103" s="109" t="n">
        <v>54</v>
      </c>
      <c r="N103" s="109" t="n">
        <v>328</v>
      </c>
      <c r="O103" s="109" t="n"/>
      <c r="P103" s="109">
        <f>IF(AND(ISNUMBER(O103),ISNUMBER(N103),N(N103)&gt;0),O103/N103-1,"")</f>
        <v/>
      </c>
      <c r="Q103" s="109" t="n">
        <v>94.98999999999999</v>
      </c>
      <c r="R103" s="109">
        <f>IF(AND(ISNUMBER(N103),ISNUMBER(Q103),N(Q103)&gt;0),N103/Q103-1,"")</f>
        <v/>
      </c>
      <c r="S103" s="109" t="n">
        <v>45709</v>
      </c>
      <c r="T103" s="109" t="n">
        <v>35</v>
      </c>
      <c r="U103" s="109" t="n">
        <v>3.9</v>
      </c>
      <c r="V103" s="109" t="n">
        <v>425</v>
      </c>
      <c r="W103" s="109" t="n"/>
      <c r="X103" s="109" t="n"/>
      <c r="Y103" s="109" t="n"/>
      <c r="Z103" s="109" t="n"/>
      <c r="AA103" s="109" t="n"/>
      <c r="AB103" s="109" t="n"/>
      <c r="AC103" s="109" t="inlineStr">
        <is>
          <t>US DC B6</t>
        </is>
      </c>
      <c r="AD103" s="109">
        <f>'US DC B6'!BC155</f>
        <v/>
      </c>
      <c r="AE103" s="109">
        <f>'US DC B6'!BF155</f>
        <v/>
      </c>
      <c r="AF103" s="109" t="n"/>
      <c r="AG103" s="109" t="n"/>
    </row>
    <row r="104">
      <c r="A104" s="109">
        <f>AND(OR(Dashboard!$C$4="All",Dashboard!$C$4=D104),OR(Dashboard!$C$5="All",Dashboard!$C$5=E104),OR(Dashboard!$C$6="All",Dashboard!$C$6=G104),OR(Dashboard!$C$7="All",Dashboard!$C$7=H104),OR(Dashboard!$C$8="All",Dashboard!$C$8=F104))</f>
        <v/>
      </c>
      <c r="B104" s="109">
        <f>IF(A104,B103+1,B103)</f>
        <v/>
      </c>
      <c r="C104" s="109" t="n">
        <v>30</v>
      </c>
      <c r="D104" s="109" t="inlineStr">
        <is>
          <t>DC B6</t>
        </is>
      </c>
      <c r="E104" s="109" t="inlineStr">
        <is>
          <t>US</t>
        </is>
      </c>
      <c r="F104" s="109" t="inlineStr">
        <is>
          <t>Bamboo</t>
        </is>
      </c>
      <c r="G104" s="109" t="inlineStr">
        <is>
          <t>DREAMCARE</t>
        </is>
      </c>
      <c r="H104" s="109" t="inlineStr">
        <is>
          <t>Poor</t>
        </is>
      </c>
      <c r="I104" s="109" t="inlineStr">
        <is>
          <t>DREAMCARE 100% Rayon Bamboo Sheets King Size - 4pc Cooling Sheets King Size</t>
        </is>
      </c>
      <c r="J104" s="109" t="inlineStr">
        <is>
          <t>https://images-na.ssl-images-amazon.com/images/I/61iqSV9TaLL.jpg</t>
        </is>
      </c>
      <c r="K104" s="109" t="inlineStr">
        <is>
          <t>B0DVZFLVMG</t>
        </is>
      </c>
      <c r="L104" s="109" t="inlineStr">
        <is>
          <t>B0CF2MND41</t>
        </is>
      </c>
      <c r="M104" s="109" t="n">
        <v>30</v>
      </c>
      <c r="N104" s="109" t="n">
        <v>46.74</v>
      </c>
      <c r="O104" s="109" t="n">
        <v>59.99</v>
      </c>
      <c r="P104" s="109">
        <f>IF(AND(ISNUMBER(O104),ISNUMBER(N104),N(N104)&gt;0),O104/N104-1,"")</f>
        <v/>
      </c>
      <c r="Q104" s="109" t="n">
        <v>99.98999999999999</v>
      </c>
      <c r="R104" s="109">
        <f>IF(AND(ISNUMBER(N104),ISNUMBER(Q104),N(Q104)&gt;0),N104/Q104-1,"")</f>
        <v/>
      </c>
      <c r="S104" s="109" t="n">
        <v>37217</v>
      </c>
      <c r="T104" s="109" t="n">
        <v>35</v>
      </c>
      <c r="U104" s="109" t="n">
        <v>4.5</v>
      </c>
      <c r="V104" s="109" t="n">
        <v>2261</v>
      </c>
      <c r="W104" s="109" t="n"/>
      <c r="X104" s="109" t="n"/>
      <c r="Y104" s="109" t="n"/>
      <c r="Z104" s="109" t="n"/>
      <c r="AA104" s="109" t="n"/>
      <c r="AB104" s="109" t="n"/>
      <c r="AC104" s="109" t="inlineStr">
        <is>
          <t>US DC B6</t>
        </is>
      </c>
      <c r="AD104" s="109">
        <f>'US DC B6'!BC156</f>
        <v/>
      </c>
      <c r="AE104" s="109">
        <f>'US DC B6'!BF156</f>
        <v/>
      </c>
      <c r="AF104" s="109" t="inlineStr">
        <is>
          <t>King</t>
        </is>
      </c>
      <c r="AG104" s="109" t="n"/>
    </row>
    <row r="105">
      <c r="A105" s="109">
        <f>AND(OR(Dashboard!$C$4="All",Dashboard!$C$4=D105),OR(Dashboard!$C$5="All",Dashboard!$C$5=E105),OR(Dashboard!$C$6="All",Dashboard!$C$6=G105),OR(Dashboard!$C$7="All",Dashboard!$C$7=H105),OR(Dashboard!$C$8="All",Dashboard!$C$8=F105))</f>
        <v/>
      </c>
      <c r="B105" s="109">
        <f>IF(A105,B104+1,B104)</f>
        <v/>
      </c>
      <c r="C105" s="109" t="n">
        <v>30</v>
      </c>
      <c r="D105" s="109" t="inlineStr">
        <is>
          <t>DC B6</t>
        </is>
      </c>
      <c r="E105" s="109" t="inlineStr">
        <is>
          <t>US</t>
        </is>
      </c>
      <c r="F105" s="109" t="inlineStr">
        <is>
          <t>Bamboo</t>
        </is>
      </c>
      <c r="G105" s="109" t="inlineStr">
        <is>
          <t>HOT SLEEPER SHEETS</t>
        </is>
      </c>
      <c r="H105" s="109" t="inlineStr">
        <is>
          <t>Poor</t>
        </is>
      </c>
      <c r="I105" s="109" t="inlineStr">
        <is>
          <t>Cooling Sheets Set Queen Size, Viscose Derived from Bamboo for Hot Sleepers | Deep Pocket Up to 16 Inch | Silky Soft &amp; Breathable Bedding - 4PC (Queen, Navy)</t>
        </is>
      </c>
      <c r="J105" s="109" t="inlineStr">
        <is>
          <t>https://images-na.ssl-images-amazon.com/images/I/81noqNc+ZjL.jpg</t>
        </is>
      </c>
      <c r="K105" s="109" t="inlineStr">
        <is>
          <t>B0DM3GDCTR</t>
        </is>
      </c>
      <c r="L105" s="109" t="inlineStr">
        <is>
          <t>B0D3XQM7DL</t>
        </is>
      </c>
      <c r="M105" s="109" t="n">
        <v>74</v>
      </c>
      <c r="N105" s="109" t="n">
        <v>51.29</v>
      </c>
      <c r="O105" s="109" t="n">
        <v>62.99</v>
      </c>
      <c r="P105" s="109">
        <f>IF(AND(ISNUMBER(O105),ISNUMBER(N105),N(N105)&gt;0),O105/N105-1,"")</f>
        <v/>
      </c>
      <c r="Q105" s="109" t="n">
        <v>94.98999999999999</v>
      </c>
      <c r="R105" s="109">
        <f>IF(AND(ISNUMBER(N105),ISNUMBER(Q105),N(Q105)&gt;0),N105/Q105-1,"")</f>
        <v/>
      </c>
      <c r="S105" s="109" t="n">
        <v>33959</v>
      </c>
      <c r="T105" s="109" t="n">
        <v>35</v>
      </c>
      <c r="U105" s="109" t="n">
        <v>4.4</v>
      </c>
      <c r="V105" s="109" t="n">
        <v>674</v>
      </c>
      <c r="W105" s="109" t="n"/>
      <c r="X105" s="109" t="n"/>
      <c r="Y105" s="109" t="n"/>
      <c r="Z105" s="109" t="n"/>
      <c r="AA105" s="109" t="n"/>
      <c r="AB105" s="109" t="n"/>
      <c r="AC105" s="109" t="inlineStr">
        <is>
          <t>US DC B6</t>
        </is>
      </c>
      <c r="AD105" s="109">
        <f>'US DC B6'!BC157</f>
        <v/>
      </c>
      <c r="AE105" s="109">
        <f>'US DC B6'!BF157</f>
        <v/>
      </c>
      <c r="AF105" s="109" t="inlineStr">
        <is>
          <t>Queen</t>
        </is>
      </c>
      <c r="AG105" s="109" t="inlineStr">
        <is>
          <t>Navy</t>
        </is>
      </c>
    </row>
    <row r="106">
      <c r="A106" s="109">
        <f>AND(OR(Dashboard!$C$4="All",Dashboard!$C$4=D106),OR(Dashboard!$C$5="All",Dashboard!$C$5=E106),OR(Dashboard!$C$6="All",Dashboard!$C$6=G106),OR(Dashboard!$C$7="All",Dashboard!$C$7=H106),OR(Dashboard!$C$8="All",Dashboard!$C$8=F106))</f>
        <v/>
      </c>
      <c r="B106" s="109">
        <f>IF(A106,B105+1,B105)</f>
        <v/>
      </c>
      <c r="C106" s="109" t="n">
        <v>30</v>
      </c>
      <c r="D106" s="109" t="inlineStr">
        <is>
          <t>DC B6</t>
        </is>
      </c>
      <c r="E106" s="109" t="inlineStr">
        <is>
          <t>US</t>
        </is>
      </c>
      <c r="F106" s="109" t="inlineStr">
        <is>
          <t>Bamboo</t>
        </is>
      </c>
      <c r="G106" s="109" t="inlineStr">
        <is>
          <t>Shilucheng</t>
        </is>
      </c>
      <c r="H106" s="109" t="inlineStr">
        <is>
          <t>Poor</t>
        </is>
      </c>
      <c r="I106" s="109" t="inlineStr">
        <is>
          <t>Shilucheng 100% Viscose Derived from Bamboo_ Sheets Queen Size 4pcs</t>
        </is>
      </c>
      <c r="J106" s="109" t="inlineStr">
        <is>
          <t>https://images-na.ssl-images-amazon.com/images/I/71+O+E9PlaL.jpg</t>
        </is>
      </c>
      <c r="K106" s="109" t="inlineStr">
        <is>
          <t>B09PYKYCCF</t>
        </is>
      </c>
      <c r="L106" s="109" t="inlineStr">
        <is>
          <t>B09PYKYCCF</t>
        </is>
      </c>
      <c r="M106" s="109" t="n">
        <v>79</v>
      </c>
      <c r="N106" s="109" t="n">
        <v>46.66</v>
      </c>
      <c r="O106" s="109" t="n">
        <v>54.9</v>
      </c>
      <c r="P106" s="109">
        <f>IF(AND(ISNUMBER(O106),ISNUMBER(N106),N(N106)&gt;0),O106/N106-1,"")</f>
        <v/>
      </c>
      <c r="Q106" s="109" t="n">
        <v>94.98999999999999</v>
      </c>
      <c r="R106" s="109">
        <f>IF(AND(ISNUMBER(N106),ISNUMBER(Q106),N(Q106)&gt;0),N106/Q106-1,"")</f>
        <v/>
      </c>
      <c r="S106" s="109" t="n">
        <v>26043</v>
      </c>
      <c r="T106" s="109" t="n">
        <v>35</v>
      </c>
      <c r="U106" s="109" t="n">
        <v>4.4</v>
      </c>
      <c r="V106" s="109" t="n">
        <v>6629</v>
      </c>
      <c r="W106" s="109" t="n"/>
      <c r="X106" s="109" t="n"/>
      <c r="Y106" s="109" t="n"/>
      <c r="Z106" s="109" t="n"/>
      <c r="AA106" s="109" t="n"/>
      <c r="AB106" s="109" t="n"/>
      <c r="AC106" s="109" t="inlineStr">
        <is>
          <t>US DC B6</t>
        </is>
      </c>
      <c r="AD106" s="109">
        <f>'US DC B6'!BC158</f>
        <v/>
      </c>
      <c r="AE106" s="109">
        <f>'US DC B6'!BF158</f>
        <v/>
      </c>
      <c r="AF106" s="109" t="inlineStr">
        <is>
          <t>Queen</t>
        </is>
      </c>
      <c r="AG106" s="109" t="n"/>
    </row>
    <row r="107">
      <c r="A107" s="109">
        <f>AND(OR(Dashboard!$C$4="All",Dashboard!$C$4=D107),OR(Dashboard!$C$5="All",Dashboard!$C$5=E107),OR(Dashboard!$C$6="All",Dashboard!$C$6=G107),OR(Dashboard!$C$7="All",Dashboard!$C$7=H107),OR(Dashboard!$C$8="All",Dashboard!$C$8=F107))</f>
        <v/>
      </c>
      <c r="B107" s="109">
        <f>IF(A107,B106+1,B106)</f>
        <v/>
      </c>
      <c r="C107" s="109" t="n">
        <v>30</v>
      </c>
      <c r="D107" s="109" t="inlineStr">
        <is>
          <t>DC B6</t>
        </is>
      </c>
      <c r="E107" s="109" t="inlineStr">
        <is>
          <t>US</t>
        </is>
      </c>
      <c r="F107" s="109" t="inlineStr">
        <is>
          <t>Bamboo</t>
        </is>
      </c>
      <c r="G107" s="109" t="inlineStr">
        <is>
          <t>Bamtek</t>
        </is>
      </c>
      <c r="H107" s="109" t="inlineStr">
        <is>
          <t>Poor</t>
        </is>
      </c>
      <c r="I107" s="109" t="inlineStr">
        <is>
          <t>Viscose Bamboo Sheets Queen Size 4PC Set - Cooling Bedding for Hot Sleepers with</t>
        </is>
      </c>
      <c r="J107" s="109" t="n"/>
      <c r="K107" s="109" t="inlineStr">
        <is>
          <t>B0CZHCZQZ3</t>
        </is>
      </c>
      <c r="L107" s="109" t="inlineStr">
        <is>
          <t>B09TQ6ZVKZ</t>
        </is>
      </c>
      <c r="M107" s="109" t="n"/>
      <c r="N107" s="109" t="n">
        <v>94.98999999999999</v>
      </c>
      <c r="O107" s="109" t="n"/>
      <c r="P107" s="109">
        <f>IF(AND(ISNUMBER(O107),ISNUMBER(N107),N(N107)&gt;0),O107/N107-1,"")</f>
        <v/>
      </c>
      <c r="Q107" s="109" t="n">
        <v>94.98999999999999</v>
      </c>
      <c r="R107" s="109">
        <f>IF(AND(ISNUMBER(N107),ISNUMBER(Q107),N(Q107)&gt;0),N107/Q107-1,"")</f>
        <v/>
      </c>
      <c r="S107" s="109" t="n">
        <v>79376</v>
      </c>
      <c r="T107" s="109" t="n">
        <v>18</v>
      </c>
      <c r="U107" s="109" t="n">
        <v>4.4</v>
      </c>
      <c r="V107" s="109" t="n">
        <v>641</v>
      </c>
      <c r="W107" s="109" t="n"/>
      <c r="X107" s="109" t="n"/>
      <c r="Y107" s="109" t="n"/>
      <c r="Z107" s="109" t="n"/>
      <c r="AA107" s="109" t="n"/>
      <c r="AB107" s="109" t="n"/>
      <c r="AC107" s="109" t="inlineStr">
        <is>
          <t>US DC B6</t>
        </is>
      </c>
      <c r="AD107" s="109">
        <f>'US DC B6'!BC159</f>
        <v/>
      </c>
      <c r="AE107" s="109">
        <f>'US DC B6'!BF159</f>
        <v/>
      </c>
      <c r="AF107" s="109" t="inlineStr">
        <is>
          <t>Queen</t>
        </is>
      </c>
      <c r="AG107" s="109" t="n"/>
    </row>
    <row r="108">
      <c r="A108" s="109">
        <f>AND(OR(Dashboard!$C$4="All",Dashboard!$C$4=D108),OR(Dashboard!$C$5="All",Dashboard!$C$5=E108),OR(Dashboard!$C$6="All",Dashboard!$C$6=G108),OR(Dashboard!$C$7="All",Dashboard!$C$7=H108),OR(Dashboard!$C$8="All",Dashboard!$C$8=F108))</f>
        <v/>
      </c>
      <c r="B108" s="109">
        <f>IF(A108,B107+1,B107)</f>
        <v/>
      </c>
      <c r="C108" s="109" t="n">
        <v>30</v>
      </c>
      <c r="D108" s="109" t="inlineStr">
        <is>
          <t>DC B6</t>
        </is>
      </c>
      <c r="E108" s="109" t="inlineStr">
        <is>
          <t>US</t>
        </is>
      </c>
      <c r="F108" s="109" t="inlineStr">
        <is>
          <t>Bamboo</t>
        </is>
      </c>
      <c r="G108" s="109" t="inlineStr">
        <is>
          <t>JSD</t>
        </is>
      </c>
      <c r="H108" s="109" t="inlineStr">
        <is>
          <t>Poor</t>
        </is>
      </c>
      <c r="I108" s="109" t="inlineStr">
        <is>
          <t>JSD Sage Green 100% Viscose Derived from Bamboo Cooling Sheet Set Queen</t>
        </is>
      </c>
      <c r="J108" s="109" t="inlineStr">
        <is>
          <t>https://images-na.ssl-images-amazon.com/images/I/61imzycbiwL.jpg</t>
        </is>
      </c>
      <c r="K108" s="109" t="inlineStr">
        <is>
          <t>B0DTY15N29</t>
        </is>
      </c>
      <c r="L108" s="109" t="inlineStr">
        <is>
          <t>B0DSZTLBV1</t>
        </is>
      </c>
      <c r="M108" s="109" t="n">
        <v>32</v>
      </c>
      <c r="N108" s="109" t="n">
        <v>56.99</v>
      </c>
      <c r="O108" s="109" t="n"/>
      <c r="P108" s="109">
        <f>IF(AND(ISNUMBER(O108),ISNUMBER(N108),N(N108)&gt;0),O108/N108-1,"")</f>
        <v/>
      </c>
      <c r="Q108" s="109" t="n">
        <v>94.98999999999999</v>
      </c>
      <c r="R108" s="109">
        <f>IF(AND(ISNUMBER(N108),ISNUMBER(Q108),N(Q108)&gt;0),N108/Q108-1,"")</f>
        <v/>
      </c>
      <c r="S108" s="109" t="n">
        <v>76312</v>
      </c>
      <c r="T108" s="109" t="n">
        <v>18</v>
      </c>
      <c r="U108" s="109" t="n">
        <v>4.3</v>
      </c>
      <c r="V108" s="109" t="n">
        <v>281</v>
      </c>
      <c r="W108" s="109" t="n"/>
      <c r="X108" s="109" t="n"/>
      <c r="Y108" s="109" t="n"/>
      <c r="Z108" s="109" t="n"/>
      <c r="AA108" s="109" t="n"/>
      <c r="AB108" s="109" t="n"/>
      <c r="AC108" s="109" t="inlineStr">
        <is>
          <t>US DC B6</t>
        </is>
      </c>
      <c r="AD108" s="109">
        <f>'US DC B6'!BC160</f>
        <v/>
      </c>
      <c r="AE108" s="109">
        <f>'US DC B6'!BF160</f>
        <v/>
      </c>
      <c r="AF108" s="109" t="inlineStr">
        <is>
          <t>Queen</t>
        </is>
      </c>
      <c r="AG108" s="109" t="inlineStr">
        <is>
          <t>Green</t>
        </is>
      </c>
    </row>
    <row r="109">
      <c r="A109" s="109">
        <f>AND(OR(Dashboard!$C$4="All",Dashboard!$C$4=D109),OR(Dashboard!$C$5="All",Dashboard!$C$5=E109),OR(Dashboard!$C$6="All",Dashboard!$C$6=G109),OR(Dashboard!$C$7="All",Dashboard!$C$7=H109),OR(Dashboard!$C$8="All",Dashboard!$C$8=F109))</f>
        <v/>
      </c>
      <c r="B109" s="109">
        <f>IF(A109,B108+1,B108)</f>
        <v/>
      </c>
      <c r="C109" s="109" t="n">
        <v>30</v>
      </c>
      <c r="D109" s="109" t="inlineStr">
        <is>
          <t>DC B6</t>
        </is>
      </c>
      <c r="E109" s="109" t="inlineStr">
        <is>
          <t>US</t>
        </is>
      </c>
      <c r="F109" s="109" t="inlineStr">
        <is>
          <t>Bamboo</t>
        </is>
      </c>
      <c r="G109" s="109" t="inlineStr">
        <is>
          <t>Kickoff Home</t>
        </is>
      </c>
      <c r="H109" s="109" t="inlineStr">
        <is>
          <t>Poor</t>
        </is>
      </c>
      <c r="I109" s="109" t="inlineStr">
        <is>
          <t>Bamboo Sheets</t>
        </is>
      </c>
      <c r="J109" s="109" t="inlineStr">
        <is>
          <t>https://images-na.ssl-images-amazon.com/images/I/71zrq2AtnUL.jpg</t>
        </is>
      </c>
      <c r="K109" s="109" t="inlineStr">
        <is>
          <t>B0D4KS4MVX</t>
        </is>
      </c>
      <c r="L109" s="109" t="inlineStr">
        <is>
          <t>B0CHN5ZPFH</t>
        </is>
      </c>
      <c r="M109" s="109" t="n">
        <v>106</v>
      </c>
      <c r="N109" s="109" t="n">
        <v>76.98999999999999</v>
      </c>
      <c r="O109" s="109" t="n">
        <v>84.98999999999999</v>
      </c>
      <c r="P109" s="109">
        <f>IF(AND(ISNUMBER(O109),ISNUMBER(N109),N(N109)&gt;0),O109/N109-1,"")</f>
        <v/>
      </c>
      <c r="Q109" s="109" t="n">
        <v>94.98999999999999</v>
      </c>
      <c r="R109" s="109">
        <f>IF(AND(ISNUMBER(N109),ISNUMBER(Q109),N(Q109)&gt;0),N109/Q109-1,"")</f>
        <v/>
      </c>
      <c r="S109" s="109" t="n">
        <v>23579</v>
      </c>
      <c r="T109" s="109" t="n">
        <v>18</v>
      </c>
      <c r="U109" s="109" t="n">
        <v>4.6</v>
      </c>
      <c r="V109" s="109" t="n">
        <v>688</v>
      </c>
      <c r="W109" s="109" t="n">
        <v>58169</v>
      </c>
      <c r="X109" s="109" t="n">
        <v>0.8765498702057799</v>
      </c>
      <c r="Y109" s="109" t="n">
        <v>395</v>
      </c>
      <c r="Z109" s="109" t="n">
        <v>185</v>
      </c>
      <c r="AA109" s="109" t="n">
        <v>45</v>
      </c>
      <c r="AB109" s="109" t="n"/>
      <c r="AC109" s="109" t="inlineStr">
        <is>
          <t>US DC B6</t>
        </is>
      </c>
      <c r="AD109" s="109">
        <f>'US DC B6'!BC161</f>
        <v/>
      </c>
      <c r="AE109" s="109">
        <f>'US DC B6'!BF161</f>
        <v/>
      </c>
      <c r="AF109" s="109" t="n"/>
      <c r="AG109" s="109" t="n"/>
    </row>
    <row r="110">
      <c r="A110" s="109">
        <f>AND(OR(Dashboard!$C$4="All",Dashboard!$C$4=D110),OR(Dashboard!$C$5="All",Dashboard!$C$5=E110),OR(Dashboard!$C$6="All",Dashboard!$C$6=G110),OR(Dashboard!$C$7="All",Dashboard!$C$7=H110),OR(Dashboard!$C$8="All",Dashboard!$C$8=F110))</f>
        <v/>
      </c>
      <c r="B110" s="109">
        <f>IF(A110,B109+1,B109)</f>
        <v/>
      </c>
      <c r="C110" s="109" t="n">
        <v>30</v>
      </c>
      <c r="D110" s="109" t="inlineStr">
        <is>
          <t>DC B6</t>
        </is>
      </c>
      <c r="E110" s="109" t="inlineStr">
        <is>
          <t>US</t>
        </is>
      </c>
      <c r="F110" s="109" t="inlineStr">
        <is>
          <t>Bamboo</t>
        </is>
      </c>
      <c r="G110" s="109" t="inlineStr">
        <is>
          <t>LB Luxury Bamboo Market</t>
        </is>
      </c>
      <c r="H110" s="109" t="inlineStr">
        <is>
          <t>Poor</t>
        </is>
      </c>
      <c r="I110" s="109" t="inlineStr">
        <is>
          <t>Bamboo Sheets</t>
        </is>
      </c>
      <c r="J110" s="109" t="n"/>
      <c r="K110" s="109" t="inlineStr">
        <is>
          <t>B0D1HWHDL2</t>
        </is>
      </c>
      <c r="L110" s="109" t="inlineStr">
        <is>
          <t>B0CH7N9WVC</t>
        </is>
      </c>
      <c r="M110" s="109" t="n"/>
      <c r="N110" s="109" t="n">
        <v>129.94</v>
      </c>
      <c r="O110" s="109" t="n"/>
      <c r="P110" s="109">
        <f>IF(AND(ISNUMBER(O110),ISNUMBER(N110),N(N110)&gt;0),O110/N110-1,"")</f>
        <v/>
      </c>
      <c r="Q110" s="109" t="n">
        <v>94.98999999999999</v>
      </c>
      <c r="R110" s="109">
        <f>IF(AND(ISNUMBER(N110),ISNUMBER(Q110),N(Q110)&gt;0),N110/Q110-1,"")</f>
        <v/>
      </c>
      <c r="S110" s="109" t="n">
        <v>47800</v>
      </c>
      <c r="T110" s="109" t="n">
        <v>18</v>
      </c>
      <c r="U110" s="109" t="n">
        <v>4.5</v>
      </c>
      <c r="V110" s="109" t="n">
        <v>517</v>
      </c>
      <c r="W110" s="109" t="n"/>
      <c r="X110" s="109" t="n"/>
      <c r="Y110" s="109" t="n"/>
      <c r="Z110" s="109" t="n"/>
      <c r="AA110" s="109" t="n"/>
      <c r="AB110" s="109" t="n"/>
      <c r="AC110" s="109" t="inlineStr">
        <is>
          <t>US DC B6</t>
        </is>
      </c>
      <c r="AD110" s="109">
        <f>'US DC B6'!BC162</f>
        <v/>
      </c>
      <c r="AE110" s="109">
        <f>'US DC B6'!BF162</f>
        <v/>
      </c>
      <c r="AF110" s="109" t="n"/>
      <c r="AG110" s="109" t="n"/>
    </row>
    <row r="111">
      <c r="A111" s="109">
        <f>AND(OR(Dashboard!$C$4="All",Dashboard!$C$4=D111),OR(Dashboard!$C$5="All",Dashboard!$C$5=E111),OR(Dashboard!$C$6="All",Dashboard!$C$6=G111),OR(Dashboard!$C$7="All",Dashboard!$C$7=H111),OR(Dashboard!$C$8="All",Dashboard!$C$8=F111))</f>
        <v/>
      </c>
      <c r="B111" s="109">
        <f>IF(A111,B110+1,B110)</f>
        <v/>
      </c>
      <c r="C111" s="109" t="n">
        <v>30</v>
      </c>
      <c r="D111" s="109" t="inlineStr">
        <is>
          <t>DC B6</t>
        </is>
      </c>
      <c r="E111" s="109" t="inlineStr">
        <is>
          <t>US</t>
        </is>
      </c>
      <c r="F111" s="109" t="inlineStr">
        <is>
          <t>Bamboo</t>
        </is>
      </c>
      <c r="G111" s="109" t="inlineStr">
        <is>
          <t>Shilucheng</t>
        </is>
      </c>
      <c r="H111" s="109" t="inlineStr">
        <is>
          <t>Poor</t>
        </is>
      </c>
      <c r="I111" s="109" t="inlineStr">
        <is>
          <t>Shilucheng 100% Viscose Derived from Bamboo_Sheets, Extra Deep Pocket</t>
        </is>
      </c>
      <c r="J111" s="109" t="inlineStr">
        <is>
          <t>https://images-na.ssl-images-amazon.com/images/I/71NxE1i+4jL.jpg</t>
        </is>
      </c>
      <c r="K111" s="109" t="inlineStr">
        <is>
          <t>B0F2TBWTZR</t>
        </is>
      </c>
      <c r="L111" s="109" t="inlineStr">
        <is>
          <t>B0F2TBWTZR</t>
        </is>
      </c>
      <c r="M111" s="109" t="n">
        <v>32</v>
      </c>
      <c r="N111" s="109" t="n">
        <v>69.98999999999999</v>
      </c>
      <c r="O111" s="109" t="n">
        <v>84.98999999999999</v>
      </c>
      <c r="P111" s="109">
        <f>IF(AND(ISNUMBER(O111),ISNUMBER(N111),N(N111)&gt;0),O111/N111-1,"")</f>
        <v/>
      </c>
      <c r="Q111" s="109" t="n">
        <v>94.98999999999999</v>
      </c>
      <c r="R111" s="109">
        <f>IF(AND(ISNUMBER(N111),ISNUMBER(Q111),N(Q111)&gt;0),N111/Q111-1,"")</f>
        <v/>
      </c>
      <c r="S111" s="109" t="n">
        <v>39194</v>
      </c>
      <c r="T111" s="109" t="n">
        <v>18</v>
      </c>
      <c r="U111" s="109" t="n">
        <v>4.5</v>
      </c>
      <c r="V111" s="109" t="n">
        <v>1639</v>
      </c>
      <c r="W111" s="109" t="n"/>
      <c r="X111" s="109" t="n"/>
      <c r="Y111" s="109" t="n"/>
      <c r="Z111" s="109" t="n"/>
      <c r="AA111" s="109" t="n"/>
      <c r="AB111" s="109" t="n"/>
      <c r="AC111" s="109" t="inlineStr">
        <is>
          <t>US DC B6</t>
        </is>
      </c>
      <c r="AD111" s="109">
        <f>'US DC B6'!BC163</f>
        <v/>
      </c>
      <c r="AE111" s="109">
        <f>'US DC B6'!BF163</f>
        <v/>
      </c>
      <c r="AF111" s="109" t="n"/>
      <c r="AG111" s="109" t="n"/>
    </row>
    <row r="112">
      <c r="A112" s="109">
        <f>AND(OR(Dashboard!$C$4="All",Dashboard!$C$4=D112),OR(Dashboard!$C$5="All",Dashboard!$C$5=E112),OR(Dashboard!$C$6="All",Dashboard!$C$6=G112),OR(Dashboard!$C$7="All",Dashboard!$C$7=H112),OR(Dashboard!$C$8="All",Dashboard!$C$8=F112))</f>
        <v/>
      </c>
      <c r="B112" s="109">
        <f>IF(A112,B111+1,B111)</f>
        <v/>
      </c>
      <c r="C112" s="109" t="n">
        <v>30</v>
      </c>
      <c r="D112" s="109" t="inlineStr">
        <is>
          <t>DC B6</t>
        </is>
      </c>
      <c r="E112" s="109" t="inlineStr">
        <is>
          <t>US</t>
        </is>
      </c>
      <c r="F112" s="109" t="inlineStr">
        <is>
          <t>Bamboo</t>
        </is>
      </c>
      <c r="G112" s="109" t="inlineStr">
        <is>
          <t>Bamboo Bay</t>
        </is>
      </c>
      <c r="H112" s="109" t="inlineStr">
        <is>
          <t>Poor</t>
        </is>
      </c>
      <c r="I112" s="109" t="inlineStr">
        <is>
          <t>Bamboo Sheets</t>
        </is>
      </c>
      <c r="J112" s="109" t="n"/>
      <c r="K112" s="109" t="inlineStr">
        <is>
          <t>B0DLF1SWJ5</t>
        </is>
      </c>
      <c r="L112" s="109" t="inlineStr">
        <is>
          <t>B07TBHLZJM</t>
        </is>
      </c>
      <c r="M112" s="109" t="n"/>
      <c r="N112" s="109" t="n">
        <v>79.98</v>
      </c>
      <c r="O112" s="109" t="n"/>
      <c r="P112" s="109">
        <f>IF(AND(ISNUMBER(O112),ISNUMBER(N112),N(N112)&gt;0),O112/N112-1,"")</f>
        <v/>
      </c>
      <c r="Q112" s="109" t="n">
        <v>94.98999999999999</v>
      </c>
      <c r="R112" s="109">
        <f>IF(AND(ISNUMBER(N112),ISNUMBER(Q112),N(Q112)&gt;0),N112/Q112-1,"")</f>
        <v/>
      </c>
      <c r="S112" s="109" t="n">
        <v>131083</v>
      </c>
      <c r="T112" s="109" t="n">
        <v>5</v>
      </c>
      <c r="U112" s="109" t="n">
        <v>4.5</v>
      </c>
      <c r="V112" s="109" t="n">
        <v>2691</v>
      </c>
      <c r="W112" s="109" t="n"/>
      <c r="X112" s="109" t="n"/>
      <c r="Y112" s="109" t="n"/>
      <c r="Z112" s="109" t="n"/>
      <c r="AA112" s="109" t="n"/>
      <c r="AB112" s="109" t="n"/>
      <c r="AC112" s="109" t="inlineStr">
        <is>
          <t>US DC B6</t>
        </is>
      </c>
      <c r="AD112" s="109">
        <f>'US DC B6'!BC164</f>
        <v/>
      </c>
      <c r="AE112" s="109">
        <f>'US DC B6'!BF164</f>
        <v/>
      </c>
      <c r="AF112" s="109" t="n"/>
      <c r="AG112" s="109" t="n"/>
    </row>
    <row r="113">
      <c r="A113" s="109">
        <f>AND(OR(Dashboard!$C$4="All",Dashboard!$C$4=D113),OR(Dashboard!$C$5="All",Dashboard!$C$5=E113),OR(Dashboard!$C$6="All",Dashboard!$C$6=G113),OR(Dashboard!$C$7="All",Dashboard!$C$7=H113),OR(Dashboard!$C$8="All",Dashboard!$C$8=F113))</f>
        <v/>
      </c>
      <c r="B113" s="109">
        <f>IF(A113,B112+1,B112)</f>
        <v/>
      </c>
      <c r="C113" s="109" t="n">
        <v>30</v>
      </c>
      <c r="D113" s="109" t="inlineStr">
        <is>
          <t>DC B6</t>
        </is>
      </c>
      <c r="E113" s="109" t="inlineStr">
        <is>
          <t>US</t>
        </is>
      </c>
      <c r="F113" s="109" t="inlineStr">
        <is>
          <t>Bamboo</t>
        </is>
      </c>
      <c r="G113" s="109" t="inlineStr">
        <is>
          <t>LBRO2M</t>
        </is>
      </c>
      <c r="H113" s="109" t="inlineStr">
        <is>
          <t>Poor</t>
        </is>
      </c>
      <c r="I113" s="109" t="inlineStr">
        <is>
          <t>LBRO2M Cooling Bed Sheet 100% Viscose Derived from Bamboo Sheet Set Queen Size 6</t>
        </is>
      </c>
      <c r="J113" s="109" t="n"/>
      <c r="K113" s="109" t="inlineStr">
        <is>
          <t>B0F9FK3L6J</t>
        </is>
      </c>
      <c r="L113" s="109" t="inlineStr">
        <is>
          <t>B0F9FK7SMW</t>
        </is>
      </c>
      <c r="M113" s="109" t="n"/>
      <c r="N113" s="109" t="n">
        <v>94.98999999999999</v>
      </c>
      <c r="O113" s="109" t="n"/>
      <c r="P113" s="109">
        <f>IF(AND(ISNUMBER(O113),ISNUMBER(N113),N(N113)&gt;0),O113/N113-1,"")</f>
        <v/>
      </c>
      <c r="Q113" s="109" t="n">
        <v>94.98999999999999</v>
      </c>
      <c r="R113" s="109">
        <f>IF(AND(ISNUMBER(N113),ISNUMBER(Q113),N(Q113)&gt;0),N113/Q113-1,"")</f>
        <v/>
      </c>
      <c r="S113" s="109" t="n">
        <v>1003118</v>
      </c>
      <c r="T113" s="109" t="n">
        <v>5</v>
      </c>
      <c r="U113" s="109" t="n">
        <v>4.4</v>
      </c>
      <c r="V113" s="109" t="n">
        <v>18</v>
      </c>
      <c r="W113" s="109" t="n"/>
      <c r="X113" s="109" t="n"/>
      <c r="Y113" s="109" t="n"/>
      <c r="Z113" s="109" t="n"/>
      <c r="AA113" s="109" t="n"/>
      <c r="AB113" s="109" t="n"/>
      <c r="AC113" s="109" t="inlineStr">
        <is>
          <t>US DC B6</t>
        </is>
      </c>
      <c r="AD113" s="109">
        <f>'US DC B6'!BC165</f>
        <v/>
      </c>
      <c r="AE113" s="109">
        <f>'US DC B6'!BF165</f>
        <v/>
      </c>
      <c r="AF113" s="109" t="inlineStr">
        <is>
          <t>Queen</t>
        </is>
      </c>
      <c r="AG113" s="109" t="n"/>
    </row>
    <row r="114">
      <c r="A114" s="109">
        <f>AND(OR(Dashboard!$C$4="All",Dashboard!$C$4=D114),OR(Dashboard!$C$5="All",Dashboard!$C$5=E114),OR(Dashboard!$C$6="All",Dashboard!$C$6=G114),OR(Dashboard!$C$7="All",Dashboard!$C$7=H114),OR(Dashboard!$C$8="All",Dashboard!$C$8=F114))</f>
        <v/>
      </c>
      <c r="B114" s="109">
        <f>IF(A114,B113+1,B113)</f>
        <v/>
      </c>
      <c r="C114" s="109" t="n">
        <v>30</v>
      </c>
      <c r="D114" s="109" t="inlineStr">
        <is>
          <t>DC B6</t>
        </is>
      </c>
      <c r="E114" s="109" t="inlineStr">
        <is>
          <t>US</t>
        </is>
      </c>
      <c r="F114" s="109" t="inlineStr">
        <is>
          <t>Bamboo</t>
        </is>
      </c>
      <c r="G114" s="109" t="inlineStr">
        <is>
          <t>TWK</t>
        </is>
      </c>
      <c r="H114" s="109" t="inlineStr">
        <is>
          <t>Poor</t>
        </is>
      </c>
      <c r="I114" s="109" t="inlineStr">
        <is>
          <t>TWK Luxury Sheet Set, Genuine 100% Viscose Derived from Bamboo, Cooling &amp; Breathable, Silky Soft, Bedding Sheets &amp; Pillowcases (White, King(78 * 80 * 15))</t>
        </is>
      </c>
      <c r="J114" s="109" t="inlineStr">
        <is>
          <t>https://images-na.ssl-images-amazon.com/images/I/71YlZk0Q9-L.jpg</t>
        </is>
      </c>
      <c r="K114" s="109" t="inlineStr">
        <is>
          <t>B0GVP3B7LS</t>
        </is>
      </c>
      <c r="L114" s="109" t="inlineStr">
        <is>
          <t>B0GVP3B7LS</t>
        </is>
      </c>
      <c r="M114" s="109" t="n">
        <v>1</v>
      </c>
      <c r="N114" s="109" t="n">
        <v>46.74</v>
      </c>
      <c r="O114" s="109" t="n"/>
      <c r="P114" s="109">
        <f>IF(AND(ISNUMBER(O114),ISNUMBER(N114),N(N114)&gt;0),O114/N114-1,"")</f>
        <v/>
      </c>
      <c r="Q114" s="109" t="n">
        <v>99.98999999999999</v>
      </c>
      <c r="R114" s="109">
        <f>IF(AND(ISNUMBER(N114),ISNUMBER(Q114),N(Q114)&gt;0),N114/Q114-1,"")</f>
        <v/>
      </c>
      <c r="S114" s="109" t="n">
        <v>2065761</v>
      </c>
      <c r="T114" s="109" t="n">
        <v>5</v>
      </c>
      <c r="U114" s="109" t="n">
        <v>4.5</v>
      </c>
      <c r="V114" s="109" t="n">
        <v>11</v>
      </c>
      <c r="W114" s="109" t="n"/>
      <c r="X114" s="109" t="n"/>
      <c r="Y114" s="109" t="n"/>
      <c r="Z114" s="109" t="n"/>
      <c r="AA114" s="109" t="n"/>
      <c r="AB114" s="109" t="n"/>
      <c r="AC114" s="109" t="inlineStr">
        <is>
          <t>US DC B6</t>
        </is>
      </c>
      <c r="AD114" s="109">
        <f>'US DC B6'!BC166</f>
        <v/>
      </c>
      <c r="AE114" s="109">
        <f>'US DC B6'!BF166</f>
        <v/>
      </c>
      <c r="AF114" s="109" t="inlineStr">
        <is>
          <t>King</t>
        </is>
      </c>
      <c r="AG114" s="109" t="inlineStr">
        <is>
          <t>White</t>
        </is>
      </c>
    </row>
    <row r="115">
      <c r="A115" s="109">
        <f>AND(OR(Dashboard!$C$4="All",Dashboard!$C$4=D115),OR(Dashboard!$C$5="All",Dashboard!$C$5=E115),OR(Dashboard!$C$6="All",Dashboard!$C$6=G115),OR(Dashboard!$C$7="All",Dashboard!$C$7=H115),OR(Dashboard!$C$8="All",Dashboard!$C$8=F115))</f>
        <v/>
      </c>
      <c r="B115" s="109">
        <f>IF(A115,B114+1,B114)</f>
        <v/>
      </c>
      <c r="C115" s="109" t="n">
        <v>30</v>
      </c>
      <c r="D115" s="109" t="inlineStr">
        <is>
          <t>DC B6</t>
        </is>
      </c>
      <c r="E115" s="109" t="inlineStr">
        <is>
          <t>US</t>
        </is>
      </c>
      <c r="F115" s="109" t="inlineStr">
        <is>
          <t>Bamboo</t>
        </is>
      </c>
      <c r="G115" s="109" t="inlineStr">
        <is>
          <t>TWK</t>
        </is>
      </c>
      <c r="H115" s="109" t="inlineStr">
        <is>
          <t>Poor</t>
        </is>
      </c>
      <c r="I115" s="109" t="inlineStr">
        <is>
          <t>4 Piece Bamboo Sheet Set</t>
        </is>
      </c>
      <c r="J115" s="109" t="n"/>
      <c r="K115" s="109" t="inlineStr">
        <is>
          <t>B0GKFHP6L6</t>
        </is>
      </c>
      <c r="L115" s="109" t="inlineStr">
        <is>
          <t>B0GW7H7RHY</t>
        </is>
      </c>
      <c r="M115" s="109" t="n"/>
      <c r="N115" s="109" t="n">
        <v>109.99</v>
      </c>
      <c r="O115" s="109" t="n"/>
      <c r="P115" s="109">
        <f>IF(AND(ISNUMBER(O115),ISNUMBER(N115),N(N115)&gt;0),O115/N115-1,"")</f>
        <v/>
      </c>
      <c r="Q115" s="109" t="n">
        <v>94.98999999999999</v>
      </c>
      <c r="R115" s="109">
        <f>IF(AND(ISNUMBER(N115),ISNUMBER(Q115),N(Q115)&gt;0),N115/Q115-1,"")</f>
        <v/>
      </c>
      <c r="S115" s="109" t="n">
        <v>4355899</v>
      </c>
      <c r="T115" s="109" t="n">
        <v>5</v>
      </c>
      <c r="U115" s="109" t="n">
        <v>4.5</v>
      </c>
      <c r="V115" s="109" t="n">
        <v>2</v>
      </c>
      <c r="W115" s="109" t="n"/>
      <c r="X115" s="109" t="n"/>
      <c r="Y115" s="109" t="n"/>
      <c r="Z115" s="109" t="n"/>
      <c r="AA115" s="109" t="n"/>
      <c r="AB115" s="109" t="n"/>
      <c r="AC115" s="109" t="inlineStr">
        <is>
          <t>US DC B6</t>
        </is>
      </c>
      <c r="AD115" s="109">
        <f>'US DC B6'!BC167</f>
        <v/>
      </c>
      <c r="AE115" s="109">
        <f>'US DC B6'!BF167</f>
        <v/>
      </c>
      <c r="AF115" s="109" t="n"/>
      <c r="AG115" s="109" t="n"/>
    </row>
    <row r="116">
      <c r="A116" s="109">
        <f>AND(OR(Dashboard!$C$4="All",Dashboard!$C$4=D116),OR(Dashboard!$C$5="All",Dashboard!$C$5=E116),OR(Dashboard!$C$6="All",Dashboard!$C$6=G116),OR(Dashboard!$C$7="All",Dashboard!$C$7=H116),OR(Dashboard!$C$8="All",Dashboard!$C$8=F116))</f>
        <v/>
      </c>
      <c r="B116" s="109">
        <f>IF(A116,B115+1,B115)</f>
        <v/>
      </c>
      <c r="C116" s="109" t="n">
        <v>30</v>
      </c>
      <c r="D116" s="109" t="inlineStr">
        <is>
          <t>DC B6</t>
        </is>
      </c>
      <c r="E116" s="109" t="inlineStr">
        <is>
          <t>US</t>
        </is>
      </c>
      <c r="F116" s="109" t="inlineStr">
        <is>
          <t>Bamboo</t>
        </is>
      </c>
      <c r="G116" s="109" t="inlineStr">
        <is>
          <t>TWK</t>
        </is>
      </c>
      <c r="H116" s="109" t="inlineStr">
        <is>
          <t>Poor</t>
        </is>
      </c>
      <c r="I116" s="109" t="inlineStr">
        <is>
          <t>TWK Luxury Sheet Set, Genuine 100% Organic Viscose Derived from Bamboo, Cooling &amp; Breathable, Silky Soft, Bedding Sheets &amp; Pillowcases (Mist Gray, King)</t>
        </is>
      </c>
      <c r="J116" s="109" t="inlineStr">
        <is>
          <t>https://images-na.ssl-images-amazon.com/images/I/71gw0WpuNuL.jpg</t>
        </is>
      </c>
      <c r="K116" s="109" t="inlineStr">
        <is>
          <t>B0DYT2QWLC</t>
        </is>
      </c>
      <c r="L116" s="109" t="inlineStr">
        <is>
          <t>B0DYT2QWLC</t>
        </is>
      </c>
      <c r="M116" s="109" t="n">
        <v>1</v>
      </c>
      <c r="N116" s="109" t="n">
        <v>109.99</v>
      </c>
      <c r="O116" s="109" t="n"/>
      <c r="P116" s="109">
        <f>IF(AND(ISNUMBER(O116),ISNUMBER(N116),N(N116)&gt;0),O116/N116-1,"")</f>
        <v/>
      </c>
      <c r="Q116" s="109" t="n">
        <v>99.98999999999999</v>
      </c>
      <c r="R116" s="109">
        <f>IF(AND(ISNUMBER(N116),ISNUMBER(Q116),N(Q116)&gt;0),N116/Q116-1,"")</f>
        <v/>
      </c>
      <c r="S116" s="109" t="n">
        <v>1506045</v>
      </c>
      <c r="T116" s="109" t="n">
        <v>5</v>
      </c>
      <c r="U116" s="109" t="n">
        <v>4.5</v>
      </c>
      <c r="V116" s="109" t="n">
        <v>39</v>
      </c>
      <c r="W116" s="109" t="n"/>
      <c r="X116" s="109" t="n"/>
      <c r="Y116" s="109" t="n"/>
      <c r="Z116" s="109" t="n"/>
      <c r="AA116" s="109" t="n"/>
      <c r="AB116" s="109" t="n"/>
      <c r="AC116" s="109" t="inlineStr">
        <is>
          <t>US DC B6</t>
        </is>
      </c>
      <c r="AD116" s="109">
        <f>'US DC B6'!BC168</f>
        <v/>
      </c>
      <c r="AE116" s="109">
        <f>'US DC B6'!BF168</f>
        <v/>
      </c>
      <c r="AF116" s="109" t="inlineStr">
        <is>
          <t>King</t>
        </is>
      </c>
      <c r="AG116" s="109" t="inlineStr">
        <is>
          <t>Mist Gray</t>
        </is>
      </c>
    </row>
    <row r="117">
      <c r="A117" s="109">
        <f>AND(OR(Dashboard!$C$4="All",Dashboard!$C$4=D117),OR(Dashboard!$C$5="All",Dashboard!$C$5=E117),OR(Dashboard!$C$6="All",Dashboard!$C$6=G117),OR(Dashboard!$C$7="All",Dashboard!$C$7=H117),OR(Dashboard!$C$8="All",Dashboard!$C$8=F117))</f>
        <v/>
      </c>
      <c r="B117" s="109">
        <f>IF(A117,B116+1,B116)</f>
        <v/>
      </c>
      <c r="C117" s="109" t="n">
        <v>30</v>
      </c>
      <c r="D117" s="109" t="inlineStr">
        <is>
          <t>DC B6</t>
        </is>
      </c>
      <c r="E117" s="109" t="inlineStr">
        <is>
          <t>US</t>
        </is>
      </c>
      <c r="F117" s="109" t="inlineStr">
        <is>
          <t>Bamboo</t>
        </is>
      </c>
      <c r="G117" s="109" t="inlineStr">
        <is>
          <t>Vesta</t>
        </is>
      </c>
      <c r="H117" s="109" t="inlineStr">
        <is>
          <t>Poor</t>
        </is>
      </c>
      <c r="I117" s="109" t="inlineStr">
        <is>
          <t>Vesta Sheet Set – Soft, Breathable &amp; Cooling, 100% Viscose Derived from Bamboo,</t>
        </is>
      </c>
      <c r="J117" s="109" t="n"/>
      <c r="K117" s="109" t="inlineStr">
        <is>
          <t>B0CZRJY68B</t>
        </is>
      </c>
      <c r="L117" s="109" t="inlineStr">
        <is>
          <t>B0DM214YG3</t>
        </is>
      </c>
      <c r="M117" s="109" t="n"/>
      <c r="N117" s="109" t="n">
        <v>174.3</v>
      </c>
      <c r="O117" s="109" t="n"/>
      <c r="P117" s="109">
        <f>IF(AND(ISNUMBER(O117),ISNUMBER(N117),N(N117)&gt;0),O117/N117-1,"")</f>
        <v/>
      </c>
      <c r="Q117" s="109" t="n">
        <v>94.98999999999999</v>
      </c>
      <c r="R117" s="109">
        <f>IF(AND(ISNUMBER(N117),ISNUMBER(Q117),N(Q117)&gt;0),N117/Q117-1,"")</f>
        <v/>
      </c>
      <c r="S117" s="109" t="n">
        <v>591414</v>
      </c>
      <c r="T117" s="109" t="n">
        <v>5</v>
      </c>
      <c r="U117" s="109" t="n">
        <v>4.3</v>
      </c>
      <c r="V117" s="109" t="n">
        <v>35</v>
      </c>
      <c r="W117" s="109" t="n"/>
      <c r="X117" s="109" t="n"/>
      <c r="Y117" s="109" t="n"/>
      <c r="Z117" s="109" t="n"/>
      <c r="AA117" s="109" t="n"/>
      <c r="AB117" s="109" t="n"/>
      <c r="AC117" s="109" t="inlineStr">
        <is>
          <t>US DC B6</t>
        </is>
      </c>
      <c r="AD117" s="109">
        <f>'US DC B6'!BC169</f>
        <v/>
      </c>
      <c r="AE117" s="109">
        <f>'US DC B6'!BF169</f>
        <v/>
      </c>
      <c r="AF117" s="109" t="n"/>
      <c r="AG117" s="109" t="n"/>
    </row>
    <row r="118">
      <c r="A118" s="109">
        <f>AND(OR(Dashboard!$C$4="All",Dashboard!$C$4=D118),OR(Dashboard!$C$5="All",Dashboard!$C$5=E118),OR(Dashboard!$C$6="All",Dashboard!$C$6=G118),OR(Dashboard!$C$7="All",Dashboard!$C$7=H118),OR(Dashboard!$C$8="All",Dashboard!$C$8=F118))</f>
        <v/>
      </c>
      <c r="B118" s="109">
        <f>IF(A118,B117+1,B117)</f>
        <v/>
      </c>
      <c r="C118" s="109" t="n">
        <v>30</v>
      </c>
      <c r="D118" s="109" t="inlineStr">
        <is>
          <t>DC B6</t>
        </is>
      </c>
      <c r="E118" s="109" t="inlineStr">
        <is>
          <t>CA</t>
        </is>
      </c>
      <c r="F118" s="109" t="inlineStr">
        <is>
          <t>Bamboo</t>
        </is>
      </c>
      <c r="G118" s="109" t="inlineStr">
        <is>
          <t>GOKOTTA</t>
        </is>
      </c>
      <c r="H118" s="109" t="inlineStr">
        <is>
          <t>Untiered</t>
        </is>
      </c>
      <c r="I118" s="109" t="inlineStr">
        <is>
          <t>Gökotta Queen Bed Sheets 6 Piece, 100% FSC® Certified Bamboo, Cooling</t>
        </is>
      </c>
      <c r="J118" s="109" t="inlineStr">
        <is>
          <t>https://m.media-amazon.com/images/I/81cMXuF9sWL.jpg</t>
        </is>
      </c>
      <c r="K118" s="109" t="inlineStr">
        <is>
          <t>B09WY1GFH8</t>
        </is>
      </c>
      <c r="L118" s="109" t="inlineStr">
        <is>
          <t>B0BYMKZ5ZC</t>
        </is>
      </c>
      <c r="M118" s="109" t="n">
        <v>101</v>
      </c>
      <c r="N118" s="109" t="n">
        <v>159.99</v>
      </c>
      <c r="O118" s="109" t="n"/>
      <c r="P118" s="109">
        <f>IF(AND(ISNUMBER(O118),ISNUMBER(N118),N(N118)&gt;0),O118/N118-1,"")</f>
        <v/>
      </c>
      <c r="Q118" s="109" t="n">
        <v>94.1612915129151</v>
      </c>
      <c r="R118" s="109">
        <f>IF(AND(ISNUMBER(N118),ISNUMBER(Q118),N(Q118)&gt;0),N118/Q118-1,"")</f>
        <v/>
      </c>
      <c r="S118" s="109" t="n">
        <v>4180</v>
      </c>
      <c r="T118" s="109" t="n"/>
      <c r="U118" s="109" t="n">
        <v>4.4</v>
      </c>
      <c r="V118" s="109" t="n">
        <v>2698</v>
      </c>
      <c r="W118" s="109" t="n"/>
      <c r="X118" s="109" t="n"/>
      <c r="Y118" s="109" t="n"/>
      <c r="Z118" s="109" t="n"/>
      <c r="AA118" s="109" t="n"/>
      <c r="AB118" s="109" t="n"/>
      <c r="AC118" s="109" t="inlineStr">
        <is>
          <t>CA DC B6</t>
        </is>
      </c>
      <c r="AD118" s="109">
        <f>'CA DC B6'!BC120</f>
        <v/>
      </c>
      <c r="AE118" s="109">
        <f>'CA DC B6'!BF120</f>
        <v/>
      </c>
      <c r="AF118" s="109" t="inlineStr">
        <is>
          <t>Queen</t>
        </is>
      </c>
      <c r="AG118" s="109" t="inlineStr">
        <is>
          <t>05 Dark Grey</t>
        </is>
      </c>
    </row>
    <row r="119">
      <c r="A119" s="109">
        <f>AND(OR(Dashboard!$C$4="All",Dashboard!$C$4=D119),OR(Dashboard!$C$5="All",Dashboard!$C$5=E119),OR(Dashboard!$C$6="All",Dashboard!$C$6=G119),OR(Dashboard!$C$7="All",Dashboard!$C$7=H119),OR(Dashboard!$C$8="All",Dashboard!$C$8=F119))</f>
        <v/>
      </c>
      <c r="B119" s="109">
        <f>IF(A119,B118+1,B118)</f>
        <v/>
      </c>
      <c r="C119" s="109" t="n">
        <v>30</v>
      </c>
      <c r="D119" s="109" t="inlineStr">
        <is>
          <t>DC B6</t>
        </is>
      </c>
      <c r="E119" s="109" t="inlineStr">
        <is>
          <t>CA</t>
        </is>
      </c>
      <c r="F119" s="109" t="inlineStr">
        <is>
          <t>Bamboo</t>
        </is>
      </c>
      <c r="G119" s="109" t="inlineStr">
        <is>
          <t>Love's cabin</t>
        </is>
      </c>
      <c r="H119" s="109" t="inlineStr">
        <is>
          <t>Untiered</t>
        </is>
      </c>
      <c r="I119" s="109" t="inlineStr">
        <is>
          <t>Love's cabin 100% Rayon Derived from Bamboo, Queen Sheets, 6 Pieces, White</t>
        </is>
      </c>
      <c r="J119" s="109" t="inlineStr">
        <is>
          <t>https://m.media-amazon.com/images/I/71JCKgmoACL.jpg</t>
        </is>
      </c>
      <c r="K119" s="109" t="inlineStr">
        <is>
          <t>B0DWH7649Z</t>
        </is>
      </c>
      <c r="L119" s="109" t="inlineStr">
        <is>
          <t>B0GGGRH6PC</t>
        </is>
      </c>
      <c r="M119" s="109" t="n">
        <v>154</v>
      </c>
      <c r="N119" s="109" t="n">
        <v>90.36</v>
      </c>
      <c r="O119" s="109" t="n"/>
      <c r="P119" s="109">
        <f>IF(AND(ISNUMBER(O119),ISNUMBER(N119),N(N119)&gt;0),O119/N119-1,"")</f>
        <v/>
      </c>
      <c r="Q119" s="109" t="n">
        <v>94.1612915129151</v>
      </c>
      <c r="R119" s="109">
        <f>IF(AND(ISNUMBER(N119),ISNUMBER(Q119),N(Q119)&gt;0),N119/Q119-1,"")</f>
        <v/>
      </c>
      <c r="S119" s="109" t="n">
        <v>190314</v>
      </c>
      <c r="T119" s="109" t="n"/>
      <c r="U119" s="109" t="n">
        <v>4.4</v>
      </c>
      <c r="V119" s="109" t="n">
        <v>1854</v>
      </c>
      <c r="W119" s="109" t="n"/>
      <c r="X119" s="109" t="n"/>
      <c r="Y119" s="109" t="n"/>
      <c r="Z119" s="109" t="n"/>
      <c r="AA119" s="109" t="n"/>
      <c r="AB119" s="109" t="n"/>
      <c r="AC119" s="109" t="inlineStr">
        <is>
          <t>CA DC B6</t>
        </is>
      </c>
      <c r="AD119" s="109">
        <f>'CA DC B6'!BC121</f>
        <v/>
      </c>
      <c r="AE119" s="109">
        <f>'CA DC B6'!BF121</f>
        <v/>
      </c>
      <c r="AF119" s="109" t="inlineStr">
        <is>
          <t>Queen</t>
        </is>
      </c>
      <c r="AG119" s="109" t="inlineStr">
        <is>
          <t>01-white</t>
        </is>
      </c>
    </row>
    <row r="120">
      <c r="A120" s="109">
        <f>AND(OR(Dashboard!$C$4="All",Dashboard!$C$4=D120),OR(Dashboard!$C$5="All",Dashboard!$C$5=E120),OR(Dashboard!$C$6="All",Dashboard!$C$6=G120),OR(Dashboard!$C$7="All",Dashboard!$C$7=H120),OR(Dashboard!$C$8="All",Dashboard!$C$8=F120))</f>
        <v/>
      </c>
      <c r="B120" s="109">
        <f>IF(A120,B119+1,B119)</f>
        <v/>
      </c>
      <c r="C120" s="109" t="n">
        <v>30</v>
      </c>
      <c r="D120" s="109" t="inlineStr">
        <is>
          <t>DC B6</t>
        </is>
      </c>
      <c r="E120" s="109" t="inlineStr">
        <is>
          <t>CA</t>
        </is>
      </c>
      <c r="F120" s="109" t="inlineStr">
        <is>
          <t>Bamboo</t>
        </is>
      </c>
      <c r="G120" s="109" t="inlineStr">
        <is>
          <t>Bamboo Bay</t>
        </is>
      </c>
      <c r="H120" s="109" t="inlineStr">
        <is>
          <t>Untiered</t>
        </is>
      </c>
      <c r="I120" s="109" t="inlineStr">
        <is>
          <t>Bamboo Bay Luxury Bamboo Sheets Queen Size - 6 Piece Ultra Soft Cooling Sheets for Hot Sleepers - 100% Organic Bamboo Queen Sheet Set Fits Up to 16" Deep Pocket - Eco Friendly - Queen - Light Blue</t>
        </is>
      </c>
      <c r="J120" s="109" t="inlineStr">
        <is>
          <t>https://m.media-amazon.com/images/I/61eXrcqZqhL.jpg</t>
        </is>
      </c>
      <c r="K120" s="109" t="inlineStr">
        <is>
          <t>B06Y46YNR8</t>
        </is>
      </c>
      <c r="L120" s="109" t="inlineStr">
        <is>
          <t>B08G4PP8H1</t>
        </is>
      </c>
      <c r="M120" s="109" t="n">
        <v>45</v>
      </c>
      <c r="N120" s="109" t="n"/>
      <c r="O120" s="109" t="n"/>
      <c r="P120" s="109">
        <f>IF(AND(ISNUMBER(O120),ISNUMBER(N120),N(N120)&gt;0),O120/N120-1,"")</f>
        <v/>
      </c>
      <c r="Q120" s="109" t="n">
        <v>94.1612915129151</v>
      </c>
      <c r="R120" s="109">
        <f>IF(AND(ISNUMBER(N120),ISNUMBER(Q120),N(Q120)&gt;0),N120/Q120-1,"")</f>
        <v/>
      </c>
      <c r="S120" s="109" t="n">
        <v>43757</v>
      </c>
      <c r="T120" s="109" t="n"/>
      <c r="U120" s="109" t="n">
        <v>4.4</v>
      </c>
      <c r="V120" s="109" t="n">
        <v>2826</v>
      </c>
      <c r="W120" s="109" t="n"/>
      <c r="X120" s="109" t="n"/>
      <c r="Y120" s="109" t="n"/>
      <c r="Z120" s="109" t="n"/>
      <c r="AA120" s="109" t="n"/>
      <c r="AB120" s="109" t="n"/>
      <c r="AC120" s="109" t="inlineStr">
        <is>
          <t>CA DC B6</t>
        </is>
      </c>
      <c r="AD120" s="109">
        <f>'CA DC B6'!BC122</f>
        <v/>
      </c>
      <c r="AE120" s="109">
        <f>'CA DC B6'!BF122</f>
        <v/>
      </c>
      <c r="AF120" s="109" t="inlineStr">
        <is>
          <t>Queen</t>
        </is>
      </c>
      <c r="AG120" s="109" t="inlineStr">
        <is>
          <t>Light Blue</t>
        </is>
      </c>
    </row>
    <row r="121">
      <c r="A121" s="109">
        <f>AND(OR(Dashboard!$C$4="All",Dashboard!$C$4=D121),OR(Dashboard!$C$5="All",Dashboard!$C$5=E121),OR(Dashboard!$C$6="All",Dashboard!$C$6=G121),OR(Dashboard!$C$7="All",Dashboard!$C$7=H121),OR(Dashboard!$C$8="All",Dashboard!$C$8=F121))</f>
        <v/>
      </c>
      <c r="B121" s="109">
        <f>IF(A121,B120+1,B120)</f>
        <v/>
      </c>
      <c r="C121" s="109" t="n">
        <v>30</v>
      </c>
      <c r="D121" s="109" t="inlineStr">
        <is>
          <t>DC B6</t>
        </is>
      </c>
      <c r="E121" s="109" t="inlineStr">
        <is>
          <t>CA</t>
        </is>
      </c>
      <c r="F121" s="109" t="inlineStr">
        <is>
          <t>Bamboo</t>
        </is>
      </c>
      <c r="G121" s="109" t="inlineStr">
        <is>
          <t>GOKOTTA</t>
        </is>
      </c>
      <c r="H121" s="109" t="inlineStr">
        <is>
          <t>Untiered</t>
        </is>
      </c>
      <c r="I121" s="109" t="inlineStr">
        <is>
          <t>Queen Bed Sheets 6 Piece Set by Gökotta, 24" Extra Deep Pocket Fitted Sheets with Elastic Corner Straps, 150 GSM Thicker Luxury Soft Sheets, 100% Rayon Derived from Bamboo, Blue</t>
        </is>
      </c>
      <c r="J121" s="109" t="inlineStr">
        <is>
          <t>https://m.media-amazon.com/images/I/61I0uIu6eFL.jpg</t>
        </is>
      </c>
      <c r="K121" s="109" t="inlineStr">
        <is>
          <t>B0CLQ1F333</t>
        </is>
      </c>
      <c r="L121" s="109" t="inlineStr">
        <is>
          <t>B0CCRKZ8G2</t>
        </is>
      </c>
      <c r="M121" s="109" t="n">
        <v>4</v>
      </c>
      <c r="N121" s="109" t="n">
        <v>174.99</v>
      </c>
      <c r="O121" s="109" t="n"/>
      <c r="P121" s="109">
        <f>IF(AND(ISNUMBER(O121),ISNUMBER(N121),N(N121)&gt;0),O121/N121-1,"")</f>
        <v/>
      </c>
      <c r="Q121" s="109" t="n">
        <v>94.1612915129151</v>
      </c>
      <c r="R121" s="109">
        <f>IF(AND(ISNUMBER(N121),ISNUMBER(Q121),N(Q121)&gt;0),N121/Q121-1,"")</f>
        <v/>
      </c>
      <c r="S121" s="109" t="n">
        <v>160491</v>
      </c>
      <c r="T121" s="109" t="n"/>
      <c r="U121" s="109" t="n">
        <v>4.5</v>
      </c>
      <c r="V121" s="109" t="n">
        <v>323</v>
      </c>
      <c r="W121" s="109" t="n"/>
      <c r="X121" s="109" t="n"/>
      <c r="Y121" s="109" t="n"/>
      <c r="Z121" s="109" t="n"/>
      <c r="AA121" s="109" t="n"/>
      <c r="AB121" s="109" t="n"/>
      <c r="AC121" s="109" t="inlineStr">
        <is>
          <t>CA DC B6</t>
        </is>
      </c>
      <c r="AD121" s="109">
        <f>'CA DC B6'!BC123</f>
        <v/>
      </c>
      <c r="AE121" s="109">
        <f>'CA DC B6'!BF123</f>
        <v/>
      </c>
      <c r="AF121" s="109" t="inlineStr">
        <is>
          <t>Queen</t>
        </is>
      </c>
      <c r="AG121" s="109" t="inlineStr">
        <is>
          <t>03 Blue</t>
        </is>
      </c>
    </row>
    <row r="122">
      <c r="A122" s="109">
        <f>AND(OR(Dashboard!$C$4="All",Dashboard!$C$4=D122),OR(Dashboard!$C$5="All",Dashboard!$C$5=E122),OR(Dashboard!$C$6="All",Dashboard!$C$6=G122),OR(Dashboard!$C$7="All",Dashboard!$C$7=H122),OR(Dashboard!$C$8="All",Dashboard!$C$8=F122))</f>
        <v/>
      </c>
      <c r="B122" s="109">
        <f>IF(A122,B121+1,B121)</f>
        <v/>
      </c>
      <c r="C122" s="109" t="n">
        <v>30</v>
      </c>
      <c r="D122" s="109" t="inlineStr">
        <is>
          <t>DC B6</t>
        </is>
      </c>
      <c r="E122" s="109" t="inlineStr">
        <is>
          <t>CA</t>
        </is>
      </c>
      <c r="F122" s="109" t="inlineStr">
        <is>
          <t>Bamboo</t>
        </is>
      </c>
      <c r="G122" s="109" t="inlineStr">
        <is>
          <t>Bambaw</t>
        </is>
      </c>
      <c r="H122" s="109" t="inlineStr">
        <is>
          <t>Untiered</t>
        </is>
      </c>
      <c r="I122" s="109" t="inlineStr">
        <is>
          <t>Bambaw 100% Viscose Derived from Bamboo Sheets Queen Size Set – 6pcs Cooling Queen Sheet Set, Deep Pocket Fits Up to 16'' with Elastic Corner Straps, Queen Soft Sheets (Charcoal)</t>
        </is>
      </c>
      <c r="J122" s="109" t="inlineStr">
        <is>
          <t>https://m.media-amazon.com/images/I/81kw-1bG0-L.jpg</t>
        </is>
      </c>
      <c r="K122" s="109" t="inlineStr">
        <is>
          <t>B07K6SYX8L</t>
        </is>
      </c>
      <c r="L122" s="109" t="inlineStr">
        <is>
          <t>B0DR9BMSW2</t>
        </is>
      </c>
      <c r="M122" s="109" t="n">
        <v>112</v>
      </c>
      <c r="N122" s="109" t="n">
        <v>159.95</v>
      </c>
      <c r="O122" s="109" t="n"/>
      <c r="P122" s="109">
        <f>IF(AND(ISNUMBER(O122),ISNUMBER(N122),N(N122)&gt;0),O122/N122-1,"")</f>
        <v/>
      </c>
      <c r="Q122" s="109" t="n">
        <v>94.1612915129151</v>
      </c>
      <c r="R122" s="109">
        <f>IF(AND(ISNUMBER(N122),ISNUMBER(Q122),N(Q122)&gt;0),N122/Q122-1,"")</f>
        <v/>
      </c>
      <c r="S122" s="109" t="n">
        <v>5024</v>
      </c>
      <c r="T122" s="109" t="n"/>
      <c r="U122" s="109" t="n">
        <v>4.3</v>
      </c>
      <c r="V122" s="109" t="n">
        <v>3030</v>
      </c>
      <c r="W122" s="109" t="n"/>
      <c r="X122" s="109" t="n"/>
      <c r="Y122" s="109" t="n"/>
      <c r="Z122" s="109" t="n"/>
      <c r="AA122" s="109" t="n"/>
      <c r="AB122" s="109" t="n"/>
      <c r="AC122" s="109" t="inlineStr">
        <is>
          <t>CA DC B6</t>
        </is>
      </c>
      <c r="AD122" s="109">
        <f>'CA DC B6'!BC124</f>
        <v/>
      </c>
      <c r="AE122" s="109">
        <f>'CA DC B6'!BF124</f>
        <v/>
      </c>
      <c r="AF122" s="109" t="inlineStr">
        <is>
          <t>Queen</t>
        </is>
      </c>
      <c r="AG122" s="109" t="inlineStr">
        <is>
          <t>Charcoal</t>
        </is>
      </c>
    </row>
    <row r="123">
      <c r="A123" s="109">
        <f>AND(OR(Dashboard!$C$4="All",Dashboard!$C$4=D123),OR(Dashboard!$C$5="All",Dashboard!$C$5=E123),OR(Dashboard!$C$6="All",Dashboard!$C$6=G123),OR(Dashboard!$C$7="All",Dashboard!$C$7=H123),OR(Dashboard!$C$8="All",Dashboard!$C$8=F123))</f>
        <v/>
      </c>
      <c r="B123" s="109">
        <f>IF(A123,B122+1,B122)</f>
        <v/>
      </c>
      <c r="C123" s="109" t="n">
        <v>30</v>
      </c>
      <c r="D123" s="109" t="inlineStr">
        <is>
          <t>DC B6</t>
        </is>
      </c>
      <c r="E123" s="109" t="inlineStr">
        <is>
          <t>CA</t>
        </is>
      </c>
      <c r="F123" s="109" t="inlineStr">
        <is>
          <t>Bamboo</t>
        </is>
      </c>
      <c r="G123" s="109" t="inlineStr">
        <is>
          <t>Bamboo Bay</t>
        </is>
      </c>
      <c r="H123" s="109" t="inlineStr">
        <is>
          <t>Untiered</t>
        </is>
      </c>
      <c r="I123" s="109" t="inlineStr">
        <is>
          <t>Bamboo Bay Luxury Bamboo Sheets Queen Size - 6 Piece Ultra Soft Cooling Sheets for Hot Sleepers - 100% Organic Bamboo Queen Sheet Set Fits Up to 16" Deep Pocket - Eco Friendly - Queen - White</t>
        </is>
      </c>
      <c r="J123" s="109" t="inlineStr">
        <is>
          <t>https://m.media-amazon.com/images/I/71DKiQ4ilnL.jpg</t>
        </is>
      </c>
      <c r="K123" s="109" t="n"/>
      <c r="L123" s="109" t="inlineStr">
        <is>
          <t>B0777SFXZK</t>
        </is>
      </c>
      <c r="M123" s="109" t="n"/>
      <c r="N123" s="109" t="n">
        <v>112.35</v>
      </c>
      <c r="O123" s="109" t="n"/>
      <c r="P123" s="109">
        <f>IF(AND(ISNUMBER(O123),ISNUMBER(N123),N(N123)&gt;0),O123/N123-1,"")</f>
        <v/>
      </c>
      <c r="Q123" s="109" t="n">
        <v>94.1612915129151</v>
      </c>
      <c r="R123" s="109">
        <f>IF(AND(ISNUMBER(N123),ISNUMBER(Q123),N(Q123)&gt;0),N123/Q123-1,"")</f>
        <v/>
      </c>
      <c r="S123" s="109" t="n">
        <v>2581598</v>
      </c>
      <c r="T123" s="109" t="n"/>
      <c r="U123" s="109" t="n">
        <v>4.6</v>
      </c>
      <c r="V123" s="109" t="n">
        <v>222</v>
      </c>
      <c r="W123" s="109" t="n"/>
      <c r="X123" s="109" t="n"/>
      <c r="Y123" s="109" t="n"/>
      <c r="Z123" s="109" t="n"/>
      <c r="AA123" s="109" t="n"/>
      <c r="AB123" s="109" t="n"/>
      <c r="AC123" s="109" t="inlineStr">
        <is>
          <t>CA DC B6</t>
        </is>
      </c>
      <c r="AD123" s="109">
        <f>'CA DC B6'!BC125</f>
        <v/>
      </c>
      <c r="AE123" s="109">
        <f>'CA DC B6'!BF125</f>
        <v/>
      </c>
      <c r="AF123" s="109" t="inlineStr">
        <is>
          <t>Queen</t>
        </is>
      </c>
      <c r="AG123" s="109" t="inlineStr">
        <is>
          <t>White</t>
        </is>
      </c>
    </row>
    <row r="124">
      <c r="A124" s="109">
        <f>AND(OR(Dashboard!$C$4="All",Dashboard!$C$4=D124),OR(Dashboard!$C$5="All",Dashboard!$C$5=E124),OR(Dashboard!$C$6="All",Dashboard!$C$6=G124),OR(Dashboard!$C$7="All",Dashboard!$C$7=H124),OR(Dashboard!$C$8="All",Dashboard!$C$8=F124))</f>
        <v/>
      </c>
      <c r="B124" s="109">
        <f>IF(A124,B123+1,B123)</f>
        <v/>
      </c>
      <c r="C124" s="109" t="n">
        <v>30</v>
      </c>
      <c r="D124" s="109" t="inlineStr">
        <is>
          <t>DC B6</t>
        </is>
      </c>
      <c r="E124" s="109" t="inlineStr">
        <is>
          <t>CA</t>
        </is>
      </c>
      <c r="F124" s="109" t="inlineStr">
        <is>
          <t>Bamboo</t>
        </is>
      </c>
      <c r="G124" s="109" t="inlineStr">
        <is>
          <t>BC BELLA COTERIE</t>
        </is>
      </c>
      <c r="H124" s="109" t="inlineStr">
        <is>
          <t>Untiered</t>
        </is>
      </c>
      <c r="I124" s="109" t="inlineStr">
        <is>
          <t>Bella Coterie 6 Piece Luxury Bamboo Viscose Queen Sheet Set</t>
        </is>
      </c>
      <c r="J124" s="109" t="inlineStr">
        <is>
          <t>https://m.media-amazon.com/images/I/71uagjboyTL.jpg</t>
        </is>
      </c>
      <c r="K124" s="109" t="inlineStr">
        <is>
          <t>B08P97YSMW</t>
        </is>
      </c>
      <c r="L124" s="109" t="inlineStr">
        <is>
          <t>B0GTWJ29LG</t>
        </is>
      </c>
      <c r="M124" s="109" t="n">
        <v>233</v>
      </c>
      <c r="N124" s="109" t="n"/>
      <c r="O124" s="109" t="n"/>
      <c r="P124" s="109">
        <f>IF(AND(ISNUMBER(O124),ISNUMBER(N124),N(N124)&gt;0),O124/N124-1,"")</f>
        <v/>
      </c>
      <c r="Q124" s="109" t="n">
        <v>94.1612915129151</v>
      </c>
      <c r="R124" s="109">
        <f>IF(AND(ISNUMBER(N124),ISNUMBER(Q124),N(Q124)&gt;0),N124/Q124-1,"")</f>
        <v/>
      </c>
      <c r="S124" s="109" t="n">
        <v>297691</v>
      </c>
      <c r="T124" s="109" t="n"/>
      <c r="U124" s="109" t="n">
        <v>4.4</v>
      </c>
      <c r="V124" s="109" t="n">
        <v>6192</v>
      </c>
      <c r="W124" s="109" t="n"/>
      <c r="X124" s="109" t="n"/>
      <c r="Y124" s="109" t="n"/>
      <c r="Z124" s="109" t="n"/>
      <c r="AA124" s="109" t="n"/>
      <c r="AB124" s="109" t="n"/>
      <c r="AC124" s="109" t="inlineStr">
        <is>
          <t>CA DC B6</t>
        </is>
      </c>
      <c r="AD124" s="109">
        <f>'CA DC B6'!BC126</f>
        <v/>
      </c>
      <c r="AE124" s="109">
        <f>'CA DC B6'!BF126</f>
        <v/>
      </c>
      <c r="AF124" s="109" t="inlineStr">
        <is>
          <t>Queen</t>
        </is>
      </c>
      <c r="AG124" s="109" t="inlineStr">
        <is>
          <t>19 - Lemonade</t>
        </is>
      </c>
    </row>
    <row r="125">
      <c r="A125" s="109">
        <f>AND(OR(Dashboard!$C$4="All",Dashboard!$C$4=D125),OR(Dashboard!$C$5="All",Dashboard!$C$5=E125),OR(Dashboard!$C$6="All",Dashboard!$C$6=G125),OR(Dashboard!$C$7="All",Dashboard!$C$7=H125),OR(Dashboard!$C$8="All",Dashboard!$C$8=F125))</f>
        <v/>
      </c>
      <c r="B125" s="109">
        <f>IF(A125,B124+1,B124)</f>
        <v/>
      </c>
      <c r="C125" s="109" t="n">
        <v>30</v>
      </c>
      <c r="D125" s="109" t="inlineStr">
        <is>
          <t>DC B6</t>
        </is>
      </c>
      <c r="E125" s="109" t="inlineStr">
        <is>
          <t>CA</t>
        </is>
      </c>
      <c r="F125" s="109" t="inlineStr">
        <is>
          <t>Bamboo</t>
        </is>
      </c>
      <c r="G125" s="109" t="inlineStr">
        <is>
          <t>Bamboo Bay</t>
        </is>
      </c>
      <c r="H125" s="109" t="inlineStr">
        <is>
          <t>Untiered</t>
        </is>
      </c>
      <c r="I125" s="109" t="inlineStr">
        <is>
          <t>Bamboo Bay Luxury Bamboo Sheets Queen Size - 6 Piece Ultra Soft Cooling Sheets for Hot Sleepers - 100% Organic Bamboo Queen Sheet Set Fits Up to 16" Deep Pocket - Eco Friendly - Queen - Ivory</t>
        </is>
      </c>
      <c r="J125" s="109" t="inlineStr">
        <is>
          <t>https://m.media-amazon.com/images/I/610q+H2k3BL.jpg</t>
        </is>
      </c>
      <c r="K125" s="109" t="n"/>
      <c r="L125" s="109" t="inlineStr">
        <is>
          <t>B07PS657BP</t>
        </is>
      </c>
      <c r="M125" s="109" t="n"/>
      <c r="N125" s="109" t="n">
        <v>159.99</v>
      </c>
      <c r="O125" s="109" t="n"/>
      <c r="P125" s="109">
        <f>IF(AND(ISNUMBER(O125),ISNUMBER(N125),N(N125)&gt;0),O125/N125-1,"")</f>
        <v/>
      </c>
      <c r="Q125" s="109" t="n">
        <v>94.1612915129151</v>
      </c>
      <c r="R125" s="109">
        <f>IF(AND(ISNUMBER(N125),ISNUMBER(Q125),N(Q125)&gt;0),N125/Q125-1,"")</f>
        <v/>
      </c>
      <c r="S125" s="109" t="n"/>
      <c r="T125" s="109" t="n"/>
      <c r="U125" s="109" t="n">
        <v>4.4</v>
      </c>
      <c r="V125" s="109" t="n">
        <v>107</v>
      </c>
      <c r="W125" s="109" t="n"/>
      <c r="X125" s="109" t="n"/>
      <c r="Y125" s="109" t="n"/>
      <c r="Z125" s="109" t="n"/>
      <c r="AA125" s="109" t="n"/>
      <c r="AB125" s="109" t="n"/>
      <c r="AC125" s="109" t="inlineStr">
        <is>
          <t>CA DC B6</t>
        </is>
      </c>
      <c r="AD125" s="109">
        <f>'CA DC B6'!BC127</f>
        <v/>
      </c>
      <c r="AE125" s="109">
        <f>'CA DC B6'!BF127</f>
        <v/>
      </c>
      <c r="AF125" s="109" t="inlineStr">
        <is>
          <t>Queen</t>
        </is>
      </c>
      <c r="AG125" s="109" t="inlineStr">
        <is>
          <t>Ivory</t>
        </is>
      </c>
    </row>
    <row r="126">
      <c r="A126" s="109">
        <f>AND(OR(Dashboard!$C$4="All",Dashboard!$C$4=D126),OR(Dashboard!$C$5="All",Dashboard!$C$5=E126),OR(Dashboard!$C$6="All",Dashboard!$C$6=G126),OR(Dashboard!$C$7="All",Dashboard!$C$7=H126),OR(Dashboard!$C$8="All",Dashboard!$C$8=F126))</f>
        <v/>
      </c>
      <c r="B126" s="109">
        <f>IF(A126,B125+1,B125)</f>
        <v/>
      </c>
      <c r="C126" s="109" t="n">
        <v>32</v>
      </c>
      <c r="D126" s="109" t="inlineStr">
        <is>
          <t>SL B6</t>
        </is>
      </c>
      <c r="E126" s="109" t="inlineStr">
        <is>
          <t>US</t>
        </is>
      </c>
      <c r="F126" s="109" t="inlineStr">
        <is>
          <t>Bamboo</t>
        </is>
      </c>
      <c r="G126" s="109" t="inlineStr">
        <is>
          <t>Pure Bamboo</t>
        </is>
      </c>
      <c r="H126" s="109" t="inlineStr">
        <is>
          <t>Aspirational</t>
        </is>
      </c>
      <c r="I126" s="109" t="inlineStr">
        <is>
          <t>Pure Bamboo King Sheets, Genuine 100% Organic Viscose Derived from Bamboo Bed Sheet Set, Luxuriously Soft &amp; Cooling, Double Stitching, 2 Year Quality Promise (King, Ivory)</t>
        </is>
      </c>
      <c r="J126" s="109" t="inlineStr">
        <is>
          <t>https://images-na.ssl-images-amazon.com/images/I/91dfner9BkL.jpg</t>
        </is>
      </c>
      <c r="K126" s="109" t="inlineStr">
        <is>
          <t>B0CZQ52MTQ</t>
        </is>
      </c>
      <c r="L126" s="109" t="inlineStr">
        <is>
          <t>B07DZTQ4JC</t>
        </is>
      </c>
      <c r="M126" s="109" t="n">
        <v>181</v>
      </c>
      <c r="N126" s="109" t="n">
        <v>109.99</v>
      </c>
      <c r="O126" s="109" t="n"/>
      <c r="P126" s="109">
        <f>IF(AND(ISNUMBER(O126),ISNUMBER(N126),N(N126)&gt;0),O126/N126-1,"")</f>
        <v/>
      </c>
      <c r="Q126" s="109" t="n">
        <v>69.98999999999999</v>
      </c>
      <c r="R126" s="109">
        <f>IF(AND(ISNUMBER(N126),ISNUMBER(Q126),N(Q126)&gt;0),N126/Q126-1,"")</f>
        <v/>
      </c>
      <c r="S126" s="109" t="n">
        <v>304</v>
      </c>
      <c r="T126" s="109" t="n">
        <v>809</v>
      </c>
      <c r="U126" s="109" t="n">
        <v>4.5</v>
      </c>
      <c r="V126" s="109" t="n">
        <v>21927</v>
      </c>
      <c r="W126" s="109" t="n">
        <v>2565055</v>
      </c>
      <c r="X126" s="109" t="n">
        <v>0.4648594811807159</v>
      </c>
      <c r="Y126" s="109" t="n">
        <v>14</v>
      </c>
      <c r="Z126" s="109" t="n">
        <v>407</v>
      </c>
      <c r="AA126" s="109" t="n">
        <v>3784</v>
      </c>
      <c r="AB126" s="109" t="n">
        <v>1.180104147961932</v>
      </c>
      <c r="AC126" s="109" t="inlineStr">
        <is>
          <t>US SL B6</t>
        </is>
      </c>
      <c r="AD126" s="109">
        <f>'US SL B6'!BC121</f>
        <v/>
      </c>
      <c r="AE126" s="109">
        <f>'US SL B6'!BF121</f>
        <v/>
      </c>
      <c r="AF126" s="109" t="inlineStr">
        <is>
          <t>King</t>
        </is>
      </c>
      <c r="AG126" s="109" t="inlineStr">
        <is>
          <t>Ivory</t>
        </is>
      </c>
    </row>
    <row r="127">
      <c r="A127" s="109">
        <f>AND(OR(Dashboard!$C$4="All",Dashboard!$C$4=D127),OR(Dashboard!$C$5="All",Dashboard!$C$5=E127),OR(Dashboard!$C$6="All",Dashboard!$C$6=G127),OR(Dashboard!$C$7="All",Dashboard!$C$7=H127),OR(Dashboard!$C$8="All",Dashboard!$C$8=F127))</f>
        <v/>
      </c>
      <c r="B127" s="109">
        <f>IF(A127,B126+1,B126)</f>
        <v/>
      </c>
      <c r="C127" s="109" t="n">
        <v>32</v>
      </c>
      <c r="D127" s="109" t="inlineStr">
        <is>
          <t>SL B6</t>
        </is>
      </c>
      <c r="E127" s="109" t="inlineStr">
        <is>
          <t>US</t>
        </is>
      </c>
      <c r="F127" s="109" t="inlineStr">
        <is>
          <t>Bamboo</t>
        </is>
      </c>
      <c r="G127" s="109" t="inlineStr">
        <is>
          <t>Hotel Sheets Direct</t>
        </is>
      </c>
      <c r="H127" s="109" t="inlineStr">
        <is>
          <t>Aspirational</t>
        </is>
      </c>
      <c r="I127" s="109" t="inlineStr">
        <is>
          <t>Hotel Sheets Direct 4 Piece Bed Sheet Set Queen Size, 100% Viscose Derived from Bamboo Sheets Set with 2 Pillowcases, Cooling &amp; Breathable Luxury Bedding, Moisture-Wicking &amp; Silky Soft Texture, White</t>
        </is>
      </c>
      <c r="J127" s="109" t="inlineStr">
        <is>
          <t>https://images-na.ssl-images-amazon.com/images/I/71oEhkRYQ+L.jpg</t>
        </is>
      </c>
      <c r="K127" s="109" t="inlineStr">
        <is>
          <t>B0G5N99X9R</t>
        </is>
      </c>
      <c r="L127" s="109" t="inlineStr">
        <is>
          <t>B01N9L2O9P</t>
        </is>
      </c>
      <c r="M127" s="109" t="n">
        <v>61</v>
      </c>
      <c r="N127" s="109" t="n">
        <v>79.98999999999999</v>
      </c>
      <c r="O127" s="109" t="n"/>
      <c r="P127" s="109">
        <f>IF(AND(ISNUMBER(O127),ISNUMBER(N127),N(N127)&gt;0),O127/N127-1,"")</f>
        <v/>
      </c>
      <c r="Q127" s="109" t="n">
        <v>64.98999999999999</v>
      </c>
      <c r="R127" s="109">
        <f>IF(AND(ISNUMBER(N127),ISNUMBER(Q127),N(Q127)&gt;0),N127/Q127-1,"")</f>
        <v/>
      </c>
      <c r="S127" s="109" t="n">
        <v>2984</v>
      </c>
      <c r="T127" s="109" t="n">
        <v>347</v>
      </c>
      <c r="U127" s="109" t="n">
        <v>4.4</v>
      </c>
      <c r="V127" s="109" t="n">
        <v>37179</v>
      </c>
      <c r="W127" s="109" t="n">
        <v>451969</v>
      </c>
      <c r="X127" s="109" t="n">
        <v>0.6071584272372669</v>
      </c>
      <c r="Y127" s="109" t="n">
        <v>27</v>
      </c>
      <c r="Z127" s="109" t="n">
        <v>355</v>
      </c>
      <c r="AA127" s="109" t="n">
        <v>948</v>
      </c>
      <c r="AB127" s="109" t="n">
        <v>1.799620493358634</v>
      </c>
      <c r="AC127" s="109" t="inlineStr">
        <is>
          <t>US SL B6</t>
        </is>
      </c>
      <c r="AD127" s="109">
        <f>'US SL B6'!BC122</f>
        <v/>
      </c>
      <c r="AE127" s="109">
        <f>'US SL B6'!BF122</f>
        <v/>
      </c>
      <c r="AF127" s="109" t="inlineStr">
        <is>
          <t>Queen</t>
        </is>
      </c>
      <c r="AG127" s="109" t="inlineStr">
        <is>
          <t>White</t>
        </is>
      </c>
    </row>
    <row r="128">
      <c r="A128" s="109">
        <f>AND(OR(Dashboard!$C$4="All",Dashboard!$C$4=D128),OR(Dashboard!$C$5="All",Dashboard!$C$5=E128),OR(Dashboard!$C$6="All",Dashboard!$C$6=G128),OR(Dashboard!$C$7="All",Dashboard!$C$7=H128),OR(Dashboard!$C$8="All",Dashboard!$C$8=F128))</f>
        <v/>
      </c>
      <c r="B128" s="109">
        <f>IF(A128,B127+1,B127)</f>
        <v/>
      </c>
      <c r="C128" s="109" t="n">
        <v>32</v>
      </c>
      <c r="D128" s="109" t="inlineStr">
        <is>
          <t>SL B6</t>
        </is>
      </c>
      <c r="E128" s="109" t="inlineStr">
        <is>
          <t>US</t>
        </is>
      </c>
      <c r="F128" s="109" t="inlineStr">
        <is>
          <t>Bamboo</t>
        </is>
      </c>
      <c r="G128" s="109" t="inlineStr">
        <is>
          <t>BAMPURE</t>
        </is>
      </c>
      <c r="H128" s="109" t="inlineStr">
        <is>
          <t>Aspirational</t>
        </is>
      </c>
      <c r="I128" s="109" t="inlineStr">
        <is>
          <t>Bamboo Sheets</t>
        </is>
      </c>
      <c r="J128" s="109" t="n"/>
      <c r="K128" s="109" t="inlineStr">
        <is>
          <t>B0FH2WGKJV</t>
        </is>
      </c>
      <c r="L128" s="109" t="inlineStr">
        <is>
          <t>B07XC2KVM7</t>
        </is>
      </c>
      <c r="M128" s="109" t="n"/>
      <c r="N128" s="109" t="n">
        <v>37.99</v>
      </c>
      <c r="O128" s="109" t="n"/>
      <c r="P128" s="109">
        <f>IF(AND(ISNUMBER(O128),ISNUMBER(N128),N(N128)&gt;0),O128/N128-1,"")</f>
        <v/>
      </c>
      <c r="Q128" s="109" t="n">
        <v>64.98999999999999</v>
      </c>
      <c r="R128" s="109">
        <f>IF(AND(ISNUMBER(N128),ISNUMBER(Q128),N(Q128)&gt;0),N128/Q128-1,"")</f>
        <v/>
      </c>
      <c r="S128" s="109" t="n">
        <v>2541068</v>
      </c>
      <c r="T128" s="109" t="n">
        <v>5</v>
      </c>
      <c r="U128" s="109" t="n">
        <v>4.4</v>
      </c>
      <c r="V128" s="109" t="n">
        <v>30</v>
      </c>
      <c r="W128" s="109" t="n"/>
      <c r="X128" s="109" t="n"/>
      <c r="Y128" s="109" t="n"/>
      <c r="Z128" s="109" t="n"/>
      <c r="AA128" s="109" t="n"/>
      <c r="AB128" s="109" t="n"/>
      <c r="AC128" s="109" t="inlineStr">
        <is>
          <t>US SL B6</t>
        </is>
      </c>
      <c r="AD128" s="109">
        <f>'US SL B6'!BC123</f>
        <v/>
      </c>
      <c r="AE128" s="109">
        <f>'US SL B6'!BF123</f>
        <v/>
      </c>
      <c r="AF128" s="109" t="n"/>
      <c r="AG128" s="109" t="n"/>
    </row>
    <row r="129">
      <c r="A129" s="109">
        <f>AND(OR(Dashboard!$C$4="All",Dashboard!$C$4=D129),OR(Dashboard!$C$5="All",Dashboard!$C$5=E129),OR(Dashboard!$C$6="All",Dashboard!$C$6=G129),OR(Dashboard!$C$7="All",Dashboard!$C$7=H129),OR(Dashboard!$C$8="All",Dashboard!$C$8=F129))</f>
        <v/>
      </c>
      <c r="B129" s="109">
        <f>IF(A129,B128+1,B128)</f>
        <v/>
      </c>
      <c r="C129" s="109" t="n">
        <v>32</v>
      </c>
      <c r="D129" s="109" t="inlineStr">
        <is>
          <t>SL B6</t>
        </is>
      </c>
      <c r="E129" s="109" t="inlineStr">
        <is>
          <t>US</t>
        </is>
      </c>
      <c r="F129" s="109" t="inlineStr">
        <is>
          <t>Bamboo</t>
        </is>
      </c>
      <c r="G129" s="109" t="inlineStr">
        <is>
          <t>BC BELLA COTERIE</t>
        </is>
      </c>
      <c r="H129" s="109" t="inlineStr">
        <is>
          <t>Aspirational</t>
        </is>
      </c>
      <c r="I129" s="109" t="inlineStr">
        <is>
          <t>4 Piece Bamboo Sheet Set</t>
        </is>
      </c>
      <c r="J129" s="109" t="n"/>
      <c r="K129" s="109" t="inlineStr">
        <is>
          <t>B0GKBNZ8TC</t>
        </is>
      </c>
      <c r="L129" s="109" t="inlineStr">
        <is>
          <t>B0G674ZDTV</t>
        </is>
      </c>
      <c r="M129" s="109" t="n"/>
      <c r="N129" s="109" t="n">
        <v>129.99</v>
      </c>
      <c r="O129" s="109" t="n"/>
      <c r="P129" s="109">
        <f>IF(AND(ISNUMBER(O129),ISNUMBER(N129),N(N129)&gt;0),O129/N129-1,"")</f>
        <v/>
      </c>
      <c r="Q129" s="109" t="n">
        <v>64.98999999999999</v>
      </c>
      <c r="R129" s="109">
        <f>IF(AND(ISNUMBER(N129),ISNUMBER(Q129),N(Q129)&gt;0),N129/Q129-1,"")</f>
        <v/>
      </c>
      <c r="S129" s="109" t="n">
        <v>1577</v>
      </c>
      <c r="T129" s="109" t="n">
        <v>5</v>
      </c>
      <c r="U129" s="109" t="n">
        <v>4.4</v>
      </c>
      <c r="V129" s="109" t="n">
        <v>5652</v>
      </c>
      <c r="W129" s="109" t="n"/>
      <c r="X129" s="109" t="n"/>
      <c r="Y129" s="109" t="n"/>
      <c r="Z129" s="109" t="n"/>
      <c r="AA129" s="109" t="n"/>
      <c r="AB129" s="109" t="n"/>
      <c r="AC129" s="109" t="inlineStr">
        <is>
          <t>US SL B6</t>
        </is>
      </c>
      <c r="AD129" s="109">
        <f>'US SL B6'!BC124</f>
        <v/>
      </c>
      <c r="AE129" s="109">
        <f>'US SL B6'!BF124</f>
        <v/>
      </c>
      <c r="AF129" s="109" t="n"/>
      <c r="AG129" s="109" t="n"/>
    </row>
    <row r="130">
      <c r="A130" s="109">
        <f>AND(OR(Dashboard!$C$4="All",Dashboard!$C$4=D130),OR(Dashboard!$C$5="All",Dashboard!$C$5=E130),OR(Dashboard!$C$6="All",Dashboard!$C$6=G130),OR(Dashboard!$C$7="All",Dashboard!$C$7=H130),OR(Dashboard!$C$8="All",Dashboard!$C$8=F130))</f>
        <v/>
      </c>
      <c r="B130" s="109">
        <f>IF(A130,B129+1,B129)</f>
        <v/>
      </c>
      <c r="C130" s="109" t="n">
        <v>32</v>
      </c>
      <c r="D130" s="109" t="inlineStr">
        <is>
          <t>SL B6</t>
        </is>
      </c>
      <c r="E130" s="109" t="inlineStr">
        <is>
          <t>US</t>
        </is>
      </c>
      <c r="F130" s="109" t="inlineStr">
        <is>
          <t>Bamboo</t>
        </is>
      </c>
      <c r="G130" s="109" t="inlineStr">
        <is>
          <t>KRIMANO</t>
        </is>
      </c>
      <c r="H130" s="109" t="inlineStr">
        <is>
          <t>Beatable</t>
        </is>
      </c>
      <c r="I130" s="109" t="inlineStr">
        <is>
          <t>KRIMANO Bamboo Viscose Sheet Set King Size, Cooling Sheets Bed Set</t>
        </is>
      </c>
      <c r="J130" s="109" t="inlineStr">
        <is>
          <t>https://images-na.ssl-images-amazon.com/images/I/61-LBYlR5KL.jpg</t>
        </is>
      </c>
      <c r="K130" s="109" t="inlineStr">
        <is>
          <t>B0FT7L9RSX</t>
        </is>
      </c>
      <c r="L130" s="109" t="inlineStr">
        <is>
          <t>B0FT7LZ2CD</t>
        </is>
      </c>
      <c r="M130" s="109" t="n">
        <v>43</v>
      </c>
      <c r="N130" s="109" t="n">
        <v>84.98999999999999</v>
      </c>
      <c r="O130" s="109" t="n"/>
      <c r="P130" s="109">
        <f>IF(AND(ISNUMBER(O130),ISNUMBER(N130),N(N130)&gt;0),O130/N130-1,"")</f>
        <v/>
      </c>
      <c r="Q130" s="109" t="n">
        <v>69.98999999999999</v>
      </c>
      <c r="R130" s="109">
        <f>IF(AND(ISNUMBER(N130),ISNUMBER(Q130),N(Q130)&gt;0),N130/Q130-1,"")</f>
        <v/>
      </c>
      <c r="S130" s="109" t="n">
        <v>5664</v>
      </c>
      <c r="T130" s="109" t="n">
        <v>185</v>
      </c>
      <c r="U130" s="109" t="n">
        <v>4.5</v>
      </c>
      <c r="V130" s="109" t="n">
        <v>263</v>
      </c>
      <c r="W130" s="109" t="n">
        <v>334819</v>
      </c>
      <c r="X130" s="109" t="n">
        <v>0.6137371774003271</v>
      </c>
      <c r="Y130" s="109" t="n">
        <v>16</v>
      </c>
      <c r="Z130" s="109" t="n">
        <v>323</v>
      </c>
      <c r="AA130" s="109" t="n">
        <v>491</v>
      </c>
      <c r="AB130" s="109" t="n">
        <v>1.312468450277638</v>
      </c>
      <c r="AC130" s="109" t="inlineStr">
        <is>
          <t>US SL B6</t>
        </is>
      </c>
      <c r="AD130" s="109">
        <f>'US SL B6'!BC125</f>
        <v/>
      </c>
      <c r="AE130" s="109">
        <f>'US SL B6'!BF125</f>
        <v/>
      </c>
      <c r="AF130" s="109" t="inlineStr">
        <is>
          <t>King</t>
        </is>
      </c>
      <c r="AG130" s="109" t="n"/>
    </row>
    <row r="131">
      <c r="A131" s="109">
        <f>AND(OR(Dashboard!$C$4="All",Dashboard!$C$4=D131),OR(Dashboard!$C$5="All",Dashboard!$C$5=E131),OR(Dashboard!$C$6="All",Dashboard!$C$6=G131),OR(Dashboard!$C$7="All",Dashboard!$C$7=H131),OR(Dashboard!$C$8="All",Dashboard!$C$8=F131))</f>
        <v/>
      </c>
      <c r="B131" s="109">
        <f>IF(A131,B130+1,B130)</f>
        <v/>
      </c>
      <c r="C131" s="109" t="n">
        <v>32</v>
      </c>
      <c r="D131" s="109" t="inlineStr">
        <is>
          <t>SL B6</t>
        </is>
      </c>
      <c r="E131" s="109" t="inlineStr">
        <is>
          <t>US</t>
        </is>
      </c>
      <c r="F131" s="109" t="inlineStr">
        <is>
          <t>Bamboo</t>
        </is>
      </c>
      <c r="G131" s="109" t="inlineStr">
        <is>
          <t>Bambaw</t>
        </is>
      </c>
      <c r="H131" s="109" t="inlineStr">
        <is>
          <t>Beatable</t>
        </is>
      </c>
      <c r="I131" s="109" t="inlineStr">
        <is>
          <t>Bambaw 100% Viscose Derived from Bamboo Sheets Queen Size Set – 4pcs Cooling Sheet Set, Super Soft Sheets Queen Size, Luxury Bed Sheets, Deep Pocket Fits Up to 16'' Mattresses (Charcoal)</t>
        </is>
      </c>
      <c r="J131" s="109" t="inlineStr">
        <is>
          <t>https://images-na.ssl-images-amazon.com/images/I/81svKInu7aL.jpg</t>
        </is>
      </c>
      <c r="K131" s="109" t="inlineStr">
        <is>
          <t>B07K6SYX8L</t>
        </is>
      </c>
      <c r="L131" s="109" t="inlineStr">
        <is>
          <t>B0DR99Q37Y</t>
        </is>
      </c>
      <c r="M131" s="109" t="n">
        <v>104</v>
      </c>
      <c r="N131" s="109" t="n">
        <v>89.98999999999999</v>
      </c>
      <c r="O131" s="109" t="n"/>
      <c r="P131" s="109">
        <f>IF(AND(ISNUMBER(O131),ISNUMBER(N131),N(N131)&gt;0),O131/N131-1,"")</f>
        <v/>
      </c>
      <c r="Q131" s="109" t="n">
        <v>64.98999999999999</v>
      </c>
      <c r="R131" s="109">
        <f>IF(AND(ISNUMBER(N131),ISNUMBER(Q131),N(Q131)&gt;0),N131/Q131-1,"")</f>
        <v/>
      </c>
      <c r="S131" s="109" t="n">
        <v>6971</v>
      </c>
      <c r="T131" s="109" t="n">
        <v>104</v>
      </c>
      <c r="U131" s="109" t="n">
        <v>4.3</v>
      </c>
      <c r="V131" s="109" t="n">
        <v>2766</v>
      </c>
      <c r="W131" s="109" t="n">
        <v>407949</v>
      </c>
      <c r="X131" s="109" t="n">
        <v>0.5037485506766772</v>
      </c>
      <c r="Y131" s="109" t="n">
        <v>25</v>
      </c>
      <c r="Z131" s="109" t="n">
        <v>350</v>
      </c>
      <c r="AA131" s="109" t="n">
        <v>594</v>
      </c>
      <c r="AB131" s="109" t="n">
        <v>1.374474053295933</v>
      </c>
      <c r="AC131" s="109" t="inlineStr">
        <is>
          <t>US SL B6</t>
        </is>
      </c>
      <c r="AD131" s="109">
        <f>'US SL B6'!BC126</f>
        <v/>
      </c>
      <c r="AE131" s="109">
        <f>'US SL B6'!BF126</f>
        <v/>
      </c>
      <c r="AF131" s="109" t="inlineStr">
        <is>
          <t>Queen</t>
        </is>
      </c>
      <c r="AG131" s="109" t="inlineStr">
        <is>
          <t>Charcoal</t>
        </is>
      </c>
    </row>
    <row r="132">
      <c r="A132" s="109">
        <f>AND(OR(Dashboard!$C$4="All",Dashboard!$C$4=D132),OR(Dashboard!$C$5="All",Dashboard!$C$5=E132),OR(Dashboard!$C$6="All",Dashboard!$C$6=G132),OR(Dashboard!$C$7="All",Dashboard!$C$7=H132),OR(Dashboard!$C$8="All",Dashboard!$C$8=F132))</f>
        <v/>
      </c>
      <c r="B132" s="109">
        <f>IF(A132,B131+1,B131)</f>
        <v/>
      </c>
      <c r="C132" s="109" t="n">
        <v>32</v>
      </c>
      <c r="D132" s="109" t="inlineStr">
        <is>
          <t>SL B6</t>
        </is>
      </c>
      <c r="E132" s="109" t="inlineStr">
        <is>
          <t>US</t>
        </is>
      </c>
      <c r="F132" s="109" t="inlineStr">
        <is>
          <t>Bamboo</t>
        </is>
      </c>
      <c r="G132" s="109" t="inlineStr">
        <is>
          <t>Bedsure</t>
        </is>
      </c>
      <c r="H132" s="109" t="inlineStr">
        <is>
          <t>Beatable</t>
        </is>
      </c>
      <c r="I132" s="109" t="inlineStr">
        <is>
          <t>Bedsure PureWoven Organically Grown Bamboo Viscose Queen Sheet Set, 4PCS</t>
        </is>
      </c>
      <c r="J132" s="109" t="inlineStr">
        <is>
          <t>https://images-na.ssl-images-amazon.com/images/I/81suQgVR0GL.jpg</t>
        </is>
      </c>
      <c r="K132" s="109" t="inlineStr">
        <is>
          <t>B0FB8XS4D1</t>
        </is>
      </c>
      <c r="L132" s="109" t="inlineStr">
        <is>
          <t>B0FB8XR43Q</t>
        </is>
      </c>
      <c r="M132" s="109" t="n">
        <v>39</v>
      </c>
      <c r="N132" s="109" t="n">
        <v>89.98999999999999</v>
      </c>
      <c r="O132" s="109" t="n">
        <v>119.99</v>
      </c>
      <c r="P132" s="109">
        <f>IF(AND(ISNUMBER(O132),ISNUMBER(N132),N(N132)&gt;0),O132/N132-1,"")</f>
        <v/>
      </c>
      <c r="Q132" s="109" t="n">
        <v>64.98999999999999</v>
      </c>
      <c r="R132" s="109">
        <f>IF(AND(ISNUMBER(N132),ISNUMBER(Q132),N(Q132)&gt;0),N132/Q132-1,"")</f>
        <v/>
      </c>
      <c r="S132" s="109" t="n">
        <v>8938</v>
      </c>
      <c r="T132" s="109" t="n">
        <v>104</v>
      </c>
      <c r="U132" s="109" t="n">
        <v>4.5</v>
      </c>
      <c r="V132" s="109" t="n">
        <v>588</v>
      </c>
      <c r="W132" s="109" t="n">
        <v>840292</v>
      </c>
      <c r="X132" s="109" t="n">
        <v>0.1404099194089678</v>
      </c>
      <c r="Y132" s="109" t="n">
        <v>21</v>
      </c>
      <c r="Z132" s="109" t="n">
        <v>375</v>
      </c>
      <c r="AA132" s="109" t="n">
        <v>2450</v>
      </c>
      <c r="AB132" s="109" t="n">
        <v>1.764832022873481</v>
      </c>
      <c r="AC132" s="109" t="inlineStr">
        <is>
          <t>US SL B6</t>
        </is>
      </c>
      <c r="AD132" s="109">
        <f>'US SL B6'!BC127</f>
        <v/>
      </c>
      <c r="AE132" s="109">
        <f>'US SL B6'!BF127</f>
        <v/>
      </c>
      <c r="AF132" s="109" t="inlineStr">
        <is>
          <t>Queen</t>
        </is>
      </c>
      <c r="AG132" s="109" t="n"/>
    </row>
    <row r="133">
      <c r="A133" s="109">
        <f>AND(OR(Dashboard!$C$4="All",Dashboard!$C$4=D133),OR(Dashboard!$C$5="All",Dashboard!$C$5=E133),OR(Dashboard!$C$6="All",Dashboard!$C$6=G133),OR(Dashboard!$C$7="All",Dashboard!$C$7=H133),OR(Dashboard!$C$8="All",Dashboard!$C$8=F133))</f>
        <v/>
      </c>
      <c r="B133" s="109">
        <f>IF(A133,B132+1,B132)</f>
        <v/>
      </c>
      <c r="C133" s="109" t="n">
        <v>32</v>
      </c>
      <c r="D133" s="109" t="inlineStr">
        <is>
          <t>SL B6</t>
        </is>
      </c>
      <c r="E133" s="109" t="inlineStr">
        <is>
          <t>US</t>
        </is>
      </c>
      <c r="F133" s="109" t="inlineStr">
        <is>
          <t>Bamboo</t>
        </is>
      </c>
      <c r="G133" s="109" t="inlineStr">
        <is>
          <t>SONORO KATE</t>
        </is>
      </c>
      <c r="H133" s="109" t="inlineStr">
        <is>
          <t>Beatable</t>
        </is>
      </c>
      <c r="I133" s="109" t="inlineStr">
        <is>
          <t>Bamboo Sheets</t>
        </is>
      </c>
      <c r="J133" s="109" t="inlineStr">
        <is>
          <t>https://images-na.ssl-images-amazon.com/images/I/71sqxa1EquL.jpg</t>
        </is>
      </c>
      <c r="K133" s="109" t="inlineStr">
        <is>
          <t>B0F4852T9V</t>
        </is>
      </c>
      <c r="L133" s="109" t="inlineStr">
        <is>
          <t>B0F4873G4H</t>
        </is>
      </c>
      <c r="M133" s="109" t="n">
        <v>33</v>
      </c>
      <c r="N133" s="109" t="n">
        <v>79.98999999999999</v>
      </c>
      <c r="O133" s="109" t="n"/>
      <c r="P133" s="109">
        <f>IF(AND(ISNUMBER(O133),ISNUMBER(N133),N(N133)&gt;0),O133/N133-1,"")</f>
        <v/>
      </c>
      <c r="Q133" s="109" t="n">
        <v>64.98999999999999</v>
      </c>
      <c r="R133" s="109">
        <f>IF(AND(ISNUMBER(N133),ISNUMBER(Q133),N(Q133)&gt;0),N133/Q133-1,"")</f>
        <v/>
      </c>
      <c r="S133" s="109" t="n">
        <v>7961</v>
      </c>
      <c r="T133" s="109" t="n">
        <v>104</v>
      </c>
      <c r="U133" s="109" t="n">
        <v>4.5</v>
      </c>
      <c r="V133" s="109" t="n">
        <v>3776</v>
      </c>
      <c r="W133" s="109" t="n">
        <v>185157</v>
      </c>
      <c r="X133" s="109" t="n">
        <v>0.9776013545261586</v>
      </c>
      <c r="Y133" s="109" t="n">
        <v>22</v>
      </c>
      <c r="Z133" s="109" t="n">
        <v>293</v>
      </c>
      <c r="AA133" s="109" t="n">
        <v>123</v>
      </c>
      <c r="AB133" s="109" t="n">
        <v>1.314808539478143</v>
      </c>
      <c r="AC133" s="109" t="inlineStr">
        <is>
          <t>US SL B6</t>
        </is>
      </c>
      <c r="AD133" s="109">
        <f>'US SL B6'!BC128</f>
        <v/>
      </c>
      <c r="AE133" s="109">
        <f>'US SL B6'!BF128</f>
        <v/>
      </c>
      <c r="AF133" s="109" t="n"/>
      <c r="AG133" s="109" t="n"/>
    </row>
    <row r="134">
      <c r="A134" s="109">
        <f>AND(OR(Dashboard!$C$4="All",Dashboard!$C$4=D134),OR(Dashboard!$C$5="All",Dashboard!$C$5=E134),OR(Dashboard!$C$6="All",Dashboard!$C$6=G134),OR(Dashboard!$C$7="All",Dashboard!$C$7=H134),OR(Dashboard!$C$8="All",Dashboard!$C$8=F134))</f>
        <v/>
      </c>
      <c r="B134" s="109">
        <f>IF(A134,B133+1,B133)</f>
        <v/>
      </c>
      <c r="C134" s="109" t="n">
        <v>32</v>
      </c>
      <c r="D134" s="109" t="inlineStr">
        <is>
          <t>SL B6</t>
        </is>
      </c>
      <c r="E134" s="109" t="inlineStr">
        <is>
          <t>US</t>
        </is>
      </c>
      <c r="F134" s="109" t="inlineStr">
        <is>
          <t>Bamboo</t>
        </is>
      </c>
      <c r="G134" s="109" t="inlineStr">
        <is>
          <t>BC BELLA COTERIE</t>
        </is>
      </c>
      <c r="H134" s="109" t="inlineStr">
        <is>
          <t>Beatable</t>
        </is>
      </c>
      <c r="I134" s="109" t="inlineStr">
        <is>
          <t>Bella Coterie Luxury Bamboo Viscose King Size Sheet Set</t>
        </is>
      </c>
      <c r="J134" s="109" t="inlineStr">
        <is>
          <t>https://images-na.ssl-images-amazon.com/images/I/71Pl57-j67L.jpg</t>
        </is>
      </c>
      <c r="K134" s="109" t="inlineStr">
        <is>
          <t>B0H29V113N</t>
        </is>
      </c>
      <c r="L134" s="109" t="inlineStr">
        <is>
          <t>B08L86VLZB</t>
        </is>
      </c>
      <c r="M134" s="109" t="n">
        <v>258</v>
      </c>
      <c r="N134" s="109" t="n">
        <v>134.99</v>
      </c>
      <c r="O134" s="109" t="n"/>
      <c r="P134" s="109">
        <f>IF(AND(ISNUMBER(O134),ISNUMBER(N134),N(N134)&gt;0),O134/N134-1,"")</f>
        <v/>
      </c>
      <c r="Q134" s="109" t="n">
        <v>69.98999999999999</v>
      </c>
      <c r="R134" s="109">
        <f>IF(AND(ISNUMBER(N134),ISNUMBER(Q134),N(Q134)&gt;0),N134/Q134-1,"")</f>
        <v/>
      </c>
      <c r="S134" s="109" t="n">
        <v>1358</v>
      </c>
      <c r="T134" s="109" t="n">
        <v>92</v>
      </c>
      <c r="U134" s="109" t="n">
        <v>4.4</v>
      </c>
      <c r="V134" s="109" t="n">
        <v>5871</v>
      </c>
      <c r="W134" s="109" t="n">
        <v>591713</v>
      </c>
      <c r="X134" s="109" t="n">
        <v>0.3622702587234016</v>
      </c>
      <c r="Y134" s="109" t="n">
        <v>21</v>
      </c>
      <c r="Z134" s="109" t="n">
        <v>390</v>
      </c>
      <c r="AA134" s="109" t="n">
        <v>2437</v>
      </c>
      <c r="AB134" s="109" t="n">
        <v>1.778087279480037</v>
      </c>
      <c r="AC134" s="109" t="inlineStr">
        <is>
          <t>US SL B6</t>
        </is>
      </c>
      <c r="AD134" s="109">
        <f>'US SL B6'!BC129</f>
        <v/>
      </c>
      <c r="AE134" s="109">
        <f>'US SL B6'!BF129</f>
        <v/>
      </c>
      <c r="AF134" s="109" t="inlineStr">
        <is>
          <t>King</t>
        </is>
      </c>
      <c r="AG134" s="109" t="n"/>
    </row>
    <row r="135">
      <c r="A135" s="109">
        <f>AND(OR(Dashboard!$C$4="All",Dashboard!$C$4=D135),OR(Dashboard!$C$5="All",Dashboard!$C$5=E135),OR(Dashboard!$C$6="All",Dashboard!$C$6=G135),OR(Dashboard!$C$7="All",Dashboard!$C$7=H135),OR(Dashboard!$C$8="All",Dashboard!$C$8=F135))</f>
        <v/>
      </c>
      <c r="B135" s="109">
        <f>IF(A135,B134+1,B134)</f>
        <v/>
      </c>
      <c r="C135" s="109" t="n">
        <v>32</v>
      </c>
      <c r="D135" s="109" t="inlineStr">
        <is>
          <t>SL B6</t>
        </is>
      </c>
      <c r="E135" s="109" t="inlineStr">
        <is>
          <t>US</t>
        </is>
      </c>
      <c r="F135" s="109" t="inlineStr">
        <is>
          <t>Bamboo</t>
        </is>
      </c>
      <c r="G135" s="109" t="inlineStr">
        <is>
          <t>BAMPURE</t>
        </is>
      </c>
      <c r="H135" s="109" t="inlineStr">
        <is>
          <t>Beatable</t>
        </is>
      </c>
      <c r="I135" s="109" t="inlineStr">
        <is>
          <t>BAMPURE 100% Rayon from Bamboo Sheets King Size - 4pc Cooling King Sheets</t>
        </is>
      </c>
      <c r="J135" s="109" t="inlineStr">
        <is>
          <t>https://images-na.ssl-images-amazon.com/images/I/61fbapIObwL.jpg</t>
        </is>
      </c>
      <c r="K135" s="109" t="inlineStr">
        <is>
          <t>B0HC778XB4</t>
        </is>
      </c>
      <c r="L135" s="109" t="inlineStr">
        <is>
          <t>B07XFP6BY2</t>
        </is>
      </c>
      <c r="M135" s="109" t="n">
        <v>40</v>
      </c>
      <c r="N135" s="109" t="n">
        <v>67.98</v>
      </c>
      <c r="O135" s="109" t="n">
        <v>99.98999999999999</v>
      </c>
      <c r="P135" s="109">
        <f>IF(AND(ISNUMBER(O135),ISNUMBER(N135),N(N135)&gt;0),O135/N135-1,"")</f>
        <v/>
      </c>
      <c r="Q135" s="109" t="n">
        <v>69.98999999999999</v>
      </c>
      <c r="R135" s="109">
        <f>IF(AND(ISNUMBER(N135),ISNUMBER(Q135),N(Q135)&gt;0),N135/Q135-1,"")</f>
        <v/>
      </c>
      <c r="S135" s="109" t="n">
        <v>14479</v>
      </c>
      <c r="T135" s="109" t="n">
        <v>81</v>
      </c>
      <c r="U135" s="109" t="n">
        <v>4.4</v>
      </c>
      <c r="V135" s="109" t="n">
        <v>4095</v>
      </c>
      <c r="W135" s="109" t="n">
        <v>67699</v>
      </c>
      <c r="X135" s="109" t="n">
        <v>0.8589487052984534</v>
      </c>
      <c r="Y135" s="109" t="n">
        <v>55</v>
      </c>
      <c r="Z135" s="109" t="n">
        <v>265</v>
      </c>
      <c r="AA135" s="109" t="n">
        <v>294</v>
      </c>
      <c r="AB135" s="109" t="n">
        <v>1.016706443914081</v>
      </c>
      <c r="AC135" s="109" t="inlineStr">
        <is>
          <t>US SL B6</t>
        </is>
      </c>
      <c r="AD135" s="109">
        <f>'US SL B6'!BC130</f>
        <v/>
      </c>
      <c r="AE135" s="109">
        <f>'US SL B6'!BF130</f>
        <v/>
      </c>
      <c r="AF135" s="109" t="inlineStr">
        <is>
          <t>King</t>
        </is>
      </c>
      <c r="AG135" s="109" t="n"/>
    </row>
    <row r="136">
      <c r="A136" s="109">
        <f>AND(OR(Dashboard!$C$4="All",Dashboard!$C$4=D136),OR(Dashboard!$C$5="All",Dashboard!$C$5=E136),OR(Dashboard!$C$6="All",Dashboard!$C$6=G136),OR(Dashboard!$C$7="All",Dashboard!$C$7=H136),OR(Dashboard!$C$8="All",Dashboard!$C$8=F136))</f>
        <v/>
      </c>
      <c r="B136" s="109">
        <f>IF(A136,B135+1,B135)</f>
        <v/>
      </c>
      <c r="C136" s="109" t="n">
        <v>32</v>
      </c>
      <c r="D136" s="109" t="inlineStr">
        <is>
          <t>SL B6</t>
        </is>
      </c>
      <c r="E136" s="109" t="inlineStr">
        <is>
          <t>US</t>
        </is>
      </c>
      <c r="F136" s="109" t="inlineStr">
        <is>
          <t>Bamboo</t>
        </is>
      </c>
      <c r="G136" s="109" t="inlineStr">
        <is>
          <t>SONORO KATE</t>
        </is>
      </c>
      <c r="H136" s="109" t="inlineStr">
        <is>
          <t>Beatable</t>
        </is>
      </c>
      <c r="I136" s="109" t="inlineStr">
        <is>
          <t>SONORO KATE 100% Viscose Derived from Bamboo_Sheets Queen Size,4PC</t>
        </is>
      </c>
      <c r="J136" s="109" t="inlineStr">
        <is>
          <t>https://images-na.ssl-images-amazon.com/images/I/71HeTCWM4hL.jpg</t>
        </is>
      </c>
      <c r="K136" s="109" t="inlineStr">
        <is>
          <t>B0F29FQLFD</t>
        </is>
      </c>
      <c r="L136" s="109" t="inlineStr">
        <is>
          <t>B0F29F1JM5</t>
        </is>
      </c>
      <c r="M136" s="109" t="n">
        <v>42</v>
      </c>
      <c r="N136" s="109" t="n">
        <v>59.99</v>
      </c>
      <c r="O136" s="109" t="n"/>
      <c r="P136" s="109">
        <f>IF(AND(ISNUMBER(O136),ISNUMBER(N136),N(N136)&gt;0),O136/N136-1,"")</f>
        <v/>
      </c>
      <c r="Q136" s="109" t="n">
        <v>64.98999999999999</v>
      </c>
      <c r="R136" s="109">
        <f>IF(AND(ISNUMBER(N136),ISNUMBER(Q136),N(Q136)&gt;0),N136/Q136-1,"")</f>
        <v/>
      </c>
      <c r="S136" s="109" t="n">
        <v>23979</v>
      </c>
      <c r="T136" s="109" t="n">
        <v>81</v>
      </c>
      <c r="U136" s="109" t="n">
        <v>4.5</v>
      </c>
      <c r="V136" s="109" t="n">
        <v>3911</v>
      </c>
      <c r="W136" s="109" t="n">
        <v>114504</v>
      </c>
      <c r="X136" s="109" t="n">
        <v>0.8792897182631171</v>
      </c>
      <c r="Y136" s="109" t="n">
        <v>22</v>
      </c>
      <c r="Z136" s="109" t="n">
        <v>286</v>
      </c>
      <c r="AA136" s="109" t="n">
        <v>88</v>
      </c>
      <c r="AB136" s="109" t="n">
        <v>1.095271210013908</v>
      </c>
      <c r="AC136" s="109" t="inlineStr">
        <is>
          <t>US SL B6</t>
        </is>
      </c>
      <c r="AD136" s="109">
        <f>'US SL B6'!BC131</f>
        <v/>
      </c>
      <c r="AE136" s="109">
        <f>'US SL B6'!BF131</f>
        <v/>
      </c>
      <c r="AF136" s="109" t="inlineStr">
        <is>
          <t>Queen</t>
        </is>
      </c>
      <c r="AG136" s="109" t="n"/>
    </row>
    <row r="137">
      <c r="A137" s="109">
        <f>AND(OR(Dashboard!$C$4="All",Dashboard!$C$4=D137),OR(Dashboard!$C$5="All",Dashboard!$C$5=E137),OR(Dashboard!$C$6="All",Dashboard!$C$6=G137),OR(Dashboard!$C$7="All",Dashboard!$C$7=H137),OR(Dashboard!$C$8="All",Dashboard!$C$8=F137))</f>
        <v/>
      </c>
      <c r="B137" s="109">
        <f>IF(A137,B136+1,B136)</f>
        <v/>
      </c>
      <c r="C137" s="109" t="n">
        <v>32</v>
      </c>
      <c r="D137" s="109" t="inlineStr">
        <is>
          <t>SL B6</t>
        </is>
      </c>
      <c r="E137" s="109" t="inlineStr">
        <is>
          <t>US</t>
        </is>
      </c>
      <c r="F137" s="109" t="inlineStr">
        <is>
          <t>Bamboo</t>
        </is>
      </c>
      <c r="G137" s="109" t="inlineStr">
        <is>
          <t>DOZ by SIJO</t>
        </is>
      </c>
      <c r="H137" s="109" t="inlineStr">
        <is>
          <t>Beatable</t>
        </is>
      </c>
      <c r="I137" s="109" t="inlineStr">
        <is>
          <t>Bamboo Sheets</t>
        </is>
      </c>
      <c r="J137" s="109" t="inlineStr">
        <is>
          <t>https://images-na.ssl-images-amazon.com/images/I/710aWpCd4AL.jpg</t>
        </is>
      </c>
      <c r="K137" s="109" t="inlineStr">
        <is>
          <t>B0DCZGYVZ9</t>
        </is>
      </c>
      <c r="L137" s="109" t="inlineStr">
        <is>
          <t>B0F24TRXCZ</t>
        </is>
      </c>
      <c r="M137" s="109" t="n">
        <v>131</v>
      </c>
      <c r="N137" s="109" t="n">
        <v>55</v>
      </c>
      <c r="O137" s="109" t="n"/>
      <c r="P137" s="109">
        <f>IF(AND(ISNUMBER(O137),ISNUMBER(N137),N(N137)&gt;0),O137/N137-1,"")</f>
        <v/>
      </c>
      <c r="Q137" s="109" t="n">
        <v>64.98999999999999</v>
      </c>
      <c r="R137" s="109">
        <f>IF(AND(ISNUMBER(N137),ISNUMBER(Q137),N(Q137)&gt;0),N137/Q137-1,"")</f>
        <v/>
      </c>
      <c r="S137" s="109" t="n">
        <v>4051</v>
      </c>
      <c r="T137" s="109" t="n">
        <v>35</v>
      </c>
      <c r="U137" s="109" t="n">
        <v>4.4</v>
      </c>
      <c r="V137" s="109" t="n">
        <v>1909</v>
      </c>
      <c r="W137" s="109" t="n">
        <v>171534</v>
      </c>
      <c r="X137" s="109" t="n">
        <v>0.5544749851341424</v>
      </c>
      <c r="Y137" s="109" t="n">
        <v>33</v>
      </c>
      <c r="Z137" s="109" t="n">
        <v>341</v>
      </c>
      <c r="AA137" s="109" t="n">
        <v>820</v>
      </c>
      <c r="AB137" s="109" t="n"/>
      <c r="AC137" s="109" t="inlineStr">
        <is>
          <t>US SL B6</t>
        </is>
      </c>
      <c r="AD137" s="109">
        <f>'US SL B6'!BC132</f>
        <v/>
      </c>
      <c r="AE137" s="109">
        <f>'US SL B6'!BF132</f>
        <v/>
      </c>
      <c r="AF137" s="109" t="n"/>
      <c r="AG137" s="109" t="n"/>
    </row>
    <row r="138">
      <c r="A138" s="109">
        <f>AND(OR(Dashboard!$C$4="All",Dashboard!$C$4=D138),OR(Dashboard!$C$5="All",Dashboard!$C$5=E138),OR(Dashboard!$C$6="All",Dashboard!$C$6=G138),OR(Dashboard!$C$7="All",Dashboard!$C$7=H138),OR(Dashboard!$C$8="All",Dashboard!$C$8=F138))</f>
        <v/>
      </c>
      <c r="B138" s="109">
        <f>IF(A138,B137+1,B137)</f>
        <v/>
      </c>
      <c r="C138" s="109" t="n">
        <v>32</v>
      </c>
      <c r="D138" s="109" t="inlineStr">
        <is>
          <t>SL B6</t>
        </is>
      </c>
      <c r="E138" s="109" t="inlineStr">
        <is>
          <t>US</t>
        </is>
      </c>
      <c r="F138" s="109" t="inlineStr">
        <is>
          <t>Bamboo</t>
        </is>
      </c>
      <c r="G138" s="109" t="inlineStr">
        <is>
          <t>AiAngu</t>
        </is>
      </c>
      <c r="H138" s="109" t="inlineStr">
        <is>
          <t>Poor</t>
        </is>
      </c>
      <c r="I138" s="109" t="inlineStr">
        <is>
          <t>Bamboo Sheets</t>
        </is>
      </c>
      <c r="J138" s="109" t="n"/>
      <c r="K138" s="109" t="inlineStr">
        <is>
          <t>B0H3KP6R9B</t>
        </is>
      </c>
      <c r="L138" s="109" t="inlineStr">
        <is>
          <t>B0GX15Y7TT</t>
        </is>
      </c>
      <c r="M138" s="109" t="n"/>
      <c r="N138" s="109" t="n">
        <v>74.98999999999999</v>
      </c>
      <c r="O138" s="109" t="n">
        <v>79.98999999999999</v>
      </c>
      <c r="P138" s="109">
        <f>IF(AND(ISNUMBER(O138),ISNUMBER(N138),N(N138)&gt;0),O138/N138-1,"")</f>
        <v/>
      </c>
      <c r="Q138" s="109" t="n">
        <v>64.98999999999999</v>
      </c>
      <c r="R138" s="109">
        <f>IF(AND(ISNUMBER(N138),ISNUMBER(Q138),N(Q138)&gt;0),N138/Q138-1,"")</f>
        <v/>
      </c>
      <c r="S138" s="109" t="n">
        <v>39296</v>
      </c>
      <c r="T138" s="109" t="n">
        <v>81</v>
      </c>
      <c r="U138" s="109" t="n">
        <v>4.6</v>
      </c>
      <c r="V138" s="109" t="n">
        <v>121</v>
      </c>
      <c r="W138" s="109" t="n"/>
      <c r="X138" s="109" t="n"/>
      <c r="Y138" s="109" t="n"/>
      <c r="Z138" s="109" t="n"/>
      <c r="AA138" s="109" t="n"/>
      <c r="AB138" s="109" t="n"/>
      <c r="AC138" s="109" t="inlineStr">
        <is>
          <t>US SL B6</t>
        </is>
      </c>
      <c r="AD138" s="109">
        <f>'US SL B6'!BC133</f>
        <v/>
      </c>
      <c r="AE138" s="109">
        <f>'US SL B6'!BF133</f>
        <v/>
      </c>
      <c r="AF138" s="109" t="n"/>
      <c r="AG138" s="109" t="n"/>
    </row>
    <row r="139">
      <c r="A139" s="109">
        <f>AND(OR(Dashboard!$C$4="All",Dashboard!$C$4=D139),OR(Dashboard!$C$5="All",Dashboard!$C$5=E139),OR(Dashboard!$C$6="All",Dashboard!$C$6=G139),OR(Dashboard!$C$7="All",Dashboard!$C$7=H139),OR(Dashboard!$C$8="All",Dashboard!$C$8=F139))</f>
        <v/>
      </c>
      <c r="B139" s="109">
        <f>IF(A139,B138+1,B138)</f>
        <v/>
      </c>
      <c r="C139" s="109" t="n">
        <v>32</v>
      </c>
      <c r="D139" s="109" t="inlineStr">
        <is>
          <t>SL B6</t>
        </is>
      </c>
      <c r="E139" s="109" t="inlineStr">
        <is>
          <t>US</t>
        </is>
      </c>
      <c r="F139" s="109" t="inlineStr">
        <is>
          <t>Bamboo</t>
        </is>
      </c>
      <c r="G139" s="109" t="inlineStr">
        <is>
          <t>Cariloha</t>
        </is>
      </c>
      <c r="H139" s="109" t="inlineStr">
        <is>
          <t>Poor</t>
        </is>
      </c>
      <c r="I139" s="109" t="inlineStr">
        <is>
          <t>Cariloha Aloha Soft Bamboo Viscose Sheet Set - Natural - Queen</t>
        </is>
      </c>
      <c r="J139" s="109" t="inlineStr">
        <is>
          <t>https://images-na.ssl-images-amazon.com/images/I/71Kvq1YdGJL.jpg</t>
        </is>
      </c>
      <c r="K139" s="109" t="inlineStr">
        <is>
          <t>B0F89K7BXJ</t>
        </is>
      </c>
      <c r="L139" s="109" t="inlineStr">
        <is>
          <t>B0DJV1K332</t>
        </is>
      </c>
      <c r="M139" s="109" t="n">
        <v>35</v>
      </c>
      <c r="N139" s="109" t="n">
        <v>107.1</v>
      </c>
      <c r="O139" s="109" t="n"/>
      <c r="P139" s="109">
        <f>IF(AND(ISNUMBER(O139),ISNUMBER(N139),N(N139)&gt;0),O139/N139-1,"")</f>
        <v/>
      </c>
      <c r="Q139" s="109" t="n">
        <v>64.98999999999999</v>
      </c>
      <c r="R139" s="109">
        <f>IF(AND(ISNUMBER(N139),ISNUMBER(Q139),N(Q139)&gt;0),N139/Q139-1,"")</f>
        <v/>
      </c>
      <c r="S139" s="109" t="n">
        <v>15882</v>
      </c>
      <c r="T139" s="109" t="n">
        <v>81</v>
      </c>
      <c r="U139" s="109" t="n">
        <v>4.4</v>
      </c>
      <c r="V139" s="109" t="n">
        <v>426</v>
      </c>
      <c r="W139" s="109" t="n"/>
      <c r="X139" s="109" t="n"/>
      <c r="Y139" s="109" t="n"/>
      <c r="Z139" s="109" t="n"/>
      <c r="AA139" s="109" t="n"/>
      <c r="AB139" s="109" t="n"/>
      <c r="AC139" s="109" t="inlineStr">
        <is>
          <t>US SL B6</t>
        </is>
      </c>
      <c r="AD139" s="109">
        <f>'US SL B6'!BC134</f>
        <v/>
      </c>
      <c r="AE139" s="109">
        <f>'US SL B6'!BF134</f>
        <v/>
      </c>
      <c r="AF139" s="109" t="inlineStr">
        <is>
          <t>Queen</t>
        </is>
      </c>
      <c r="AG139" s="109" t="n"/>
    </row>
    <row r="140">
      <c r="A140" s="109">
        <f>AND(OR(Dashboard!$C$4="All",Dashboard!$C$4=D140),OR(Dashboard!$C$5="All",Dashboard!$C$5=E140),OR(Dashboard!$C$6="All",Dashboard!$C$6=G140),OR(Dashboard!$C$7="All",Dashboard!$C$7=H140),OR(Dashboard!$C$8="All",Dashboard!$C$8=F140))</f>
        <v/>
      </c>
      <c r="B140" s="109">
        <f>IF(A140,B139+1,B139)</f>
        <v/>
      </c>
      <c r="C140" s="109" t="n">
        <v>32</v>
      </c>
      <c r="D140" s="109" t="inlineStr">
        <is>
          <t>SL B6</t>
        </is>
      </c>
      <c r="E140" s="109" t="inlineStr">
        <is>
          <t>US</t>
        </is>
      </c>
      <c r="F140" s="109" t="inlineStr">
        <is>
          <t>Bamboo</t>
        </is>
      </c>
      <c r="G140" s="109" t="inlineStr">
        <is>
          <t>ACCURATEX</t>
        </is>
      </c>
      <c r="H140" s="109" t="inlineStr">
        <is>
          <t>Poor</t>
        </is>
      </c>
      <c r="I140" s="109" t="inlineStr">
        <is>
          <t>ACCURATEX Cooling Sheets for Hot Sleepers, King Size, Grey</t>
        </is>
      </c>
      <c r="J140" s="109" t="inlineStr">
        <is>
          <t>https://images-na.ssl-images-amazon.com/images/I/81fSDKgL-SL.jpg</t>
        </is>
      </c>
      <c r="K140" s="109" t="inlineStr">
        <is>
          <t>B0GMGSMLQ1</t>
        </is>
      </c>
      <c r="L140" s="109" t="inlineStr">
        <is>
          <t>B09PYB9C45</t>
        </is>
      </c>
      <c r="M140" s="109" t="n">
        <v>51</v>
      </c>
      <c r="N140" s="109" t="n">
        <v>69.98999999999999</v>
      </c>
      <c r="O140" s="109" t="n"/>
      <c r="P140" s="109">
        <f>IF(AND(ISNUMBER(O140),ISNUMBER(N140),N(N140)&gt;0),O140/N140-1,"")</f>
        <v/>
      </c>
      <c r="Q140" s="109" t="n">
        <v>69.98999999999999</v>
      </c>
      <c r="R140" s="109">
        <f>IF(AND(ISNUMBER(N140),ISNUMBER(Q140),N(Q140)&gt;0),N140/Q140-1,"")</f>
        <v/>
      </c>
      <c r="S140" s="109" t="n">
        <v>33423</v>
      </c>
      <c r="T140" s="109" t="n">
        <v>35</v>
      </c>
      <c r="U140" s="109" t="n">
        <v>4.4</v>
      </c>
      <c r="V140" s="109" t="n">
        <v>1040</v>
      </c>
      <c r="W140" s="109" t="n"/>
      <c r="X140" s="109" t="n"/>
      <c r="Y140" s="109" t="n"/>
      <c r="Z140" s="109" t="n"/>
      <c r="AA140" s="109" t="n"/>
      <c r="AB140" s="109" t="n"/>
      <c r="AC140" s="109" t="inlineStr">
        <is>
          <t>US SL B6</t>
        </is>
      </c>
      <c r="AD140" s="109">
        <f>'US SL B6'!BC135</f>
        <v/>
      </c>
      <c r="AE140" s="109">
        <f>'US SL B6'!BF135</f>
        <v/>
      </c>
      <c r="AF140" s="109" t="inlineStr">
        <is>
          <t>King</t>
        </is>
      </c>
      <c r="AG140" s="109" t="inlineStr">
        <is>
          <t>Grey</t>
        </is>
      </c>
    </row>
    <row r="141">
      <c r="A141" s="109">
        <f>AND(OR(Dashboard!$C$4="All",Dashboard!$C$4=D141),OR(Dashboard!$C$5="All",Dashboard!$C$5=E141),OR(Dashboard!$C$6="All",Dashboard!$C$6=G141),OR(Dashboard!$C$7="All",Dashboard!$C$7=H141),OR(Dashboard!$C$8="All",Dashboard!$C$8=F141))</f>
        <v/>
      </c>
      <c r="B141" s="109">
        <f>IF(A141,B140+1,B140)</f>
        <v/>
      </c>
      <c r="C141" s="109" t="n">
        <v>32</v>
      </c>
      <c r="D141" s="109" t="inlineStr">
        <is>
          <t>SL B6</t>
        </is>
      </c>
      <c r="E141" s="109" t="inlineStr">
        <is>
          <t>US</t>
        </is>
      </c>
      <c r="F141" s="109" t="inlineStr">
        <is>
          <t>Bamboo</t>
        </is>
      </c>
      <c r="G141" s="109" t="inlineStr">
        <is>
          <t>Cozy Earth</t>
        </is>
      </c>
      <c r="H141" s="109" t="inlineStr">
        <is>
          <t>Poor</t>
        </is>
      </c>
      <c r="I141" s="109" t="inlineStr">
        <is>
          <t>Cozy Earth Luxury Bed Sheet Set, 100% Viscose from Bamboo Fabric</t>
        </is>
      </c>
      <c r="J141" s="109" t="inlineStr">
        <is>
          <t>https://images-na.ssl-images-amazon.com/images/I/61NbNWE+BJL.jpg</t>
        </is>
      </c>
      <c r="K141" s="109" t="inlineStr">
        <is>
          <t>B0DSQ9V4ML</t>
        </is>
      </c>
      <c r="L141" s="109" t="inlineStr">
        <is>
          <t>B0F22JR4S8</t>
        </is>
      </c>
      <c r="M141" s="109" t="n">
        <v>54</v>
      </c>
      <c r="N141" s="109" t="n">
        <v>328</v>
      </c>
      <c r="O141" s="109" t="n"/>
      <c r="P141" s="109">
        <f>IF(AND(ISNUMBER(O141),ISNUMBER(N141),N(N141)&gt;0),O141/N141-1,"")</f>
        <v/>
      </c>
      <c r="Q141" s="109" t="n">
        <v>64.98999999999999</v>
      </c>
      <c r="R141" s="109">
        <f>IF(AND(ISNUMBER(N141),ISNUMBER(Q141),N(Q141)&gt;0),N141/Q141-1,"")</f>
        <v/>
      </c>
      <c r="S141" s="109" t="n">
        <v>45709</v>
      </c>
      <c r="T141" s="109" t="n">
        <v>35</v>
      </c>
      <c r="U141" s="109" t="n">
        <v>3.9</v>
      </c>
      <c r="V141" s="109" t="n">
        <v>425</v>
      </c>
      <c r="W141" s="109" t="n"/>
      <c r="X141" s="109" t="n"/>
      <c r="Y141" s="109" t="n"/>
      <c r="Z141" s="109" t="n"/>
      <c r="AA141" s="109" t="n"/>
      <c r="AB141" s="109" t="n"/>
      <c r="AC141" s="109" t="inlineStr">
        <is>
          <t>US SL B6</t>
        </is>
      </c>
      <c r="AD141" s="109">
        <f>'US SL B6'!BC136</f>
        <v/>
      </c>
      <c r="AE141" s="109">
        <f>'US SL B6'!BF136</f>
        <v/>
      </c>
      <c r="AF141" s="109" t="n"/>
      <c r="AG141" s="109" t="n"/>
    </row>
    <row r="142">
      <c r="A142" s="109">
        <f>AND(OR(Dashboard!$C$4="All",Dashboard!$C$4=D142),OR(Dashboard!$C$5="All",Dashboard!$C$5=E142),OR(Dashboard!$C$6="All",Dashboard!$C$6=G142),OR(Dashboard!$C$7="All",Dashboard!$C$7=H142),OR(Dashboard!$C$8="All",Dashboard!$C$8=F142))</f>
        <v/>
      </c>
      <c r="B142" s="109">
        <f>IF(A142,B141+1,B141)</f>
        <v/>
      </c>
      <c r="C142" s="109" t="n">
        <v>32</v>
      </c>
      <c r="D142" s="109" t="inlineStr">
        <is>
          <t>SL B6</t>
        </is>
      </c>
      <c r="E142" s="109" t="inlineStr">
        <is>
          <t>US</t>
        </is>
      </c>
      <c r="F142" s="109" t="inlineStr">
        <is>
          <t>Bamboo</t>
        </is>
      </c>
      <c r="G142" s="109" t="inlineStr">
        <is>
          <t>DREAMCARE</t>
        </is>
      </c>
      <c r="H142" s="109" t="inlineStr">
        <is>
          <t>Poor</t>
        </is>
      </c>
      <c r="I142" s="109" t="inlineStr">
        <is>
          <t>DREAMCARE 100% Rayon Bamboo Sheets King Size - 4pc Cooling Sheets King Size</t>
        </is>
      </c>
      <c r="J142" s="109" t="inlineStr">
        <is>
          <t>https://images-na.ssl-images-amazon.com/images/I/61iqSV9TaLL.jpg</t>
        </is>
      </c>
      <c r="K142" s="109" t="inlineStr">
        <is>
          <t>B0DVZFLVMG</t>
        </is>
      </c>
      <c r="L142" s="109" t="inlineStr">
        <is>
          <t>B0CF2MND41</t>
        </is>
      </c>
      <c r="M142" s="109" t="n">
        <v>30</v>
      </c>
      <c r="N142" s="109" t="n">
        <v>46.74</v>
      </c>
      <c r="O142" s="109" t="n">
        <v>59.99</v>
      </c>
      <c r="P142" s="109">
        <f>IF(AND(ISNUMBER(O142),ISNUMBER(N142),N(N142)&gt;0),O142/N142-1,"")</f>
        <v/>
      </c>
      <c r="Q142" s="109" t="n">
        <v>69.98999999999999</v>
      </c>
      <c r="R142" s="109">
        <f>IF(AND(ISNUMBER(N142),ISNUMBER(Q142),N(Q142)&gt;0),N142/Q142-1,"")</f>
        <v/>
      </c>
      <c r="S142" s="109" t="n">
        <v>37217</v>
      </c>
      <c r="T142" s="109" t="n">
        <v>35</v>
      </c>
      <c r="U142" s="109" t="n">
        <v>4.5</v>
      </c>
      <c r="V142" s="109" t="n">
        <v>2261</v>
      </c>
      <c r="W142" s="109" t="n"/>
      <c r="X142" s="109" t="n"/>
      <c r="Y142" s="109" t="n"/>
      <c r="Z142" s="109" t="n"/>
      <c r="AA142" s="109" t="n"/>
      <c r="AB142" s="109" t="n"/>
      <c r="AC142" s="109" t="inlineStr">
        <is>
          <t>US SL B6</t>
        </is>
      </c>
      <c r="AD142" s="109">
        <f>'US SL B6'!BC137</f>
        <v/>
      </c>
      <c r="AE142" s="109">
        <f>'US SL B6'!BF137</f>
        <v/>
      </c>
      <c r="AF142" s="109" t="inlineStr">
        <is>
          <t>King</t>
        </is>
      </c>
      <c r="AG142" s="109" t="n"/>
    </row>
    <row r="143">
      <c r="A143" s="109">
        <f>AND(OR(Dashboard!$C$4="All",Dashboard!$C$4=D143),OR(Dashboard!$C$5="All",Dashboard!$C$5=E143),OR(Dashboard!$C$6="All",Dashboard!$C$6=G143),OR(Dashboard!$C$7="All",Dashboard!$C$7=H143),OR(Dashboard!$C$8="All",Dashboard!$C$8=F143))</f>
        <v/>
      </c>
      <c r="B143" s="109">
        <f>IF(A143,B142+1,B142)</f>
        <v/>
      </c>
      <c r="C143" s="109" t="n">
        <v>32</v>
      </c>
      <c r="D143" s="109" t="inlineStr">
        <is>
          <t>SL B6</t>
        </is>
      </c>
      <c r="E143" s="109" t="inlineStr">
        <is>
          <t>US</t>
        </is>
      </c>
      <c r="F143" s="109" t="inlineStr">
        <is>
          <t>Bamboo</t>
        </is>
      </c>
      <c r="G143" s="109" t="inlineStr">
        <is>
          <t>HOT SLEEPER SHEETS</t>
        </is>
      </c>
      <c r="H143" s="109" t="inlineStr">
        <is>
          <t>Poor</t>
        </is>
      </c>
      <c r="I143" s="109" t="inlineStr">
        <is>
          <t>Cooling Sheets Set Queen Size, Viscose Derived from Bamboo for Hot Sleepers | Deep Pocket Up to 16 Inch | Silky Soft &amp; Breathable Bedding - 4PC (Queen, Navy)</t>
        </is>
      </c>
      <c r="J143" s="109" t="inlineStr">
        <is>
          <t>https://images-na.ssl-images-amazon.com/images/I/81noqNc+ZjL.jpg</t>
        </is>
      </c>
      <c r="K143" s="109" t="inlineStr">
        <is>
          <t>B0DM3GDCTR</t>
        </is>
      </c>
      <c r="L143" s="109" t="inlineStr">
        <is>
          <t>B0D3XQM7DL</t>
        </is>
      </c>
      <c r="M143" s="109" t="n">
        <v>74</v>
      </c>
      <c r="N143" s="109" t="n">
        <v>51.29</v>
      </c>
      <c r="O143" s="109" t="n">
        <v>62.99</v>
      </c>
      <c r="P143" s="109">
        <f>IF(AND(ISNUMBER(O143),ISNUMBER(N143),N(N143)&gt;0),O143/N143-1,"")</f>
        <v/>
      </c>
      <c r="Q143" s="109" t="n">
        <v>64.98999999999999</v>
      </c>
      <c r="R143" s="109">
        <f>IF(AND(ISNUMBER(N143),ISNUMBER(Q143),N(Q143)&gt;0),N143/Q143-1,"")</f>
        <v/>
      </c>
      <c r="S143" s="109" t="n">
        <v>33959</v>
      </c>
      <c r="T143" s="109" t="n">
        <v>35</v>
      </c>
      <c r="U143" s="109" t="n">
        <v>4.4</v>
      </c>
      <c r="V143" s="109" t="n">
        <v>674</v>
      </c>
      <c r="W143" s="109" t="n"/>
      <c r="X143" s="109" t="n"/>
      <c r="Y143" s="109" t="n"/>
      <c r="Z143" s="109" t="n"/>
      <c r="AA143" s="109" t="n"/>
      <c r="AB143" s="109" t="n"/>
      <c r="AC143" s="109" t="inlineStr">
        <is>
          <t>US SL B6</t>
        </is>
      </c>
      <c r="AD143" s="109">
        <f>'US SL B6'!BC138</f>
        <v/>
      </c>
      <c r="AE143" s="109">
        <f>'US SL B6'!BF138</f>
        <v/>
      </c>
      <c r="AF143" s="109" t="inlineStr">
        <is>
          <t>Queen</t>
        </is>
      </c>
      <c r="AG143" s="109" t="inlineStr">
        <is>
          <t>Navy</t>
        </is>
      </c>
    </row>
    <row r="144">
      <c r="A144" s="109">
        <f>AND(OR(Dashboard!$C$4="All",Dashboard!$C$4=D144),OR(Dashboard!$C$5="All",Dashboard!$C$5=E144),OR(Dashboard!$C$6="All",Dashboard!$C$6=G144),OR(Dashboard!$C$7="All",Dashboard!$C$7=H144),OR(Dashboard!$C$8="All",Dashboard!$C$8=F144))</f>
        <v/>
      </c>
      <c r="B144" s="109">
        <f>IF(A144,B143+1,B143)</f>
        <v/>
      </c>
      <c r="C144" s="109" t="n">
        <v>32</v>
      </c>
      <c r="D144" s="109" t="inlineStr">
        <is>
          <t>SL B6</t>
        </is>
      </c>
      <c r="E144" s="109" t="inlineStr">
        <is>
          <t>US</t>
        </is>
      </c>
      <c r="F144" s="109" t="inlineStr">
        <is>
          <t>Bamboo</t>
        </is>
      </c>
      <c r="G144" s="109" t="inlineStr">
        <is>
          <t>Shilucheng</t>
        </is>
      </c>
      <c r="H144" s="109" t="inlineStr">
        <is>
          <t>Poor</t>
        </is>
      </c>
      <c r="I144" s="109" t="inlineStr">
        <is>
          <t>Shilucheng 100% Viscose Derived from Bamboo_ Sheets Queen Size 4pcs</t>
        </is>
      </c>
      <c r="J144" s="109" t="inlineStr">
        <is>
          <t>https://images-na.ssl-images-amazon.com/images/I/71+O+E9PlaL.jpg</t>
        </is>
      </c>
      <c r="K144" s="109" t="inlineStr">
        <is>
          <t>B09PYKYCCF</t>
        </is>
      </c>
      <c r="L144" s="109" t="inlineStr">
        <is>
          <t>B09PYKYCCF</t>
        </is>
      </c>
      <c r="M144" s="109" t="n">
        <v>79</v>
      </c>
      <c r="N144" s="109" t="n">
        <v>46.66</v>
      </c>
      <c r="O144" s="109" t="n">
        <v>54.9</v>
      </c>
      <c r="P144" s="109">
        <f>IF(AND(ISNUMBER(O144),ISNUMBER(N144),N(N144)&gt;0),O144/N144-1,"")</f>
        <v/>
      </c>
      <c r="Q144" s="109" t="n">
        <v>64.98999999999999</v>
      </c>
      <c r="R144" s="109">
        <f>IF(AND(ISNUMBER(N144),ISNUMBER(Q144),N(Q144)&gt;0),N144/Q144-1,"")</f>
        <v/>
      </c>
      <c r="S144" s="109" t="n">
        <v>26043</v>
      </c>
      <c r="T144" s="109" t="n">
        <v>35</v>
      </c>
      <c r="U144" s="109" t="n">
        <v>4.4</v>
      </c>
      <c r="V144" s="109" t="n">
        <v>6629</v>
      </c>
      <c r="W144" s="109" t="n"/>
      <c r="X144" s="109" t="n"/>
      <c r="Y144" s="109" t="n"/>
      <c r="Z144" s="109" t="n"/>
      <c r="AA144" s="109" t="n"/>
      <c r="AB144" s="109" t="n"/>
      <c r="AC144" s="109" t="inlineStr">
        <is>
          <t>US SL B6</t>
        </is>
      </c>
      <c r="AD144" s="109">
        <f>'US SL B6'!BC139</f>
        <v/>
      </c>
      <c r="AE144" s="109">
        <f>'US SL B6'!BF139</f>
        <v/>
      </c>
      <c r="AF144" s="109" t="inlineStr">
        <is>
          <t>Queen</t>
        </is>
      </c>
      <c r="AG144" s="109" t="n"/>
    </row>
    <row r="145">
      <c r="A145" s="109">
        <f>AND(OR(Dashboard!$C$4="All",Dashboard!$C$4=D145),OR(Dashboard!$C$5="All",Dashboard!$C$5=E145),OR(Dashboard!$C$6="All",Dashboard!$C$6=G145),OR(Dashboard!$C$7="All",Dashboard!$C$7=H145),OR(Dashboard!$C$8="All",Dashboard!$C$8=F145))</f>
        <v/>
      </c>
      <c r="B145" s="109">
        <f>IF(A145,B144+1,B144)</f>
        <v/>
      </c>
      <c r="C145" s="109" t="n">
        <v>32</v>
      </c>
      <c r="D145" s="109" t="inlineStr">
        <is>
          <t>SL B6</t>
        </is>
      </c>
      <c r="E145" s="109" t="inlineStr">
        <is>
          <t>US</t>
        </is>
      </c>
      <c r="F145" s="109" t="inlineStr">
        <is>
          <t>Bamboo</t>
        </is>
      </c>
      <c r="G145" s="109" t="inlineStr">
        <is>
          <t>Bamtek</t>
        </is>
      </c>
      <c r="H145" s="109" t="inlineStr">
        <is>
          <t>Poor</t>
        </is>
      </c>
      <c r="I145" s="109" t="inlineStr">
        <is>
          <t>Viscose Bamboo Sheets Queen Size 4PC Set - Cooling Bedding for Hot Sleepers with</t>
        </is>
      </c>
      <c r="J145" s="109" t="n"/>
      <c r="K145" s="109" t="inlineStr">
        <is>
          <t>B0CZHCZQZ3</t>
        </is>
      </c>
      <c r="L145" s="109" t="inlineStr">
        <is>
          <t>B09TQ6ZVKZ</t>
        </is>
      </c>
      <c r="M145" s="109" t="n"/>
      <c r="N145" s="109" t="n">
        <v>94.98999999999999</v>
      </c>
      <c r="O145" s="109" t="n"/>
      <c r="P145" s="109">
        <f>IF(AND(ISNUMBER(O145),ISNUMBER(N145),N(N145)&gt;0),O145/N145-1,"")</f>
        <v/>
      </c>
      <c r="Q145" s="109" t="n">
        <v>64.98999999999999</v>
      </c>
      <c r="R145" s="109">
        <f>IF(AND(ISNUMBER(N145),ISNUMBER(Q145),N(Q145)&gt;0),N145/Q145-1,"")</f>
        <v/>
      </c>
      <c r="S145" s="109" t="n">
        <v>79376</v>
      </c>
      <c r="T145" s="109" t="n">
        <v>18</v>
      </c>
      <c r="U145" s="109" t="n">
        <v>4.4</v>
      </c>
      <c r="V145" s="109" t="n">
        <v>641</v>
      </c>
      <c r="W145" s="109" t="n"/>
      <c r="X145" s="109" t="n"/>
      <c r="Y145" s="109" t="n"/>
      <c r="Z145" s="109" t="n"/>
      <c r="AA145" s="109" t="n"/>
      <c r="AB145" s="109" t="n"/>
      <c r="AC145" s="109" t="inlineStr">
        <is>
          <t>US SL B6</t>
        </is>
      </c>
      <c r="AD145" s="109">
        <f>'US SL B6'!BC140</f>
        <v/>
      </c>
      <c r="AE145" s="109">
        <f>'US SL B6'!BF140</f>
        <v/>
      </c>
      <c r="AF145" s="109" t="inlineStr">
        <is>
          <t>Queen</t>
        </is>
      </c>
      <c r="AG145" s="109" t="n"/>
    </row>
    <row r="146">
      <c r="A146" s="109">
        <f>AND(OR(Dashboard!$C$4="All",Dashboard!$C$4=D146),OR(Dashboard!$C$5="All",Dashboard!$C$5=E146),OR(Dashboard!$C$6="All",Dashboard!$C$6=G146),OR(Dashboard!$C$7="All",Dashboard!$C$7=H146),OR(Dashboard!$C$8="All",Dashboard!$C$8=F146))</f>
        <v/>
      </c>
      <c r="B146" s="109">
        <f>IF(A146,B145+1,B145)</f>
        <v/>
      </c>
      <c r="C146" s="109" t="n">
        <v>32</v>
      </c>
      <c r="D146" s="109" t="inlineStr">
        <is>
          <t>SL B6</t>
        </is>
      </c>
      <c r="E146" s="109" t="inlineStr">
        <is>
          <t>US</t>
        </is>
      </c>
      <c r="F146" s="109" t="inlineStr">
        <is>
          <t>Bamboo</t>
        </is>
      </c>
      <c r="G146" s="109" t="inlineStr">
        <is>
          <t>JSD</t>
        </is>
      </c>
      <c r="H146" s="109" t="inlineStr">
        <is>
          <t>Poor</t>
        </is>
      </c>
      <c r="I146" s="109" t="inlineStr">
        <is>
          <t>JSD Sage Green 100% Viscose Derived from Bamboo Cooling Sheet Set Queen</t>
        </is>
      </c>
      <c r="J146" s="109" t="inlineStr">
        <is>
          <t>https://images-na.ssl-images-amazon.com/images/I/61imzycbiwL.jpg</t>
        </is>
      </c>
      <c r="K146" s="109" t="inlineStr">
        <is>
          <t>B0DTY15N29</t>
        </is>
      </c>
      <c r="L146" s="109" t="inlineStr">
        <is>
          <t>B0DSZTLBV1</t>
        </is>
      </c>
      <c r="M146" s="109" t="n">
        <v>32</v>
      </c>
      <c r="N146" s="109" t="n">
        <v>56.99</v>
      </c>
      <c r="O146" s="109" t="n"/>
      <c r="P146" s="109">
        <f>IF(AND(ISNUMBER(O146),ISNUMBER(N146),N(N146)&gt;0),O146/N146-1,"")</f>
        <v/>
      </c>
      <c r="Q146" s="109" t="n">
        <v>64.98999999999999</v>
      </c>
      <c r="R146" s="109">
        <f>IF(AND(ISNUMBER(N146),ISNUMBER(Q146),N(Q146)&gt;0),N146/Q146-1,"")</f>
        <v/>
      </c>
      <c r="S146" s="109" t="n">
        <v>76312</v>
      </c>
      <c r="T146" s="109" t="n">
        <v>18</v>
      </c>
      <c r="U146" s="109" t="n">
        <v>4.3</v>
      </c>
      <c r="V146" s="109" t="n">
        <v>281</v>
      </c>
      <c r="W146" s="109" t="n"/>
      <c r="X146" s="109" t="n"/>
      <c r="Y146" s="109" t="n"/>
      <c r="Z146" s="109" t="n"/>
      <c r="AA146" s="109" t="n"/>
      <c r="AB146" s="109" t="n"/>
      <c r="AC146" s="109" t="inlineStr">
        <is>
          <t>US SL B6</t>
        </is>
      </c>
      <c r="AD146" s="109">
        <f>'US SL B6'!BC141</f>
        <v/>
      </c>
      <c r="AE146" s="109">
        <f>'US SL B6'!BF141</f>
        <v/>
      </c>
      <c r="AF146" s="109" t="inlineStr">
        <is>
          <t>Queen</t>
        </is>
      </c>
      <c r="AG146" s="109" t="inlineStr">
        <is>
          <t>Green</t>
        </is>
      </c>
    </row>
    <row r="147">
      <c r="A147" s="109">
        <f>AND(OR(Dashboard!$C$4="All",Dashboard!$C$4=D147),OR(Dashboard!$C$5="All",Dashboard!$C$5=E147),OR(Dashboard!$C$6="All",Dashboard!$C$6=G147),OR(Dashboard!$C$7="All",Dashboard!$C$7=H147),OR(Dashboard!$C$8="All",Dashboard!$C$8=F147))</f>
        <v/>
      </c>
      <c r="B147" s="109">
        <f>IF(A147,B146+1,B146)</f>
        <v/>
      </c>
      <c r="C147" s="109" t="n">
        <v>32</v>
      </c>
      <c r="D147" s="109" t="inlineStr">
        <is>
          <t>SL B6</t>
        </is>
      </c>
      <c r="E147" s="109" t="inlineStr">
        <is>
          <t>US</t>
        </is>
      </c>
      <c r="F147" s="109" t="inlineStr">
        <is>
          <t>Bamboo</t>
        </is>
      </c>
      <c r="G147" s="109" t="inlineStr">
        <is>
          <t>Kickoff Home</t>
        </is>
      </c>
      <c r="H147" s="109" t="inlineStr">
        <is>
          <t>Poor</t>
        </is>
      </c>
      <c r="I147" s="109" t="inlineStr">
        <is>
          <t>Bamboo Sheets</t>
        </is>
      </c>
      <c r="J147" s="109" t="inlineStr">
        <is>
          <t>https://images-na.ssl-images-amazon.com/images/I/71zrq2AtnUL.jpg</t>
        </is>
      </c>
      <c r="K147" s="109" t="inlineStr">
        <is>
          <t>B0D4KS4MVX</t>
        </is>
      </c>
      <c r="L147" s="109" t="inlineStr">
        <is>
          <t>B0CHN5ZPFH</t>
        </is>
      </c>
      <c r="M147" s="109" t="n">
        <v>106</v>
      </c>
      <c r="N147" s="109" t="n">
        <v>76.98999999999999</v>
      </c>
      <c r="O147" s="109" t="n">
        <v>84.98999999999999</v>
      </c>
      <c r="P147" s="109">
        <f>IF(AND(ISNUMBER(O147),ISNUMBER(N147),N(N147)&gt;0),O147/N147-1,"")</f>
        <v/>
      </c>
      <c r="Q147" s="109" t="n">
        <v>64.98999999999999</v>
      </c>
      <c r="R147" s="109">
        <f>IF(AND(ISNUMBER(N147),ISNUMBER(Q147),N(Q147)&gt;0),N147/Q147-1,"")</f>
        <v/>
      </c>
      <c r="S147" s="109" t="n">
        <v>23579</v>
      </c>
      <c r="T147" s="109" t="n">
        <v>18</v>
      </c>
      <c r="U147" s="109" t="n">
        <v>4.6</v>
      </c>
      <c r="V147" s="109" t="n">
        <v>688</v>
      </c>
      <c r="W147" s="109" t="n">
        <v>58169</v>
      </c>
      <c r="X147" s="109" t="n">
        <v>0.8765498702057799</v>
      </c>
      <c r="Y147" s="109" t="n">
        <v>54</v>
      </c>
      <c r="Z147" s="109" t="n">
        <v>236</v>
      </c>
      <c r="AA147" s="109" t="n">
        <v>117</v>
      </c>
      <c r="AB147" s="109" t="n"/>
      <c r="AC147" s="109" t="inlineStr">
        <is>
          <t>US SL B6</t>
        </is>
      </c>
      <c r="AD147" s="109">
        <f>'US SL B6'!BC142</f>
        <v/>
      </c>
      <c r="AE147" s="109">
        <f>'US SL B6'!BF142</f>
        <v/>
      </c>
      <c r="AF147" s="109" t="n"/>
      <c r="AG147" s="109" t="n"/>
    </row>
    <row r="148">
      <c r="A148" s="109">
        <f>AND(OR(Dashboard!$C$4="All",Dashboard!$C$4=D148),OR(Dashboard!$C$5="All",Dashboard!$C$5=E148),OR(Dashboard!$C$6="All",Dashboard!$C$6=G148),OR(Dashboard!$C$7="All",Dashboard!$C$7=H148),OR(Dashboard!$C$8="All",Dashboard!$C$8=F148))</f>
        <v/>
      </c>
      <c r="B148" s="109">
        <f>IF(A148,B147+1,B147)</f>
        <v/>
      </c>
      <c r="C148" s="109" t="n">
        <v>32</v>
      </c>
      <c r="D148" s="109" t="inlineStr">
        <is>
          <t>SL B6</t>
        </is>
      </c>
      <c r="E148" s="109" t="inlineStr">
        <is>
          <t>US</t>
        </is>
      </c>
      <c r="F148" s="109" t="inlineStr">
        <is>
          <t>Bamboo</t>
        </is>
      </c>
      <c r="G148" s="109" t="inlineStr">
        <is>
          <t>LB Luxury Bamboo Market</t>
        </is>
      </c>
      <c r="H148" s="109" t="inlineStr">
        <is>
          <t>Poor</t>
        </is>
      </c>
      <c r="I148" s="109" t="inlineStr">
        <is>
          <t>Bamboo Sheets</t>
        </is>
      </c>
      <c r="J148" s="109" t="n"/>
      <c r="K148" s="109" t="inlineStr">
        <is>
          <t>B0D1HWHDL2</t>
        </is>
      </c>
      <c r="L148" s="109" t="inlineStr">
        <is>
          <t>B0CH7N9WVC</t>
        </is>
      </c>
      <c r="M148" s="109" t="n"/>
      <c r="N148" s="109" t="n">
        <v>129.94</v>
      </c>
      <c r="O148" s="109" t="n"/>
      <c r="P148" s="109">
        <f>IF(AND(ISNUMBER(O148),ISNUMBER(N148),N(N148)&gt;0),O148/N148-1,"")</f>
        <v/>
      </c>
      <c r="Q148" s="109" t="n">
        <v>64.98999999999999</v>
      </c>
      <c r="R148" s="109">
        <f>IF(AND(ISNUMBER(N148),ISNUMBER(Q148),N(Q148)&gt;0),N148/Q148-1,"")</f>
        <v/>
      </c>
      <c r="S148" s="109" t="n">
        <v>47800</v>
      </c>
      <c r="T148" s="109" t="n">
        <v>18</v>
      </c>
      <c r="U148" s="109" t="n">
        <v>4.5</v>
      </c>
      <c r="V148" s="109" t="n">
        <v>517</v>
      </c>
      <c r="W148" s="109" t="n"/>
      <c r="X148" s="109" t="n"/>
      <c r="Y148" s="109" t="n"/>
      <c r="Z148" s="109" t="n"/>
      <c r="AA148" s="109" t="n"/>
      <c r="AB148" s="109" t="n"/>
      <c r="AC148" s="109" t="inlineStr">
        <is>
          <t>US SL B6</t>
        </is>
      </c>
      <c r="AD148" s="109">
        <f>'US SL B6'!BC143</f>
        <v/>
      </c>
      <c r="AE148" s="109">
        <f>'US SL B6'!BF143</f>
        <v/>
      </c>
      <c r="AF148" s="109" t="n"/>
      <c r="AG148" s="109" t="n"/>
    </row>
    <row r="149">
      <c r="A149" s="109">
        <f>AND(OR(Dashboard!$C$4="All",Dashboard!$C$4=D149),OR(Dashboard!$C$5="All",Dashboard!$C$5=E149),OR(Dashboard!$C$6="All",Dashboard!$C$6=G149),OR(Dashboard!$C$7="All",Dashboard!$C$7=H149),OR(Dashboard!$C$8="All",Dashboard!$C$8=F149))</f>
        <v/>
      </c>
      <c r="B149" s="109">
        <f>IF(A149,B148+1,B148)</f>
        <v/>
      </c>
      <c r="C149" s="109" t="n">
        <v>32</v>
      </c>
      <c r="D149" s="109" t="inlineStr">
        <is>
          <t>SL B6</t>
        </is>
      </c>
      <c r="E149" s="109" t="inlineStr">
        <is>
          <t>US</t>
        </is>
      </c>
      <c r="F149" s="109" t="inlineStr">
        <is>
          <t>Bamboo</t>
        </is>
      </c>
      <c r="G149" s="109" t="inlineStr">
        <is>
          <t>Shilucheng</t>
        </is>
      </c>
      <c r="H149" s="109" t="inlineStr">
        <is>
          <t>Poor</t>
        </is>
      </c>
      <c r="I149" s="109" t="inlineStr">
        <is>
          <t>Shilucheng 100% Viscose Derived from Bamboo_Sheets, Extra Deep Pocket</t>
        </is>
      </c>
      <c r="J149" s="109" t="inlineStr">
        <is>
          <t>https://images-na.ssl-images-amazon.com/images/I/71NxE1i+4jL.jpg</t>
        </is>
      </c>
      <c r="K149" s="109" t="inlineStr">
        <is>
          <t>B0F2TBWTZR</t>
        </is>
      </c>
      <c r="L149" s="109" t="inlineStr">
        <is>
          <t>B0F2TBWTZR</t>
        </is>
      </c>
      <c r="M149" s="109" t="n">
        <v>32</v>
      </c>
      <c r="N149" s="109" t="n">
        <v>69.98999999999999</v>
      </c>
      <c r="O149" s="109" t="n">
        <v>84.98999999999999</v>
      </c>
      <c r="P149" s="109">
        <f>IF(AND(ISNUMBER(O149),ISNUMBER(N149),N(N149)&gt;0),O149/N149-1,"")</f>
        <v/>
      </c>
      <c r="Q149" s="109" t="n">
        <v>64.98999999999999</v>
      </c>
      <c r="R149" s="109">
        <f>IF(AND(ISNUMBER(N149),ISNUMBER(Q149),N(Q149)&gt;0),N149/Q149-1,"")</f>
        <v/>
      </c>
      <c r="S149" s="109" t="n">
        <v>39194</v>
      </c>
      <c r="T149" s="109" t="n">
        <v>18</v>
      </c>
      <c r="U149" s="109" t="n">
        <v>4.5</v>
      </c>
      <c r="V149" s="109" t="n">
        <v>1639</v>
      </c>
      <c r="W149" s="109" t="n"/>
      <c r="X149" s="109" t="n"/>
      <c r="Y149" s="109" t="n"/>
      <c r="Z149" s="109" t="n"/>
      <c r="AA149" s="109" t="n"/>
      <c r="AB149" s="109" t="n"/>
      <c r="AC149" s="109" t="inlineStr">
        <is>
          <t>US SL B6</t>
        </is>
      </c>
      <c r="AD149" s="109">
        <f>'US SL B6'!BC144</f>
        <v/>
      </c>
      <c r="AE149" s="109">
        <f>'US SL B6'!BF144</f>
        <v/>
      </c>
      <c r="AF149" s="109" t="n"/>
      <c r="AG149" s="109" t="n"/>
    </row>
    <row r="150">
      <c r="A150" s="109">
        <f>AND(OR(Dashboard!$C$4="All",Dashboard!$C$4=D150),OR(Dashboard!$C$5="All",Dashboard!$C$5=E150),OR(Dashboard!$C$6="All",Dashboard!$C$6=G150),OR(Dashboard!$C$7="All",Dashboard!$C$7=H150),OR(Dashboard!$C$8="All",Dashboard!$C$8=F150))</f>
        <v/>
      </c>
      <c r="B150" s="109">
        <f>IF(A150,B149+1,B149)</f>
        <v/>
      </c>
      <c r="C150" s="109" t="n">
        <v>32</v>
      </c>
      <c r="D150" s="109" t="inlineStr">
        <is>
          <t>SL B6</t>
        </is>
      </c>
      <c r="E150" s="109" t="inlineStr">
        <is>
          <t>US</t>
        </is>
      </c>
      <c r="F150" s="109" t="inlineStr">
        <is>
          <t>Bamboo</t>
        </is>
      </c>
      <c r="G150" s="109" t="inlineStr">
        <is>
          <t>Bamboo Bay</t>
        </is>
      </c>
      <c r="H150" s="109" t="inlineStr">
        <is>
          <t>Poor</t>
        </is>
      </c>
      <c r="I150" s="109" t="inlineStr">
        <is>
          <t>Bamboo Sheets</t>
        </is>
      </c>
      <c r="J150" s="109" t="n"/>
      <c r="K150" s="109" t="inlineStr">
        <is>
          <t>B0DLF1SWJ5</t>
        </is>
      </c>
      <c r="L150" s="109" t="inlineStr">
        <is>
          <t>B07TBHLZJM</t>
        </is>
      </c>
      <c r="M150" s="109" t="n"/>
      <c r="N150" s="109" t="n">
        <v>79.98</v>
      </c>
      <c r="O150" s="109" t="n"/>
      <c r="P150" s="109">
        <f>IF(AND(ISNUMBER(O150),ISNUMBER(N150),N(N150)&gt;0),O150/N150-1,"")</f>
        <v/>
      </c>
      <c r="Q150" s="109" t="n">
        <v>64.98999999999999</v>
      </c>
      <c r="R150" s="109">
        <f>IF(AND(ISNUMBER(N150),ISNUMBER(Q150),N(Q150)&gt;0),N150/Q150-1,"")</f>
        <v/>
      </c>
      <c r="S150" s="109" t="n">
        <v>131083</v>
      </c>
      <c r="T150" s="109" t="n">
        <v>5</v>
      </c>
      <c r="U150" s="109" t="n">
        <v>4.5</v>
      </c>
      <c r="V150" s="109" t="n">
        <v>2691</v>
      </c>
      <c r="W150" s="109" t="n"/>
      <c r="X150" s="109" t="n"/>
      <c r="Y150" s="109" t="n"/>
      <c r="Z150" s="109" t="n"/>
      <c r="AA150" s="109" t="n"/>
      <c r="AB150" s="109" t="n"/>
      <c r="AC150" s="109" t="inlineStr">
        <is>
          <t>US SL B6</t>
        </is>
      </c>
      <c r="AD150" s="109">
        <f>'US SL B6'!BC145</f>
        <v/>
      </c>
      <c r="AE150" s="109">
        <f>'US SL B6'!BF145</f>
        <v/>
      </c>
      <c r="AF150" s="109" t="n"/>
      <c r="AG150" s="109" t="n"/>
    </row>
    <row r="151">
      <c r="A151" s="109">
        <f>AND(OR(Dashboard!$C$4="All",Dashboard!$C$4=D151),OR(Dashboard!$C$5="All",Dashboard!$C$5=E151),OR(Dashboard!$C$6="All",Dashboard!$C$6=G151),OR(Dashboard!$C$7="All",Dashboard!$C$7=H151),OR(Dashboard!$C$8="All",Dashboard!$C$8=F151))</f>
        <v/>
      </c>
      <c r="B151" s="109">
        <f>IF(A151,B150+1,B150)</f>
        <v/>
      </c>
      <c r="C151" s="109" t="n">
        <v>32</v>
      </c>
      <c r="D151" s="109" t="inlineStr">
        <is>
          <t>SL B6</t>
        </is>
      </c>
      <c r="E151" s="109" t="inlineStr">
        <is>
          <t>US</t>
        </is>
      </c>
      <c r="F151" s="109" t="inlineStr">
        <is>
          <t>Bamboo</t>
        </is>
      </c>
      <c r="G151" s="109" t="inlineStr">
        <is>
          <t>LBRO2M</t>
        </is>
      </c>
      <c r="H151" s="109" t="inlineStr">
        <is>
          <t>Poor</t>
        </is>
      </c>
      <c r="I151" s="109" t="inlineStr">
        <is>
          <t>LBRO2M Cooling Bed Sheet 100% Viscose Derived from Bamboo Sheet Set Queen Size 6</t>
        </is>
      </c>
      <c r="J151" s="109" t="n"/>
      <c r="K151" s="109" t="inlineStr">
        <is>
          <t>B0F9FK3L6J</t>
        </is>
      </c>
      <c r="L151" s="109" t="inlineStr">
        <is>
          <t>B0F9FK7SMW</t>
        </is>
      </c>
      <c r="M151" s="109" t="n"/>
      <c r="N151" s="109" t="n">
        <v>94.98999999999999</v>
      </c>
      <c r="O151" s="109" t="n"/>
      <c r="P151" s="109">
        <f>IF(AND(ISNUMBER(O151),ISNUMBER(N151),N(N151)&gt;0),O151/N151-1,"")</f>
        <v/>
      </c>
      <c r="Q151" s="109" t="n">
        <v>64.98999999999999</v>
      </c>
      <c r="R151" s="109">
        <f>IF(AND(ISNUMBER(N151),ISNUMBER(Q151),N(Q151)&gt;0),N151/Q151-1,"")</f>
        <v/>
      </c>
      <c r="S151" s="109" t="n">
        <v>1003118</v>
      </c>
      <c r="T151" s="109" t="n">
        <v>5</v>
      </c>
      <c r="U151" s="109" t="n">
        <v>4.4</v>
      </c>
      <c r="V151" s="109" t="n">
        <v>18</v>
      </c>
      <c r="W151" s="109" t="n"/>
      <c r="X151" s="109" t="n"/>
      <c r="Y151" s="109" t="n"/>
      <c r="Z151" s="109" t="n"/>
      <c r="AA151" s="109" t="n"/>
      <c r="AB151" s="109" t="n"/>
      <c r="AC151" s="109" t="inlineStr">
        <is>
          <t>US SL B6</t>
        </is>
      </c>
      <c r="AD151" s="109">
        <f>'US SL B6'!BC146</f>
        <v/>
      </c>
      <c r="AE151" s="109">
        <f>'US SL B6'!BF146</f>
        <v/>
      </c>
      <c r="AF151" s="109" t="inlineStr">
        <is>
          <t>Queen</t>
        </is>
      </c>
      <c r="AG151" s="109" t="n"/>
    </row>
    <row r="152">
      <c r="A152" s="109">
        <f>AND(OR(Dashboard!$C$4="All",Dashboard!$C$4=D152),OR(Dashboard!$C$5="All",Dashboard!$C$5=E152),OR(Dashboard!$C$6="All",Dashboard!$C$6=G152),OR(Dashboard!$C$7="All",Dashboard!$C$7=H152),OR(Dashboard!$C$8="All",Dashboard!$C$8=F152))</f>
        <v/>
      </c>
      <c r="B152" s="109">
        <f>IF(A152,B151+1,B151)</f>
        <v/>
      </c>
      <c r="C152" s="109" t="n">
        <v>32</v>
      </c>
      <c r="D152" s="109" t="inlineStr">
        <is>
          <t>SL B6</t>
        </is>
      </c>
      <c r="E152" s="109" t="inlineStr">
        <is>
          <t>US</t>
        </is>
      </c>
      <c r="F152" s="109" t="inlineStr">
        <is>
          <t>Bamboo</t>
        </is>
      </c>
      <c r="G152" s="109" t="inlineStr">
        <is>
          <t>TWK</t>
        </is>
      </c>
      <c r="H152" s="109" t="inlineStr">
        <is>
          <t>Poor</t>
        </is>
      </c>
      <c r="I152" s="109" t="inlineStr">
        <is>
          <t>TWK Luxury Sheet Set, Genuine 100% Organic Viscose Derived from Bamboo, Cooling &amp; Breathable, Silky Soft, Bedding Sheets &amp; Pillowcases (Mist Gray, King)</t>
        </is>
      </c>
      <c r="J152" s="109" t="inlineStr">
        <is>
          <t>https://images-na.ssl-images-amazon.com/images/I/71gw0WpuNuL.jpg</t>
        </is>
      </c>
      <c r="K152" s="109" t="inlineStr">
        <is>
          <t>B0DYT2QWLC</t>
        </is>
      </c>
      <c r="L152" s="109" t="inlineStr">
        <is>
          <t>B0DYT2QWLC</t>
        </is>
      </c>
      <c r="M152" s="109" t="n">
        <v>1</v>
      </c>
      <c r="N152" s="109" t="n">
        <v>109.99</v>
      </c>
      <c r="O152" s="109" t="n"/>
      <c r="P152" s="109">
        <f>IF(AND(ISNUMBER(O152),ISNUMBER(N152),N(N152)&gt;0),O152/N152-1,"")</f>
        <v/>
      </c>
      <c r="Q152" s="109" t="n">
        <v>69.98999999999999</v>
      </c>
      <c r="R152" s="109">
        <f>IF(AND(ISNUMBER(N152),ISNUMBER(Q152),N(Q152)&gt;0),N152/Q152-1,"")</f>
        <v/>
      </c>
      <c r="S152" s="109" t="n">
        <v>1506045</v>
      </c>
      <c r="T152" s="109" t="n">
        <v>5</v>
      </c>
      <c r="U152" s="109" t="n">
        <v>4.5</v>
      </c>
      <c r="V152" s="109" t="n">
        <v>39</v>
      </c>
      <c r="W152" s="109" t="n"/>
      <c r="X152" s="109" t="n"/>
      <c r="Y152" s="109" t="n"/>
      <c r="Z152" s="109" t="n"/>
      <c r="AA152" s="109" t="n"/>
      <c r="AB152" s="109" t="n"/>
      <c r="AC152" s="109" t="inlineStr">
        <is>
          <t>US SL B6</t>
        </is>
      </c>
      <c r="AD152" s="109">
        <f>'US SL B6'!BC147</f>
        <v/>
      </c>
      <c r="AE152" s="109">
        <f>'US SL B6'!BF147</f>
        <v/>
      </c>
      <c r="AF152" s="109" t="inlineStr">
        <is>
          <t>King</t>
        </is>
      </c>
      <c r="AG152" s="109" t="inlineStr">
        <is>
          <t>Mist Gray</t>
        </is>
      </c>
    </row>
    <row r="153">
      <c r="A153" s="109">
        <f>AND(OR(Dashboard!$C$4="All",Dashboard!$C$4=D153),OR(Dashboard!$C$5="All",Dashboard!$C$5=E153),OR(Dashboard!$C$6="All",Dashboard!$C$6=G153),OR(Dashboard!$C$7="All",Dashboard!$C$7=H153),OR(Dashboard!$C$8="All",Dashboard!$C$8=F153))</f>
        <v/>
      </c>
      <c r="B153" s="109">
        <f>IF(A153,B152+1,B152)</f>
        <v/>
      </c>
      <c r="C153" s="109" t="n">
        <v>32</v>
      </c>
      <c r="D153" s="109" t="inlineStr">
        <is>
          <t>SL B6</t>
        </is>
      </c>
      <c r="E153" s="109" t="inlineStr">
        <is>
          <t>US</t>
        </is>
      </c>
      <c r="F153" s="109" t="inlineStr">
        <is>
          <t>Bamboo</t>
        </is>
      </c>
      <c r="G153" s="109" t="inlineStr">
        <is>
          <t>TWK</t>
        </is>
      </c>
      <c r="H153" s="109" t="inlineStr">
        <is>
          <t>Poor</t>
        </is>
      </c>
      <c r="I153" s="109" t="inlineStr">
        <is>
          <t>TWK Luxury Sheet Set, Genuine 100% Viscose Derived from Bamboo, Cooling &amp; Breathable, Silky Soft, Bedding Sheets &amp; Pillowcases (White, King(78 * 80 * 15))</t>
        </is>
      </c>
      <c r="J153" s="109" t="inlineStr">
        <is>
          <t>https://images-na.ssl-images-amazon.com/images/I/71YlZk0Q9-L.jpg</t>
        </is>
      </c>
      <c r="K153" s="109" t="inlineStr">
        <is>
          <t>B0GVP3B7LS</t>
        </is>
      </c>
      <c r="L153" s="109" t="inlineStr">
        <is>
          <t>B0GVP3B7LS</t>
        </is>
      </c>
      <c r="M153" s="109" t="n">
        <v>1</v>
      </c>
      <c r="N153" s="109" t="n">
        <v>46.74</v>
      </c>
      <c r="O153" s="109" t="n"/>
      <c r="P153" s="109">
        <f>IF(AND(ISNUMBER(O153),ISNUMBER(N153),N(N153)&gt;0),O153/N153-1,"")</f>
        <v/>
      </c>
      <c r="Q153" s="109" t="n">
        <v>69.98999999999999</v>
      </c>
      <c r="R153" s="109">
        <f>IF(AND(ISNUMBER(N153),ISNUMBER(Q153),N(Q153)&gt;0),N153/Q153-1,"")</f>
        <v/>
      </c>
      <c r="S153" s="109" t="n">
        <v>2065761</v>
      </c>
      <c r="T153" s="109" t="n">
        <v>5</v>
      </c>
      <c r="U153" s="109" t="n">
        <v>4.5</v>
      </c>
      <c r="V153" s="109" t="n">
        <v>11</v>
      </c>
      <c r="W153" s="109" t="n"/>
      <c r="X153" s="109" t="n"/>
      <c r="Y153" s="109" t="n"/>
      <c r="Z153" s="109" t="n"/>
      <c r="AA153" s="109" t="n"/>
      <c r="AB153" s="109" t="n"/>
      <c r="AC153" s="109" t="inlineStr">
        <is>
          <t>US SL B6</t>
        </is>
      </c>
      <c r="AD153" s="109">
        <f>'US SL B6'!BC148</f>
        <v/>
      </c>
      <c r="AE153" s="109">
        <f>'US SL B6'!BF148</f>
        <v/>
      </c>
      <c r="AF153" s="109" t="inlineStr">
        <is>
          <t>King</t>
        </is>
      </c>
      <c r="AG153" s="109" t="inlineStr">
        <is>
          <t>White</t>
        </is>
      </c>
    </row>
    <row r="154">
      <c r="A154" s="109">
        <f>AND(OR(Dashboard!$C$4="All",Dashboard!$C$4=D154),OR(Dashboard!$C$5="All",Dashboard!$C$5=E154),OR(Dashboard!$C$6="All",Dashboard!$C$6=G154),OR(Dashboard!$C$7="All",Dashboard!$C$7=H154),OR(Dashboard!$C$8="All",Dashboard!$C$8=F154))</f>
        <v/>
      </c>
      <c r="B154" s="109">
        <f>IF(A154,B153+1,B153)</f>
        <v/>
      </c>
      <c r="C154" s="109" t="n">
        <v>32</v>
      </c>
      <c r="D154" s="109" t="inlineStr">
        <is>
          <t>SL B6</t>
        </is>
      </c>
      <c r="E154" s="109" t="inlineStr">
        <is>
          <t>US</t>
        </is>
      </c>
      <c r="F154" s="109" t="inlineStr">
        <is>
          <t>Bamboo</t>
        </is>
      </c>
      <c r="G154" s="109" t="inlineStr">
        <is>
          <t>TWK</t>
        </is>
      </c>
      <c r="H154" s="109" t="inlineStr">
        <is>
          <t>Poor</t>
        </is>
      </c>
      <c r="I154" s="109" t="inlineStr">
        <is>
          <t>4 Piece Bamboo Sheet Set</t>
        </is>
      </c>
      <c r="J154" s="109" t="n"/>
      <c r="K154" s="109" t="inlineStr">
        <is>
          <t>B0GKFHP6L6</t>
        </is>
      </c>
      <c r="L154" s="109" t="inlineStr">
        <is>
          <t>B0GW7H7RHY</t>
        </is>
      </c>
      <c r="M154" s="109" t="n"/>
      <c r="N154" s="109" t="n">
        <v>109.99</v>
      </c>
      <c r="O154" s="109" t="n"/>
      <c r="P154" s="109">
        <f>IF(AND(ISNUMBER(O154),ISNUMBER(N154),N(N154)&gt;0),O154/N154-1,"")</f>
        <v/>
      </c>
      <c r="Q154" s="109" t="n">
        <v>64.98999999999999</v>
      </c>
      <c r="R154" s="109">
        <f>IF(AND(ISNUMBER(N154),ISNUMBER(Q154),N(Q154)&gt;0),N154/Q154-1,"")</f>
        <v/>
      </c>
      <c r="S154" s="109" t="n">
        <v>4355899</v>
      </c>
      <c r="T154" s="109" t="n">
        <v>5</v>
      </c>
      <c r="U154" s="109" t="n">
        <v>4.5</v>
      </c>
      <c r="V154" s="109" t="n">
        <v>2</v>
      </c>
      <c r="W154" s="109" t="n"/>
      <c r="X154" s="109" t="n"/>
      <c r="Y154" s="109" t="n"/>
      <c r="Z154" s="109" t="n"/>
      <c r="AA154" s="109" t="n"/>
      <c r="AB154" s="109" t="n"/>
      <c r="AC154" s="109" t="inlineStr">
        <is>
          <t>US SL B6</t>
        </is>
      </c>
      <c r="AD154" s="109">
        <f>'US SL B6'!BC149</f>
        <v/>
      </c>
      <c r="AE154" s="109">
        <f>'US SL B6'!BF149</f>
        <v/>
      </c>
      <c r="AF154" s="109" t="n"/>
      <c r="AG154" s="109" t="n"/>
    </row>
    <row r="155">
      <c r="A155" s="109">
        <f>AND(OR(Dashboard!$C$4="All",Dashboard!$C$4=D155),OR(Dashboard!$C$5="All",Dashboard!$C$5=E155),OR(Dashboard!$C$6="All",Dashboard!$C$6=G155),OR(Dashboard!$C$7="All",Dashboard!$C$7=H155),OR(Dashboard!$C$8="All",Dashboard!$C$8=F155))</f>
        <v/>
      </c>
      <c r="B155" s="109">
        <f>IF(A155,B154+1,B154)</f>
        <v/>
      </c>
      <c r="C155" s="109" t="n">
        <v>32</v>
      </c>
      <c r="D155" s="109" t="inlineStr">
        <is>
          <t>SL B6</t>
        </is>
      </c>
      <c r="E155" s="109" t="inlineStr">
        <is>
          <t>US</t>
        </is>
      </c>
      <c r="F155" s="109" t="inlineStr">
        <is>
          <t>Bamboo</t>
        </is>
      </c>
      <c r="G155" s="109" t="inlineStr">
        <is>
          <t>Vesta</t>
        </is>
      </c>
      <c r="H155" s="109" t="inlineStr">
        <is>
          <t>Poor</t>
        </is>
      </c>
      <c r="I155" s="109" t="inlineStr">
        <is>
          <t>Vesta Sheet Set – Soft, Breathable &amp; Cooling, 100% Viscose Derived from Bamboo,</t>
        </is>
      </c>
      <c r="J155" s="109" t="n"/>
      <c r="K155" s="109" t="inlineStr">
        <is>
          <t>B0CZRJY68B</t>
        </is>
      </c>
      <c r="L155" s="109" t="inlineStr">
        <is>
          <t>B0DM214YG3</t>
        </is>
      </c>
      <c r="M155" s="109" t="n"/>
      <c r="N155" s="109" t="n">
        <v>174.3</v>
      </c>
      <c r="O155" s="109" t="n"/>
      <c r="P155" s="109">
        <f>IF(AND(ISNUMBER(O155),ISNUMBER(N155),N(N155)&gt;0),O155/N155-1,"")</f>
        <v/>
      </c>
      <c r="Q155" s="109" t="n">
        <v>64.98999999999999</v>
      </c>
      <c r="R155" s="109">
        <f>IF(AND(ISNUMBER(N155),ISNUMBER(Q155),N(Q155)&gt;0),N155/Q155-1,"")</f>
        <v/>
      </c>
      <c r="S155" s="109" t="n">
        <v>591414</v>
      </c>
      <c r="T155" s="109" t="n">
        <v>5</v>
      </c>
      <c r="U155" s="109" t="n">
        <v>4.3</v>
      </c>
      <c r="V155" s="109" t="n">
        <v>35</v>
      </c>
      <c r="W155" s="109" t="n"/>
      <c r="X155" s="109" t="n"/>
      <c r="Y155" s="109" t="n"/>
      <c r="Z155" s="109" t="n"/>
      <c r="AA155" s="109" t="n"/>
      <c r="AB155" s="109" t="n"/>
      <c r="AC155" s="109" t="inlineStr">
        <is>
          <t>US SL B6</t>
        </is>
      </c>
      <c r="AD155" s="109">
        <f>'US SL B6'!BC150</f>
        <v/>
      </c>
      <c r="AE155" s="109">
        <f>'US SL B6'!BF150</f>
        <v/>
      </c>
      <c r="AF155" s="109" t="n"/>
      <c r="AG155" s="109" t="n"/>
    </row>
    <row r="156">
      <c r="A156" s="109">
        <f>AND(OR(Dashboard!$C$4="All",Dashboard!$C$4=D156),OR(Dashboard!$C$5="All",Dashboard!$C$5=E156),OR(Dashboard!$C$6="All",Dashboard!$C$6=G156),OR(Dashboard!$C$7="All",Dashboard!$C$7=H156),OR(Dashboard!$C$8="All",Dashboard!$C$8=F156))</f>
        <v/>
      </c>
      <c r="B156" s="109">
        <f>IF(A156,B155+1,B155)</f>
        <v/>
      </c>
      <c r="C156" s="109" t="n">
        <v>36</v>
      </c>
      <c r="D156" s="109" t="inlineStr">
        <is>
          <t>SL B4</t>
        </is>
      </c>
      <c r="E156" s="109" t="inlineStr">
        <is>
          <t>US</t>
        </is>
      </c>
      <c r="F156" s="109" t="inlineStr">
        <is>
          <t>Bamboo</t>
        </is>
      </c>
      <c r="G156" s="109" t="inlineStr">
        <is>
          <t>Pure Bamboo</t>
        </is>
      </c>
      <c r="H156" s="109" t="inlineStr">
        <is>
          <t>Aspirational</t>
        </is>
      </c>
      <c r="I156" s="109" t="inlineStr">
        <is>
          <t>Pure Bamboo King Sheets, Genuine 100% Organic Viscose Derived from Bamboo Bed Sheet Set, Luxuriously Soft &amp; Cooling, Double Stitching, 2 Year Quality Promise (King, Ivory)</t>
        </is>
      </c>
      <c r="J156" s="109" t="inlineStr">
        <is>
          <t>https://images-na.ssl-images-amazon.com/images/I/91dfner9BkL.jpg</t>
        </is>
      </c>
      <c r="K156" s="109" t="inlineStr">
        <is>
          <t>B0CZQ52MTQ</t>
        </is>
      </c>
      <c r="L156" s="109" t="inlineStr">
        <is>
          <t>B07DZTQ4JC</t>
        </is>
      </c>
      <c r="M156" s="109" t="n">
        <v>181</v>
      </c>
      <c r="N156" s="109" t="n">
        <v>109.99</v>
      </c>
      <c r="O156" s="109" t="n"/>
      <c r="P156" s="109">
        <f>IF(AND(ISNUMBER(O156),ISNUMBER(N156),N(N156)&gt;0),O156/N156-1,"")</f>
        <v/>
      </c>
      <c r="Q156" s="109" t="n">
        <v>54.99</v>
      </c>
      <c r="R156" s="109">
        <f>IF(AND(ISNUMBER(N156),ISNUMBER(Q156),N(Q156)&gt;0),N156/Q156-1,"")</f>
        <v/>
      </c>
      <c r="S156" s="109" t="n">
        <v>304</v>
      </c>
      <c r="T156" s="109" t="n">
        <v>809</v>
      </c>
      <c r="U156" s="109" t="n">
        <v>4.5</v>
      </c>
      <c r="V156" s="109" t="n">
        <v>21927</v>
      </c>
      <c r="W156" s="109" t="n">
        <v>2565055</v>
      </c>
      <c r="X156" s="109" t="n">
        <v>0.4648594811807159</v>
      </c>
      <c r="Y156" s="109" t="n">
        <v>6</v>
      </c>
      <c r="Z156" s="109" t="n">
        <v>470</v>
      </c>
      <c r="AA156" s="109" t="n">
        <v>3769</v>
      </c>
      <c r="AB156" s="109" t="n">
        <v>1.180104147961932</v>
      </c>
      <c r="AC156" s="109" t="inlineStr">
        <is>
          <t>US SL B4</t>
        </is>
      </c>
      <c r="AD156" s="109">
        <f>'US SL B4'!BC119</f>
        <v/>
      </c>
      <c r="AE156" s="109">
        <f>'US SL B4'!BF119</f>
        <v/>
      </c>
      <c r="AF156" s="109" t="inlineStr">
        <is>
          <t>King</t>
        </is>
      </c>
      <c r="AG156" s="109" t="inlineStr">
        <is>
          <t>Ivory</t>
        </is>
      </c>
    </row>
    <row r="157">
      <c r="A157" s="109">
        <f>AND(OR(Dashboard!$C$4="All",Dashboard!$C$4=D157),OR(Dashboard!$C$5="All",Dashboard!$C$5=E157),OR(Dashboard!$C$6="All",Dashboard!$C$6=G157),OR(Dashboard!$C$7="All",Dashboard!$C$7=H157),OR(Dashboard!$C$8="All",Dashboard!$C$8=F157))</f>
        <v/>
      </c>
      <c r="B157" s="109">
        <f>IF(A157,B156+1,B156)</f>
        <v/>
      </c>
      <c r="C157" s="109" t="n">
        <v>36</v>
      </c>
      <c r="D157" s="109" t="inlineStr">
        <is>
          <t>SL B4</t>
        </is>
      </c>
      <c r="E157" s="109" t="inlineStr">
        <is>
          <t>US</t>
        </is>
      </c>
      <c r="F157" s="109" t="inlineStr">
        <is>
          <t>Bamboo</t>
        </is>
      </c>
      <c r="G157" s="109" t="inlineStr">
        <is>
          <t>Hotel Sheets Direct</t>
        </is>
      </c>
      <c r="H157" s="109" t="inlineStr">
        <is>
          <t>Aspirational</t>
        </is>
      </c>
      <c r="I157" s="109" t="inlineStr">
        <is>
          <t>Hotel Sheets Direct 4 Piece Bed Sheet Set Queen Size, 100% Viscose Derived from Bamboo Sheets Set with 2 Pillowcases, Cooling &amp; Breathable Luxury Bedding, Moisture-Wicking &amp; Silky Soft Texture, White</t>
        </is>
      </c>
      <c r="J157" s="109" t="inlineStr">
        <is>
          <t>https://images-na.ssl-images-amazon.com/images/I/71oEhkRYQ+L.jpg</t>
        </is>
      </c>
      <c r="K157" s="109" t="inlineStr">
        <is>
          <t>B0G5N99X9R</t>
        </is>
      </c>
      <c r="L157" s="109" t="inlineStr">
        <is>
          <t>B01N9L2O9P</t>
        </is>
      </c>
      <c r="M157" s="109" t="n">
        <v>61</v>
      </c>
      <c r="N157" s="109" t="n">
        <v>79.98999999999999</v>
      </c>
      <c r="O157" s="109" t="n"/>
      <c r="P157" s="109">
        <f>IF(AND(ISNUMBER(O157),ISNUMBER(N157),N(N157)&gt;0),O157/N157-1,"")</f>
        <v/>
      </c>
      <c r="Q157" s="109" t="n">
        <v>54.99</v>
      </c>
      <c r="R157" s="109">
        <f>IF(AND(ISNUMBER(N157),ISNUMBER(Q157),N(Q157)&gt;0),N157/Q157-1,"")</f>
        <v/>
      </c>
      <c r="S157" s="109" t="n">
        <v>2984</v>
      </c>
      <c r="T157" s="109" t="n">
        <v>347</v>
      </c>
      <c r="U157" s="109" t="n">
        <v>4.4</v>
      </c>
      <c r="V157" s="109" t="n">
        <v>37179</v>
      </c>
      <c r="W157" s="109" t="n">
        <v>451969</v>
      </c>
      <c r="X157" s="109" t="n">
        <v>0.6071584272372669</v>
      </c>
      <c r="Y157" s="109" t="n">
        <v>53</v>
      </c>
      <c r="Z157" s="109" t="n">
        <v>387</v>
      </c>
      <c r="AA157" s="109" t="n">
        <v>929</v>
      </c>
      <c r="AB157" s="109" t="n">
        <v>1.799620493358634</v>
      </c>
      <c r="AC157" s="109" t="inlineStr">
        <is>
          <t>US SL B4</t>
        </is>
      </c>
      <c r="AD157" s="109">
        <f>'US SL B4'!BC120</f>
        <v/>
      </c>
      <c r="AE157" s="109">
        <f>'US SL B4'!BF120</f>
        <v/>
      </c>
      <c r="AF157" s="109" t="inlineStr">
        <is>
          <t>Queen</t>
        </is>
      </c>
      <c r="AG157" s="109" t="inlineStr">
        <is>
          <t>White</t>
        </is>
      </c>
    </row>
    <row r="158">
      <c r="A158" s="109">
        <f>AND(OR(Dashboard!$C$4="All",Dashboard!$C$4=D158),OR(Dashboard!$C$5="All",Dashboard!$C$5=E158),OR(Dashboard!$C$6="All",Dashboard!$C$6=G158),OR(Dashboard!$C$7="All",Dashboard!$C$7=H158),OR(Dashboard!$C$8="All",Dashboard!$C$8=F158))</f>
        <v/>
      </c>
      <c r="B158" s="109">
        <f>IF(A158,B157+1,B157)</f>
        <v/>
      </c>
      <c r="C158" s="109" t="n">
        <v>36</v>
      </c>
      <c r="D158" s="109" t="inlineStr">
        <is>
          <t>SL B4</t>
        </is>
      </c>
      <c r="E158" s="109" t="inlineStr">
        <is>
          <t>US</t>
        </is>
      </c>
      <c r="F158" s="109" t="inlineStr">
        <is>
          <t>Bamboo</t>
        </is>
      </c>
      <c r="G158" s="109" t="inlineStr">
        <is>
          <t>KRIMANO</t>
        </is>
      </c>
      <c r="H158" s="109" t="inlineStr">
        <is>
          <t>Beatable</t>
        </is>
      </c>
      <c r="I158" s="109" t="inlineStr">
        <is>
          <t>KRIMANO Bamboo Viscose Sheet Set King Size, Cooling Sheets Bed Set</t>
        </is>
      </c>
      <c r="J158" s="109" t="inlineStr">
        <is>
          <t>https://images-na.ssl-images-amazon.com/images/I/61-LBYlR5KL.jpg</t>
        </is>
      </c>
      <c r="K158" s="109" t="inlineStr">
        <is>
          <t>B0FT7L9RSX</t>
        </is>
      </c>
      <c r="L158" s="109" t="inlineStr">
        <is>
          <t>B0FT7LZ2CD</t>
        </is>
      </c>
      <c r="M158" s="109" t="n">
        <v>43</v>
      </c>
      <c r="N158" s="109" t="n">
        <v>84.98999999999999</v>
      </c>
      <c r="O158" s="109" t="n"/>
      <c r="P158" s="109">
        <f>IF(AND(ISNUMBER(O158),ISNUMBER(N158),N(N158)&gt;0),O158/N158-1,"")</f>
        <v/>
      </c>
      <c r="Q158" s="109" t="n">
        <v>54.99</v>
      </c>
      <c r="R158" s="109">
        <f>IF(AND(ISNUMBER(N158),ISNUMBER(Q158),N(Q158)&gt;0),N158/Q158-1,"")</f>
        <v/>
      </c>
      <c r="S158" s="109" t="n">
        <v>5664</v>
      </c>
      <c r="T158" s="109" t="n">
        <v>185</v>
      </c>
      <c r="U158" s="109" t="n">
        <v>4.5</v>
      </c>
      <c r="V158" s="109" t="n">
        <v>263</v>
      </c>
      <c r="W158" s="109" t="n">
        <v>334819</v>
      </c>
      <c r="X158" s="109" t="n">
        <v>0.6137371774003271</v>
      </c>
      <c r="Y158" s="109" t="n">
        <v>78</v>
      </c>
      <c r="Z158" s="109" t="n">
        <v>357</v>
      </c>
      <c r="AA158" s="109" t="n">
        <v>485</v>
      </c>
      <c r="AB158" s="109" t="n">
        <v>1.312468450277638</v>
      </c>
      <c r="AC158" s="109" t="inlineStr">
        <is>
          <t>US SL B4</t>
        </is>
      </c>
      <c r="AD158" s="109">
        <f>'US SL B4'!BC121</f>
        <v/>
      </c>
      <c r="AE158" s="109">
        <f>'US SL B4'!BF121</f>
        <v/>
      </c>
      <c r="AF158" s="109" t="inlineStr">
        <is>
          <t>King</t>
        </is>
      </c>
      <c r="AG158" s="109" t="n"/>
    </row>
    <row r="159">
      <c r="A159" s="109">
        <f>AND(OR(Dashboard!$C$4="All",Dashboard!$C$4=D159),OR(Dashboard!$C$5="All",Dashboard!$C$5=E159),OR(Dashboard!$C$6="All",Dashboard!$C$6=G159),OR(Dashboard!$C$7="All",Dashboard!$C$7=H159),OR(Dashboard!$C$8="All",Dashboard!$C$8=F159))</f>
        <v/>
      </c>
      <c r="B159" s="109">
        <f>IF(A159,B158+1,B158)</f>
        <v/>
      </c>
      <c r="C159" s="109" t="n">
        <v>36</v>
      </c>
      <c r="D159" s="109" t="inlineStr">
        <is>
          <t>SL B4</t>
        </is>
      </c>
      <c r="E159" s="109" t="inlineStr">
        <is>
          <t>US</t>
        </is>
      </c>
      <c r="F159" s="109" t="inlineStr">
        <is>
          <t>Bamboo</t>
        </is>
      </c>
      <c r="G159" s="109" t="inlineStr">
        <is>
          <t>Bambaw</t>
        </is>
      </c>
      <c r="H159" s="109" t="inlineStr">
        <is>
          <t>Beatable</t>
        </is>
      </c>
      <c r="I159" s="109" t="inlineStr">
        <is>
          <t>Bambaw 100% Viscose Derived from Bamboo Sheets Queen Size Set – 4pcs Cooling Sheet Set, Super Soft Sheets Queen Size, Luxury Bed Sheets, Deep Pocket Fits Up to 16'' Mattresses (Charcoal)</t>
        </is>
      </c>
      <c r="J159" s="109" t="inlineStr">
        <is>
          <t>https://images-na.ssl-images-amazon.com/images/I/81svKInu7aL.jpg</t>
        </is>
      </c>
      <c r="K159" s="109" t="inlineStr">
        <is>
          <t>B07K6SYX8L</t>
        </is>
      </c>
      <c r="L159" s="109" t="inlineStr">
        <is>
          <t>B0DR99Q37Y</t>
        </is>
      </c>
      <c r="M159" s="109" t="n">
        <v>104</v>
      </c>
      <c r="N159" s="109" t="n">
        <v>89.98999999999999</v>
      </c>
      <c r="O159" s="109" t="n"/>
      <c r="P159" s="109">
        <f>IF(AND(ISNUMBER(O159),ISNUMBER(N159),N(N159)&gt;0),O159/N159-1,"")</f>
        <v/>
      </c>
      <c r="Q159" s="109" t="n">
        <v>54.99</v>
      </c>
      <c r="R159" s="109">
        <f>IF(AND(ISNUMBER(N159),ISNUMBER(Q159),N(Q159)&gt;0),N159/Q159-1,"")</f>
        <v/>
      </c>
      <c r="S159" s="109" t="n">
        <v>6971</v>
      </c>
      <c r="T159" s="109" t="n">
        <v>104</v>
      </c>
      <c r="U159" s="109" t="n">
        <v>4.3</v>
      </c>
      <c r="V159" s="109" t="n">
        <v>2766</v>
      </c>
      <c r="W159" s="109" t="n">
        <v>407949</v>
      </c>
      <c r="X159" s="109" t="n">
        <v>0.5037485506766772</v>
      </c>
      <c r="Y159" s="109" t="n">
        <v>27</v>
      </c>
      <c r="Z159" s="109" t="n">
        <v>398</v>
      </c>
      <c r="AA159" s="109" t="n">
        <v>578</v>
      </c>
      <c r="AB159" s="109" t="n">
        <v>1.374474053295933</v>
      </c>
      <c r="AC159" s="109" t="inlineStr">
        <is>
          <t>US SL B4</t>
        </is>
      </c>
      <c r="AD159" s="109">
        <f>'US SL B4'!BC122</f>
        <v/>
      </c>
      <c r="AE159" s="109">
        <f>'US SL B4'!BF122</f>
        <v/>
      </c>
      <c r="AF159" s="109" t="inlineStr">
        <is>
          <t>Queen</t>
        </is>
      </c>
      <c r="AG159" s="109" t="inlineStr">
        <is>
          <t>Charcoal</t>
        </is>
      </c>
    </row>
    <row r="160">
      <c r="A160" s="109">
        <f>AND(OR(Dashboard!$C$4="All",Dashboard!$C$4=D160),OR(Dashboard!$C$5="All",Dashboard!$C$5=E160),OR(Dashboard!$C$6="All",Dashboard!$C$6=G160),OR(Dashboard!$C$7="All",Dashboard!$C$7=H160),OR(Dashboard!$C$8="All",Dashboard!$C$8=F160))</f>
        <v/>
      </c>
      <c r="B160" s="109">
        <f>IF(A160,B159+1,B159)</f>
        <v/>
      </c>
      <c r="C160" s="109" t="n">
        <v>36</v>
      </c>
      <c r="D160" s="109" t="inlineStr">
        <is>
          <t>SL B4</t>
        </is>
      </c>
      <c r="E160" s="109" t="inlineStr">
        <is>
          <t>US</t>
        </is>
      </c>
      <c r="F160" s="109" t="inlineStr">
        <is>
          <t>Bamboo</t>
        </is>
      </c>
      <c r="G160" s="109" t="inlineStr">
        <is>
          <t>Bedsure</t>
        </is>
      </c>
      <c r="H160" s="109" t="inlineStr">
        <is>
          <t>Beatable</t>
        </is>
      </c>
      <c r="I160" s="109" t="inlineStr">
        <is>
          <t>Bedsure PureWoven Organically Grown Bamboo Viscose Queen Sheet Set, 4PCS</t>
        </is>
      </c>
      <c r="J160" s="109" t="inlineStr">
        <is>
          <t>https://images-na.ssl-images-amazon.com/images/I/81suQgVR0GL.jpg</t>
        </is>
      </c>
      <c r="K160" s="109" t="inlineStr">
        <is>
          <t>B0FB8XS4D1</t>
        </is>
      </c>
      <c r="L160" s="109" t="inlineStr">
        <is>
          <t>B0FB8XR43Q</t>
        </is>
      </c>
      <c r="M160" s="109" t="n">
        <v>39</v>
      </c>
      <c r="N160" s="109" t="n">
        <v>89.98999999999999</v>
      </c>
      <c r="O160" s="109" t="n">
        <v>119.99</v>
      </c>
      <c r="P160" s="109">
        <f>IF(AND(ISNUMBER(O160),ISNUMBER(N160),N(N160)&gt;0),O160/N160-1,"")</f>
        <v/>
      </c>
      <c r="Q160" s="109" t="n">
        <v>54.99</v>
      </c>
      <c r="R160" s="109">
        <f>IF(AND(ISNUMBER(N160),ISNUMBER(Q160),N(Q160)&gt;0),N160/Q160-1,"")</f>
        <v/>
      </c>
      <c r="S160" s="109" t="n">
        <v>8938</v>
      </c>
      <c r="T160" s="109" t="n">
        <v>104</v>
      </c>
      <c r="U160" s="109" t="n">
        <v>4.5</v>
      </c>
      <c r="V160" s="109" t="n">
        <v>588</v>
      </c>
      <c r="W160" s="109" t="n">
        <v>840292</v>
      </c>
      <c r="X160" s="109" t="n">
        <v>0.1404099194089678</v>
      </c>
      <c r="Y160" s="109" t="n">
        <v>20</v>
      </c>
      <c r="Z160" s="109" t="n">
        <v>432</v>
      </c>
      <c r="AA160" s="109" t="n">
        <v>2426</v>
      </c>
      <c r="AB160" s="109" t="n">
        <v>1.764832022873481</v>
      </c>
      <c r="AC160" s="109" t="inlineStr">
        <is>
          <t>US SL B4</t>
        </is>
      </c>
      <c r="AD160" s="109">
        <f>'US SL B4'!BC123</f>
        <v/>
      </c>
      <c r="AE160" s="109">
        <f>'US SL B4'!BF123</f>
        <v/>
      </c>
      <c r="AF160" s="109" t="inlineStr">
        <is>
          <t>Queen</t>
        </is>
      </c>
      <c r="AG160" s="109" t="n"/>
    </row>
    <row r="161">
      <c r="A161" s="109">
        <f>AND(OR(Dashboard!$C$4="All",Dashboard!$C$4=D161),OR(Dashboard!$C$5="All",Dashboard!$C$5=E161),OR(Dashboard!$C$6="All",Dashboard!$C$6=G161),OR(Dashboard!$C$7="All",Dashboard!$C$7=H161),OR(Dashboard!$C$8="All",Dashboard!$C$8=F161))</f>
        <v/>
      </c>
      <c r="B161" s="109">
        <f>IF(A161,B160+1,B160)</f>
        <v/>
      </c>
      <c r="C161" s="109" t="n">
        <v>36</v>
      </c>
      <c r="D161" s="109" t="inlineStr">
        <is>
          <t>SL B4</t>
        </is>
      </c>
      <c r="E161" s="109" t="inlineStr">
        <is>
          <t>US</t>
        </is>
      </c>
      <c r="F161" s="109" t="inlineStr">
        <is>
          <t>Bamboo</t>
        </is>
      </c>
      <c r="G161" s="109" t="inlineStr">
        <is>
          <t>SONORO KATE</t>
        </is>
      </c>
      <c r="H161" s="109" t="inlineStr">
        <is>
          <t>Beatable</t>
        </is>
      </c>
      <c r="I161" s="109" t="inlineStr">
        <is>
          <t>Bamboo Sheets</t>
        </is>
      </c>
      <c r="J161" s="109" t="inlineStr">
        <is>
          <t>https://images-na.ssl-images-amazon.com/images/I/71sqxa1EquL.jpg</t>
        </is>
      </c>
      <c r="K161" s="109" t="inlineStr">
        <is>
          <t>B0F4852T9V</t>
        </is>
      </c>
      <c r="L161" s="109" t="inlineStr">
        <is>
          <t>B0F4873G4H</t>
        </is>
      </c>
      <c r="M161" s="109" t="n">
        <v>33</v>
      </c>
      <c r="N161" s="109" t="n">
        <v>79.98999999999999</v>
      </c>
      <c r="O161" s="109" t="n"/>
      <c r="P161" s="109">
        <f>IF(AND(ISNUMBER(O161),ISNUMBER(N161),N(N161)&gt;0),O161/N161-1,"")</f>
        <v/>
      </c>
      <c r="Q161" s="109" t="n">
        <v>54.99</v>
      </c>
      <c r="R161" s="109">
        <f>IF(AND(ISNUMBER(N161),ISNUMBER(Q161),N(Q161)&gt;0),N161/Q161-1,"")</f>
        <v/>
      </c>
      <c r="S161" s="109" t="n">
        <v>7961</v>
      </c>
      <c r="T161" s="109" t="n">
        <v>104</v>
      </c>
      <c r="U161" s="109" t="n">
        <v>4.5</v>
      </c>
      <c r="V161" s="109" t="n">
        <v>3776</v>
      </c>
      <c r="W161" s="109" t="n">
        <v>185157</v>
      </c>
      <c r="X161" s="109" t="n">
        <v>0.9776013545261586</v>
      </c>
      <c r="Y161" s="109" t="n">
        <v>43</v>
      </c>
      <c r="Z161" s="109" t="n">
        <v>301</v>
      </c>
      <c r="AA161" s="109" t="n">
        <v>120</v>
      </c>
      <c r="AB161" s="109" t="n">
        <v>1.314808539478143</v>
      </c>
      <c r="AC161" s="109" t="inlineStr">
        <is>
          <t>US SL B4</t>
        </is>
      </c>
      <c r="AD161" s="109">
        <f>'US SL B4'!BC124</f>
        <v/>
      </c>
      <c r="AE161" s="109">
        <f>'US SL B4'!BF124</f>
        <v/>
      </c>
      <c r="AF161" s="109" t="n"/>
      <c r="AG161" s="109" t="n"/>
    </row>
    <row r="162">
      <c r="A162" s="109">
        <f>AND(OR(Dashboard!$C$4="All",Dashboard!$C$4=D162),OR(Dashboard!$C$5="All",Dashboard!$C$5=E162),OR(Dashboard!$C$6="All",Dashboard!$C$6=G162),OR(Dashboard!$C$7="All",Dashboard!$C$7=H162),OR(Dashboard!$C$8="All",Dashboard!$C$8=F162))</f>
        <v/>
      </c>
      <c r="B162" s="109">
        <f>IF(A162,B161+1,B161)</f>
        <v/>
      </c>
      <c r="C162" s="109" t="n">
        <v>36</v>
      </c>
      <c r="D162" s="109" t="inlineStr">
        <is>
          <t>SL B4</t>
        </is>
      </c>
      <c r="E162" s="109" t="inlineStr">
        <is>
          <t>US</t>
        </is>
      </c>
      <c r="F162" s="109" t="inlineStr">
        <is>
          <t>Bamboo</t>
        </is>
      </c>
      <c r="G162" s="109" t="inlineStr">
        <is>
          <t>BC BELLA COTERIE</t>
        </is>
      </c>
      <c r="H162" s="109" t="inlineStr">
        <is>
          <t>Beatable</t>
        </is>
      </c>
      <c r="I162" s="109" t="inlineStr">
        <is>
          <t>Bella Coterie Luxury Bamboo Viscose King Size Sheet Set</t>
        </is>
      </c>
      <c r="J162" s="109" t="inlineStr">
        <is>
          <t>https://images-na.ssl-images-amazon.com/images/I/71Pl57-j67L.jpg</t>
        </is>
      </c>
      <c r="K162" s="109" t="inlineStr">
        <is>
          <t>B0H29V113N</t>
        </is>
      </c>
      <c r="L162" s="109" t="inlineStr">
        <is>
          <t>B08L86VLZB</t>
        </is>
      </c>
      <c r="M162" s="109" t="n">
        <v>258</v>
      </c>
      <c r="N162" s="109" t="n">
        <v>134.99</v>
      </c>
      <c r="O162" s="109" t="n"/>
      <c r="P162" s="109">
        <f>IF(AND(ISNUMBER(O162),ISNUMBER(N162),N(N162)&gt;0),O162/N162-1,"")</f>
        <v/>
      </c>
      <c r="Q162" s="109" t="n">
        <v>54.99</v>
      </c>
      <c r="R162" s="109">
        <f>IF(AND(ISNUMBER(N162),ISNUMBER(Q162),N(Q162)&gt;0),N162/Q162-1,"")</f>
        <v/>
      </c>
      <c r="S162" s="109" t="n">
        <v>1358</v>
      </c>
      <c r="T162" s="109" t="n">
        <v>92</v>
      </c>
      <c r="U162" s="109" t="n">
        <v>4.4</v>
      </c>
      <c r="V162" s="109" t="n">
        <v>5871</v>
      </c>
      <c r="W162" s="109" t="n">
        <v>591713</v>
      </c>
      <c r="X162" s="109" t="n">
        <v>0.3622702587234016</v>
      </c>
      <c r="Y162" s="109" t="n">
        <v>41</v>
      </c>
      <c r="Z162" s="109" t="n">
        <v>420</v>
      </c>
      <c r="AA162" s="109" t="n">
        <v>2425</v>
      </c>
      <c r="AB162" s="109" t="n">
        <v>1.778087279480037</v>
      </c>
      <c r="AC162" s="109" t="inlineStr">
        <is>
          <t>US SL B4</t>
        </is>
      </c>
      <c r="AD162" s="109">
        <f>'US SL B4'!BC125</f>
        <v/>
      </c>
      <c r="AE162" s="109">
        <f>'US SL B4'!BF125</f>
        <v/>
      </c>
      <c r="AF162" s="109" t="inlineStr">
        <is>
          <t>King</t>
        </is>
      </c>
      <c r="AG162" s="109" t="n"/>
    </row>
    <row r="163">
      <c r="A163" s="109">
        <f>AND(OR(Dashboard!$C$4="All",Dashboard!$C$4=D163),OR(Dashboard!$C$5="All",Dashboard!$C$5=E163),OR(Dashboard!$C$6="All",Dashboard!$C$6=G163),OR(Dashboard!$C$7="All",Dashboard!$C$7=H163),OR(Dashboard!$C$8="All",Dashboard!$C$8=F163))</f>
        <v/>
      </c>
      <c r="B163" s="109">
        <f>IF(A163,B162+1,B162)</f>
        <v/>
      </c>
      <c r="C163" s="109" t="n">
        <v>36</v>
      </c>
      <c r="D163" s="109" t="inlineStr">
        <is>
          <t>SL B4</t>
        </is>
      </c>
      <c r="E163" s="109" t="inlineStr">
        <is>
          <t>US</t>
        </is>
      </c>
      <c r="F163" s="109" t="inlineStr">
        <is>
          <t>Bamboo</t>
        </is>
      </c>
      <c r="G163" s="109" t="inlineStr">
        <is>
          <t>BAMPURE</t>
        </is>
      </c>
      <c r="H163" s="109" t="inlineStr">
        <is>
          <t>Beatable</t>
        </is>
      </c>
      <c r="I163" s="109" t="inlineStr">
        <is>
          <t>BAMPURE 100% Rayon from Bamboo Sheets King Size - 4pc Cooling King Sheets</t>
        </is>
      </c>
      <c r="J163" s="109" t="inlineStr">
        <is>
          <t>https://images-na.ssl-images-amazon.com/images/I/61fbapIObwL.jpg</t>
        </is>
      </c>
      <c r="K163" s="109" t="inlineStr">
        <is>
          <t>B0HC778XB4</t>
        </is>
      </c>
      <c r="L163" s="109" t="inlineStr">
        <is>
          <t>B07XFP6BY2</t>
        </is>
      </c>
      <c r="M163" s="109" t="n">
        <v>40</v>
      </c>
      <c r="N163" s="109" t="n">
        <v>67.98</v>
      </c>
      <c r="O163" s="109" t="n">
        <v>99.98999999999999</v>
      </c>
      <c r="P163" s="109">
        <f>IF(AND(ISNUMBER(O163),ISNUMBER(N163),N(N163)&gt;0),O163/N163-1,"")</f>
        <v/>
      </c>
      <c r="Q163" s="109" t="n">
        <v>54.99</v>
      </c>
      <c r="R163" s="109">
        <f>IF(AND(ISNUMBER(N163),ISNUMBER(Q163),N(Q163)&gt;0),N163/Q163-1,"")</f>
        <v/>
      </c>
      <c r="S163" s="109" t="n">
        <v>14479</v>
      </c>
      <c r="T163" s="109" t="n">
        <v>81</v>
      </c>
      <c r="U163" s="109" t="n">
        <v>4.4</v>
      </c>
      <c r="V163" s="109" t="n">
        <v>4095</v>
      </c>
      <c r="W163" s="109" t="n">
        <v>67699</v>
      </c>
      <c r="X163" s="109" t="n">
        <v>0.8589487052984534</v>
      </c>
      <c r="Y163" s="109" t="n">
        <v>119</v>
      </c>
      <c r="Z163" s="109" t="n">
        <v>231</v>
      </c>
      <c r="AA163" s="109" t="n">
        <v>290</v>
      </c>
      <c r="AB163" s="109" t="n">
        <v>1.016706443914081</v>
      </c>
      <c r="AC163" s="109" t="inlineStr">
        <is>
          <t>US SL B4</t>
        </is>
      </c>
      <c r="AD163" s="109">
        <f>'US SL B4'!BC126</f>
        <v/>
      </c>
      <c r="AE163" s="109">
        <f>'US SL B4'!BF126</f>
        <v/>
      </c>
      <c r="AF163" s="109" t="inlineStr">
        <is>
          <t>King</t>
        </is>
      </c>
      <c r="AG163" s="109" t="n"/>
    </row>
    <row r="164">
      <c r="A164" s="109">
        <f>AND(OR(Dashboard!$C$4="All",Dashboard!$C$4=D164),OR(Dashboard!$C$5="All",Dashboard!$C$5=E164),OR(Dashboard!$C$6="All",Dashboard!$C$6=G164),OR(Dashboard!$C$7="All",Dashboard!$C$7=H164),OR(Dashboard!$C$8="All",Dashboard!$C$8=F164))</f>
        <v/>
      </c>
      <c r="B164" s="109">
        <f>IF(A164,B163+1,B163)</f>
        <v/>
      </c>
      <c r="C164" s="109" t="n">
        <v>36</v>
      </c>
      <c r="D164" s="109" t="inlineStr">
        <is>
          <t>SL B4</t>
        </is>
      </c>
      <c r="E164" s="109" t="inlineStr">
        <is>
          <t>US</t>
        </is>
      </c>
      <c r="F164" s="109" t="inlineStr">
        <is>
          <t>Bamboo</t>
        </is>
      </c>
      <c r="G164" s="109" t="inlineStr">
        <is>
          <t>SONORO KATE</t>
        </is>
      </c>
      <c r="H164" s="109" t="inlineStr">
        <is>
          <t>Beatable</t>
        </is>
      </c>
      <c r="I164" s="109" t="inlineStr">
        <is>
          <t>SONORO KATE 100% Viscose Derived from Bamboo_Sheets Queen Size,4PC</t>
        </is>
      </c>
      <c r="J164" s="109" t="inlineStr">
        <is>
          <t>https://images-na.ssl-images-amazon.com/images/I/71HeTCWM4hL.jpg</t>
        </is>
      </c>
      <c r="K164" s="109" t="inlineStr">
        <is>
          <t>B0F29FQLFD</t>
        </is>
      </c>
      <c r="L164" s="109" t="inlineStr">
        <is>
          <t>B0F29F1JM5</t>
        </is>
      </c>
      <c r="M164" s="109" t="n">
        <v>42</v>
      </c>
      <c r="N164" s="109" t="n">
        <v>59.99</v>
      </c>
      <c r="O164" s="109" t="n"/>
      <c r="P164" s="109">
        <f>IF(AND(ISNUMBER(O164),ISNUMBER(N164),N(N164)&gt;0),O164/N164-1,"")</f>
        <v/>
      </c>
      <c r="Q164" s="109" t="n">
        <v>54.99</v>
      </c>
      <c r="R164" s="109">
        <f>IF(AND(ISNUMBER(N164),ISNUMBER(Q164),N(Q164)&gt;0),N164/Q164-1,"")</f>
        <v/>
      </c>
      <c r="S164" s="109" t="n">
        <v>23979</v>
      </c>
      <c r="T164" s="109" t="n">
        <v>81</v>
      </c>
      <c r="U164" s="109" t="n">
        <v>4.5</v>
      </c>
      <c r="V164" s="109" t="n">
        <v>3911</v>
      </c>
      <c r="W164" s="109" t="n">
        <v>114504</v>
      </c>
      <c r="X164" s="109" t="n">
        <v>0.8792897182631171</v>
      </c>
      <c r="Y164" s="109" t="n">
        <v>45</v>
      </c>
      <c r="Z164" s="109" t="n">
        <v>292</v>
      </c>
      <c r="AA164" s="109" t="n">
        <v>87</v>
      </c>
      <c r="AB164" s="109" t="n">
        <v>1.095271210013908</v>
      </c>
      <c r="AC164" s="109" t="inlineStr">
        <is>
          <t>US SL B4</t>
        </is>
      </c>
      <c r="AD164" s="109">
        <f>'US SL B4'!BC127</f>
        <v/>
      </c>
      <c r="AE164" s="109">
        <f>'US SL B4'!BF127</f>
        <v/>
      </c>
      <c r="AF164" s="109" t="inlineStr">
        <is>
          <t>Queen</t>
        </is>
      </c>
      <c r="AG164" s="109" t="n"/>
    </row>
    <row r="165">
      <c r="A165" s="109">
        <f>AND(OR(Dashboard!$C$4="All",Dashboard!$C$4=D165),OR(Dashboard!$C$5="All",Dashboard!$C$5=E165),OR(Dashboard!$C$6="All",Dashboard!$C$6=G165),OR(Dashboard!$C$7="All",Dashboard!$C$7=H165),OR(Dashboard!$C$8="All",Dashboard!$C$8=F165))</f>
        <v/>
      </c>
      <c r="B165" s="109">
        <f>IF(A165,B164+1,B164)</f>
        <v/>
      </c>
      <c r="C165" s="109" t="n">
        <v>36</v>
      </c>
      <c r="D165" s="109" t="inlineStr">
        <is>
          <t>SL B4</t>
        </is>
      </c>
      <c r="E165" s="109" t="inlineStr">
        <is>
          <t>US</t>
        </is>
      </c>
      <c r="F165" s="109" t="inlineStr">
        <is>
          <t>Bamboo</t>
        </is>
      </c>
      <c r="G165" s="109" t="inlineStr">
        <is>
          <t>DOZ by SIJO</t>
        </is>
      </c>
      <c r="H165" s="109" t="inlineStr">
        <is>
          <t>Beatable</t>
        </is>
      </c>
      <c r="I165" s="109" t="inlineStr">
        <is>
          <t>Bamboo Sheets</t>
        </is>
      </c>
      <c r="J165" s="109" t="inlineStr">
        <is>
          <t>https://images-na.ssl-images-amazon.com/images/I/710aWpCd4AL.jpg</t>
        </is>
      </c>
      <c r="K165" s="109" t="inlineStr">
        <is>
          <t>B0DCZGYVZ9</t>
        </is>
      </c>
      <c r="L165" s="109" t="inlineStr">
        <is>
          <t>B0F24TRXCZ</t>
        </is>
      </c>
      <c r="M165" s="109" t="n">
        <v>131</v>
      </c>
      <c r="N165" s="109" t="n">
        <v>55</v>
      </c>
      <c r="O165" s="109" t="n"/>
      <c r="P165" s="109">
        <f>IF(AND(ISNUMBER(O165),ISNUMBER(N165),N(N165)&gt;0),O165/N165-1,"")</f>
        <v/>
      </c>
      <c r="Q165" s="109" t="n">
        <v>54.99</v>
      </c>
      <c r="R165" s="109">
        <f>IF(AND(ISNUMBER(N165),ISNUMBER(Q165),N(Q165)&gt;0),N165/Q165-1,"")</f>
        <v/>
      </c>
      <c r="S165" s="109" t="n">
        <v>4051</v>
      </c>
      <c r="T165" s="109" t="n">
        <v>35</v>
      </c>
      <c r="U165" s="109" t="n">
        <v>4.4</v>
      </c>
      <c r="V165" s="109" t="n">
        <v>1909</v>
      </c>
      <c r="W165" s="109" t="n">
        <v>171534</v>
      </c>
      <c r="X165" s="109" t="n">
        <v>0.5544749851341424</v>
      </c>
      <c r="Y165" s="109" t="n">
        <v>59</v>
      </c>
      <c r="Z165" s="109" t="n">
        <v>366</v>
      </c>
      <c r="AA165" s="109" t="n">
        <v>803</v>
      </c>
      <c r="AB165" s="109" t="n"/>
      <c r="AC165" s="109" t="inlineStr">
        <is>
          <t>US SL B4</t>
        </is>
      </c>
      <c r="AD165" s="109">
        <f>'US SL B4'!BC128</f>
        <v/>
      </c>
      <c r="AE165" s="109">
        <f>'US SL B4'!BF128</f>
        <v/>
      </c>
      <c r="AF165" s="109" t="n"/>
      <c r="AG165" s="109" t="n"/>
    </row>
    <row r="166">
      <c r="A166" s="109">
        <f>AND(OR(Dashboard!$C$4="All",Dashboard!$C$4=D166),OR(Dashboard!$C$5="All",Dashboard!$C$5=E166),OR(Dashboard!$C$6="All",Dashboard!$C$6=G166),OR(Dashboard!$C$7="All",Dashboard!$C$7=H166),OR(Dashboard!$C$8="All",Dashboard!$C$8=F166))</f>
        <v/>
      </c>
      <c r="B166" s="109">
        <f>IF(A166,B165+1,B165)</f>
        <v/>
      </c>
      <c r="C166" s="109" t="n">
        <v>36</v>
      </c>
      <c r="D166" s="109" t="inlineStr">
        <is>
          <t>SL B4</t>
        </is>
      </c>
      <c r="E166" s="109" t="inlineStr">
        <is>
          <t>US</t>
        </is>
      </c>
      <c r="F166" s="109" t="inlineStr">
        <is>
          <t>Bamboo</t>
        </is>
      </c>
      <c r="G166" s="109" t="inlineStr">
        <is>
          <t>AiAngu</t>
        </is>
      </c>
      <c r="H166" s="109" t="inlineStr">
        <is>
          <t>Poor</t>
        </is>
      </c>
      <c r="I166" s="109" t="inlineStr">
        <is>
          <t>Bamboo Sheets</t>
        </is>
      </c>
      <c r="J166" s="109" t="n"/>
      <c r="K166" s="109" t="inlineStr">
        <is>
          <t>B0H3KP6R9B</t>
        </is>
      </c>
      <c r="L166" s="109" t="inlineStr">
        <is>
          <t>B0GX15Y7TT</t>
        </is>
      </c>
      <c r="M166" s="109" t="n"/>
      <c r="N166" s="109" t="n">
        <v>74.98999999999999</v>
      </c>
      <c r="O166" s="109" t="n">
        <v>79.98999999999999</v>
      </c>
      <c r="P166" s="109">
        <f>IF(AND(ISNUMBER(O166),ISNUMBER(N166),N(N166)&gt;0),O166/N166-1,"")</f>
        <v/>
      </c>
      <c r="Q166" s="109" t="n">
        <v>54.99</v>
      </c>
      <c r="R166" s="109">
        <f>IF(AND(ISNUMBER(N166),ISNUMBER(Q166),N(Q166)&gt;0),N166/Q166-1,"")</f>
        <v/>
      </c>
      <c r="S166" s="109" t="n">
        <v>39296</v>
      </c>
      <c r="T166" s="109" t="n">
        <v>81</v>
      </c>
      <c r="U166" s="109" t="n">
        <v>4.6</v>
      </c>
      <c r="V166" s="109" t="n">
        <v>121</v>
      </c>
      <c r="W166" s="109" t="n"/>
      <c r="X166" s="109" t="n"/>
      <c r="Y166" s="109" t="n"/>
      <c r="Z166" s="109" t="n"/>
      <c r="AA166" s="109" t="n"/>
      <c r="AB166" s="109" t="n"/>
      <c r="AC166" s="109" t="inlineStr">
        <is>
          <t>US SL B4</t>
        </is>
      </c>
      <c r="AD166" s="109">
        <f>'US SL B4'!BC129</f>
        <v/>
      </c>
      <c r="AE166" s="109">
        <f>'US SL B4'!BF129</f>
        <v/>
      </c>
      <c r="AF166" s="109" t="n"/>
      <c r="AG166" s="109" t="n"/>
    </row>
    <row r="167">
      <c r="A167" s="109">
        <f>AND(OR(Dashboard!$C$4="All",Dashboard!$C$4=D167),OR(Dashboard!$C$5="All",Dashboard!$C$5=E167),OR(Dashboard!$C$6="All",Dashboard!$C$6=G167),OR(Dashboard!$C$7="All",Dashboard!$C$7=H167),OR(Dashboard!$C$8="All",Dashboard!$C$8=F167))</f>
        <v/>
      </c>
      <c r="B167" s="109">
        <f>IF(A167,B166+1,B166)</f>
        <v/>
      </c>
      <c r="C167" s="109" t="n">
        <v>36</v>
      </c>
      <c r="D167" s="109" t="inlineStr">
        <is>
          <t>SL B4</t>
        </is>
      </c>
      <c r="E167" s="109" t="inlineStr">
        <is>
          <t>US</t>
        </is>
      </c>
      <c r="F167" s="109" t="inlineStr">
        <is>
          <t>Bamboo</t>
        </is>
      </c>
      <c r="G167" s="109" t="inlineStr">
        <is>
          <t>Cariloha</t>
        </is>
      </c>
      <c r="H167" s="109" t="inlineStr">
        <is>
          <t>Poor</t>
        </is>
      </c>
      <c r="I167" s="109" t="inlineStr">
        <is>
          <t>Cariloha Aloha Soft Bamboo Viscose Sheet Set - Natural - Queen</t>
        </is>
      </c>
      <c r="J167" s="109" t="inlineStr">
        <is>
          <t>https://images-na.ssl-images-amazon.com/images/I/71Kvq1YdGJL.jpg</t>
        </is>
      </c>
      <c r="K167" s="109" t="inlineStr">
        <is>
          <t>B0F89K7BXJ</t>
        </is>
      </c>
      <c r="L167" s="109" t="inlineStr">
        <is>
          <t>B0DJV1K332</t>
        </is>
      </c>
      <c r="M167" s="109" t="n">
        <v>35</v>
      </c>
      <c r="N167" s="109" t="n">
        <v>107.1</v>
      </c>
      <c r="O167" s="109" t="n"/>
      <c r="P167" s="109">
        <f>IF(AND(ISNUMBER(O167),ISNUMBER(N167),N(N167)&gt;0),O167/N167-1,"")</f>
        <v/>
      </c>
      <c r="Q167" s="109" t="n">
        <v>54.99</v>
      </c>
      <c r="R167" s="109">
        <f>IF(AND(ISNUMBER(N167),ISNUMBER(Q167),N(Q167)&gt;0),N167/Q167-1,"")</f>
        <v/>
      </c>
      <c r="S167" s="109" t="n">
        <v>15882</v>
      </c>
      <c r="T167" s="109" t="n">
        <v>81</v>
      </c>
      <c r="U167" s="109" t="n">
        <v>4.4</v>
      </c>
      <c r="V167" s="109" t="n">
        <v>426</v>
      </c>
      <c r="W167" s="109" t="n"/>
      <c r="X167" s="109" t="n"/>
      <c r="Y167" s="109" t="n"/>
      <c r="Z167" s="109" t="n"/>
      <c r="AA167" s="109" t="n"/>
      <c r="AB167" s="109" t="n"/>
      <c r="AC167" s="109" t="inlineStr">
        <is>
          <t>US SL B4</t>
        </is>
      </c>
      <c r="AD167" s="109">
        <f>'US SL B4'!BC130</f>
        <v/>
      </c>
      <c r="AE167" s="109">
        <f>'US SL B4'!BF130</f>
        <v/>
      </c>
      <c r="AF167" s="109" t="inlineStr">
        <is>
          <t>Queen</t>
        </is>
      </c>
      <c r="AG167" s="109" t="n"/>
    </row>
    <row r="168">
      <c r="A168" s="109">
        <f>AND(OR(Dashboard!$C$4="All",Dashboard!$C$4=D168),OR(Dashboard!$C$5="All",Dashboard!$C$5=E168),OR(Dashboard!$C$6="All",Dashboard!$C$6=G168),OR(Dashboard!$C$7="All",Dashboard!$C$7=H168),OR(Dashboard!$C$8="All",Dashboard!$C$8=F168))</f>
        <v/>
      </c>
      <c r="B168" s="109">
        <f>IF(A168,B167+1,B167)</f>
        <v/>
      </c>
      <c r="C168" s="109" t="n">
        <v>36</v>
      </c>
      <c r="D168" s="109" t="inlineStr">
        <is>
          <t>SL B4</t>
        </is>
      </c>
      <c r="E168" s="109" t="inlineStr">
        <is>
          <t>US</t>
        </is>
      </c>
      <c r="F168" s="109" t="inlineStr">
        <is>
          <t>Bamboo</t>
        </is>
      </c>
      <c r="G168" s="109" t="inlineStr">
        <is>
          <t>ACCURATEX</t>
        </is>
      </c>
      <c r="H168" s="109" t="inlineStr">
        <is>
          <t>Poor</t>
        </is>
      </c>
      <c r="I168" s="109" t="inlineStr">
        <is>
          <t>ACCURATEX Cooling Sheets for Hot Sleepers, King Size, Grey</t>
        </is>
      </c>
      <c r="J168" s="109" t="inlineStr">
        <is>
          <t>https://images-na.ssl-images-amazon.com/images/I/81fSDKgL-SL.jpg</t>
        </is>
      </c>
      <c r="K168" s="109" t="inlineStr">
        <is>
          <t>B0GMGSMLQ1</t>
        </is>
      </c>
      <c r="L168" s="109" t="inlineStr">
        <is>
          <t>B09PYB9C45</t>
        </is>
      </c>
      <c r="M168" s="109" t="n">
        <v>51</v>
      </c>
      <c r="N168" s="109" t="n">
        <v>69.98999999999999</v>
      </c>
      <c r="O168" s="109" t="n"/>
      <c r="P168" s="109">
        <f>IF(AND(ISNUMBER(O168),ISNUMBER(N168),N(N168)&gt;0),O168/N168-1,"")</f>
        <v/>
      </c>
      <c r="Q168" s="109" t="n">
        <v>54.99</v>
      </c>
      <c r="R168" s="109">
        <f>IF(AND(ISNUMBER(N168),ISNUMBER(Q168),N(Q168)&gt;0),N168/Q168-1,"")</f>
        <v/>
      </c>
      <c r="S168" s="109" t="n">
        <v>33423</v>
      </c>
      <c r="T168" s="109" t="n">
        <v>35</v>
      </c>
      <c r="U168" s="109" t="n">
        <v>4.4</v>
      </c>
      <c r="V168" s="109" t="n">
        <v>1040</v>
      </c>
      <c r="W168" s="109" t="n"/>
      <c r="X168" s="109" t="n"/>
      <c r="Y168" s="109" t="n"/>
      <c r="Z168" s="109" t="n"/>
      <c r="AA168" s="109" t="n"/>
      <c r="AB168" s="109" t="n"/>
      <c r="AC168" s="109" t="inlineStr">
        <is>
          <t>US SL B4</t>
        </is>
      </c>
      <c r="AD168" s="109">
        <f>'US SL B4'!BC131</f>
        <v/>
      </c>
      <c r="AE168" s="109">
        <f>'US SL B4'!BF131</f>
        <v/>
      </c>
      <c r="AF168" s="109" t="inlineStr">
        <is>
          <t>King</t>
        </is>
      </c>
      <c r="AG168" s="109" t="inlineStr">
        <is>
          <t>Grey</t>
        </is>
      </c>
    </row>
    <row r="169">
      <c r="A169" s="109">
        <f>AND(OR(Dashboard!$C$4="All",Dashboard!$C$4=D169),OR(Dashboard!$C$5="All",Dashboard!$C$5=E169),OR(Dashboard!$C$6="All",Dashboard!$C$6=G169),OR(Dashboard!$C$7="All",Dashboard!$C$7=H169),OR(Dashboard!$C$8="All",Dashboard!$C$8=F169))</f>
        <v/>
      </c>
      <c r="B169" s="109">
        <f>IF(A169,B168+1,B168)</f>
        <v/>
      </c>
      <c r="C169" s="109" t="n">
        <v>36</v>
      </c>
      <c r="D169" s="109" t="inlineStr">
        <is>
          <t>SL B4</t>
        </is>
      </c>
      <c r="E169" s="109" t="inlineStr">
        <is>
          <t>US</t>
        </is>
      </c>
      <c r="F169" s="109" t="inlineStr">
        <is>
          <t>Bamboo</t>
        </is>
      </c>
      <c r="G169" s="109" t="inlineStr">
        <is>
          <t>Cozy Earth</t>
        </is>
      </c>
      <c r="H169" s="109" t="inlineStr">
        <is>
          <t>Poor</t>
        </is>
      </c>
      <c r="I169" s="109" t="inlineStr">
        <is>
          <t>Cozy Earth Luxury Bed Sheet Set, 100% Viscose from Bamboo Fabric</t>
        </is>
      </c>
      <c r="J169" s="109" t="inlineStr">
        <is>
          <t>https://images-na.ssl-images-amazon.com/images/I/61NbNWE+BJL.jpg</t>
        </is>
      </c>
      <c r="K169" s="109" t="inlineStr">
        <is>
          <t>B0DSQ9V4ML</t>
        </is>
      </c>
      <c r="L169" s="109" t="inlineStr">
        <is>
          <t>B0F22JR4S8</t>
        </is>
      </c>
      <c r="M169" s="109" t="n">
        <v>54</v>
      </c>
      <c r="N169" s="109" t="n">
        <v>328</v>
      </c>
      <c r="O169" s="109" t="n"/>
      <c r="P169" s="109">
        <f>IF(AND(ISNUMBER(O169),ISNUMBER(N169),N(N169)&gt;0),O169/N169-1,"")</f>
        <v/>
      </c>
      <c r="Q169" s="109" t="n">
        <v>54.99</v>
      </c>
      <c r="R169" s="109">
        <f>IF(AND(ISNUMBER(N169),ISNUMBER(Q169),N(Q169)&gt;0),N169/Q169-1,"")</f>
        <v/>
      </c>
      <c r="S169" s="109" t="n">
        <v>45709</v>
      </c>
      <c r="T169" s="109" t="n">
        <v>35</v>
      </c>
      <c r="U169" s="109" t="n">
        <v>3.9</v>
      </c>
      <c r="V169" s="109" t="n">
        <v>425</v>
      </c>
      <c r="W169" s="109" t="n"/>
      <c r="X169" s="109" t="n"/>
      <c r="Y169" s="109" t="n"/>
      <c r="Z169" s="109" t="n"/>
      <c r="AA169" s="109" t="n"/>
      <c r="AB169" s="109" t="n"/>
      <c r="AC169" s="109" t="inlineStr">
        <is>
          <t>US SL B4</t>
        </is>
      </c>
      <c r="AD169" s="109">
        <f>'US SL B4'!BC132</f>
        <v/>
      </c>
      <c r="AE169" s="109">
        <f>'US SL B4'!BF132</f>
        <v/>
      </c>
      <c r="AF169" s="109" t="n"/>
      <c r="AG169" s="109" t="n"/>
    </row>
    <row r="170">
      <c r="A170" s="109">
        <f>AND(OR(Dashboard!$C$4="All",Dashboard!$C$4=D170),OR(Dashboard!$C$5="All",Dashboard!$C$5=E170),OR(Dashboard!$C$6="All",Dashboard!$C$6=G170),OR(Dashboard!$C$7="All",Dashboard!$C$7=H170),OR(Dashboard!$C$8="All",Dashboard!$C$8=F170))</f>
        <v/>
      </c>
      <c r="B170" s="109">
        <f>IF(A170,B169+1,B169)</f>
        <v/>
      </c>
      <c r="C170" s="109" t="n">
        <v>36</v>
      </c>
      <c r="D170" s="109" t="inlineStr">
        <is>
          <t>SL B4</t>
        </is>
      </c>
      <c r="E170" s="109" t="inlineStr">
        <is>
          <t>US</t>
        </is>
      </c>
      <c r="F170" s="109" t="inlineStr">
        <is>
          <t>Bamboo</t>
        </is>
      </c>
      <c r="G170" s="109" t="inlineStr">
        <is>
          <t>DREAMCARE</t>
        </is>
      </c>
      <c r="H170" s="109" t="inlineStr">
        <is>
          <t>Poor</t>
        </is>
      </c>
      <c r="I170" s="109" t="inlineStr">
        <is>
          <t>DREAMCARE 100% Rayon Bamboo Sheets King Size - 4pc Cooling Sheets King Size</t>
        </is>
      </c>
      <c r="J170" s="109" t="inlineStr">
        <is>
          <t>https://images-na.ssl-images-amazon.com/images/I/61iqSV9TaLL.jpg</t>
        </is>
      </c>
      <c r="K170" s="109" t="inlineStr">
        <is>
          <t>B0DVZFLVMG</t>
        </is>
      </c>
      <c r="L170" s="109" t="inlineStr">
        <is>
          <t>B0CF2MND41</t>
        </is>
      </c>
      <c r="M170" s="109" t="n">
        <v>30</v>
      </c>
      <c r="N170" s="109" t="n">
        <v>46.74</v>
      </c>
      <c r="O170" s="109" t="n">
        <v>59.99</v>
      </c>
      <c r="P170" s="109">
        <f>IF(AND(ISNUMBER(O170),ISNUMBER(N170),N(N170)&gt;0),O170/N170-1,"")</f>
        <v/>
      </c>
      <c r="Q170" s="109" t="n">
        <v>54.99</v>
      </c>
      <c r="R170" s="109">
        <f>IF(AND(ISNUMBER(N170),ISNUMBER(Q170),N(Q170)&gt;0),N170/Q170-1,"")</f>
        <v/>
      </c>
      <c r="S170" s="109" t="n">
        <v>37217</v>
      </c>
      <c r="T170" s="109" t="n">
        <v>35</v>
      </c>
      <c r="U170" s="109" t="n">
        <v>4.5</v>
      </c>
      <c r="V170" s="109" t="n">
        <v>2261</v>
      </c>
      <c r="W170" s="109" t="n"/>
      <c r="X170" s="109" t="n"/>
      <c r="Y170" s="109" t="n"/>
      <c r="Z170" s="109" t="n"/>
      <c r="AA170" s="109" t="n"/>
      <c r="AB170" s="109" t="n"/>
      <c r="AC170" s="109" t="inlineStr">
        <is>
          <t>US SL B4</t>
        </is>
      </c>
      <c r="AD170" s="109">
        <f>'US SL B4'!BC133</f>
        <v/>
      </c>
      <c r="AE170" s="109">
        <f>'US SL B4'!BF133</f>
        <v/>
      </c>
      <c r="AF170" s="109" t="inlineStr">
        <is>
          <t>King</t>
        </is>
      </c>
      <c r="AG170" s="109" t="n"/>
    </row>
    <row r="171">
      <c r="A171" s="109">
        <f>AND(OR(Dashboard!$C$4="All",Dashboard!$C$4=D171),OR(Dashboard!$C$5="All",Dashboard!$C$5=E171),OR(Dashboard!$C$6="All",Dashboard!$C$6=G171),OR(Dashboard!$C$7="All",Dashboard!$C$7=H171),OR(Dashboard!$C$8="All",Dashboard!$C$8=F171))</f>
        <v/>
      </c>
      <c r="B171" s="109">
        <f>IF(A171,B170+1,B170)</f>
        <v/>
      </c>
      <c r="C171" s="109" t="n">
        <v>36</v>
      </c>
      <c r="D171" s="109" t="inlineStr">
        <is>
          <t>SL B4</t>
        </is>
      </c>
      <c r="E171" s="109" t="inlineStr">
        <is>
          <t>US</t>
        </is>
      </c>
      <c r="F171" s="109" t="inlineStr">
        <is>
          <t>Bamboo</t>
        </is>
      </c>
      <c r="G171" s="109" t="inlineStr">
        <is>
          <t>HOT SLEEPER SHEETS</t>
        </is>
      </c>
      <c r="H171" s="109" t="inlineStr">
        <is>
          <t>Poor</t>
        </is>
      </c>
      <c r="I171" s="109" t="inlineStr">
        <is>
          <t>Cooling Sheets Set Queen Size, Viscose Derived from Bamboo for Hot Sleepers | Deep Pocket Up to 16 Inch | Silky Soft &amp; Breathable Bedding - 4PC (Queen, Navy)</t>
        </is>
      </c>
      <c r="J171" s="109" t="inlineStr">
        <is>
          <t>https://images-na.ssl-images-amazon.com/images/I/81noqNc+ZjL.jpg</t>
        </is>
      </c>
      <c r="K171" s="109" t="inlineStr">
        <is>
          <t>B0DM3GDCTR</t>
        </is>
      </c>
      <c r="L171" s="109" t="inlineStr">
        <is>
          <t>B0D3XQM7DL</t>
        </is>
      </c>
      <c r="M171" s="109" t="n">
        <v>74</v>
      </c>
      <c r="N171" s="109" t="n">
        <v>51.29</v>
      </c>
      <c r="O171" s="109" t="n">
        <v>62.99</v>
      </c>
      <c r="P171" s="109">
        <f>IF(AND(ISNUMBER(O171),ISNUMBER(N171),N(N171)&gt;0),O171/N171-1,"")</f>
        <v/>
      </c>
      <c r="Q171" s="109" t="n">
        <v>54.99</v>
      </c>
      <c r="R171" s="109">
        <f>IF(AND(ISNUMBER(N171),ISNUMBER(Q171),N(Q171)&gt;0),N171/Q171-1,"")</f>
        <v/>
      </c>
      <c r="S171" s="109" t="n">
        <v>33959</v>
      </c>
      <c r="T171" s="109" t="n">
        <v>35</v>
      </c>
      <c r="U171" s="109" t="n">
        <v>4.4</v>
      </c>
      <c r="V171" s="109" t="n">
        <v>674</v>
      </c>
      <c r="W171" s="109" t="n"/>
      <c r="X171" s="109" t="n"/>
      <c r="Y171" s="109" t="n"/>
      <c r="Z171" s="109" t="n"/>
      <c r="AA171" s="109" t="n"/>
      <c r="AB171" s="109" t="n"/>
      <c r="AC171" s="109" t="inlineStr">
        <is>
          <t>US SL B4</t>
        </is>
      </c>
      <c r="AD171" s="109">
        <f>'US SL B4'!BC134</f>
        <v/>
      </c>
      <c r="AE171" s="109">
        <f>'US SL B4'!BF134</f>
        <v/>
      </c>
      <c r="AF171" s="109" t="inlineStr">
        <is>
          <t>Queen</t>
        </is>
      </c>
      <c r="AG171" s="109" t="inlineStr">
        <is>
          <t>Navy</t>
        </is>
      </c>
    </row>
    <row r="172">
      <c r="A172" s="109">
        <f>AND(OR(Dashboard!$C$4="All",Dashboard!$C$4=D172),OR(Dashboard!$C$5="All",Dashboard!$C$5=E172),OR(Dashboard!$C$6="All",Dashboard!$C$6=G172),OR(Dashboard!$C$7="All",Dashboard!$C$7=H172),OR(Dashboard!$C$8="All",Dashboard!$C$8=F172))</f>
        <v/>
      </c>
      <c r="B172" s="109">
        <f>IF(A172,B171+1,B171)</f>
        <v/>
      </c>
      <c r="C172" s="109" t="n">
        <v>36</v>
      </c>
      <c r="D172" s="109" t="inlineStr">
        <is>
          <t>SL B4</t>
        </is>
      </c>
      <c r="E172" s="109" t="inlineStr">
        <is>
          <t>US</t>
        </is>
      </c>
      <c r="F172" s="109" t="inlineStr">
        <is>
          <t>Bamboo</t>
        </is>
      </c>
      <c r="G172" s="109" t="inlineStr">
        <is>
          <t>Shilucheng</t>
        </is>
      </c>
      <c r="H172" s="109" t="inlineStr">
        <is>
          <t>Poor</t>
        </is>
      </c>
      <c r="I172" s="109" t="inlineStr">
        <is>
          <t>Shilucheng 100% Viscose Derived from Bamboo_ Sheets Queen Size 4pcs</t>
        </is>
      </c>
      <c r="J172" s="109" t="inlineStr">
        <is>
          <t>https://images-na.ssl-images-amazon.com/images/I/71+O+E9PlaL.jpg</t>
        </is>
      </c>
      <c r="K172" s="109" t="inlineStr">
        <is>
          <t>B09PYKYCCF</t>
        </is>
      </c>
      <c r="L172" s="109" t="inlineStr">
        <is>
          <t>B09PYKYCCF</t>
        </is>
      </c>
      <c r="M172" s="109" t="n">
        <v>79</v>
      </c>
      <c r="N172" s="109" t="n">
        <v>46.66</v>
      </c>
      <c r="O172" s="109" t="n">
        <v>54.9</v>
      </c>
      <c r="P172" s="109">
        <f>IF(AND(ISNUMBER(O172),ISNUMBER(N172),N(N172)&gt;0),O172/N172-1,"")</f>
        <v/>
      </c>
      <c r="Q172" s="109" t="n">
        <v>54.99</v>
      </c>
      <c r="R172" s="109">
        <f>IF(AND(ISNUMBER(N172),ISNUMBER(Q172),N(Q172)&gt;0),N172/Q172-1,"")</f>
        <v/>
      </c>
      <c r="S172" s="109" t="n">
        <v>26043</v>
      </c>
      <c r="T172" s="109" t="n">
        <v>35</v>
      </c>
      <c r="U172" s="109" t="n">
        <v>4.4</v>
      </c>
      <c r="V172" s="109" t="n">
        <v>6629</v>
      </c>
      <c r="W172" s="109" t="n"/>
      <c r="X172" s="109" t="n"/>
      <c r="Y172" s="109" t="n"/>
      <c r="Z172" s="109" t="n"/>
      <c r="AA172" s="109" t="n"/>
      <c r="AB172" s="109" t="n"/>
      <c r="AC172" s="109" t="inlineStr">
        <is>
          <t>US SL B4</t>
        </is>
      </c>
      <c r="AD172" s="109">
        <f>'US SL B4'!BC135</f>
        <v/>
      </c>
      <c r="AE172" s="109">
        <f>'US SL B4'!BF135</f>
        <v/>
      </c>
      <c r="AF172" s="109" t="inlineStr">
        <is>
          <t>Queen</t>
        </is>
      </c>
      <c r="AG172" s="109" t="n"/>
    </row>
    <row r="173">
      <c r="A173" s="109">
        <f>AND(OR(Dashboard!$C$4="All",Dashboard!$C$4=D173),OR(Dashboard!$C$5="All",Dashboard!$C$5=E173),OR(Dashboard!$C$6="All",Dashboard!$C$6=G173),OR(Dashboard!$C$7="All",Dashboard!$C$7=H173),OR(Dashboard!$C$8="All",Dashboard!$C$8=F173))</f>
        <v/>
      </c>
      <c r="B173" s="109">
        <f>IF(A173,B172+1,B172)</f>
        <v/>
      </c>
      <c r="C173" s="109" t="n">
        <v>36</v>
      </c>
      <c r="D173" s="109" t="inlineStr">
        <is>
          <t>SL B4</t>
        </is>
      </c>
      <c r="E173" s="109" t="inlineStr">
        <is>
          <t>US</t>
        </is>
      </c>
      <c r="F173" s="109" t="inlineStr">
        <is>
          <t>Bamboo</t>
        </is>
      </c>
      <c r="G173" s="109" t="inlineStr">
        <is>
          <t>Bamtek</t>
        </is>
      </c>
      <c r="H173" s="109" t="inlineStr">
        <is>
          <t>Poor</t>
        </is>
      </c>
      <c r="I173" s="109" t="inlineStr">
        <is>
          <t>Viscose Bamboo Sheets Queen Size 4PC Set - Cooling Bedding for Hot Sleepers with</t>
        </is>
      </c>
      <c r="J173" s="109" t="n"/>
      <c r="K173" s="109" t="inlineStr">
        <is>
          <t>B0CZHCZQZ3</t>
        </is>
      </c>
      <c r="L173" s="109" t="inlineStr">
        <is>
          <t>B09TQ6ZVKZ</t>
        </is>
      </c>
      <c r="M173" s="109" t="n"/>
      <c r="N173" s="109" t="n">
        <v>94.98999999999999</v>
      </c>
      <c r="O173" s="109" t="n"/>
      <c r="P173" s="109">
        <f>IF(AND(ISNUMBER(O173),ISNUMBER(N173),N(N173)&gt;0),O173/N173-1,"")</f>
        <v/>
      </c>
      <c r="Q173" s="109" t="n">
        <v>54.99</v>
      </c>
      <c r="R173" s="109">
        <f>IF(AND(ISNUMBER(N173),ISNUMBER(Q173),N(Q173)&gt;0),N173/Q173-1,"")</f>
        <v/>
      </c>
      <c r="S173" s="109" t="n">
        <v>79376</v>
      </c>
      <c r="T173" s="109" t="n">
        <v>18</v>
      </c>
      <c r="U173" s="109" t="n">
        <v>4.4</v>
      </c>
      <c r="V173" s="109" t="n">
        <v>641</v>
      </c>
      <c r="W173" s="109" t="n"/>
      <c r="X173" s="109" t="n"/>
      <c r="Y173" s="109" t="n"/>
      <c r="Z173" s="109" t="n"/>
      <c r="AA173" s="109" t="n"/>
      <c r="AB173" s="109" t="n"/>
      <c r="AC173" s="109" t="inlineStr">
        <is>
          <t>US SL B4</t>
        </is>
      </c>
      <c r="AD173" s="109">
        <f>'US SL B4'!BC136</f>
        <v/>
      </c>
      <c r="AE173" s="109">
        <f>'US SL B4'!BF136</f>
        <v/>
      </c>
      <c r="AF173" s="109" t="inlineStr">
        <is>
          <t>Queen</t>
        </is>
      </c>
      <c r="AG173" s="109" t="n"/>
    </row>
    <row r="174">
      <c r="A174" s="109">
        <f>AND(OR(Dashboard!$C$4="All",Dashboard!$C$4=D174),OR(Dashboard!$C$5="All",Dashboard!$C$5=E174),OR(Dashboard!$C$6="All",Dashboard!$C$6=G174),OR(Dashboard!$C$7="All",Dashboard!$C$7=H174),OR(Dashboard!$C$8="All",Dashboard!$C$8=F174))</f>
        <v/>
      </c>
      <c r="B174" s="109">
        <f>IF(A174,B173+1,B173)</f>
        <v/>
      </c>
      <c r="C174" s="109" t="n">
        <v>36</v>
      </c>
      <c r="D174" s="109" t="inlineStr">
        <is>
          <t>SL B4</t>
        </is>
      </c>
      <c r="E174" s="109" t="inlineStr">
        <is>
          <t>US</t>
        </is>
      </c>
      <c r="F174" s="109" t="inlineStr">
        <is>
          <t>Bamboo</t>
        </is>
      </c>
      <c r="G174" s="109" t="inlineStr">
        <is>
          <t>JSD</t>
        </is>
      </c>
      <c r="H174" s="109" t="inlineStr">
        <is>
          <t>Poor</t>
        </is>
      </c>
      <c r="I174" s="109" t="inlineStr">
        <is>
          <t>JSD Sage Green 100% Viscose Derived from Bamboo Cooling Sheet Set Queen</t>
        </is>
      </c>
      <c r="J174" s="109" t="inlineStr">
        <is>
          <t>https://images-na.ssl-images-amazon.com/images/I/61imzycbiwL.jpg</t>
        </is>
      </c>
      <c r="K174" s="109" t="inlineStr">
        <is>
          <t>B0DTY15N29</t>
        </is>
      </c>
      <c r="L174" s="109" t="inlineStr">
        <is>
          <t>B0DSZTLBV1</t>
        </is>
      </c>
      <c r="M174" s="109" t="n">
        <v>32</v>
      </c>
      <c r="N174" s="109" t="n">
        <v>56.99</v>
      </c>
      <c r="O174" s="109" t="n"/>
      <c r="P174" s="109">
        <f>IF(AND(ISNUMBER(O174),ISNUMBER(N174),N(N174)&gt;0),O174/N174-1,"")</f>
        <v/>
      </c>
      <c r="Q174" s="109" t="n">
        <v>54.99</v>
      </c>
      <c r="R174" s="109">
        <f>IF(AND(ISNUMBER(N174),ISNUMBER(Q174),N(Q174)&gt;0),N174/Q174-1,"")</f>
        <v/>
      </c>
      <c r="S174" s="109" t="n">
        <v>76312</v>
      </c>
      <c r="T174" s="109" t="n">
        <v>18</v>
      </c>
      <c r="U174" s="109" t="n">
        <v>4.3</v>
      </c>
      <c r="V174" s="109" t="n">
        <v>281</v>
      </c>
      <c r="W174" s="109" t="n"/>
      <c r="X174" s="109" t="n"/>
      <c r="Y174" s="109" t="n"/>
      <c r="Z174" s="109" t="n"/>
      <c r="AA174" s="109" t="n"/>
      <c r="AB174" s="109" t="n"/>
      <c r="AC174" s="109" t="inlineStr">
        <is>
          <t>US SL B4</t>
        </is>
      </c>
      <c r="AD174" s="109">
        <f>'US SL B4'!BC137</f>
        <v/>
      </c>
      <c r="AE174" s="109">
        <f>'US SL B4'!BF137</f>
        <v/>
      </c>
      <c r="AF174" s="109" t="inlineStr">
        <is>
          <t>Queen</t>
        </is>
      </c>
      <c r="AG174" s="109" t="inlineStr">
        <is>
          <t>Green</t>
        </is>
      </c>
    </row>
    <row r="175">
      <c r="A175" s="109">
        <f>AND(OR(Dashboard!$C$4="All",Dashboard!$C$4=D175),OR(Dashboard!$C$5="All",Dashboard!$C$5=E175),OR(Dashboard!$C$6="All",Dashboard!$C$6=G175),OR(Dashboard!$C$7="All",Dashboard!$C$7=H175),OR(Dashboard!$C$8="All",Dashboard!$C$8=F175))</f>
        <v/>
      </c>
      <c r="B175" s="109">
        <f>IF(A175,B174+1,B174)</f>
        <v/>
      </c>
      <c r="C175" s="109" t="n">
        <v>36</v>
      </c>
      <c r="D175" s="109" t="inlineStr">
        <is>
          <t>SL B4</t>
        </is>
      </c>
      <c r="E175" s="109" t="inlineStr">
        <is>
          <t>US</t>
        </is>
      </c>
      <c r="F175" s="109" t="inlineStr">
        <is>
          <t>Bamboo</t>
        </is>
      </c>
      <c r="G175" s="109" t="inlineStr">
        <is>
          <t>Kickoff Home</t>
        </is>
      </c>
      <c r="H175" s="109" t="inlineStr">
        <is>
          <t>Poor</t>
        </is>
      </c>
      <c r="I175" s="109" t="inlineStr">
        <is>
          <t>Bamboo Sheets</t>
        </is>
      </c>
      <c r="J175" s="109" t="inlineStr">
        <is>
          <t>https://images-na.ssl-images-amazon.com/images/I/71zrq2AtnUL.jpg</t>
        </is>
      </c>
      <c r="K175" s="109" t="inlineStr">
        <is>
          <t>B0D4KS4MVX</t>
        </is>
      </c>
      <c r="L175" s="109" t="inlineStr">
        <is>
          <t>B0CHN5ZPFH</t>
        </is>
      </c>
      <c r="M175" s="109" t="n">
        <v>106</v>
      </c>
      <c r="N175" s="109" t="n">
        <v>76.98999999999999</v>
      </c>
      <c r="O175" s="109" t="n">
        <v>84.98999999999999</v>
      </c>
      <c r="P175" s="109">
        <f>IF(AND(ISNUMBER(O175),ISNUMBER(N175),N(N175)&gt;0),O175/N175-1,"")</f>
        <v/>
      </c>
      <c r="Q175" s="109" t="n">
        <v>54.99</v>
      </c>
      <c r="R175" s="109">
        <f>IF(AND(ISNUMBER(N175),ISNUMBER(Q175),N(Q175)&gt;0),N175/Q175-1,"")</f>
        <v/>
      </c>
      <c r="S175" s="109" t="n">
        <v>23579</v>
      </c>
      <c r="T175" s="109" t="n">
        <v>18</v>
      </c>
      <c r="U175" s="109" t="n">
        <v>4.6</v>
      </c>
      <c r="V175" s="109" t="n">
        <v>688</v>
      </c>
      <c r="W175" s="109" t="n">
        <v>58169</v>
      </c>
      <c r="X175" s="109" t="n">
        <v>0.8765498702057799</v>
      </c>
      <c r="Y175" s="109" t="n">
        <v>117</v>
      </c>
      <c r="Z175" s="109" t="n">
        <v>207</v>
      </c>
      <c r="AA175" s="109" t="n">
        <v>110</v>
      </c>
      <c r="AB175" s="109" t="n"/>
      <c r="AC175" s="109" t="inlineStr">
        <is>
          <t>US SL B4</t>
        </is>
      </c>
      <c r="AD175" s="109">
        <f>'US SL B4'!BC138</f>
        <v/>
      </c>
      <c r="AE175" s="109">
        <f>'US SL B4'!BF138</f>
        <v/>
      </c>
      <c r="AF175" s="109" t="n"/>
      <c r="AG175" s="109" t="n"/>
    </row>
    <row r="176">
      <c r="A176" s="109">
        <f>AND(OR(Dashboard!$C$4="All",Dashboard!$C$4=D176),OR(Dashboard!$C$5="All",Dashboard!$C$5=E176),OR(Dashboard!$C$6="All",Dashboard!$C$6=G176),OR(Dashboard!$C$7="All",Dashboard!$C$7=H176),OR(Dashboard!$C$8="All",Dashboard!$C$8=F176))</f>
        <v/>
      </c>
      <c r="B176" s="109">
        <f>IF(A176,B175+1,B175)</f>
        <v/>
      </c>
      <c r="C176" s="109" t="n">
        <v>36</v>
      </c>
      <c r="D176" s="109" t="inlineStr">
        <is>
          <t>SL B4</t>
        </is>
      </c>
      <c r="E176" s="109" t="inlineStr">
        <is>
          <t>US</t>
        </is>
      </c>
      <c r="F176" s="109" t="inlineStr">
        <is>
          <t>Bamboo</t>
        </is>
      </c>
      <c r="G176" s="109" t="inlineStr">
        <is>
          <t>LB Luxury Bamboo Market</t>
        </is>
      </c>
      <c r="H176" s="109" t="inlineStr">
        <is>
          <t>Poor</t>
        </is>
      </c>
      <c r="I176" s="109" t="inlineStr">
        <is>
          <t>Bamboo Sheets</t>
        </is>
      </c>
      <c r="J176" s="109" t="n"/>
      <c r="K176" s="109" t="inlineStr">
        <is>
          <t>B0D1HWHDL2</t>
        </is>
      </c>
      <c r="L176" s="109" t="inlineStr">
        <is>
          <t>B0CH7N9WVC</t>
        </is>
      </c>
      <c r="M176" s="109" t="n"/>
      <c r="N176" s="109" t="n">
        <v>129.94</v>
      </c>
      <c r="O176" s="109" t="n"/>
      <c r="P176" s="109">
        <f>IF(AND(ISNUMBER(O176),ISNUMBER(N176),N(N176)&gt;0),O176/N176-1,"")</f>
        <v/>
      </c>
      <c r="Q176" s="109" t="n">
        <v>54.99</v>
      </c>
      <c r="R176" s="109">
        <f>IF(AND(ISNUMBER(N176),ISNUMBER(Q176),N(Q176)&gt;0),N176/Q176-1,"")</f>
        <v/>
      </c>
      <c r="S176" s="109" t="n">
        <v>47800</v>
      </c>
      <c r="T176" s="109" t="n">
        <v>18</v>
      </c>
      <c r="U176" s="109" t="n">
        <v>4.5</v>
      </c>
      <c r="V176" s="109" t="n">
        <v>517</v>
      </c>
      <c r="W176" s="109" t="n"/>
      <c r="X176" s="109" t="n"/>
      <c r="Y176" s="109" t="n"/>
      <c r="Z176" s="109" t="n"/>
      <c r="AA176" s="109" t="n"/>
      <c r="AB176" s="109" t="n"/>
      <c r="AC176" s="109" t="inlineStr">
        <is>
          <t>US SL B4</t>
        </is>
      </c>
      <c r="AD176" s="109">
        <f>'US SL B4'!BC139</f>
        <v/>
      </c>
      <c r="AE176" s="109">
        <f>'US SL B4'!BF139</f>
        <v/>
      </c>
      <c r="AF176" s="109" t="n"/>
      <c r="AG176" s="109" t="n"/>
    </row>
    <row r="177">
      <c r="A177" s="109">
        <f>AND(OR(Dashboard!$C$4="All",Dashboard!$C$4=D177),OR(Dashboard!$C$5="All",Dashboard!$C$5=E177),OR(Dashboard!$C$6="All",Dashboard!$C$6=G177),OR(Dashboard!$C$7="All",Dashboard!$C$7=H177),OR(Dashboard!$C$8="All",Dashboard!$C$8=F177))</f>
        <v/>
      </c>
      <c r="B177" s="109">
        <f>IF(A177,B176+1,B176)</f>
        <v/>
      </c>
      <c r="C177" s="109" t="n">
        <v>36</v>
      </c>
      <c r="D177" s="109" t="inlineStr">
        <is>
          <t>SL B4</t>
        </is>
      </c>
      <c r="E177" s="109" t="inlineStr">
        <is>
          <t>US</t>
        </is>
      </c>
      <c r="F177" s="109" t="inlineStr">
        <is>
          <t>Bamboo</t>
        </is>
      </c>
      <c r="G177" s="109" t="inlineStr">
        <is>
          <t>Shilucheng</t>
        </is>
      </c>
      <c r="H177" s="109" t="inlineStr">
        <is>
          <t>Poor</t>
        </is>
      </c>
      <c r="I177" s="109" t="inlineStr">
        <is>
          <t>Shilucheng 100% Viscose Derived from Bamboo_Sheets, Extra Deep Pocket</t>
        </is>
      </c>
      <c r="J177" s="109" t="inlineStr">
        <is>
          <t>https://images-na.ssl-images-amazon.com/images/I/71NxE1i+4jL.jpg</t>
        </is>
      </c>
      <c r="K177" s="109" t="inlineStr">
        <is>
          <t>B0F2TBWTZR</t>
        </is>
      </c>
      <c r="L177" s="109" t="inlineStr">
        <is>
          <t>B0F2TBWTZR</t>
        </is>
      </c>
      <c r="M177" s="109" t="n">
        <v>32</v>
      </c>
      <c r="N177" s="109" t="n">
        <v>69.98999999999999</v>
      </c>
      <c r="O177" s="109" t="n">
        <v>84.98999999999999</v>
      </c>
      <c r="P177" s="109">
        <f>IF(AND(ISNUMBER(O177),ISNUMBER(N177),N(N177)&gt;0),O177/N177-1,"")</f>
        <v/>
      </c>
      <c r="Q177" s="109" t="n">
        <v>54.99</v>
      </c>
      <c r="R177" s="109">
        <f>IF(AND(ISNUMBER(N177),ISNUMBER(Q177),N(Q177)&gt;0),N177/Q177-1,"")</f>
        <v/>
      </c>
      <c r="S177" s="109" t="n">
        <v>39194</v>
      </c>
      <c r="T177" s="109" t="n">
        <v>18</v>
      </c>
      <c r="U177" s="109" t="n">
        <v>4.5</v>
      </c>
      <c r="V177" s="109" t="n">
        <v>1639</v>
      </c>
      <c r="W177" s="109" t="n"/>
      <c r="X177" s="109" t="n"/>
      <c r="Y177" s="109" t="n"/>
      <c r="Z177" s="109" t="n"/>
      <c r="AA177" s="109" t="n"/>
      <c r="AB177" s="109" t="n"/>
      <c r="AC177" s="109" t="inlineStr">
        <is>
          <t>US SL B4</t>
        </is>
      </c>
      <c r="AD177" s="109">
        <f>'US SL B4'!BC140</f>
        <v/>
      </c>
      <c r="AE177" s="109">
        <f>'US SL B4'!BF140</f>
        <v/>
      </c>
      <c r="AF177" s="109" t="n"/>
      <c r="AG177" s="109" t="n"/>
    </row>
    <row r="178">
      <c r="A178" s="109">
        <f>AND(OR(Dashboard!$C$4="All",Dashboard!$C$4=D178),OR(Dashboard!$C$5="All",Dashboard!$C$5=E178),OR(Dashboard!$C$6="All",Dashboard!$C$6=G178),OR(Dashboard!$C$7="All",Dashboard!$C$7=H178),OR(Dashboard!$C$8="All",Dashboard!$C$8=F178))</f>
        <v/>
      </c>
      <c r="B178" s="109">
        <f>IF(A178,B177+1,B177)</f>
        <v/>
      </c>
      <c r="C178" s="109" t="n">
        <v>36</v>
      </c>
      <c r="D178" s="109" t="inlineStr">
        <is>
          <t>SL B4</t>
        </is>
      </c>
      <c r="E178" s="109" t="inlineStr">
        <is>
          <t>US</t>
        </is>
      </c>
      <c r="F178" s="109" t="inlineStr">
        <is>
          <t>Bamboo</t>
        </is>
      </c>
      <c r="G178" s="109" t="inlineStr">
        <is>
          <t>Bamboo Bay</t>
        </is>
      </c>
      <c r="H178" s="109" t="inlineStr">
        <is>
          <t>Poor</t>
        </is>
      </c>
      <c r="I178" s="109" t="inlineStr">
        <is>
          <t>Bamboo Sheets</t>
        </is>
      </c>
      <c r="J178" s="109" t="n"/>
      <c r="K178" s="109" t="inlineStr">
        <is>
          <t>B0DLF1SWJ5</t>
        </is>
      </c>
      <c r="L178" s="109" t="inlineStr">
        <is>
          <t>B07TBHLZJM</t>
        </is>
      </c>
      <c r="M178" s="109" t="n"/>
      <c r="N178" s="109" t="n">
        <v>79.98</v>
      </c>
      <c r="O178" s="109" t="n"/>
      <c r="P178" s="109">
        <f>IF(AND(ISNUMBER(O178),ISNUMBER(N178),N(N178)&gt;0),O178/N178-1,"")</f>
        <v/>
      </c>
      <c r="Q178" s="109" t="n">
        <v>54.99</v>
      </c>
      <c r="R178" s="109">
        <f>IF(AND(ISNUMBER(N178),ISNUMBER(Q178),N(Q178)&gt;0),N178/Q178-1,"")</f>
        <v/>
      </c>
      <c r="S178" s="109" t="n">
        <v>131083</v>
      </c>
      <c r="T178" s="109" t="n">
        <v>5</v>
      </c>
      <c r="U178" s="109" t="n">
        <v>4.5</v>
      </c>
      <c r="V178" s="109" t="n">
        <v>2691</v>
      </c>
      <c r="W178" s="109" t="n"/>
      <c r="X178" s="109" t="n"/>
      <c r="Y178" s="109" t="n"/>
      <c r="Z178" s="109" t="n"/>
      <c r="AA178" s="109" t="n"/>
      <c r="AB178" s="109" t="n"/>
      <c r="AC178" s="109" t="inlineStr">
        <is>
          <t>US SL B4</t>
        </is>
      </c>
      <c r="AD178" s="109">
        <f>'US SL B4'!BC141</f>
        <v/>
      </c>
      <c r="AE178" s="109">
        <f>'US SL B4'!BF141</f>
        <v/>
      </c>
      <c r="AF178" s="109" t="n"/>
      <c r="AG178" s="109" t="n"/>
    </row>
    <row r="179">
      <c r="A179" s="109">
        <f>AND(OR(Dashboard!$C$4="All",Dashboard!$C$4=D179),OR(Dashboard!$C$5="All",Dashboard!$C$5=E179),OR(Dashboard!$C$6="All",Dashboard!$C$6=G179),OR(Dashboard!$C$7="All",Dashboard!$C$7=H179),OR(Dashboard!$C$8="All",Dashboard!$C$8=F179))</f>
        <v/>
      </c>
      <c r="B179" s="109">
        <f>IF(A179,B178+1,B178)</f>
        <v/>
      </c>
      <c r="C179" s="109" t="n">
        <v>36</v>
      </c>
      <c r="D179" s="109" t="inlineStr">
        <is>
          <t>SL B4</t>
        </is>
      </c>
      <c r="E179" s="109" t="inlineStr">
        <is>
          <t>US</t>
        </is>
      </c>
      <c r="F179" s="109" t="inlineStr">
        <is>
          <t>Bamboo</t>
        </is>
      </c>
      <c r="G179" s="109" t="inlineStr">
        <is>
          <t>LBRO2M</t>
        </is>
      </c>
      <c r="H179" s="109" t="inlineStr">
        <is>
          <t>Poor</t>
        </is>
      </c>
      <c r="I179" s="109" t="inlineStr">
        <is>
          <t>LBRO2M Cooling Bed Sheet 100% Viscose Derived from Bamboo Sheet Set Queen Size 6</t>
        </is>
      </c>
      <c r="J179" s="109" t="n"/>
      <c r="K179" s="109" t="inlineStr">
        <is>
          <t>B0F9FK3L6J</t>
        </is>
      </c>
      <c r="L179" s="109" t="inlineStr">
        <is>
          <t>B0F9FK7SMW</t>
        </is>
      </c>
      <c r="M179" s="109" t="n"/>
      <c r="N179" s="109" t="n">
        <v>94.98999999999999</v>
      </c>
      <c r="O179" s="109" t="n"/>
      <c r="P179" s="109">
        <f>IF(AND(ISNUMBER(O179),ISNUMBER(N179),N(N179)&gt;0),O179/N179-1,"")</f>
        <v/>
      </c>
      <c r="Q179" s="109" t="n">
        <v>54.99</v>
      </c>
      <c r="R179" s="109">
        <f>IF(AND(ISNUMBER(N179),ISNUMBER(Q179),N(Q179)&gt;0),N179/Q179-1,"")</f>
        <v/>
      </c>
      <c r="S179" s="109" t="n">
        <v>1003118</v>
      </c>
      <c r="T179" s="109" t="n">
        <v>5</v>
      </c>
      <c r="U179" s="109" t="n">
        <v>4.4</v>
      </c>
      <c r="V179" s="109" t="n">
        <v>18</v>
      </c>
      <c r="W179" s="109" t="n"/>
      <c r="X179" s="109" t="n"/>
      <c r="Y179" s="109" t="n"/>
      <c r="Z179" s="109" t="n"/>
      <c r="AA179" s="109" t="n"/>
      <c r="AB179" s="109" t="n"/>
      <c r="AC179" s="109" t="inlineStr">
        <is>
          <t>US SL B4</t>
        </is>
      </c>
      <c r="AD179" s="109">
        <f>'US SL B4'!BC142</f>
        <v/>
      </c>
      <c r="AE179" s="109">
        <f>'US SL B4'!BF142</f>
        <v/>
      </c>
      <c r="AF179" s="109" t="inlineStr">
        <is>
          <t>Queen</t>
        </is>
      </c>
      <c r="AG179" s="109" t="n"/>
    </row>
    <row r="180">
      <c r="A180" s="109">
        <f>AND(OR(Dashboard!$C$4="All",Dashboard!$C$4=D180),OR(Dashboard!$C$5="All",Dashboard!$C$5=E180),OR(Dashboard!$C$6="All",Dashboard!$C$6=G180),OR(Dashboard!$C$7="All",Dashboard!$C$7=H180),OR(Dashboard!$C$8="All",Dashboard!$C$8=F180))</f>
        <v/>
      </c>
      <c r="B180" s="109">
        <f>IF(A180,B179+1,B179)</f>
        <v/>
      </c>
      <c r="C180" s="109" t="n">
        <v>36</v>
      </c>
      <c r="D180" s="109" t="inlineStr">
        <is>
          <t>SL B4</t>
        </is>
      </c>
      <c r="E180" s="109" t="inlineStr">
        <is>
          <t>US</t>
        </is>
      </c>
      <c r="F180" s="109" t="inlineStr">
        <is>
          <t>Bamboo</t>
        </is>
      </c>
      <c r="G180" s="109" t="inlineStr">
        <is>
          <t>TWK</t>
        </is>
      </c>
      <c r="H180" s="109" t="inlineStr">
        <is>
          <t>Poor</t>
        </is>
      </c>
      <c r="I180" s="109" t="inlineStr">
        <is>
          <t>TWK Luxury Sheet Set, Genuine 100% Organic Viscose Derived from Bamboo, Cooling &amp; Breathable, Silky Soft, Bedding Sheets &amp; Pillowcases (Mist Gray, King)</t>
        </is>
      </c>
      <c r="J180" s="109" t="inlineStr">
        <is>
          <t>https://images-na.ssl-images-amazon.com/images/I/71gw0WpuNuL.jpg</t>
        </is>
      </c>
      <c r="K180" s="109" t="inlineStr">
        <is>
          <t>B0DYT2QWLC</t>
        </is>
      </c>
      <c r="L180" s="109" t="inlineStr">
        <is>
          <t>B0DYT2QWLC</t>
        </is>
      </c>
      <c r="M180" s="109" t="n">
        <v>1</v>
      </c>
      <c r="N180" s="109" t="n">
        <v>109.99</v>
      </c>
      <c r="O180" s="109" t="n"/>
      <c r="P180" s="109">
        <f>IF(AND(ISNUMBER(O180),ISNUMBER(N180),N(N180)&gt;0),O180/N180-1,"")</f>
        <v/>
      </c>
      <c r="Q180" s="109" t="n">
        <v>54.99</v>
      </c>
      <c r="R180" s="109">
        <f>IF(AND(ISNUMBER(N180),ISNUMBER(Q180),N(Q180)&gt;0),N180/Q180-1,"")</f>
        <v/>
      </c>
      <c r="S180" s="109" t="n">
        <v>1506045</v>
      </c>
      <c r="T180" s="109" t="n">
        <v>5</v>
      </c>
      <c r="U180" s="109" t="n">
        <v>4.5</v>
      </c>
      <c r="V180" s="109" t="n">
        <v>39</v>
      </c>
      <c r="W180" s="109" t="n"/>
      <c r="X180" s="109" t="n"/>
      <c r="Y180" s="109" t="n"/>
      <c r="Z180" s="109" t="n"/>
      <c r="AA180" s="109" t="n"/>
      <c r="AB180" s="109" t="n"/>
      <c r="AC180" s="109" t="inlineStr">
        <is>
          <t>US SL B4</t>
        </is>
      </c>
      <c r="AD180" s="109">
        <f>'US SL B4'!BC143</f>
        <v/>
      </c>
      <c r="AE180" s="109">
        <f>'US SL B4'!BF143</f>
        <v/>
      </c>
      <c r="AF180" s="109" t="inlineStr">
        <is>
          <t>King</t>
        </is>
      </c>
      <c r="AG180" s="109" t="inlineStr">
        <is>
          <t>Mist Gray</t>
        </is>
      </c>
    </row>
    <row r="181">
      <c r="A181" s="109">
        <f>AND(OR(Dashboard!$C$4="All",Dashboard!$C$4=D181),OR(Dashboard!$C$5="All",Dashboard!$C$5=E181),OR(Dashboard!$C$6="All",Dashboard!$C$6=G181),OR(Dashboard!$C$7="All",Dashboard!$C$7=H181),OR(Dashboard!$C$8="All",Dashboard!$C$8=F181))</f>
        <v/>
      </c>
      <c r="B181" s="109">
        <f>IF(A181,B180+1,B180)</f>
        <v/>
      </c>
      <c r="C181" s="109" t="n">
        <v>36</v>
      </c>
      <c r="D181" s="109" t="inlineStr">
        <is>
          <t>SL B4</t>
        </is>
      </c>
      <c r="E181" s="109" t="inlineStr">
        <is>
          <t>US</t>
        </is>
      </c>
      <c r="F181" s="109" t="inlineStr">
        <is>
          <t>Bamboo</t>
        </is>
      </c>
      <c r="G181" s="109" t="inlineStr">
        <is>
          <t>TWK</t>
        </is>
      </c>
      <c r="H181" s="109" t="inlineStr">
        <is>
          <t>Poor</t>
        </is>
      </c>
      <c r="I181" s="109" t="inlineStr">
        <is>
          <t>TWK Luxury Sheet Set, Genuine 100% Viscose Derived from Bamboo, Cooling &amp; Breathable, Silky Soft, Bedding Sheets &amp; Pillowcases (White, King(78 * 80 * 15))</t>
        </is>
      </c>
      <c r="J181" s="109" t="inlineStr">
        <is>
          <t>https://images-na.ssl-images-amazon.com/images/I/71YlZk0Q9-L.jpg</t>
        </is>
      </c>
      <c r="K181" s="109" t="inlineStr">
        <is>
          <t>B0GVP3B7LS</t>
        </is>
      </c>
      <c r="L181" s="109" t="inlineStr">
        <is>
          <t>B0GVP3B7LS</t>
        </is>
      </c>
      <c r="M181" s="109" t="n">
        <v>1</v>
      </c>
      <c r="N181" s="109" t="n">
        <v>46.74</v>
      </c>
      <c r="O181" s="109" t="n"/>
      <c r="P181" s="109">
        <f>IF(AND(ISNUMBER(O181),ISNUMBER(N181),N(N181)&gt;0),O181/N181-1,"")</f>
        <v/>
      </c>
      <c r="Q181" s="109" t="n">
        <v>54.99</v>
      </c>
      <c r="R181" s="109">
        <f>IF(AND(ISNUMBER(N181),ISNUMBER(Q181),N(Q181)&gt;0),N181/Q181-1,"")</f>
        <v/>
      </c>
      <c r="S181" s="109" t="n">
        <v>2065761</v>
      </c>
      <c r="T181" s="109" t="n">
        <v>5</v>
      </c>
      <c r="U181" s="109" t="n">
        <v>4.5</v>
      </c>
      <c r="V181" s="109" t="n">
        <v>11</v>
      </c>
      <c r="W181" s="109" t="n"/>
      <c r="X181" s="109" t="n"/>
      <c r="Y181" s="109" t="n"/>
      <c r="Z181" s="109" t="n"/>
      <c r="AA181" s="109" t="n"/>
      <c r="AB181" s="109" t="n"/>
      <c r="AC181" s="109" t="inlineStr">
        <is>
          <t>US SL B4</t>
        </is>
      </c>
      <c r="AD181" s="109">
        <f>'US SL B4'!BC144</f>
        <v/>
      </c>
      <c r="AE181" s="109">
        <f>'US SL B4'!BF144</f>
        <v/>
      </c>
      <c r="AF181" s="109" t="inlineStr">
        <is>
          <t>King</t>
        </is>
      </c>
      <c r="AG181" s="109" t="inlineStr">
        <is>
          <t>White</t>
        </is>
      </c>
    </row>
    <row r="182">
      <c r="A182" s="109">
        <f>AND(OR(Dashboard!$C$4="All",Dashboard!$C$4=D182),OR(Dashboard!$C$5="All",Dashboard!$C$5=E182),OR(Dashboard!$C$6="All",Dashboard!$C$6=G182),OR(Dashboard!$C$7="All",Dashboard!$C$7=H182),OR(Dashboard!$C$8="All",Dashboard!$C$8=F182))</f>
        <v/>
      </c>
      <c r="B182" s="109">
        <f>IF(A182,B181+1,B181)</f>
        <v/>
      </c>
      <c r="C182" s="109" t="n">
        <v>36</v>
      </c>
      <c r="D182" s="109" t="inlineStr">
        <is>
          <t>SL B4</t>
        </is>
      </c>
      <c r="E182" s="109" t="inlineStr">
        <is>
          <t>US</t>
        </is>
      </c>
      <c r="F182" s="109" t="inlineStr">
        <is>
          <t>Bamboo</t>
        </is>
      </c>
      <c r="G182" s="109" t="inlineStr">
        <is>
          <t>TWK</t>
        </is>
      </c>
      <c r="H182" s="109" t="inlineStr">
        <is>
          <t>Poor</t>
        </is>
      </c>
      <c r="I182" s="109" t="inlineStr">
        <is>
          <t>4 Piece Bamboo Sheet Set</t>
        </is>
      </c>
      <c r="J182" s="109" t="n"/>
      <c r="K182" s="109" t="inlineStr">
        <is>
          <t>B0GKFHP6L6</t>
        </is>
      </c>
      <c r="L182" s="109" t="inlineStr">
        <is>
          <t>B0GW7H7RHY</t>
        </is>
      </c>
      <c r="M182" s="109" t="n"/>
      <c r="N182" s="109" t="n">
        <v>109.99</v>
      </c>
      <c r="O182" s="109" t="n"/>
      <c r="P182" s="109">
        <f>IF(AND(ISNUMBER(O182),ISNUMBER(N182),N(N182)&gt;0),O182/N182-1,"")</f>
        <v/>
      </c>
      <c r="Q182" s="109" t="n">
        <v>54.99</v>
      </c>
      <c r="R182" s="109">
        <f>IF(AND(ISNUMBER(N182),ISNUMBER(Q182),N(Q182)&gt;0),N182/Q182-1,"")</f>
        <v/>
      </c>
      <c r="S182" s="109" t="n">
        <v>4355899</v>
      </c>
      <c r="T182" s="109" t="n">
        <v>5</v>
      </c>
      <c r="U182" s="109" t="n">
        <v>4.5</v>
      </c>
      <c r="V182" s="109" t="n">
        <v>2</v>
      </c>
      <c r="W182" s="109" t="n"/>
      <c r="X182" s="109" t="n"/>
      <c r="Y182" s="109" t="n"/>
      <c r="Z182" s="109" t="n"/>
      <c r="AA182" s="109" t="n"/>
      <c r="AB182" s="109" t="n"/>
      <c r="AC182" s="109" t="inlineStr">
        <is>
          <t>US SL B4</t>
        </is>
      </c>
      <c r="AD182" s="109">
        <f>'US SL B4'!BC145</f>
        <v/>
      </c>
      <c r="AE182" s="109">
        <f>'US SL B4'!BF145</f>
        <v/>
      </c>
      <c r="AF182" s="109" t="n"/>
      <c r="AG182" s="109" t="n"/>
    </row>
    <row r="183">
      <c r="A183" s="109">
        <f>AND(OR(Dashboard!$C$4="All",Dashboard!$C$4=D183),OR(Dashboard!$C$5="All",Dashboard!$C$5=E183),OR(Dashboard!$C$6="All",Dashboard!$C$6=G183),OR(Dashboard!$C$7="All",Dashboard!$C$7=H183),OR(Dashboard!$C$8="All",Dashboard!$C$8=F183))</f>
        <v/>
      </c>
      <c r="B183" s="109">
        <f>IF(A183,B182+1,B182)</f>
        <v/>
      </c>
      <c r="C183" s="109" t="n">
        <v>36</v>
      </c>
      <c r="D183" s="109" t="inlineStr">
        <is>
          <t>SL B4</t>
        </is>
      </c>
      <c r="E183" s="109" t="inlineStr">
        <is>
          <t>US</t>
        </is>
      </c>
      <c r="F183" s="109" t="inlineStr">
        <is>
          <t>Bamboo</t>
        </is>
      </c>
      <c r="G183" s="109" t="inlineStr">
        <is>
          <t>Vesta</t>
        </is>
      </c>
      <c r="H183" s="109" t="inlineStr">
        <is>
          <t>Poor</t>
        </is>
      </c>
      <c r="I183" s="109" t="inlineStr">
        <is>
          <t>Vesta Sheet Set – Soft, Breathable &amp; Cooling, 100% Viscose Derived from Bamboo,</t>
        </is>
      </c>
      <c r="J183" s="109" t="n"/>
      <c r="K183" s="109" t="inlineStr">
        <is>
          <t>B0CZRJY68B</t>
        </is>
      </c>
      <c r="L183" s="109" t="inlineStr">
        <is>
          <t>B0DM214YG3</t>
        </is>
      </c>
      <c r="M183" s="109" t="n"/>
      <c r="N183" s="109" t="n">
        <v>174.3</v>
      </c>
      <c r="O183" s="109" t="n"/>
      <c r="P183" s="109">
        <f>IF(AND(ISNUMBER(O183),ISNUMBER(N183),N(N183)&gt;0),O183/N183-1,"")</f>
        <v/>
      </c>
      <c r="Q183" s="109" t="n">
        <v>54.99</v>
      </c>
      <c r="R183" s="109">
        <f>IF(AND(ISNUMBER(N183),ISNUMBER(Q183),N(Q183)&gt;0),N183/Q183-1,"")</f>
        <v/>
      </c>
      <c r="S183" s="109" t="n">
        <v>591414</v>
      </c>
      <c r="T183" s="109" t="n">
        <v>5</v>
      </c>
      <c r="U183" s="109" t="n">
        <v>4.3</v>
      </c>
      <c r="V183" s="109" t="n">
        <v>35</v>
      </c>
      <c r="W183" s="109" t="n"/>
      <c r="X183" s="109" t="n"/>
      <c r="Y183" s="109" t="n"/>
      <c r="Z183" s="109" t="n"/>
      <c r="AA183" s="109" t="n"/>
      <c r="AB183" s="109" t="n"/>
      <c r="AC183" s="109" t="inlineStr">
        <is>
          <t>US SL B4</t>
        </is>
      </c>
      <c r="AD183" s="109">
        <f>'US SL B4'!BC146</f>
        <v/>
      </c>
      <c r="AE183" s="109">
        <f>'US SL B4'!BF146</f>
        <v/>
      </c>
      <c r="AF183" s="109" t="n"/>
      <c r="AG183" s="109" t="n"/>
    </row>
    <row r="184">
      <c r="A184" s="109">
        <f>AND(OR(Dashboard!$C$4="All",Dashboard!$C$4=D184),OR(Dashboard!$C$5="All",Dashboard!$C$5=E184),OR(Dashboard!$C$6="All",Dashboard!$C$6=G184),OR(Dashboard!$C$7="All",Dashboard!$C$7=H184),OR(Dashboard!$C$8="All",Dashboard!$C$8=F184))</f>
        <v/>
      </c>
      <c r="B184" s="109">
        <f>IF(A184,B183+1,B183)</f>
        <v/>
      </c>
      <c r="C184" s="109" t="n">
        <v>73</v>
      </c>
      <c r="D184" s="109" t="inlineStr">
        <is>
          <t>DC Bamboo Fitted</t>
        </is>
      </c>
      <c r="E184" s="109" t="inlineStr">
        <is>
          <t>US</t>
        </is>
      </c>
      <c r="F184" s="109" t="inlineStr">
        <is>
          <t>Bamboo</t>
        </is>
      </c>
      <c r="G184" s="109" t="inlineStr">
        <is>
          <t>Pure Bamboo</t>
        </is>
      </c>
      <c r="H184" s="109" t="inlineStr">
        <is>
          <t>Aspirational</t>
        </is>
      </c>
      <c r="I184" s="109" t="inlineStr">
        <is>
          <t>Pure Bamboo King Sheets, Genuine 100% Organic Viscose Derived from Bamboo Bed Sheet Set, Luxuriously Soft &amp; Cooling, Double Stitching, 2 Year Quality Promise (King, Ivory)</t>
        </is>
      </c>
      <c r="J184" s="109" t="inlineStr">
        <is>
          <t>https://images-na.ssl-images-amazon.com/images/I/91dfner9BkL.jpg</t>
        </is>
      </c>
      <c r="K184" s="109" t="inlineStr">
        <is>
          <t>B0CZQ52MTQ</t>
        </is>
      </c>
      <c r="L184" s="109" t="inlineStr">
        <is>
          <t>B07DZTQ4JC</t>
        </is>
      </c>
      <c r="M184" s="109" t="n">
        <v>181</v>
      </c>
      <c r="N184" s="109" t="n">
        <v>109.99</v>
      </c>
      <c r="O184" s="109" t="n"/>
      <c r="P184" s="109">
        <f>IF(AND(ISNUMBER(O184),ISNUMBER(N184),N(N184)&gt;0),O184/N184-1,"")</f>
        <v/>
      </c>
      <c r="Q184" s="109" t="n">
        <v>39.95</v>
      </c>
      <c r="R184" s="109">
        <f>IF(AND(ISNUMBER(N184),ISNUMBER(Q184),N(Q184)&gt;0),N184/Q184-1,"")</f>
        <v/>
      </c>
      <c r="S184" s="109" t="n">
        <v>304</v>
      </c>
      <c r="T184" s="109" t="n">
        <v>809</v>
      </c>
      <c r="U184" s="109" t="n">
        <v>4.5</v>
      </c>
      <c r="V184" s="109" t="n">
        <v>21927</v>
      </c>
      <c r="W184" s="109" t="n">
        <v>2565055</v>
      </c>
      <c r="X184" s="109" t="n">
        <v>0.4648594811807159</v>
      </c>
      <c r="Y184" s="109" t="n">
        <v>29</v>
      </c>
      <c r="Z184" s="109" t="n">
        <v>266</v>
      </c>
      <c r="AA184" s="109" t="n">
        <v>3819</v>
      </c>
      <c r="AB184" s="109" t="n">
        <v>1.180104147961932</v>
      </c>
      <c r="AC184" s="109" t="inlineStr">
        <is>
          <t>US DC Bamboo Fitted</t>
        </is>
      </c>
      <c r="AD184" s="109">
        <f>'US DC Bamboo Fitted'!BC52</f>
        <v/>
      </c>
      <c r="AE184" s="109">
        <f>'US DC Bamboo Fitted'!BF52</f>
        <v/>
      </c>
      <c r="AF184" s="109" t="inlineStr">
        <is>
          <t>King</t>
        </is>
      </c>
      <c r="AG184" s="109" t="inlineStr">
        <is>
          <t>Ivory</t>
        </is>
      </c>
    </row>
    <row r="185">
      <c r="A185" s="109">
        <f>AND(OR(Dashboard!$C$4="All",Dashboard!$C$4=D185),OR(Dashboard!$C$5="All",Dashboard!$C$5=E185),OR(Dashboard!$C$6="All",Dashboard!$C$6=G185),OR(Dashboard!$C$7="All",Dashboard!$C$7=H185),OR(Dashboard!$C$8="All",Dashboard!$C$8=F185))</f>
        <v/>
      </c>
      <c r="B185" s="109">
        <f>IF(A185,B184+1,B184)</f>
        <v/>
      </c>
      <c r="C185" s="109" t="n">
        <v>73</v>
      </c>
      <c r="D185" s="109" t="inlineStr">
        <is>
          <t>DC Bamboo Fitted</t>
        </is>
      </c>
      <c r="E185" s="109" t="inlineStr">
        <is>
          <t>US</t>
        </is>
      </c>
      <c r="F185" s="109" t="inlineStr">
        <is>
          <t>Bamboo</t>
        </is>
      </c>
      <c r="G185" s="109" t="inlineStr">
        <is>
          <t>GOKOTTA</t>
        </is>
      </c>
      <c r="H185" s="109" t="inlineStr">
        <is>
          <t>Aspirational</t>
        </is>
      </c>
      <c r="I185" s="109" t="inlineStr">
        <is>
          <t>GOKOTTA Fitted Sheet Queen Only,100% Rayon Derived from Bamboo Fitted Sheet,Ultr</t>
        </is>
      </c>
      <c r="J185" s="109" t="inlineStr">
        <is>
          <t>https://images-na.ssl-images-amazon.com/images/I/71pvB0uNgRL.jpg</t>
        </is>
      </c>
      <c r="K185" s="109" t="inlineStr">
        <is>
          <t>B0B6NZ1H4L</t>
        </is>
      </c>
      <c r="L185" s="109" t="inlineStr">
        <is>
          <t>B0B6P8YLQ7</t>
        </is>
      </c>
      <c r="M185" s="109" t="n">
        <v>44</v>
      </c>
      <c r="N185" s="109" t="n">
        <v>58</v>
      </c>
      <c r="O185" s="109" t="n"/>
      <c r="P185" s="109">
        <f>IF(AND(ISNUMBER(O185),ISNUMBER(N185),N(N185)&gt;0),O185/N185-1,"")</f>
        <v/>
      </c>
      <c r="Q185" s="109" t="n">
        <v>37.95</v>
      </c>
      <c r="R185" s="109">
        <f>IF(AND(ISNUMBER(N185),ISNUMBER(Q185),N(Q185)&gt;0),N185/Q185-1,"")</f>
        <v/>
      </c>
      <c r="S185" s="109" t="n">
        <v>23122</v>
      </c>
      <c r="T185" s="109" t="n">
        <v>35</v>
      </c>
      <c r="U185" s="109" t="n">
        <v>4.6</v>
      </c>
      <c r="V185" s="109" t="n">
        <v>976</v>
      </c>
      <c r="W185" s="109" t="n">
        <v>59725</v>
      </c>
      <c r="X185" s="109" t="n">
        <v>0.5241691837588952</v>
      </c>
      <c r="Y185" s="109" t="n">
        <v>37</v>
      </c>
      <c r="Z185" s="109" t="n">
        <v>179</v>
      </c>
      <c r="AA185" s="109" t="n">
        <v>403</v>
      </c>
      <c r="AB185" s="109" t="n"/>
      <c r="AC185" s="109" t="inlineStr">
        <is>
          <t>US DC Bamboo Fitted</t>
        </is>
      </c>
      <c r="AD185" s="109">
        <f>'US DC Bamboo Fitted'!BC53</f>
        <v/>
      </c>
      <c r="AE185" s="109">
        <f>'US DC Bamboo Fitted'!BF53</f>
        <v/>
      </c>
      <c r="AF185" s="109" t="inlineStr">
        <is>
          <t>Queen</t>
        </is>
      </c>
      <c r="AG185" s="109" t="n"/>
    </row>
    <row r="186">
      <c r="A186" s="109">
        <f>AND(OR(Dashboard!$C$4="All",Dashboard!$C$4=D186),OR(Dashboard!$C$5="All",Dashboard!$C$5=E186),OR(Dashboard!$C$6="All",Dashboard!$C$6=G186),OR(Dashboard!$C$7="All",Dashboard!$C$7=H186),OR(Dashboard!$C$8="All",Dashboard!$C$8=F186))</f>
        <v/>
      </c>
      <c r="B186" s="109">
        <f>IF(A186,B185+1,B185)</f>
        <v/>
      </c>
      <c r="C186" s="109" t="n">
        <v>73</v>
      </c>
      <c r="D186" s="109" t="inlineStr">
        <is>
          <t>DC Bamboo Fitted</t>
        </is>
      </c>
      <c r="E186" s="109" t="inlineStr">
        <is>
          <t>US</t>
        </is>
      </c>
      <c r="F186" s="109" t="inlineStr">
        <is>
          <t>Bamboo</t>
        </is>
      </c>
      <c r="G186" s="109" t="inlineStr">
        <is>
          <t>REST</t>
        </is>
      </c>
      <c r="H186" s="109" t="inlineStr">
        <is>
          <t>Aspirational</t>
        </is>
      </c>
      <c r="I186" s="109" t="inlineStr">
        <is>
          <t>REST® Evercool®+ Fitted Sheet, Full Size, Light Blue, 15" Deep (up to 18’’), Bre</t>
        </is>
      </c>
      <c r="J186" s="109" t="n"/>
      <c r="K186" s="109" t="inlineStr">
        <is>
          <t>B0C14HFDS1</t>
        </is>
      </c>
      <c r="L186" s="109" t="inlineStr">
        <is>
          <t>B0D4Y6RKLL</t>
        </is>
      </c>
      <c r="M186" s="109" t="n">
        <v>36</v>
      </c>
      <c r="N186" s="109" t="n">
        <v>111.2</v>
      </c>
      <c r="O186" s="109" t="n">
        <v>139</v>
      </c>
      <c r="P186" s="109">
        <f>IF(AND(ISNUMBER(O186),ISNUMBER(N186),N(N186)&gt;0),O186/N186-1,"")</f>
        <v/>
      </c>
      <c r="Q186" s="109" t="n"/>
      <c r="R186" s="109">
        <f>IF(AND(ISNUMBER(N186),ISNUMBER(Q186),N(Q186)&gt;0),N186/Q186-1,"")</f>
        <v/>
      </c>
      <c r="S186" s="109" t="n">
        <v>22651</v>
      </c>
      <c r="T186" s="109" t="n">
        <v>35</v>
      </c>
      <c r="U186" s="109" t="n">
        <v>4.4</v>
      </c>
      <c r="V186" s="109" t="n">
        <v>663</v>
      </c>
      <c r="W186" s="109" t="n">
        <v>110996</v>
      </c>
      <c r="X186" s="109" t="n">
        <v>0.5327084201232477</v>
      </c>
      <c r="Y186" s="109" t="n">
        <v>44</v>
      </c>
      <c r="Z186" s="109" t="n">
        <v>75</v>
      </c>
      <c r="AA186" s="109" t="n">
        <v>776</v>
      </c>
      <c r="AB186" s="109" t="n"/>
      <c r="AC186" s="109" t="inlineStr">
        <is>
          <t>US DC Bamboo Fitted</t>
        </is>
      </c>
      <c r="AD186" s="109">
        <f>'US DC Bamboo Fitted'!BC54</f>
        <v/>
      </c>
      <c r="AE186" s="109">
        <f>'US DC Bamboo Fitted'!BF54</f>
        <v/>
      </c>
      <c r="AF186" s="109" t="inlineStr">
        <is>
          <t>Full</t>
        </is>
      </c>
      <c r="AG186" s="109" t="inlineStr">
        <is>
          <t>Light Blue</t>
        </is>
      </c>
    </row>
    <row r="187">
      <c r="A187" s="109">
        <f>AND(OR(Dashboard!$C$4="All",Dashboard!$C$4=D187),OR(Dashboard!$C$5="All",Dashboard!$C$5=E187),OR(Dashboard!$C$6="All",Dashboard!$C$6=G187),OR(Dashboard!$C$7="All",Dashboard!$C$7=H187),OR(Dashboard!$C$8="All",Dashboard!$C$8=F187))</f>
        <v/>
      </c>
      <c r="B187" s="109">
        <f>IF(A187,B186+1,B186)</f>
        <v/>
      </c>
      <c r="C187" s="109" t="n">
        <v>73</v>
      </c>
      <c r="D187" s="109" t="inlineStr">
        <is>
          <t>DC Bamboo Fitted</t>
        </is>
      </c>
      <c r="E187" s="109" t="inlineStr">
        <is>
          <t>US</t>
        </is>
      </c>
      <c r="F187" s="109" t="inlineStr">
        <is>
          <t>Bamboo</t>
        </is>
      </c>
      <c r="G187" s="109" t="inlineStr">
        <is>
          <t>Bambaw</t>
        </is>
      </c>
      <c r="H187" s="109" t="inlineStr">
        <is>
          <t>Beatable</t>
        </is>
      </c>
      <c r="I187" s="109" t="inlineStr">
        <is>
          <t>Bambaw 100% Viscose Derived from Bamboo Sheets Queen Size Set – 4pcs Cooling Sheet Set, Super Soft Sheets Queen Size, Luxury Bed Sheets, Deep Pocket Fits Up to 16'' Mattresses (Charcoal)</t>
        </is>
      </c>
      <c r="J187" s="109" t="inlineStr">
        <is>
          <t>https://images-na.ssl-images-amazon.com/images/I/81svKInu7aL.jpg</t>
        </is>
      </c>
      <c r="K187" s="109" t="inlineStr">
        <is>
          <t>B07K6SYX8L</t>
        </is>
      </c>
      <c r="L187" s="109" t="inlineStr">
        <is>
          <t>B0DR99Q37Y</t>
        </is>
      </c>
      <c r="M187" s="109" t="n">
        <v>104</v>
      </c>
      <c r="N187" s="109" t="n">
        <v>89.98999999999999</v>
      </c>
      <c r="O187" s="109" t="n"/>
      <c r="P187" s="109">
        <f>IF(AND(ISNUMBER(O187),ISNUMBER(N187),N(N187)&gt;0),O187/N187-1,"")</f>
        <v/>
      </c>
      <c r="Q187" s="109" t="n">
        <v>37.95</v>
      </c>
      <c r="R187" s="109">
        <f>IF(AND(ISNUMBER(N187),ISNUMBER(Q187),N(Q187)&gt;0),N187/Q187-1,"")</f>
        <v/>
      </c>
      <c r="S187" s="109" t="n">
        <v>6971</v>
      </c>
      <c r="T187" s="109" t="n">
        <v>104</v>
      </c>
      <c r="U187" s="109" t="n">
        <v>4.3</v>
      </c>
      <c r="V187" s="109" t="n">
        <v>2766</v>
      </c>
      <c r="W187" s="109" t="n">
        <v>407949</v>
      </c>
      <c r="X187" s="109" t="n">
        <v>0.5037485506766772</v>
      </c>
      <c r="Y187" s="109" t="n">
        <v>46</v>
      </c>
      <c r="Z187" s="109" t="n">
        <v>195</v>
      </c>
      <c r="AA187" s="109" t="n">
        <v>613</v>
      </c>
      <c r="AB187" s="109" t="n">
        <v>1.374474053295933</v>
      </c>
      <c r="AC187" s="109" t="inlineStr">
        <is>
          <t>US DC Bamboo Fitted</t>
        </is>
      </c>
      <c r="AD187" s="109">
        <f>'US DC Bamboo Fitted'!BC55</f>
        <v/>
      </c>
      <c r="AE187" s="109">
        <f>'US DC Bamboo Fitted'!BF55</f>
        <v/>
      </c>
      <c r="AF187" s="109" t="inlineStr">
        <is>
          <t>Queen</t>
        </is>
      </c>
      <c r="AG187" s="109" t="inlineStr">
        <is>
          <t>Charcoal</t>
        </is>
      </c>
    </row>
    <row r="188">
      <c r="A188" s="109">
        <f>AND(OR(Dashboard!$C$4="All",Dashboard!$C$4=D188),OR(Dashboard!$C$5="All",Dashboard!$C$5=E188),OR(Dashboard!$C$6="All",Dashboard!$C$6=G188),OR(Dashboard!$C$7="All",Dashboard!$C$7=H188),OR(Dashboard!$C$8="All",Dashboard!$C$8=F188))</f>
        <v/>
      </c>
      <c r="B188" s="109">
        <f>IF(A188,B187+1,B187)</f>
        <v/>
      </c>
      <c r="C188" s="109" t="n">
        <v>73</v>
      </c>
      <c r="D188" s="109" t="inlineStr">
        <is>
          <t>DC Bamboo Fitted</t>
        </is>
      </c>
      <c r="E188" s="109" t="inlineStr">
        <is>
          <t>US</t>
        </is>
      </c>
      <c r="F188" s="109" t="inlineStr">
        <is>
          <t>Bamboo</t>
        </is>
      </c>
      <c r="G188" s="109" t="inlineStr">
        <is>
          <t>Bedsure</t>
        </is>
      </c>
      <c r="H188" s="109" t="inlineStr">
        <is>
          <t>Beatable</t>
        </is>
      </c>
      <c r="I188" s="109" t="inlineStr">
        <is>
          <t>Bedsure PureWoven Organically Grown Bamboo Viscose Queen Sheet Set, 4PCS</t>
        </is>
      </c>
      <c r="J188" s="109" t="inlineStr">
        <is>
          <t>https://images-na.ssl-images-amazon.com/images/I/81suQgVR0GL.jpg</t>
        </is>
      </c>
      <c r="K188" s="109" t="inlineStr">
        <is>
          <t>B0FB8XS4D1</t>
        </is>
      </c>
      <c r="L188" s="109" t="inlineStr">
        <is>
          <t>B0FB8XR43Q</t>
        </is>
      </c>
      <c r="M188" s="109" t="n">
        <v>39</v>
      </c>
      <c r="N188" s="109" t="n">
        <v>89.98999999999999</v>
      </c>
      <c r="O188" s="109" t="n">
        <v>119.99</v>
      </c>
      <c r="P188" s="109">
        <f>IF(AND(ISNUMBER(O188),ISNUMBER(N188),N(N188)&gt;0),O188/N188-1,"")</f>
        <v/>
      </c>
      <c r="Q188" s="109" t="n">
        <v>37.95</v>
      </c>
      <c r="R188" s="109">
        <f>IF(AND(ISNUMBER(N188),ISNUMBER(Q188),N(Q188)&gt;0),N188/Q188-1,"")</f>
        <v/>
      </c>
      <c r="S188" s="109" t="n">
        <v>8938</v>
      </c>
      <c r="T188" s="109" t="n">
        <v>104</v>
      </c>
      <c r="U188" s="109" t="n">
        <v>4.5</v>
      </c>
      <c r="V188" s="109" t="n">
        <v>588</v>
      </c>
      <c r="W188" s="109" t="n">
        <v>840292</v>
      </c>
      <c r="X188" s="109" t="n">
        <v>0.1404099194089678</v>
      </c>
      <c r="Y188" s="109" t="n">
        <v>35</v>
      </c>
      <c r="Z188" s="109" t="n">
        <v>261</v>
      </c>
      <c r="AA188" s="109" t="n">
        <v>2487</v>
      </c>
      <c r="AB188" s="109" t="n">
        <v>1.764832022873481</v>
      </c>
      <c r="AC188" s="109" t="inlineStr">
        <is>
          <t>US DC Bamboo Fitted</t>
        </is>
      </c>
      <c r="AD188" s="109">
        <f>'US DC Bamboo Fitted'!BC56</f>
        <v/>
      </c>
      <c r="AE188" s="109">
        <f>'US DC Bamboo Fitted'!BF56</f>
        <v/>
      </c>
      <c r="AF188" s="109" t="inlineStr">
        <is>
          <t>Queen</t>
        </is>
      </c>
      <c r="AG188" s="109" t="n"/>
    </row>
    <row r="189">
      <c r="A189" s="109">
        <f>AND(OR(Dashboard!$C$4="All",Dashboard!$C$4=D189),OR(Dashboard!$C$5="All",Dashboard!$C$5=E189),OR(Dashboard!$C$6="All",Dashboard!$C$6=G189),OR(Dashboard!$C$7="All",Dashboard!$C$7=H189),OR(Dashboard!$C$8="All",Dashboard!$C$8=F189))</f>
        <v/>
      </c>
      <c r="B189" s="109">
        <f>IF(A189,B188+1,B188)</f>
        <v/>
      </c>
      <c r="C189" s="109" t="n">
        <v>73</v>
      </c>
      <c r="D189" s="109" t="inlineStr">
        <is>
          <t>DC Bamboo Fitted</t>
        </is>
      </c>
      <c r="E189" s="109" t="inlineStr">
        <is>
          <t>US</t>
        </is>
      </c>
      <c r="F189" s="109" t="inlineStr">
        <is>
          <t>Bamboo</t>
        </is>
      </c>
      <c r="G189" s="109" t="inlineStr">
        <is>
          <t>SONORO KATE</t>
        </is>
      </c>
      <c r="H189" s="109" t="inlineStr">
        <is>
          <t>Beatable</t>
        </is>
      </c>
      <c r="I189" s="109" t="inlineStr">
        <is>
          <t>Bamboo Sheets</t>
        </is>
      </c>
      <c r="J189" s="109" t="inlineStr">
        <is>
          <t>https://images-na.ssl-images-amazon.com/images/I/71sqxa1EquL.jpg</t>
        </is>
      </c>
      <c r="K189" s="109" t="inlineStr">
        <is>
          <t>B0F4852T9V</t>
        </is>
      </c>
      <c r="L189" s="109" t="inlineStr">
        <is>
          <t>B0F4873G4H</t>
        </is>
      </c>
      <c r="M189" s="109" t="n">
        <v>33</v>
      </c>
      <c r="N189" s="109" t="n">
        <v>79.98999999999999</v>
      </c>
      <c r="O189" s="109" t="n"/>
      <c r="P189" s="109">
        <f>IF(AND(ISNUMBER(O189),ISNUMBER(N189),N(N189)&gt;0),O189/N189-1,"")</f>
        <v/>
      </c>
      <c r="Q189" s="109" t="n">
        <v>37.95</v>
      </c>
      <c r="R189" s="109">
        <f>IF(AND(ISNUMBER(N189),ISNUMBER(Q189),N(Q189)&gt;0),N189/Q189-1,"")</f>
        <v/>
      </c>
      <c r="S189" s="109" t="n">
        <v>7961</v>
      </c>
      <c r="T189" s="109" t="n">
        <v>104</v>
      </c>
      <c r="U189" s="109" t="n">
        <v>4.5</v>
      </c>
      <c r="V189" s="109" t="n">
        <v>3776</v>
      </c>
      <c r="W189" s="109" t="n">
        <v>185157</v>
      </c>
      <c r="X189" s="109" t="n">
        <v>0.9776013545261586</v>
      </c>
      <c r="Y189" s="109" t="n">
        <v>42</v>
      </c>
      <c r="Z189" s="109" t="n">
        <v>187</v>
      </c>
      <c r="AA189" s="109" t="n">
        <v>124</v>
      </c>
      <c r="AB189" s="109" t="n">
        <v>1.314808539478143</v>
      </c>
      <c r="AC189" s="109" t="inlineStr">
        <is>
          <t>US DC Bamboo Fitted</t>
        </is>
      </c>
      <c r="AD189" s="109">
        <f>'US DC Bamboo Fitted'!BC57</f>
        <v/>
      </c>
      <c r="AE189" s="109">
        <f>'US DC Bamboo Fitted'!BF57</f>
        <v/>
      </c>
      <c r="AF189" s="109" t="n"/>
      <c r="AG189" s="109" t="n"/>
    </row>
    <row r="190">
      <c r="A190" s="109">
        <f>AND(OR(Dashboard!$C$4="All",Dashboard!$C$4=D190),OR(Dashboard!$C$5="All",Dashboard!$C$5=E190),OR(Dashboard!$C$6="All",Dashboard!$C$6=G190),OR(Dashboard!$C$7="All",Dashboard!$C$7=H190),OR(Dashboard!$C$8="All",Dashboard!$C$8=F190))</f>
        <v/>
      </c>
      <c r="B190" s="109">
        <f>IF(A190,B189+1,B189)</f>
        <v/>
      </c>
      <c r="C190" s="109" t="n">
        <v>73</v>
      </c>
      <c r="D190" s="109" t="inlineStr">
        <is>
          <t>DC Bamboo Fitted</t>
        </is>
      </c>
      <c r="E190" s="109" t="inlineStr">
        <is>
          <t>US</t>
        </is>
      </c>
      <c r="F190" s="109" t="inlineStr">
        <is>
          <t>Bamboo</t>
        </is>
      </c>
      <c r="G190" s="109" t="inlineStr">
        <is>
          <t>BC BELLA COTERIE</t>
        </is>
      </c>
      <c r="H190" s="109" t="inlineStr">
        <is>
          <t>Beatable</t>
        </is>
      </c>
      <c r="I190" s="109" t="inlineStr">
        <is>
          <t>Bella Coterie Luxury Bamboo Viscose King Size Sheet Set</t>
        </is>
      </c>
      <c r="J190" s="109" t="inlineStr">
        <is>
          <t>https://images-na.ssl-images-amazon.com/images/I/71Pl57-j67L.jpg</t>
        </is>
      </c>
      <c r="K190" s="109" t="inlineStr">
        <is>
          <t>B0H29V113N</t>
        </is>
      </c>
      <c r="L190" s="109" t="inlineStr">
        <is>
          <t>B08L86VLZB</t>
        </is>
      </c>
      <c r="M190" s="109" t="n">
        <v>258</v>
      </c>
      <c r="N190" s="109" t="n">
        <v>134.99</v>
      </c>
      <c r="O190" s="109" t="n"/>
      <c r="P190" s="109">
        <f>IF(AND(ISNUMBER(O190),ISNUMBER(N190),N(N190)&gt;0),O190/N190-1,"")</f>
        <v/>
      </c>
      <c r="Q190" s="109" t="n">
        <v>39.95</v>
      </c>
      <c r="R190" s="109">
        <f>IF(AND(ISNUMBER(N190),ISNUMBER(Q190),N(Q190)&gt;0),N190/Q190-1,"")</f>
        <v/>
      </c>
      <c r="S190" s="109" t="n">
        <v>1358</v>
      </c>
      <c r="T190" s="109" t="n">
        <v>92</v>
      </c>
      <c r="U190" s="109" t="n">
        <v>4.4</v>
      </c>
      <c r="V190" s="109" t="n">
        <v>5871</v>
      </c>
      <c r="W190" s="109" t="n">
        <v>591713</v>
      </c>
      <c r="X190" s="109" t="n">
        <v>0.3622702587234016</v>
      </c>
      <c r="Y190" s="109" t="n">
        <v>49</v>
      </c>
      <c r="Z190" s="109" t="n">
        <v>183</v>
      </c>
      <c r="AA190" s="109" t="n">
        <v>2475</v>
      </c>
      <c r="AB190" s="109" t="n">
        <v>1.778087279480037</v>
      </c>
      <c r="AC190" s="109" t="inlineStr">
        <is>
          <t>US DC Bamboo Fitted</t>
        </is>
      </c>
      <c r="AD190" s="109">
        <f>'US DC Bamboo Fitted'!BC58</f>
        <v/>
      </c>
      <c r="AE190" s="109">
        <f>'US DC Bamboo Fitted'!BF58</f>
        <v/>
      </c>
      <c r="AF190" s="109" t="inlineStr">
        <is>
          <t>King</t>
        </is>
      </c>
      <c r="AG190" s="109" t="n"/>
    </row>
    <row r="191">
      <c r="A191" s="109">
        <f>AND(OR(Dashboard!$C$4="All",Dashboard!$C$4=D191),OR(Dashboard!$C$5="All",Dashboard!$C$5=E191),OR(Dashboard!$C$6="All",Dashboard!$C$6=G191),OR(Dashboard!$C$7="All",Dashboard!$C$7=H191),OR(Dashboard!$C$8="All",Dashboard!$C$8=F191))</f>
        <v/>
      </c>
      <c r="B191" s="109">
        <f>IF(A191,B190+1,B190)</f>
        <v/>
      </c>
      <c r="C191" s="109" t="n">
        <v>73</v>
      </c>
      <c r="D191" s="109" t="inlineStr">
        <is>
          <t>DC Bamboo Fitted</t>
        </is>
      </c>
      <c r="E191" s="109" t="inlineStr">
        <is>
          <t>US</t>
        </is>
      </c>
      <c r="F191" s="109" t="inlineStr">
        <is>
          <t>Bamboo</t>
        </is>
      </c>
      <c r="G191" s="109" t="inlineStr">
        <is>
          <t>Zaizaihome</t>
        </is>
      </c>
      <c r="H191" s="109" t="inlineStr">
        <is>
          <t>Beatable</t>
        </is>
      </c>
      <c r="I191" s="109" t="inlineStr">
        <is>
          <t>Bamboo Viscose Cooling Fitted Sheet King Size Only</t>
        </is>
      </c>
      <c r="J191" s="109" t="inlineStr">
        <is>
          <t>https://images-na.ssl-images-amazon.com/images/I/81UgXZwkGpL.jpg</t>
        </is>
      </c>
      <c r="K191" s="109" t="inlineStr">
        <is>
          <t>B0CXPDKH51</t>
        </is>
      </c>
      <c r="L191" s="109" t="inlineStr">
        <is>
          <t>B0CXPKK5DD</t>
        </is>
      </c>
      <c r="M191" s="109" t="n">
        <v>79</v>
      </c>
      <c r="N191" s="109" t="n">
        <v>29.99</v>
      </c>
      <c r="O191" s="109" t="n"/>
      <c r="P191" s="109">
        <f>IF(AND(ISNUMBER(O191),ISNUMBER(N191),N(N191)&gt;0),O191/N191-1,"")</f>
        <v/>
      </c>
      <c r="Q191" s="109" t="n">
        <v>39.95</v>
      </c>
      <c r="R191" s="109">
        <f>IF(AND(ISNUMBER(N191),ISNUMBER(Q191),N(Q191)&gt;0),N191/Q191-1,"")</f>
        <v/>
      </c>
      <c r="S191" s="109" t="n">
        <v>9600</v>
      </c>
      <c r="T191" s="109" t="n">
        <v>81</v>
      </c>
      <c r="U191" s="109" t="n">
        <v>4.3</v>
      </c>
      <c r="V191" s="109" t="n">
        <v>1029</v>
      </c>
      <c r="W191" s="109" t="n">
        <v>80454</v>
      </c>
      <c r="X191" s="109" t="n">
        <v>0.9934371106470778</v>
      </c>
      <c r="Y191" s="109" t="n">
        <v>29</v>
      </c>
      <c r="Z191" s="109" t="n">
        <v>230</v>
      </c>
      <c r="AA191" s="109" t="n">
        <v>39</v>
      </c>
      <c r="AB191" s="109" t="n">
        <v>0.9810017271157168</v>
      </c>
      <c r="AC191" s="109" t="inlineStr">
        <is>
          <t>US DC Bamboo Fitted</t>
        </is>
      </c>
      <c r="AD191" s="109">
        <f>'US DC Bamboo Fitted'!BC59</f>
        <v/>
      </c>
      <c r="AE191" s="109">
        <f>'US DC Bamboo Fitted'!BF59</f>
        <v/>
      </c>
      <c r="AF191" s="109" t="inlineStr">
        <is>
          <t>King</t>
        </is>
      </c>
      <c r="AG191" s="109" t="n"/>
    </row>
    <row r="192">
      <c r="A192" s="109">
        <f>AND(OR(Dashboard!$C$4="All",Dashboard!$C$4=D192),OR(Dashboard!$C$5="All",Dashboard!$C$5=E192),OR(Dashboard!$C$6="All",Dashboard!$C$6=G192),OR(Dashboard!$C$7="All",Dashboard!$C$7=H192),OR(Dashboard!$C$8="All",Dashboard!$C$8=F192))</f>
        <v/>
      </c>
      <c r="B192" s="109">
        <f>IF(A192,B191+1,B191)</f>
        <v/>
      </c>
      <c r="C192" s="109" t="n">
        <v>73</v>
      </c>
      <c r="D192" s="109" t="inlineStr">
        <is>
          <t>DC Bamboo Fitted</t>
        </is>
      </c>
      <c r="E192" s="109" t="inlineStr">
        <is>
          <t>US</t>
        </is>
      </c>
      <c r="F192" s="109" t="inlineStr">
        <is>
          <t>Bamboo</t>
        </is>
      </c>
      <c r="G192" s="109" t="inlineStr"/>
      <c r="H192" s="109" t="inlineStr">
        <is>
          <t>Beatable</t>
        </is>
      </c>
      <c r="I192" s="109" t="inlineStr">
        <is>
          <t>Bedsure PureWoven Queen Fitted Sheet Qnly, 100% Rayon Derived from Bamboo</t>
        </is>
      </c>
      <c r="J192" s="109" t="inlineStr">
        <is>
          <t>https://images-na.ssl-images-amazon.com/images/I/81OVUx9lkCL.jpg</t>
        </is>
      </c>
      <c r="K192" s="109" t="inlineStr">
        <is>
          <t>B0FW3SSM8K</t>
        </is>
      </c>
      <c r="L192" s="109" t="inlineStr">
        <is>
          <t>B0FW38KM4S</t>
        </is>
      </c>
      <c r="M192" s="109" t="n">
        <v>24</v>
      </c>
      <c r="N192" s="109" t="n">
        <v>44.99</v>
      </c>
      <c r="O192" s="109" t="n"/>
      <c r="P192" s="109">
        <f>IF(AND(ISNUMBER(O192),ISNUMBER(N192),N(N192)&gt;0),O192/N192-1,"")</f>
        <v/>
      </c>
      <c r="Q192" s="109" t="n">
        <v>37.95</v>
      </c>
      <c r="R192" s="109">
        <f>IF(AND(ISNUMBER(N192),ISNUMBER(Q192),N(Q192)&gt;0),N192/Q192-1,"")</f>
        <v/>
      </c>
      <c r="S192" s="109" t="n">
        <v>19075</v>
      </c>
      <c r="T192" s="109" t="n">
        <v>81</v>
      </c>
      <c r="U192" s="109" t="n">
        <v>4.4</v>
      </c>
      <c r="V192" s="109" t="n">
        <v>168</v>
      </c>
      <c r="W192" s="109" t="n">
        <v>95724</v>
      </c>
      <c r="X192" s="109" t="n">
        <v>0.3728984204588193</v>
      </c>
      <c r="Y192" s="109" t="n">
        <v>34</v>
      </c>
      <c r="Z192" s="109" t="n">
        <v>254</v>
      </c>
      <c r="AA192" s="109" t="n">
        <v>455</v>
      </c>
      <c r="AB192" s="109" t="n">
        <v>1.177319587628866</v>
      </c>
      <c r="AC192" s="109" t="inlineStr">
        <is>
          <t>US DC Bamboo Fitted</t>
        </is>
      </c>
      <c r="AD192" s="109">
        <f>'US DC Bamboo Fitted'!BC60</f>
        <v/>
      </c>
      <c r="AE192" s="109">
        <f>'US DC Bamboo Fitted'!BF60</f>
        <v/>
      </c>
      <c r="AF192" s="109" t="inlineStr">
        <is>
          <t>Queen</t>
        </is>
      </c>
      <c r="AG192" s="109" t="n"/>
    </row>
    <row r="193">
      <c r="A193" s="109">
        <f>AND(OR(Dashboard!$C$4="All",Dashboard!$C$4=D193),OR(Dashboard!$C$5="All",Dashboard!$C$5=E193),OR(Dashboard!$C$6="All",Dashboard!$C$6=G193),OR(Dashboard!$C$7="All",Dashboard!$C$7=H193),OR(Dashboard!$C$8="All",Dashboard!$C$8=F193))</f>
        <v/>
      </c>
      <c r="B193" s="109">
        <f>IF(A193,B192+1,B192)</f>
        <v/>
      </c>
      <c r="C193" s="109" t="n">
        <v>73</v>
      </c>
      <c r="D193" s="109" t="inlineStr">
        <is>
          <t>DC Bamboo Fitted</t>
        </is>
      </c>
      <c r="E193" s="109" t="inlineStr">
        <is>
          <t>US</t>
        </is>
      </c>
      <c r="F193" s="109" t="inlineStr">
        <is>
          <t>Bamboo</t>
        </is>
      </c>
      <c r="G193" s="109" t="inlineStr">
        <is>
          <t>BC BELLA COTERIE</t>
        </is>
      </c>
      <c r="H193" s="109" t="inlineStr">
        <is>
          <t>Beatable</t>
        </is>
      </c>
      <c r="I193" s="109" t="inlineStr">
        <is>
          <t>Bella Coterie | Luxury Bamboo Viscose King Size Fitted Sheet Only</t>
        </is>
      </c>
      <c r="J193" s="109" t="inlineStr">
        <is>
          <t>https://images-na.ssl-images-amazon.com/images/I/71AIQ3TCTsL.jpg</t>
        </is>
      </c>
      <c r="K193" s="109" t="inlineStr">
        <is>
          <t>B0FP7WBFNJ</t>
        </is>
      </c>
      <c r="L193" s="109" t="inlineStr">
        <is>
          <t>B0CZXZCTJP</t>
        </is>
      </c>
      <c r="M193" s="109" t="n">
        <v>126</v>
      </c>
      <c r="N193" s="109" t="n">
        <v>54.99</v>
      </c>
      <c r="O193" s="109" t="n"/>
      <c r="P193" s="109">
        <f>IF(AND(ISNUMBER(O193),ISNUMBER(N193),N(N193)&gt;0),O193/N193-1,"")</f>
        <v/>
      </c>
      <c r="Q193" s="109" t="n">
        <v>39.95</v>
      </c>
      <c r="R193" s="109">
        <f>IF(AND(ISNUMBER(N193),ISNUMBER(Q193),N(Q193)&gt;0),N193/Q193-1,"")</f>
        <v/>
      </c>
      <c r="S193" s="109" t="n">
        <v>13383</v>
      </c>
      <c r="T193" s="109" t="n">
        <v>35</v>
      </c>
      <c r="U193" s="109" t="n">
        <v>4.5</v>
      </c>
      <c r="V193" s="109" t="n">
        <v>331</v>
      </c>
      <c r="W193" s="109" t="n">
        <v>157609</v>
      </c>
      <c r="X193" s="109" t="n">
        <v>0.3003846861537098</v>
      </c>
      <c r="Y193" s="109" t="n">
        <v>32</v>
      </c>
      <c r="Z193" s="109" t="n">
        <v>249</v>
      </c>
      <c r="AA193" s="109" t="n">
        <v>968</v>
      </c>
      <c r="AB193" s="109" t="n">
        <v>1.303030303030303</v>
      </c>
      <c r="AC193" s="109" t="inlineStr">
        <is>
          <t>US DC Bamboo Fitted</t>
        </is>
      </c>
      <c r="AD193" s="109">
        <f>'US DC Bamboo Fitted'!BC61</f>
        <v/>
      </c>
      <c r="AE193" s="109">
        <f>'US DC Bamboo Fitted'!BF61</f>
        <v/>
      </c>
      <c r="AF193" s="109" t="inlineStr">
        <is>
          <t>King</t>
        </is>
      </c>
      <c r="AG193" s="109" t="n"/>
    </row>
    <row r="194">
      <c r="A194" s="109">
        <f>AND(OR(Dashboard!$C$4="All",Dashboard!$C$4=D194),OR(Dashboard!$C$5="All",Dashboard!$C$5=E194),OR(Dashboard!$C$6="All",Dashboard!$C$6=G194),OR(Dashboard!$C$7="All",Dashboard!$C$7=H194),OR(Dashboard!$C$8="All",Dashboard!$C$8=F194))</f>
        <v/>
      </c>
      <c r="B194" s="109">
        <f>IF(A194,B193+1,B193)</f>
        <v/>
      </c>
      <c r="C194" s="109" t="n">
        <v>73</v>
      </c>
      <c r="D194" s="109" t="inlineStr">
        <is>
          <t>DC Bamboo Fitted</t>
        </is>
      </c>
      <c r="E194" s="109" t="inlineStr">
        <is>
          <t>US</t>
        </is>
      </c>
      <c r="F194" s="109" t="inlineStr">
        <is>
          <t>Bamboo</t>
        </is>
      </c>
      <c r="G194" s="109" t="inlineStr">
        <is>
          <t>DOZ by SIJO</t>
        </is>
      </c>
      <c r="H194" s="109" t="inlineStr">
        <is>
          <t>Beatable</t>
        </is>
      </c>
      <c r="I194" s="109" t="inlineStr">
        <is>
          <t>Bamboo Sheets</t>
        </is>
      </c>
      <c r="J194" s="109" t="inlineStr">
        <is>
          <t>https://images-na.ssl-images-amazon.com/images/I/710aWpCd4AL.jpg</t>
        </is>
      </c>
      <c r="K194" s="109" t="inlineStr">
        <is>
          <t>B0DCZGYVZ9</t>
        </is>
      </c>
      <c r="L194" s="109" t="inlineStr">
        <is>
          <t>B0F24TRXCZ</t>
        </is>
      </c>
      <c r="M194" s="109" t="n">
        <v>131</v>
      </c>
      <c r="N194" s="109" t="n">
        <v>55</v>
      </c>
      <c r="O194" s="109" t="n"/>
      <c r="P194" s="109">
        <f>IF(AND(ISNUMBER(O194),ISNUMBER(N194),N(N194)&gt;0),O194/N194-1,"")</f>
        <v/>
      </c>
      <c r="Q194" s="109" t="n">
        <v>37.95</v>
      </c>
      <c r="R194" s="109">
        <f>IF(AND(ISNUMBER(N194),ISNUMBER(Q194),N(Q194)&gt;0),N194/Q194-1,"")</f>
        <v/>
      </c>
      <c r="S194" s="109" t="n">
        <v>4051</v>
      </c>
      <c r="T194" s="109" t="n">
        <v>35</v>
      </c>
      <c r="U194" s="109" t="n">
        <v>4.4</v>
      </c>
      <c r="V194" s="109" t="n">
        <v>1909</v>
      </c>
      <c r="W194" s="109" t="n">
        <v>171534</v>
      </c>
      <c r="X194" s="109" t="n">
        <v>0.5544749851341424</v>
      </c>
      <c r="Y194" s="109" t="n">
        <v>28</v>
      </c>
      <c r="Z194" s="109" t="n">
        <v>181</v>
      </c>
      <c r="AA194" s="109" t="n">
        <v>839</v>
      </c>
      <c r="AB194" s="109" t="n"/>
      <c r="AC194" s="109" t="inlineStr">
        <is>
          <t>US DC Bamboo Fitted</t>
        </is>
      </c>
      <c r="AD194" s="109">
        <f>'US DC Bamboo Fitted'!BC62</f>
        <v/>
      </c>
      <c r="AE194" s="109">
        <f>'US DC Bamboo Fitted'!BF62</f>
        <v/>
      </c>
      <c r="AF194" s="109" t="n"/>
      <c r="AG194" s="109" t="n"/>
    </row>
    <row r="195">
      <c r="A195" s="109">
        <f>AND(OR(Dashboard!$C$4="All",Dashboard!$C$4=D195),OR(Dashboard!$C$5="All",Dashboard!$C$5=E195),OR(Dashboard!$C$6="All",Dashboard!$C$6=G195),OR(Dashboard!$C$7="All",Dashboard!$C$7=H195),OR(Dashboard!$C$8="All",Dashboard!$C$8=F195))</f>
        <v/>
      </c>
      <c r="B195" s="109">
        <f>IF(A195,B194+1,B194)</f>
        <v/>
      </c>
      <c r="C195" s="109" t="n">
        <v>73</v>
      </c>
      <c r="D195" s="109" t="inlineStr">
        <is>
          <t>DC Bamboo Fitted</t>
        </is>
      </c>
      <c r="E195" s="109" t="inlineStr">
        <is>
          <t>US</t>
        </is>
      </c>
      <c r="F195" s="109" t="inlineStr">
        <is>
          <t>Bamboo</t>
        </is>
      </c>
      <c r="G195" s="109" t="inlineStr">
        <is>
          <t>Cozy Bliss</t>
        </is>
      </c>
      <c r="H195" s="109" t="inlineStr">
        <is>
          <t>Beatable</t>
        </is>
      </c>
      <c r="I195" s="109" t="inlineStr">
        <is>
          <t>Cooling Fitted Sheet</t>
        </is>
      </c>
      <c r="J195" s="109" t="n"/>
      <c r="K195" s="109" t="inlineStr">
        <is>
          <t>B0DT14Y4VJ</t>
        </is>
      </c>
      <c r="L195" s="109" t="inlineStr">
        <is>
          <t>B0DMNMPVJP</t>
        </is>
      </c>
      <c r="M195" s="109" t="n">
        <v>23</v>
      </c>
      <c r="N195" s="109" t="n">
        <v>74.98999999999999</v>
      </c>
      <c r="O195" s="109" t="n"/>
      <c r="P195" s="109">
        <f>IF(AND(ISNUMBER(O195),ISNUMBER(N195),N(N195)&gt;0),O195/N195-1,"")</f>
        <v/>
      </c>
      <c r="Q195" s="109" t="n">
        <v>37.95</v>
      </c>
      <c r="R195" s="109">
        <f>IF(AND(ISNUMBER(N195),ISNUMBER(Q195),N(Q195)&gt;0),N195/Q195-1,"")</f>
        <v/>
      </c>
      <c r="S195" s="109" t="n">
        <v>100300</v>
      </c>
      <c r="T195" s="109" t="n">
        <v>5</v>
      </c>
      <c r="U195" s="109" t="n">
        <v>4.5</v>
      </c>
      <c r="V195" s="109" t="n">
        <v>456</v>
      </c>
      <c r="W195" s="109" t="n">
        <v>14965</v>
      </c>
      <c r="X195" s="109" t="n">
        <v>0.8178404944871368</v>
      </c>
      <c r="Y195" s="109" t="n">
        <v>24</v>
      </c>
      <c r="Z195" s="109" t="n">
        <v>25</v>
      </c>
      <c r="AA195" s="109" t="n">
        <v>70</v>
      </c>
      <c r="AB195" s="109" t="n"/>
      <c r="AC195" s="109" t="inlineStr">
        <is>
          <t>US DC Bamboo Fitted</t>
        </is>
      </c>
      <c r="AD195" s="109">
        <f>'US DC Bamboo Fitted'!BC63</f>
        <v/>
      </c>
      <c r="AE195" s="109">
        <f>'US DC Bamboo Fitted'!BF63</f>
        <v/>
      </c>
      <c r="AF195" s="109" t="n"/>
      <c r="AG195" s="109" t="n"/>
    </row>
    <row r="196">
      <c r="A196" s="109">
        <f>AND(OR(Dashboard!$C$4="All",Dashboard!$C$4=D196),OR(Dashboard!$C$5="All",Dashboard!$C$5=E196),OR(Dashboard!$C$6="All",Dashboard!$C$6=G196),OR(Dashboard!$C$7="All",Dashboard!$C$7=H196),OR(Dashboard!$C$8="All",Dashboard!$C$8=F196))</f>
        <v/>
      </c>
      <c r="B196" s="109">
        <f>IF(A196,B195+1,B195)</f>
        <v/>
      </c>
      <c r="C196" s="109" t="n">
        <v>73</v>
      </c>
      <c r="D196" s="109" t="inlineStr">
        <is>
          <t>DC Bamboo Fitted</t>
        </is>
      </c>
      <c r="E196" s="109" t="inlineStr">
        <is>
          <t>US</t>
        </is>
      </c>
      <c r="F196" s="109" t="inlineStr">
        <is>
          <t>Bamboo</t>
        </is>
      </c>
      <c r="G196" s="109" t="inlineStr">
        <is>
          <t>Kickoff Home</t>
        </is>
      </c>
      <c r="H196" s="109" t="inlineStr">
        <is>
          <t>Poor</t>
        </is>
      </c>
      <c r="I196" s="109" t="inlineStr">
        <is>
          <t>Bamboo Sheets</t>
        </is>
      </c>
      <c r="J196" s="109" t="inlineStr">
        <is>
          <t>https://images-na.ssl-images-amazon.com/images/I/71zrq2AtnUL.jpg</t>
        </is>
      </c>
      <c r="K196" s="109" t="inlineStr">
        <is>
          <t>B0D4KS4MVX</t>
        </is>
      </c>
      <c r="L196" s="109" t="inlineStr">
        <is>
          <t>B0CHN5ZPFH</t>
        </is>
      </c>
      <c r="M196" s="109" t="n">
        <v>106</v>
      </c>
      <c r="N196" s="109" t="n">
        <v>76.98999999999999</v>
      </c>
      <c r="O196" s="109" t="n">
        <v>84.98999999999999</v>
      </c>
      <c r="P196" s="109">
        <f>IF(AND(ISNUMBER(O196),ISNUMBER(N196),N(N196)&gt;0),O196/N196-1,"")</f>
        <v/>
      </c>
      <c r="Q196" s="109" t="n">
        <v>37.95</v>
      </c>
      <c r="R196" s="109">
        <f>IF(AND(ISNUMBER(N196),ISNUMBER(Q196),N(Q196)&gt;0),N196/Q196-1,"")</f>
        <v/>
      </c>
      <c r="S196" s="109" t="n">
        <v>23579</v>
      </c>
      <c r="T196" s="109" t="n">
        <v>18</v>
      </c>
      <c r="U196" s="109" t="n">
        <v>4.6</v>
      </c>
      <c r="V196" s="109" t="n">
        <v>688</v>
      </c>
      <c r="W196" s="109" t="n">
        <v>58169</v>
      </c>
      <c r="X196" s="109" t="n">
        <v>0.8765498702057799</v>
      </c>
      <c r="Y196" s="109" t="n">
        <v>28</v>
      </c>
      <c r="Z196" s="109" t="n">
        <v>141</v>
      </c>
      <c r="AA196" s="109" t="n">
        <v>125</v>
      </c>
      <c r="AB196" s="109" t="n"/>
      <c r="AC196" s="109" t="inlineStr">
        <is>
          <t>US DC Bamboo Fitted</t>
        </is>
      </c>
      <c r="AD196" s="109">
        <f>'US DC Bamboo Fitted'!BC64</f>
        <v/>
      </c>
      <c r="AE196" s="109">
        <f>'US DC Bamboo Fitted'!BF64</f>
        <v/>
      </c>
      <c r="AF196" s="109" t="n"/>
      <c r="AG196" s="109" t="n"/>
    </row>
    <row r="197">
      <c r="A197" s="109">
        <f>AND(OR(Dashboard!$C$4="All",Dashboard!$C$4=D197),OR(Dashboard!$C$5="All",Dashboard!$C$5=E197),OR(Dashboard!$C$6="All",Dashboard!$C$6=G197),OR(Dashboard!$C$7="All",Dashboard!$C$7=H197),OR(Dashboard!$C$8="All",Dashboard!$C$8=F197))</f>
        <v/>
      </c>
      <c r="B197" s="109">
        <f>IF(A197,B196+1,B196)</f>
        <v/>
      </c>
      <c r="C197" s="109" t="n">
        <v>73</v>
      </c>
      <c r="D197" s="109" t="inlineStr">
        <is>
          <t>DC Bamboo Fitted</t>
        </is>
      </c>
      <c r="E197" s="109" t="inlineStr">
        <is>
          <t>US</t>
        </is>
      </c>
      <c r="F197" s="109" t="inlineStr">
        <is>
          <t>Bamboo</t>
        </is>
      </c>
      <c r="G197" s="109" t="inlineStr">
        <is>
          <t>Bedsure</t>
        </is>
      </c>
      <c r="H197" s="109" t="inlineStr">
        <is>
          <t>Untiered</t>
        </is>
      </c>
      <c r="I197" s="109" t="inlineStr">
        <is>
          <t>Bedsure PureWoven 100% Rayon Derived from Bamboo, Queen Sheets, 4 Pieces</t>
        </is>
      </c>
      <c r="J197" s="109" t="inlineStr">
        <is>
          <t>https://images-na.ssl-images-amazon.com/images/I/81L2xb5ly6L.jpg</t>
        </is>
      </c>
      <c r="K197" s="109" t="inlineStr">
        <is>
          <t>B0BZ8T5BJ6</t>
        </is>
      </c>
      <c r="L197" s="109" t="inlineStr">
        <is>
          <t>B07YK8VTJV</t>
        </is>
      </c>
      <c r="M197" s="109" t="n">
        <v>131</v>
      </c>
      <c r="N197" s="109" t="n">
        <v>62.99</v>
      </c>
      <c r="O197" s="109" t="n">
        <v>69.98999999999999</v>
      </c>
      <c r="P197" s="109">
        <f>IF(AND(ISNUMBER(O197),ISNUMBER(N197),N(N197)&gt;0),O197/N197-1,"")</f>
        <v/>
      </c>
      <c r="Q197" s="109" t="n">
        <v>37.95</v>
      </c>
      <c r="R197" s="109">
        <f>IF(AND(ISNUMBER(N197),ISNUMBER(Q197),N(Q197)&gt;0),N197/Q197-1,"")</f>
        <v/>
      </c>
      <c r="S197" s="109" t="n">
        <v>256</v>
      </c>
      <c r="T197" s="109" t="n">
        <v>809</v>
      </c>
      <c r="U197" s="109" t="n">
        <v>4.4</v>
      </c>
      <c r="V197" s="109" t="n">
        <v>65061</v>
      </c>
      <c r="W197" s="109" t="n">
        <v>2166046</v>
      </c>
      <c r="X197" s="109" t="n">
        <v>0.5902383405984899</v>
      </c>
      <c r="Y197" s="109" t="n">
        <v>41</v>
      </c>
      <c r="Z197" s="109" t="n">
        <v>261</v>
      </c>
      <c r="AA197" s="109" t="n">
        <v>3494</v>
      </c>
      <c r="AB197" s="109" t="n">
        <v>1.066623404715553</v>
      </c>
      <c r="AC197" s="109" t="inlineStr">
        <is>
          <t>US DC Bamboo Fitted</t>
        </is>
      </c>
      <c r="AD197" s="109">
        <f>'US DC Bamboo Fitted'!BC65</f>
        <v/>
      </c>
      <c r="AE197" s="109">
        <f>'US DC Bamboo Fitted'!BF65</f>
        <v/>
      </c>
      <c r="AF197" s="109" t="inlineStr">
        <is>
          <t>Queen</t>
        </is>
      </c>
      <c r="AG197" s="109" t="n"/>
    </row>
    <row r="198">
      <c r="A198" s="109">
        <f>AND(OR(Dashboard!$C$4="All",Dashboard!$C$4=D198),OR(Dashboard!$C$5="All",Dashboard!$C$5=E198),OR(Dashboard!$C$6="All",Dashboard!$C$6=G198),OR(Dashboard!$C$7="All",Dashboard!$C$7=H198),OR(Dashboard!$C$8="All",Dashboard!$C$8=F198))</f>
        <v/>
      </c>
      <c r="B198" s="109">
        <f>IF(A198,B197+1,B197)</f>
        <v/>
      </c>
      <c r="C198" s="109" t="n">
        <v>73</v>
      </c>
      <c r="D198" s="109" t="inlineStr">
        <is>
          <t>DC Bamboo Fitted</t>
        </is>
      </c>
      <c r="E198" s="109" t="inlineStr">
        <is>
          <t>US</t>
        </is>
      </c>
      <c r="F198" s="109" t="inlineStr">
        <is>
          <t>Bamboo</t>
        </is>
      </c>
      <c r="G198" s="109" t="inlineStr">
        <is>
          <t>BAMPURE</t>
        </is>
      </c>
      <c r="H198" s="109" t="inlineStr">
        <is>
          <t>Untiered</t>
        </is>
      </c>
      <c r="I198" s="109" t="inlineStr">
        <is>
          <t>BAMPURE 100% Rayon from Bamboo Sheets King Size - 4pc Cooling King Sheets</t>
        </is>
      </c>
      <c r="J198" s="109" t="inlineStr">
        <is>
          <t>https://images-na.ssl-images-amazon.com/images/I/61fbapIObwL.jpg</t>
        </is>
      </c>
      <c r="K198" s="109" t="inlineStr">
        <is>
          <t>B0HC778XB4</t>
        </is>
      </c>
      <c r="L198" s="109" t="inlineStr">
        <is>
          <t>B07XFP6BY2</t>
        </is>
      </c>
      <c r="M198" s="109" t="n">
        <v>40</v>
      </c>
      <c r="N198" s="109" t="n">
        <v>67.98</v>
      </c>
      <c r="O198" s="109" t="n">
        <v>99.98999999999999</v>
      </c>
      <c r="P198" s="109">
        <f>IF(AND(ISNUMBER(O198),ISNUMBER(N198),N(N198)&gt;0),O198/N198-1,"")</f>
        <v/>
      </c>
      <c r="Q198" s="109" t="n">
        <v>39.95</v>
      </c>
      <c r="R198" s="109">
        <f>IF(AND(ISNUMBER(N198),ISNUMBER(Q198),N(Q198)&gt;0),N198/Q198-1,"")</f>
        <v/>
      </c>
      <c r="S198" s="109" t="n">
        <v>14479</v>
      </c>
      <c r="T198" s="109" t="n">
        <v>81</v>
      </c>
      <c r="U198" s="109" t="n">
        <v>4.4</v>
      </c>
      <c r="V198" s="109" t="n">
        <v>4095</v>
      </c>
      <c r="W198" s="109" t="n">
        <v>67699</v>
      </c>
      <c r="X198" s="109" t="n">
        <v>0.8589487052984534</v>
      </c>
      <c r="Y198" s="109" t="n">
        <v>41</v>
      </c>
      <c r="Z198" s="109" t="n">
        <v>139</v>
      </c>
      <c r="AA198" s="109" t="n">
        <v>307</v>
      </c>
      <c r="AB198" s="109" t="n">
        <v>1.016706443914081</v>
      </c>
      <c r="AC198" s="109" t="inlineStr">
        <is>
          <t>US DC Bamboo Fitted</t>
        </is>
      </c>
      <c r="AD198" s="109">
        <f>'US DC Bamboo Fitted'!BC66</f>
        <v/>
      </c>
      <c r="AE198" s="109">
        <f>'US DC Bamboo Fitted'!BF66</f>
        <v/>
      </c>
      <c r="AF198" s="109" t="inlineStr">
        <is>
          <t>King</t>
        </is>
      </c>
      <c r="AG198" s="109" t="n"/>
    </row>
    <row r="199">
      <c r="A199" s="109">
        <f>AND(OR(Dashboard!$C$4="All",Dashboard!$C$4=D199),OR(Dashboard!$C$5="All",Dashboard!$C$5=E199),OR(Dashboard!$C$6="All",Dashboard!$C$6=G199),OR(Dashboard!$C$7="All",Dashboard!$C$7=H199),OR(Dashboard!$C$8="All",Dashboard!$C$8=F199))</f>
        <v/>
      </c>
      <c r="B199" s="109">
        <f>IF(A199,B198+1,B198)</f>
        <v/>
      </c>
      <c r="C199" s="109" t="n">
        <v>40</v>
      </c>
      <c r="D199" s="109" t="inlineStr">
        <is>
          <t>SL Bamboo Pillowcase</t>
        </is>
      </c>
      <c r="E199" s="109" t="inlineStr">
        <is>
          <t>US</t>
        </is>
      </c>
      <c r="F199" s="109" t="inlineStr">
        <is>
          <t>Bamboo</t>
        </is>
      </c>
      <c r="G199" s="109" t="inlineStr"/>
      <c r="H199" s="109" t="inlineStr">
        <is>
          <t>Untiered</t>
        </is>
      </c>
      <c r="I199" s="109" t="inlineStr">
        <is>
          <t>Bedsure PureWoven Pillow Cases Queen Set of 2, Rayon Derived from Bamboo</t>
        </is>
      </c>
      <c r="J199" s="109" t="inlineStr">
        <is>
          <t>https://images-na.ssl-images-amazon.com/images/I/71xcauK1dlL.jpg</t>
        </is>
      </c>
      <c r="K199" s="109" t="inlineStr">
        <is>
          <t>B0DCZYVLFC</t>
        </is>
      </c>
      <c r="L199" s="109" t="inlineStr">
        <is>
          <t>B07JP2L1TG</t>
        </is>
      </c>
      <c r="M199" s="109" t="n">
        <v>64</v>
      </c>
      <c r="N199" s="109" t="n">
        <v>12.99</v>
      </c>
      <c r="O199" s="109" t="n">
        <v>17.49</v>
      </c>
      <c r="P199" s="109">
        <f>IF(AND(ISNUMBER(O199),ISNUMBER(N199),N(N199)&gt;0),O199/N199-1,"")</f>
        <v/>
      </c>
      <c r="Q199" s="109" t="n"/>
      <c r="R199" s="109">
        <f>IF(AND(ISNUMBER(N199),ISNUMBER(Q199),N(Q199)&gt;0),N199/Q199-1,"")</f>
        <v/>
      </c>
      <c r="S199" s="109" t="n">
        <v>559</v>
      </c>
      <c r="T199" s="109" t="n">
        <v>1040</v>
      </c>
      <c r="U199" s="109" t="n">
        <v>4.4</v>
      </c>
      <c r="V199" s="109" t="n">
        <v>37593</v>
      </c>
      <c r="W199" s="109" t="n"/>
      <c r="X199" s="109" t="n"/>
      <c r="Y199" s="109" t="n"/>
      <c r="Z199" s="109" t="n"/>
      <c r="AA199" s="109" t="n"/>
      <c r="AB199" s="109" t="n"/>
      <c r="AC199" s="109" t="inlineStr">
        <is>
          <t>US SL Bamboo Pillowcase</t>
        </is>
      </c>
      <c r="AD199" s="109">
        <f>'US SL Bamboo Pillowcase'!BC85</f>
        <v/>
      </c>
      <c r="AE199" s="109">
        <f>'US SL Bamboo Pillowcase'!BF85</f>
        <v/>
      </c>
      <c r="AF199" s="109" t="inlineStr">
        <is>
          <t>Queen</t>
        </is>
      </c>
      <c r="AG199" s="109" t="n"/>
    </row>
    <row r="200">
      <c r="A200" s="109">
        <f>AND(OR(Dashboard!$C$4="All",Dashboard!$C$4=D200),OR(Dashboard!$C$5="All",Dashboard!$C$5=E200),OR(Dashboard!$C$6="All",Dashboard!$C$6=G200),OR(Dashboard!$C$7="All",Dashboard!$C$7=H200),OR(Dashboard!$C$8="All",Dashboard!$C$8=F200))</f>
        <v/>
      </c>
      <c r="B200" s="109">
        <f>IF(A200,B199+1,B199)</f>
        <v/>
      </c>
      <c r="C200" s="109" t="n">
        <v>40</v>
      </c>
      <c r="D200" s="109" t="inlineStr">
        <is>
          <t>SL Bamboo Pillowcase</t>
        </is>
      </c>
      <c r="E200" s="109" t="inlineStr">
        <is>
          <t>US</t>
        </is>
      </c>
      <c r="F200" s="109" t="inlineStr">
        <is>
          <t>Bamboo</t>
        </is>
      </c>
      <c r="G200" s="109" t="inlineStr">
        <is>
          <t>BEDELITE</t>
        </is>
      </c>
      <c r="H200" s="109" t="inlineStr">
        <is>
          <t>Untiered</t>
        </is>
      </c>
      <c r="I200" s="109" t="inlineStr">
        <is>
          <t>BEDELITE Cooling Pillow Cases for Hot Sleepers &amp; Night Sweats, Rayon Derived fro</t>
        </is>
      </c>
      <c r="J200" s="109" t="n"/>
      <c r="K200" s="109" t="inlineStr">
        <is>
          <t>B0BZ8RQ9RQ</t>
        </is>
      </c>
      <c r="L200" s="109" t="inlineStr">
        <is>
          <t>B08GWQY7B3</t>
        </is>
      </c>
      <c r="M200" s="109" t="n"/>
      <c r="N200" s="109" t="n">
        <v>8.49</v>
      </c>
      <c r="O200" s="109" t="n"/>
      <c r="P200" s="109">
        <f>IF(AND(ISNUMBER(O200),ISNUMBER(N200),N(N200)&gt;0),O200/N200-1,"")</f>
        <v/>
      </c>
      <c r="Q200" s="109" t="n"/>
      <c r="R200" s="109">
        <f>IF(AND(ISNUMBER(N200),ISNUMBER(Q200),N(Q200)&gt;0),N200/Q200-1,"")</f>
        <v/>
      </c>
      <c r="S200" s="109" t="n">
        <v>1250</v>
      </c>
      <c r="T200" s="109" t="n">
        <v>924</v>
      </c>
      <c r="U200" s="109" t="n">
        <v>4.4</v>
      </c>
      <c r="V200" s="109" t="n">
        <v>12316</v>
      </c>
      <c r="W200" s="109" t="n"/>
      <c r="X200" s="109" t="n"/>
      <c r="Y200" s="109" t="n"/>
      <c r="Z200" s="109" t="n"/>
      <c r="AA200" s="109" t="n"/>
      <c r="AB200" s="109" t="n"/>
      <c r="AC200" s="109" t="inlineStr">
        <is>
          <t>US SL Bamboo Pillowcase</t>
        </is>
      </c>
      <c r="AD200" s="109">
        <f>'US SL Bamboo Pillowcase'!BC86</f>
        <v/>
      </c>
      <c r="AE200" s="109">
        <f>'US SL Bamboo Pillowcase'!BF86</f>
        <v/>
      </c>
      <c r="AF200" s="109" t="n"/>
      <c r="AG200" s="109" t="n"/>
    </row>
    <row r="201">
      <c r="A201" s="109">
        <f>AND(OR(Dashboard!$C$4="All",Dashboard!$C$4=D201),OR(Dashboard!$C$5="All",Dashboard!$C$5=E201),OR(Dashboard!$C$6="All",Dashboard!$C$6=G201),OR(Dashboard!$C$7="All",Dashboard!$C$7=H201),OR(Dashboard!$C$8="All",Dashboard!$C$8=F201))</f>
        <v/>
      </c>
      <c r="B201" s="109">
        <f>IF(A201,B200+1,B200)</f>
        <v/>
      </c>
      <c r="C201" s="109" t="n">
        <v>40</v>
      </c>
      <c r="D201" s="109" t="inlineStr">
        <is>
          <t>SL Bamboo Pillowcase</t>
        </is>
      </c>
      <c r="E201" s="109" t="inlineStr">
        <is>
          <t>US</t>
        </is>
      </c>
      <c r="F201" s="109" t="inlineStr">
        <is>
          <t>Bamboo</t>
        </is>
      </c>
      <c r="G201" s="109" t="inlineStr">
        <is>
          <t>WISHSMILE</t>
        </is>
      </c>
      <c r="H201" s="109" t="inlineStr">
        <is>
          <t>Untiered</t>
        </is>
      </c>
      <c r="I201" s="109" t="inlineStr">
        <is>
          <t>WishSmile Cooling Queen Pillowcases Set of 2 Breathable Cool Silky Soft Rayon De</t>
        </is>
      </c>
      <c r="J201" s="109" t="n"/>
      <c r="K201" s="109" t="inlineStr">
        <is>
          <t>B09BKQK7RZ</t>
        </is>
      </c>
      <c r="L201" s="109" t="inlineStr">
        <is>
          <t>B09BL2SMVG</t>
        </is>
      </c>
      <c r="M201" s="109" t="n">
        <v>41</v>
      </c>
      <c r="N201" s="109" t="n">
        <v>12.99</v>
      </c>
      <c r="O201" s="109" t="n"/>
      <c r="P201" s="109">
        <f>IF(AND(ISNUMBER(O201),ISNUMBER(N201),N(N201)&gt;0),O201/N201-1,"")</f>
        <v/>
      </c>
      <c r="Q201" s="109" t="n"/>
      <c r="R201" s="109">
        <f>IF(AND(ISNUMBER(N201),ISNUMBER(Q201),N(Q201)&gt;0),N201/Q201-1,"")</f>
        <v/>
      </c>
      <c r="S201" s="109" t="n">
        <v>2467</v>
      </c>
      <c r="T201" s="109" t="n">
        <v>809</v>
      </c>
      <c r="U201" s="109" t="n">
        <v>4.4</v>
      </c>
      <c r="V201" s="109" t="n">
        <v>7225</v>
      </c>
      <c r="W201" s="109" t="n">
        <v>151964</v>
      </c>
      <c r="X201" s="109" t="n">
        <v>0.8020060705167013</v>
      </c>
      <c r="Y201" s="109" t="n"/>
      <c r="Z201" s="109" t="n"/>
      <c r="AA201" s="109" t="n"/>
      <c r="AB201" s="109" t="n">
        <v>1.226522481502561</v>
      </c>
      <c r="AC201" s="109" t="inlineStr">
        <is>
          <t>US SL Bamboo Pillowcase</t>
        </is>
      </c>
      <c r="AD201" s="109">
        <f>'US SL Bamboo Pillowcase'!BC87</f>
        <v/>
      </c>
      <c r="AE201" s="109">
        <f>'US SL Bamboo Pillowcase'!BF87</f>
        <v/>
      </c>
      <c r="AF201" s="109" t="inlineStr">
        <is>
          <t>Queen</t>
        </is>
      </c>
      <c r="AG201" s="109" t="n"/>
    </row>
    <row r="202">
      <c r="A202" s="109">
        <f>AND(OR(Dashboard!$C$4="All",Dashboard!$C$4=D202),OR(Dashboard!$C$5="All",Dashboard!$C$5=E202),OR(Dashboard!$C$6="All",Dashboard!$C$6=G202),OR(Dashboard!$C$7="All",Dashboard!$C$7=H202),OR(Dashboard!$C$8="All",Dashboard!$C$8=F202))</f>
        <v/>
      </c>
      <c r="B202" s="109">
        <f>IF(A202,B201+1,B201)</f>
        <v/>
      </c>
      <c r="C202" s="109" t="n">
        <v>40</v>
      </c>
      <c r="D202" s="109" t="inlineStr">
        <is>
          <t>SL Bamboo Pillowcase</t>
        </is>
      </c>
      <c r="E202" s="109" t="inlineStr">
        <is>
          <t>US</t>
        </is>
      </c>
      <c r="F202" s="109" t="inlineStr">
        <is>
          <t>Bamboo</t>
        </is>
      </c>
      <c r="G202" s="109" t="inlineStr"/>
      <c r="H202" s="109" t="inlineStr">
        <is>
          <t>Untiered</t>
        </is>
      </c>
      <c r="I202" s="109" t="inlineStr">
        <is>
          <t>Bedsure Zipper Pillow Cases Queen, Cooling Pillow Cases Queen Size Set of 2, Ray</t>
        </is>
      </c>
      <c r="J202" s="109" t="n"/>
      <c r="K202" s="109" t="inlineStr">
        <is>
          <t>B0DD7BMGZ7</t>
        </is>
      </c>
      <c r="L202" s="109" t="inlineStr">
        <is>
          <t>B0CRR369GQ</t>
        </is>
      </c>
      <c r="M202" s="109" t="n"/>
      <c r="N202" s="109" t="n">
        <v>14.99</v>
      </c>
      <c r="O202" s="109" t="n">
        <v>23.15</v>
      </c>
      <c r="P202" s="109">
        <f>IF(AND(ISNUMBER(O202),ISNUMBER(N202),N(N202)&gt;0),O202/N202-1,"")</f>
        <v/>
      </c>
      <c r="Q202" s="109" t="n"/>
      <c r="R202" s="109">
        <f>IF(AND(ISNUMBER(N202),ISNUMBER(Q202),N(Q202)&gt;0),N202/Q202-1,"")</f>
        <v/>
      </c>
      <c r="S202" s="109" t="n">
        <v>3133</v>
      </c>
      <c r="T202" s="109" t="n">
        <v>347</v>
      </c>
      <c r="U202" s="109" t="n">
        <v>4.6</v>
      </c>
      <c r="V202" s="109" t="n">
        <v>1289</v>
      </c>
      <c r="W202" s="109" t="n"/>
      <c r="X202" s="109" t="n"/>
      <c r="Y202" s="109" t="n"/>
      <c r="Z202" s="109" t="n"/>
      <c r="AA202" s="109" t="n"/>
      <c r="AB202" s="109" t="n"/>
      <c r="AC202" s="109" t="inlineStr">
        <is>
          <t>US SL Bamboo Pillowcase</t>
        </is>
      </c>
      <c r="AD202" s="109">
        <f>'US SL Bamboo Pillowcase'!BC88</f>
        <v/>
      </c>
      <c r="AE202" s="109">
        <f>'US SL Bamboo Pillowcase'!BF88</f>
        <v/>
      </c>
      <c r="AF202" s="109" t="inlineStr">
        <is>
          <t>Queen</t>
        </is>
      </c>
      <c r="AG202" s="109" t="n"/>
    </row>
    <row r="203">
      <c r="A203" s="109">
        <f>AND(OR(Dashboard!$C$4="All",Dashboard!$C$4=D203),OR(Dashboard!$C$5="All",Dashboard!$C$5=E203),OR(Dashboard!$C$6="All",Dashboard!$C$6=G203),OR(Dashboard!$C$7="All",Dashboard!$C$7=H203),OR(Dashboard!$C$8="All",Dashboard!$C$8=F203))</f>
        <v/>
      </c>
      <c r="B203" s="109">
        <f>IF(A203,B202+1,B202)</f>
        <v/>
      </c>
      <c r="C203" s="109" t="n">
        <v>40</v>
      </c>
      <c r="D203" s="109" t="inlineStr">
        <is>
          <t>SL Bamboo Pillowcase</t>
        </is>
      </c>
      <c r="E203" s="109" t="inlineStr">
        <is>
          <t>US</t>
        </is>
      </c>
      <c r="F203" s="109" t="inlineStr">
        <is>
          <t>Bamboo</t>
        </is>
      </c>
      <c r="G203" s="109" t="inlineStr">
        <is>
          <t>ELIBABA</t>
        </is>
      </c>
      <c r="H203" s="109" t="inlineStr">
        <is>
          <t>Untiered</t>
        </is>
      </c>
      <c r="I203" s="109" t="inlineStr">
        <is>
          <t>Cooling Side Sleeper Pillow Cases - Curved Rayon Derived from Bamboo Pillowcase</t>
        </is>
      </c>
      <c r="J203" s="109" t="n"/>
      <c r="K203" s="109" t="inlineStr">
        <is>
          <t>B0HGLD1P8V</t>
        </is>
      </c>
      <c r="L203" s="109" t="inlineStr">
        <is>
          <t>B0CQK3KHHH</t>
        </is>
      </c>
      <c r="M203" s="109" t="n">
        <v>25</v>
      </c>
      <c r="N203" s="109" t="n">
        <v>17.99</v>
      </c>
      <c r="O203" s="109" t="n"/>
      <c r="P203" s="109">
        <f>IF(AND(ISNUMBER(O203),ISNUMBER(N203),N(N203)&gt;0),O203/N203-1,"")</f>
        <v/>
      </c>
      <c r="Q203" s="109" t="n"/>
      <c r="R203" s="109">
        <f>IF(AND(ISNUMBER(N203),ISNUMBER(Q203),N(Q203)&gt;0),N203/Q203-1,"")</f>
        <v/>
      </c>
      <c r="S203" s="109" t="n">
        <v>12744</v>
      </c>
      <c r="T203" s="109" t="n">
        <v>92</v>
      </c>
      <c r="U203" s="109" t="n">
        <v>4.2</v>
      </c>
      <c r="V203" s="109" t="n">
        <v>1630</v>
      </c>
      <c r="W203" s="109" t="n">
        <v>15537</v>
      </c>
      <c r="X203" s="109" t="n">
        <v>0.770486258608483</v>
      </c>
      <c r="Y203" s="109" t="n"/>
      <c r="Z203" s="109" t="n"/>
      <c r="AA203" s="109" t="n"/>
      <c r="AB203" s="109" t="n">
        <v>0.8564593301435407</v>
      </c>
      <c r="AC203" s="109" t="inlineStr">
        <is>
          <t>US SL Bamboo Pillowcase</t>
        </is>
      </c>
      <c r="AD203" s="109">
        <f>'US SL Bamboo Pillowcase'!BC89</f>
        <v/>
      </c>
      <c r="AE203" s="109">
        <f>'US SL Bamboo Pillowcase'!BF89</f>
        <v/>
      </c>
      <c r="AF203" s="109" t="n"/>
      <c r="AG203" s="109" t="n"/>
    </row>
    <row r="204">
      <c r="A204" s="109">
        <f>AND(OR(Dashboard!$C$4="All",Dashboard!$C$4=D204),OR(Dashboard!$C$5="All",Dashboard!$C$5=E204),OR(Dashboard!$C$6="All",Dashboard!$C$6=G204),OR(Dashboard!$C$7="All",Dashboard!$C$7=H204),OR(Dashboard!$C$8="All",Dashboard!$C$8=F204))</f>
        <v/>
      </c>
      <c r="B204" s="109">
        <f>IF(A204,B203+1,B203)</f>
        <v/>
      </c>
      <c r="C204" s="109" t="n">
        <v>40</v>
      </c>
      <c r="D204" s="109" t="inlineStr">
        <is>
          <t>SL Bamboo Pillowcase</t>
        </is>
      </c>
      <c r="E204" s="109" t="inlineStr">
        <is>
          <t>US</t>
        </is>
      </c>
      <c r="F204" s="109" t="inlineStr">
        <is>
          <t>Bamboo</t>
        </is>
      </c>
      <c r="G204" s="109" t="inlineStr">
        <is>
          <t>Shunjie.Home</t>
        </is>
      </c>
      <c r="H204" s="109" t="inlineStr">
        <is>
          <t>Untiered</t>
        </is>
      </c>
      <c r="I204" s="109" t="inlineStr">
        <is>
          <t>2 Pack Cooling Pillowcases for Hot Sleepers &amp; Night Sweats, 400 TC Bamboo Viscos</t>
        </is>
      </c>
      <c r="J204" s="109" t="n"/>
      <c r="K204" s="109" t="inlineStr">
        <is>
          <t>B0CZFCD9CJ</t>
        </is>
      </c>
      <c r="L204" s="109" t="inlineStr">
        <is>
          <t>B0C2BNK3JD</t>
        </is>
      </c>
      <c r="M204" s="109" t="n"/>
      <c r="N204" s="109" t="n">
        <v>13.99</v>
      </c>
      <c r="O204" s="109" t="n"/>
      <c r="P204" s="109">
        <f>IF(AND(ISNUMBER(O204),ISNUMBER(N204),N(N204)&gt;0),O204/N204-1,"")</f>
        <v/>
      </c>
      <c r="Q204" s="109" t="n"/>
      <c r="R204" s="109">
        <f>IF(AND(ISNUMBER(N204),ISNUMBER(Q204),N(Q204)&gt;0),N204/Q204-1,"")</f>
        <v/>
      </c>
      <c r="S204" s="109" t="n">
        <v>50401</v>
      </c>
      <c r="T204" s="109" t="n">
        <v>5</v>
      </c>
      <c r="U204" s="109" t="n">
        <v>4.5</v>
      </c>
      <c r="V204" s="109" t="n">
        <v>622</v>
      </c>
      <c r="W204" s="109" t="n"/>
      <c r="X204" s="109" t="n"/>
      <c r="Y204" s="109" t="n"/>
      <c r="Z204" s="109" t="n"/>
      <c r="AA204" s="109" t="n"/>
      <c r="AB204" s="109" t="n"/>
      <c r="AC204" s="109" t="inlineStr">
        <is>
          <t>US SL Bamboo Pillowcase</t>
        </is>
      </c>
      <c r="AD204" s="109">
        <f>'US SL Bamboo Pillowcase'!BC90</f>
        <v/>
      </c>
      <c r="AE204" s="109">
        <f>'US SL Bamboo Pillowcase'!BF90</f>
        <v/>
      </c>
      <c r="AF204" s="109" t="n"/>
      <c r="AG204" s="109" t="n"/>
    </row>
    <row r="205">
      <c r="A205" s="109">
        <f>AND(OR(Dashboard!$C$4="All",Dashboard!$C$4=D205),OR(Dashboard!$C$5="All",Dashboard!$C$5=E205),OR(Dashboard!$C$6="All",Dashboard!$C$6=G205),OR(Dashboard!$C$7="All",Dashboard!$C$7=H205),OR(Dashboard!$C$8="All",Dashboard!$C$8=F205))</f>
        <v/>
      </c>
      <c r="B205" s="109">
        <f>IF(A205,B204+1,B204)</f>
        <v/>
      </c>
      <c r="C205" s="109" t="n">
        <v>37</v>
      </c>
      <c r="D205" s="109" t="inlineStr">
        <is>
          <t>DC S4</t>
        </is>
      </c>
      <c r="E205" s="109" t="inlineStr">
        <is>
          <t>US</t>
        </is>
      </c>
      <c r="F205" s="109" t="inlineStr">
        <is>
          <t>Satin</t>
        </is>
      </c>
      <c r="G205" s="109" t="inlineStr">
        <is>
          <t>BEDELITE</t>
        </is>
      </c>
      <c r="H205" s="109" t="inlineStr">
        <is>
          <t>Aspirational</t>
        </is>
      </c>
      <c r="I205" s="109" t="inlineStr">
        <is>
          <t>BEDELITE Satin Sheets Queen Size Bed Set, Black, 4 Pieces</t>
        </is>
      </c>
      <c r="J205" s="109" t="inlineStr">
        <is>
          <t>https://images-na.ssl-images-amazon.com/images/I/71ujt2CgaQL.jpg</t>
        </is>
      </c>
      <c r="K205" s="109" t="inlineStr">
        <is>
          <t>B0FNMNMZ9T</t>
        </is>
      </c>
      <c r="L205" s="109" t="inlineStr">
        <is>
          <t>B0CSFTRP2X</t>
        </is>
      </c>
      <c r="M205" s="109" t="n">
        <v>141</v>
      </c>
      <c r="N205" s="109" t="n">
        <v>17.99</v>
      </c>
      <c r="O205" s="109" t="n"/>
      <c r="P205" s="109">
        <f>IF(AND(ISNUMBER(O205),ISNUMBER(N205),N(N205)&gt;0),O205/N205-1,"")</f>
        <v/>
      </c>
      <c r="Q205" s="109" t="n">
        <v>31.95</v>
      </c>
      <c r="R205" s="109">
        <f>IF(AND(ISNUMBER(N205),ISNUMBER(Q205),N(Q205)&gt;0),N205/Q205-1,"")</f>
        <v/>
      </c>
      <c r="S205" s="109" t="n">
        <v>497</v>
      </c>
      <c r="T205" s="109" t="n">
        <v>1963</v>
      </c>
      <c r="U205" s="109" t="n">
        <v>4.3</v>
      </c>
      <c r="V205" s="109" t="n">
        <v>6297</v>
      </c>
      <c r="W205" s="109" t="n">
        <v>997443</v>
      </c>
      <c r="X205" s="109" t="n">
        <v>0.8161266415223724</v>
      </c>
      <c r="Y205" s="109" t="n">
        <v>92</v>
      </c>
      <c r="Z205" s="109" t="n">
        <v>714</v>
      </c>
      <c r="AA205" s="109" t="n">
        <v>340</v>
      </c>
      <c r="AB205" s="109" t="n">
        <v>1.114785561378903</v>
      </c>
      <c r="AC205" s="109" t="inlineStr">
        <is>
          <t>US DC S4</t>
        </is>
      </c>
      <c r="AD205" s="109">
        <f>'US DC S4'!BC156</f>
        <v/>
      </c>
      <c r="AE205" s="109">
        <f>'US DC S4'!BF156</f>
        <v/>
      </c>
      <c r="AF205" s="109" t="inlineStr">
        <is>
          <t>Queen</t>
        </is>
      </c>
      <c r="AG205" s="109" t="inlineStr">
        <is>
          <t>Black</t>
        </is>
      </c>
    </row>
    <row r="206">
      <c r="A206" s="109">
        <f>AND(OR(Dashboard!$C$4="All",Dashboard!$C$4=D206),OR(Dashboard!$C$5="All",Dashboard!$C$5=E206),OR(Dashboard!$C$6="All",Dashboard!$C$6=G206),OR(Dashboard!$C$7="All",Dashboard!$C$7=H206),OR(Dashboard!$C$8="All",Dashboard!$C$8=F206))</f>
        <v/>
      </c>
      <c r="B206" s="109">
        <f>IF(A206,B205+1,B205)</f>
        <v/>
      </c>
      <c r="C206" s="109" t="n">
        <v>37</v>
      </c>
      <c r="D206" s="109" t="inlineStr">
        <is>
          <t>DC S4</t>
        </is>
      </c>
      <c r="E206" s="109" t="inlineStr">
        <is>
          <t>US</t>
        </is>
      </c>
      <c r="F206" s="109" t="inlineStr">
        <is>
          <t>Satin</t>
        </is>
      </c>
      <c r="G206" s="109" t="inlineStr">
        <is>
          <t>Love's cabin</t>
        </is>
      </c>
      <c r="H206" s="109" t="inlineStr">
        <is>
          <t>Aspirational</t>
        </is>
      </c>
      <c r="I206" s="109" t="inlineStr">
        <is>
          <t>Love's cabin Satin Queen Sheets Set, 4 Pieces, Pink, 15" Deep Pocket</t>
        </is>
      </c>
      <c r="J206" s="109" t="inlineStr">
        <is>
          <t>https://images-na.ssl-images-amazon.com/images/I/81C-fXI71XL.jpg</t>
        </is>
      </c>
      <c r="K206" s="109" t="inlineStr">
        <is>
          <t>B08DHTB63X</t>
        </is>
      </c>
      <c r="L206" s="109" t="inlineStr">
        <is>
          <t>B0BNMC5G8R</t>
        </is>
      </c>
      <c r="M206" s="109" t="n">
        <v>128</v>
      </c>
      <c r="N206" s="109" t="n">
        <v>16.13</v>
      </c>
      <c r="O206" s="109" t="n">
        <v>19.99</v>
      </c>
      <c r="P206" s="109">
        <f>IF(AND(ISNUMBER(O206),ISNUMBER(N206),N(N206)&gt;0),O206/N206-1,"")</f>
        <v/>
      </c>
      <c r="Q206" s="109" t="n">
        <v>31.95</v>
      </c>
      <c r="R206" s="109">
        <f>IF(AND(ISNUMBER(N206),ISNUMBER(Q206),N(Q206)&gt;0),N206/Q206-1,"")</f>
        <v/>
      </c>
      <c r="S206" s="109" t="n">
        <v>949</v>
      </c>
      <c r="T206" s="109" t="n">
        <v>809</v>
      </c>
      <c r="U206" s="109" t="n">
        <v>4.5</v>
      </c>
      <c r="V206" s="109" t="n">
        <v>5747</v>
      </c>
      <c r="W206" s="109" t="n">
        <v>385363</v>
      </c>
      <c r="X206" s="109" t="n">
        <v>0.8181775938530695</v>
      </c>
      <c r="Y206" s="109" t="n">
        <v>185</v>
      </c>
      <c r="Z206" s="109" t="n">
        <v>585</v>
      </c>
      <c r="AA206" s="109" t="n">
        <v>425</v>
      </c>
      <c r="AB206" s="109" t="n">
        <v>1.036399938565504</v>
      </c>
      <c r="AC206" s="109" t="inlineStr">
        <is>
          <t>US DC S4</t>
        </is>
      </c>
      <c r="AD206" s="109">
        <f>'US DC S4'!BC157</f>
        <v/>
      </c>
      <c r="AE206" s="109">
        <f>'US DC S4'!BF157</f>
        <v/>
      </c>
      <c r="AF206" s="109" t="inlineStr">
        <is>
          <t>Queen</t>
        </is>
      </c>
      <c r="AG206" s="109" t="inlineStr">
        <is>
          <t>Pink</t>
        </is>
      </c>
    </row>
    <row r="207">
      <c r="A207" s="109">
        <f>AND(OR(Dashboard!$C$4="All",Dashboard!$C$4=D207),OR(Dashboard!$C$5="All",Dashboard!$C$5=E207),OR(Dashboard!$C$6="All",Dashboard!$C$6=G207),OR(Dashboard!$C$7="All",Dashboard!$C$7=H207),OR(Dashboard!$C$8="All",Dashboard!$C$8=F207))</f>
        <v/>
      </c>
      <c r="B207" s="109">
        <f>IF(A207,B206+1,B206)</f>
        <v/>
      </c>
      <c r="C207" s="109" t="n">
        <v>37</v>
      </c>
      <c r="D207" s="109" t="inlineStr">
        <is>
          <t>DC S4</t>
        </is>
      </c>
      <c r="E207" s="109" t="inlineStr">
        <is>
          <t>US</t>
        </is>
      </c>
      <c r="F207" s="109" t="inlineStr">
        <is>
          <t>Satin</t>
        </is>
      </c>
      <c r="G207" s="109" t="inlineStr">
        <is>
          <t>MR&amp;HM</t>
        </is>
      </c>
      <c r="H207" s="109" t="inlineStr">
        <is>
          <t>Aspirational</t>
        </is>
      </c>
      <c r="I207" s="109" t="inlineStr">
        <is>
          <t>MR&amp;HM Satin Sheets Queen Size with Elastic Corner Straps, Black</t>
        </is>
      </c>
      <c r="J207" s="109" t="inlineStr">
        <is>
          <t>https://images-na.ssl-images-amazon.com/images/I/71zGuoeuSrL.jpg</t>
        </is>
      </c>
      <c r="K207" s="109" t="inlineStr">
        <is>
          <t>B08NQ3W7PG</t>
        </is>
      </c>
      <c r="L207" s="109" t="inlineStr">
        <is>
          <t>B08HM6WT6X</t>
        </is>
      </c>
      <c r="M207" s="109" t="n">
        <v>183</v>
      </c>
      <c r="N207" s="109" t="n">
        <v>19.99</v>
      </c>
      <c r="O207" s="109" t="n"/>
      <c r="P207" s="109">
        <f>IF(AND(ISNUMBER(O207),ISNUMBER(N207),N(N207)&gt;0),O207/N207-1,"")</f>
        <v/>
      </c>
      <c r="Q207" s="109" t="n">
        <v>31.95</v>
      </c>
      <c r="R207" s="109">
        <f>IF(AND(ISNUMBER(N207),ISNUMBER(Q207),N(Q207)&gt;0),N207/Q207-1,"")</f>
        <v/>
      </c>
      <c r="S207" s="109" t="n">
        <v>2025</v>
      </c>
      <c r="T207" s="109" t="n">
        <v>809</v>
      </c>
      <c r="U207" s="109" t="n">
        <v>4.4</v>
      </c>
      <c r="V207" s="109" t="n">
        <v>17886</v>
      </c>
      <c r="W207" s="109" t="n">
        <v>356457</v>
      </c>
      <c r="X207" s="109" t="n">
        <v>0.7964633734223203</v>
      </c>
      <c r="Y207" s="109" t="n">
        <v>179</v>
      </c>
      <c r="Z207" s="109" t="n">
        <v>608</v>
      </c>
      <c r="AA207" s="109" t="n">
        <v>383</v>
      </c>
      <c r="AB207" s="109" t="n">
        <v>0.9844138242602214</v>
      </c>
      <c r="AC207" s="109" t="inlineStr">
        <is>
          <t>US DC S4</t>
        </is>
      </c>
      <c r="AD207" s="109">
        <f>'US DC S4'!BC158</f>
        <v/>
      </c>
      <c r="AE207" s="109">
        <f>'US DC S4'!BF158</f>
        <v/>
      </c>
      <c r="AF207" s="109" t="inlineStr">
        <is>
          <t>Queen</t>
        </is>
      </c>
      <c r="AG207" s="109" t="inlineStr">
        <is>
          <t>Black</t>
        </is>
      </c>
    </row>
    <row r="208">
      <c r="A208" s="109">
        <f>AND(OR(Dashboard!$C$4="All",Dashboard!$C$4=D208),OR(Dashboard!$C$5="All",Dashboard!$C$5=E208),OR(Dashboard!$C$6="All",Dashboard!$C$6=G208),OR(Dashboard!$C$7="All",Dashboard!$C$7=H208),OR(Dashboard!$C$8="All",Dashboard!$C$8=F208))</f>
        <v/>
      </c>
      <c r="B208" s="109">
        <f>IF(A208,B207+1,B207)</f>
        <v/>
      </c>
      <c r="C208" s="109" t="n">
        <v>37</v>
      </c>
      <c r="D208" s="109" t="inlineStr">
        <is>
          <t>DC S4</t>
        </is>
      </c>
      <c r="E208" s="109" t="inlineStr">
        <is>
          <t>US</t>
        </is>
      </c>
      <c r="F208" s="109" t="inlineStr">
        <is>
          <t>Satin</t>
        </is>
      </c>
      <c r="G208" s="109" t="inlineStr">
        <is>
          <t>CozyLux</t>
        </is>
      </c>
      <c r="H208" s="109" t="inlineStr">
        <is>
          <t>Beatable</t>
        </is>
      </c>
      <c r="I208" s="109" t="inlineStr">
        <is>
          <t>CozyLux Satin Sheets Queen, 4-Piece 14-Inch Deep Pocket Sheet Set</t>
        </is>
      </c>
      <c r="J208" s="109" t="inlineStr">
        <is>
          <t>https://images-na.ssl-images-amazon.com/images/I/71QlFwpmpcL.jpg</t>
        </is>
      </c>
      <c r="K208" s="109" t="inlineStr">
        <is>
          <t>B08CQKS3KP</t>
        </is>
      </c>
      <c r="L208" s="109" t="inlineStr">
        <is>
          <t>B08P16XLP2</t>
        </is>
      </c>
      <c r="M208" s="109" t="n">
        <v>115</v>
      </c>
      <c r="N208" s="109" t="n">
        <v>13.99</v>
      </c>
      <c r="O208" s="109" t="n">
        <v>18.99</v>
      </c>
      <c r="P208" s="109">
        <f>IF(AND(ISNUMBER(O208),ISNUMBER(N208),N(N208)&gt;0),O208/N208-1,"")</f>
        <v/>
      </c>
      <c r="Q208" s="109" t="n">
        <v>31.95</v>
      </c>
      <c r="R208" s="109">
        <f>IF(AND(ISNUMBER(N208),ISNUMBER(Q208),N(Q208)&gt;0),N208/Q208-1,"")</f>
        <v/>
      </c>
      <c r="S208" s="109" t="n">
        <v>3102</v>
      </c>
      <c r="T208" s="109" t="n">
        <v>347</v>
      </c>
      <c r="U208" s="109" t="n">
        <v>4.3</v>
      </c>
      <c r="V208" s="109" t="n">
        <v>7075</v>
      </c>
      <c r="W208" s="109" t="n">
        <v>164434</v>
      </c>
      <c r="X208" s="109" t="n">
        <v>0.724298132381382</v>
      </c>
      <c r="Y208" s="109" t="n">
        <v>242</v>
      </c>
      <c r="Z208" s="109" t="n">
        <v>438</v>
      </c>
      <c r="AA208" s="109" t="n">
        <v>332</v>
      </c>
      <c r="AB208" s="109" t="n">
        <v>0.8168981481481481</v>
      </c>
      <c r="AC208" s="109" t="inlineStr">
        <is>
          <t>US DC S4</t>
        </is>
      </c>
      <c r="AD208" s="109">
        <f>'US DC S4'!BC159</f>
        <v/>
      </c>
      <c r="AE208" s="109">
        <f>'US DC S4'!BF159</f>
        <v/>
      </c>
      <c r="AF208" s="109" t="inlineStr">
        <is>
          <t>Queen</t>
        </is>
      </c>
      <c r="AG208" s="109" t="n"/>
    </row>
    <row r="209">
      <c r="A209" s="109">
        <f>AND(OR(Dashboard!$C$4="All",Dashboard!$C$4=D209),OR(Dashboard!$C$5="All",Dashboard!$C$5=E209),OR(Dashboard!$C$6="All",Dashboard!$C$6=G209),OR(Dashboard!$C$7="All",Dashboard!$C$7=H209),OR(Dashboard!$C$8="All",Dashboard!$C$8=F209))</f>
        <v/>
      </c>
      <c r="B209" s="109">
        <f>IF(A209,B208+1,B208)</f>
        <v/>
      </c>
      <c r="C209" s="109" t="n">
        <v>37</v>
      </c>
      <c r="D209" s="109" t="inlineStr">
        <is>
          <t>DC S4</t>
        </is>
      </c>
      <c r="E209" s="109" t="inlineStr">
        <is>
          <t>US</t>
        </is>
      </c>
      <c r="F209" s="109" t="inlineStr">
        <is>
          <t>Satin</t>
        </is>
      </c>
      <c r="G209" s="109" t="inlineStr">
        <is>
          <t>Lanest Housing</t>
        </is>
      </c>
      <c r="H209" s="109" t="inlineStr">
        <is>
          <t>Beatable</t>
        </is>
      </c>
      <c r="I209" s="109" t="inlineStr">
        <is>
          <t>Lanest Housing Silk Satin Sheets, Queen Size Satin Bed Sheet Set with Deep Pockets, Cooling Soft and Hypoallergenic Satin Sheets Queen - Light Gray</t>
        </is>
      </c>
      <c r="J209" s="109" t="inlineStr">
        <is>
          <t>https://images-na.ssl-images-amazon.com/images/I/71PMIXXTc0L.jpg</t>
        </is>
      </c>
      <c r="K209" s="109" t="inlineStr">
        <is>
          <t>B0DC3MX1DP</t>
        </is>
      </c>
      <c r="L209" s="109" t="inlineStr">
        <is>
          <t>B082B5CY3D</t>
        </is>
      </c>
      <c r="M209" s="109" t="n">
        <v>154</v>
      </c>
      <c r="N209" s="109" t="n">
        <v>22.99</v>
      </c>
      <c r="O209" s="109" t="n"/>
      <c r="P209" s="109">
        <f>IF(AND(ISNUMBER(O209),ISNUMBER(N209),N(N209)&gt;0),O209/N209-1,"")</f>
        <v/>
      </c>
      <c r="Q209" s="109" t="n">
        <v>31.95</v>
      </c>
      <c r="R209" s="109">
        <f>IF(AND(ISNUMBER(N209),ISNUMBER(Q209),N(Q209)&gt;0),N209/Q209-1,"")</f>
        <v/>
      </c>
      <c r="S209" s="109" t="n">
        <v>4671</v>
      </c>
      <c r="T209" s="109" t="n">
        <v>208</v>
      </c>
      <c r="U209" s="109" t="n">
        <v>4.3</v>
      </c>
      <c r="V209" s="109" t="n">
        <v>5837</v>
      </c>
      <c r="W209" s="109" t="n">
        <v>163454</v>
      </c>
      <c r="X209" s="109" t="n">
        <v>0.511816095659941</v>
      </c>
      <c r="Y209" s="109" t="n">
        <v>234</v>
      </c>
      <c r="Z209" s="109" t="n">
        <v>285</v>
      </c>
      <c r="AA209" s="109" t="n">
        <v>50</v>
      </c>
      <c r="AB209" s="109" t="n">
        <v>0.4183908045977011</v>
      </c>
      <c r="AC209" s="109" t="inlineStr">
        <is>
          <t>US DC S4</t>
        </is>
      </c>
      <c r="AD209" s="109">
        <f>'US DC S4'!BC160</f>
        <v/>
      </c>
      <c r="AE209" s="109">
        <f>'US DC S4'!BF160</f>
        <v/>
      </c>
      <c r="AF209" s="109" t="inlineStr">
        <is>
          <t>Queen</t>
        </is>
      </c>
      <c r="AG209" s="109" t="inlineStr">
        <is>
          <t>Gray</t>
        </is>
      </c>
    </row>
    <row r="210">
      <c r="A210" s="109">
        <f>AND(OR(Dashboard!$C$4="All",Dashboard!$C$4=D210),OR(Dashboard!$C$5="All",Dashboard!$C$5=E210),OR(Dashboard!$C$6="All",Dashboard!$C$6=G210),OR(Dashboard!$C$7="All",Dashboard!$C$7=H210),OR(Dashboard!$C$8="All",Dashboard!$C$8=F210))</f>
        <v/>
      </c>
      <c r="B210" s="109">
        <f>IF(A210,B209+1,B209)</f>
        <v/>
      </c>
      <c r="C210" s="109" t="n">
        <v>37</v>
      </c>
      <c r="D210" s="109" t="inlineStr">
        <is>
          <t>DC S4</t>
        </is>
      </c>
      <c r="E210" s="109" t="inlineStr">
        <is>
          <t>US</t>
        </is>
      </c>
      <c r="F210" s="109" t="inlineStr">
        <is>
          <t>Satin</t>
        </is>
      </c>
      <c r="G210" s="109" t="inlineStr">
        <is>
          <t>FreshCulture</t>
        </is>
      </c>
      <c r="H210" s="109" t="inlineStr">
        <is>
          <t>Beatable</t>
        </is>
      </c>
      <c r="I210" s="109" t="inlineStr">
        <is>
          <t>Satin Sheets</t>
        </is>
      </c>
      <c r="J210" s="109" t="inlineStr">
        <is>
          <t>https://images-na.ssl-images-amazon.com/images/I/810d6GzTlfL.jpg</t>
        </is>
      </c>
      <c r="K210" s="109" t="inlineStr">
        <is>
          <t>B0D9B18P6N</t>
        </is>
      </c>
      <c r="L210" s="109" t="inlineStr">
        <is>
          <t>B0D9BD63QH</t>
        </is>
      </c>
      <c r="M210" s="109" t="n">
        <v>54</v>
      </c>
      <c r="N210" s="109" t="n">
        <v>23.99</v>
      </c>
      <c r="O210" s="109" t="n"/>
      <c r="P210" s="109">
        <f>IF(AND(ISNUMBER(O210),ISNUMBER(N210),N(N210)&gt;0),O210/N210-1,"")</f>
        <v/>
      </c>
      <c r="Q210" s="109" t="n">
        <v>31.95</v>
      </c>
      <c r="R210" s="109">
        <f>IF(AND(ISNUMBER(N210),ISNUMBER(Q210),N(Q210)&gt;0),N210/Q210-1,"")</f>
        <v/>
      </c>
      <c r="S210" s="109" t="n">
        <v>17918</v>
      </c>
      <c r="T210" s="109" t="n">
        <v>104</v>
      </c>
      <c r="U210" s="109" t="n">
        <v>4.4</v>
      </c>
      <c r="V210" s="109" t="n">
        <v>780</v>
      </c>
      <c r="W210" s="109" t="n">
        <v>99046</v>
      </c>
      <c r="X210" s="109" t="n">
        <v>0.9634387880378817</v>
      </c>
      <c r="Y210" s="109" t="n">
        <v>191</v>
      </c>
      <c r="Z210" s="109" t="n">
        <v>257</v>
      </c>
      <c r="AA210" s="109" t="n">
        <v>19</v>
      </c>
      <c r="AB210" s="109" t="n"/>
      <c r="AC210" s="109" t="inlineStr">
        <is>
          <t>US DC S4</t>
        </is>
      </c>
      <c r="AD210" s="109">
        <f>'US DC S4'!BC161</f>
        <v/>
      </c>
      <c r="AE210" s="109">
        <f>'US DC S4'!BF161</f>
        <v/>
      </c>
      <c r="AF210" s="109" t="n"/>
      <c r="AG210" s="109" t="n"/>
    </row>
    <row r="211">
      <c r="A211" s="109">
        <f>AND(OR(Dashboard!$C$4="All",Dashboard!$C$4=D211),OR(Dashboard!$C$5="All",Dashboard!$C$5=E211),OR(Dashboard!$C$6="All",Dashboard!$C$6=G211),OR(Dashboard!$C$7="All",Dashboard!$C$7=H211),OR(Dashboard!$C$8="All",Dashboard!$C$8=F211))</f>
        <v/>
      </c>
      <c r="B211" s="109">
        <f>IF(A211,B210+1,B210)</f>
        <v/>
      </c>
      <c r="C211" s="109" t="n">
        <v>37</v>
      </c>
      <c r="D211" s="109" t="inlineStr">
        <is>
          <t>DC S4</t>
        </is>
      </c>
      <c r="E211" s="109" t="inlineStr">
        <is>
          <t>US</t>
        </is>
      </c>
      <c r="F211" s="109" t="inlineStr">
        <is>
          <t>Satin</t>
        </is>
      </c>
      <c r="G211" s="109" t="inlineStr">
        <is>
          <t>Pure Bedding</t>
        </is>
      </c>
      <c r="H211" s="109" t="inlineStr">
        <is>
          <t>Beatable</t>
        </is>
      </c>
      <c r="I211" s="109" t="inlineStr">
        <is>
          <t>Pure Bedding Satin Sheets Queen [4-Piece, Black] Hotel Luxury Silky Bed Sheets - Extra Soft 1800 Microfiber Sheet Set, Wrinkle, Fade, Deep Pocket Fitted Sheet, Flat Sheet, Pillow Cases</t>
        </is>
      </c>
      <c r="J211" s="109" t="inlineStr">
        <is>
          <t>https://images-na.ssl-images-amazon.com/images/I/81zLU1W0e8L.jpg</t>
        </is>
      </c>
      <c r="K211" s="109" t="inlineStr">
        <is>
          <t>B0FMPQYB2J</t>
        </is>
      </c>
      <c r="L211" s="109" t="inlineStr">
        <is>
          <t>B083G81VSH</t>
        </is>
      </c>
      <c r="M211" s="109" t="n">
        <v>146</v>
      </c>
      <c r="N211" s="109" t="n">
        <v>20.99</v>
      </c>
      <c r="O211" s="109" t="n"/>
      <c r="P211" s="109">
        <f>IF(AND(ISNUMBER(O211),ISNUMBER(N211),N(N211)&gt;0),O211/N211-1,"")</f>
        <v/>
      </c>
      <c r="Q211" s="109" t="n">
        <v>31.95</v>
      </c>
      <c r="R211" s="109">
        <f>IF(AND(ISNUMBER(N211),ISNUMBER(Q211),N(Q211)&gt;0),N211/Q211-1,"")</f>
        <v/>
      </c>
      <c r="S211" s="109" t="n">
        <v>30991</v>
      </c>
      <c r="T211" s="109" t="n">
        <v>92</v>
      </c>
      <c r="U211" s="109" t="n">
        <v>4.4</v>
      </c>
      <c r="V211" s="109" t="n">
        <v>9828</v>
      </c>
      <c r="W211" s="109" t="n">
        <v>119531</v>
      </c>
      <c r="X211" s="109" t="n">
        <v>0.6204180681162206</v>
      </c>
      <c r="Y211" s="109" t="n">
        <v>291</v>
      </c>
      <c r="Z211" s="109" t="n">
        <v>239</v>
      </c>
      <c r="AA211" s="109" t="n">
        <v>213</v>
      </c>
      <c r="AB211" s="109" t="n">
        <v>0.7574960547080484</v>
      </c>
      <c r="AC211" s="109" t="inlineStr">
        <is>
          <t>US DC S4</t>
        </is>
      </c>
      <c r="AD211" s="109">
        <f>'US DC S4'!BC162</f>
        <v/>
      </c>
      <c r="AE211" s="109">
        <f>'US DC S4'!BF162</f>
        <v/>
      </c>
      <c r="AF211" s="109" t="inlineStr">
        <is>
          <t>Queen</t>
        </is>
      </c>
      <c r="AG211" s="109" t="inlineStr">
        <is>
          <t>Black</t>
        </is>
      </c>
    </row>
    <row r="212">
      <c r="A212" s="109">
        <f>AND(OR(Dashboard!$C$4="All",Dashboard!$C$4=D212),OR(Dashboard!$C$5="All",Dashboard!$C$5=E212),OR(Dashboard!$C$6="All",Dashboard!$C$6=G212),OR(Dashboard!$C$7="All",Dashboard!$C$7=H212),OR(Dashboard!$C$8="All",Dashboard!$C$8=F212))</f>
        <v/>
      </c>
      <c r="B212" s="109">
        <f>IF(A212,B211+1,B211)</f>
        <v/>
      </c>
      <c r="C212" s="109" t="n">
        <v>37</v>
      </c>
      <c r="D212" s="109" t="inlineStr">
        <is>
          <t>DC S4</t>
        </is>
      </c>
      <c r="E212" s="109" t="inlineStr">
        <is>
          <t>US</t>
        </is>
      </c>
      <c r="F212" s="109" t="inlineStr">
        <is>
          <t>Satin</t>
        </is>
      </c>
      <c r="G212" s="109" t="inlineStr">
        <is>
          <t>SiinvdaBZX</t>
        </is>
      </c>
      <c r="H212" s="109" t="inlineStr">
        <is>
          <t>Beatable</t>
        </is>
      </c>
      <c r="I212" s="109" t="inlineStr">
        <is>
          <t>SiinvdaBZX 4Pcs Satin Sheet Set Queen Size 15-Inch Deep Pocket, Beige</t>
        </is>
      </c>
      <c r="J212" s="109" t="inlineStr">
        <is>
          <t>https://images-na.ssl-images-amazon.com/images/I/71ZrkfMtWLL.jpg</t>
        </is>
      </c>
      <c r="K212" s="109" t="inlineStr">
        <is>
          <t>B0DD37S32L</t>
        </is>
      </c>
      <c r="L212" s="109" t="inlineStr">
        <is>
          <t>B08JP9DG5Z</t>
        </is>
      </c>
      <c r="M212" s="109" t="n">
        <v>96</v>
      </c>
      <c r="N212" s="109" t="n">
        <v>22.99</v>
      </c>
      <c r="O212" s="109" t="n"/>
      <c r="P212" s="109">
        <f>IF(AND(ISNUMBER(O212),ISNUMBER(N212),N(N212)&gt;0),O212/N212-1,"")</f>
        <v/>
      </c>
      <c r="Q212" s="109" t="n">
        <v>31.95</v>
      </c>
      <c r="R212" s="109">
        <f>IF(AND(ISNUMBER(N212),ISNUMBER(Q212),N(Q212)&gt;0),N212/Q212-1,"")</f>
        <v/>
      </c>
      <c r="S212" s="109" t="n">
        <v>23154</v>
      </c>
      <c r="T212" s="109" t="n">
        <v>92</v>
      </c>
      <c r="U212" s="109" t="n">
        <v>4.4</v>
      </c>
      <c r="V212" s="109" t="n">
        <v>6981</v>
      </c>
      <c r="W212" s="109" t="n">
        <v>47722</v>
      </c>
      <c r="X212" s="109" t="n">
        <v>0.8752176061355349</v>
      </c>
      <c r="Y212" s="109" t="n">
        <v>234</v>
      </c>
      <c r="Z212" s="109" t="n">
        <v>139</v>
      </c>
      <c r="AA212" s="109" t="n">
        <v>99</v>
      </c>
      <c r="AB212" s="109" t="n">
        <v>1.035928143712575</v>
      </c>
      <c r="AC212" s="109" t="inlineStr">
        <is>
          <t>US DC S4</t>
        </is>
      </c>
      <c r="AD212" s="109">
        <f>'US DC S4'!BC163</f>
        <v/>
      </c>
      <c r="AE212" s="109">
        <f>'US DC S4'!BF163</f>
        <v/>
      </c>
      <c r="AF212" s="109" t="inlineStr">
        <is>
          <t>Queen</t>
        </is>
      </c>
      <c r="AG212" s="109" t="inlineStr">
        <is>
          <t>Beige</t>
        </is>
      </c>
    </row>
    <row r="213">
      <c r="A213" s="109">
        <f>AND(OR(Dashboard!$C$4="All",Dashboard!$C$4=D213),OR(Dashboard!$C$5="All",Dashboard!$C$5=E213),OR(Dashboard!$C$6="All",Dashboard!$C$6=G213),OR(Dashboard!$C$7="All",Dashboard!$C$7=H213),OR(Dashboard!$C$8="All",Dashboard!$C$8=F213))</f>
        <v/>
      </c>
      <c r="B213" s="109">
        <f>IF(A213,B212+1,B212)</f>
        <v/>
      </c>
      <c r="C213" s="109" t="n">
        <v>37</v>
      </c>
      <c r="D213" s="109" t="inlineStr">
        <is>
          <t>DC S4</t>
        </is>
      </c>
      <c r="E213" s="109" t="inlineStr">
        <is>
          <t>US</t>
        </is>
      </c>
      <c r="F213" s="109" t="inlineStr">
        <is>
          <t>Satin</t>
        </is>
      </c>
      <c r="G213" s="109" t="inlineStr">
        <is>
          <t>Cobedzy</t>
        </is>
      </c>
      <c r="H213" s="109" t="inlineStr">
        <is>
          <t>Beatable</t>
        </is>
      </c>
      <c r="I213" s="109" t="inlineStr">
        <is>
          <t>Satin Sheets</t>
        </is>
      </c>
      <c r="J213" s="109" t="inlineStr">
        <is>
          <t>https://images-na.ssl-images-amazon.com/images/I/61QL2B3WPsL.jpg</t>
        </is>
      </c>
      <c r="K213" s="109" t="inlineStr">
        <is>
          <t>B099PPQ7T3</t>
        </is>
      </c>
      <c r="L213" s="109" t="inlineStr">
        <is>
          <t>B087CSRQQ4</t>
        </is>
      </c>
      <c r="M213" s="109" t="n">
        <v>18</v>
      </c>
      <c r="N213" s="109" t="n">
        <v>27.99</v>
      </c>
      <c r="O213" s="109" t="n"/>
      <c r="P213" s="109">
        <f>IF(AND(ISNUMBER(O213),ISNUMBER(N213),N(N213)&gt;0),O213/N213-1,"")</f>
        <v/>
      </c>
      <c r="Q213" s="109" t="n">
        <v>31.95</v>
      </c>
      <c r="R213" s="109">
        <f>IF(AND(ISNUMBER(N213),ISNUMBER(Q213),N(Q213)&gt;0),N213/Q213-1,"")</f>
        <v/>
      </c>
      <c r="S213" s="109" t="n">
        <v>68667</v>
      </c>
      <c r="T213" s="109" t="n">
        <v>35</v>
      </c>
      <c r="U213" s="109" t="n">
        <v>4.4</v>
      </c>
      <c r="V213" s="109" t="n">
        <v>2838</v>
      </c>
      <c r="W213" s="109" t="n">
        <v>21925</v>
      </c>
      <c r="X213" s="109" t="n">
        <v>0.9295306681870016</v>
      </c>
      <c r="Y213" s="109" t="n">
        <v>182</v>
      </c>
      <c r="Z213" s="109" t="n">
        <v>65</v>
      </c>
      <c r="AA213" s="109" t="n">
        <v>43</v>
      </c>
      <c r="AB213" s="109" t="n">
        <v>0.8934169278996865</v>
      </c>
      <c r="AC213" s="109" t="inlineStr">
        <is>
          <t>US DC S4</t>
        </is>
      </c>
      <c r="AD213" s="109">
        <f>'US DC S4'!BC164</f>
        <v/>
      </c>
      <c r="AE213" s="109">
        <f>'US DC S4'!BF164</f>
        <v/>
      </c>
      <c r="AF213" s="109" t="n"/>
      <c r="AG213" s="109" t="n"/>
    </row>
    <row r="214">
      <c r="A214" s="109">
        <f>AND(OR(Dashboard!$C$4="All",Dashboard!$C$4=D214),OR(Dashboard!$C$5="All",Dashboard!$C$5=E214),OR(Dashboard!$C$6="All",Dashboard!$C$6=G214),OR(Dashboard!$C$7="All",Dashboard!$C$7=H214),OR(Dashboard!$C$8="All",Dashboard!$C$8=F214))</f>
        <v/>
      </c>
      <c r="B214" s="109">
        <f>IF(A214,B213+1,B213)</f>
        <v/>
      </c>
      <c r="C214" s="109" t="n">
        <v>37</v>
      </c>
      <c r="D214" s="109" t="inlineStr">
        <is>
          <t>DC S4</t>
        </is>
      </c>
      <c r="E214" s="109" t="inlineStr">
        <is>
          <t>US</t>
        </is>
      </c>
      <c r="F214" s="109" t="inlineStr">
        <is>
          <t>Satin</t>
        </is>
      </c>
      <c r="G214" s="109" t="inlineStr">
        <is>
          <t>Horbaunal</t>
        </is>
      </c>
      <c r="H214" s="109" t="inlineStr">
        <is>
          <t>Beatable</t>
        </is>
      </c>
      <c r="I214" s="109" t="inlineStr">
        <is>
          <t>Horbaunal 6 Piece Satin Sheet Set Queen, Emerald Green Queen Bed Sheets</t>
        </is>
      </c>
      <c r="J214" s="109" t="inlineStr">
        <is>
          <t>https://images-na.ssl-images-amazon.com/images/I/813TGJ9FKjL.jpg</t>
        </is>
      </c>
      <c r="K214" s="109" t="inlineStr">
        <is>
          <t>B0B4MQCT87</t>
        </is>
      </c>
      <c r="L214" s="109" t="inlineStr">
        <is>
          <t>B0B4MQ1PP1</t>
        </is>
      </c>
      <c r="M214" s="109" t="n">
        <v>23</v>
      </c>
      <c r="N214" s="109" t="n">
        <v>28.99</v>
      </c>
      <c r="O214" s="109" t="n"/>
      <c r="P214" s="109">
        <f>IF(AND(ISNUMBER(O214),ISNUMBER(N214),N(N214)&gt;0),O214/N214-1,"")</f>
        <v/>
      </c>
      <c r="Q214" s="109" t="n">
        <v>31.95</v>
      </c>
      <c r="R214" s="109">
        <f>IF(AND(ISNUMBER(N214),ISNUMBER(Q214),N(Q214)&gt;0),N214/Q214-1,"")</f>
        <v/>
      </c>
      <c r="S214" s="109" t="n">
        <v>110638</v>
      </c>
      <c r="T214" s="109" t="n">
        <v>35</v>
      </c>
      <c r="U214" s="109" t="n">
        <v>4.4</v>
      </c>
      <c r="V214" s="109" t="n">
        <v>772</v>
      </c>
      <c r="W214" s="109" t="n"/>
      <c r="X214" s="109" t="n"/>
      <c r="Y214" s="109" t="n"/>
      <c r="Z214" s="109" t="n"/>
      <c r="AA214" s="109" t="n"/>
      <c r="AB214" s="109" t="n"/>
      <c r="AC214" s="109" t="inlineStr">
        <is>
          <t>US DC S4</t>
        </is>
      </c>
      <c r="AD214" s="109">
        <f>'US DC S4'!BC165</f>
        <v/>
      </c>
      <c r="AE214" s="109">
        <f>'US DC S4'!BF165</f>
        <v/>
      </c>
      <c r="AF214" s="109" t="inlineStr">
        <is>
          <t>Queen</t>
        </is>
      </c>
      <c r="AG214" s="109" t="inlineStr">
        <is>
          <t>Green</t>
        </is>
      </c>
    </row>
    <row r="215">
      <c r="A215" s="109">
        <f>AND(OR(Dashboard!$C$4="All",Dashboard!$C$4=D215),OR(Dashboard!$C$5="All",Dashboard!$C$5=E215),OR(Dashboard!$C$6="All",Dashboard!$C$6=G215),OR(Dashboard!$C$7="All",Dashboard!$C$7=H215),OR(Dashboard!$C$8="All",Dashboard!$C$8=F215))</f>
        <v/>
      </c>
      <c r="B215" s="109">
        <f>IF(A215,B214+1,B214)</f>
        <v/>
      </c>
      <c r="C215" s="109" t="n">
        <v>37</v>
      </c>
      <c r="D215" s="109" t="inlineStr">
        <is>
          <t>DC S4</t>
        </is>
      </c>
      <c r="E215" s="109" t="inlineStr">
        <is>
          <t>US</t>
        </is>
      </c>
      <c r="F215" s="109" t="inlineStr">
        <is>
          <t>Satin</t>
        </is>
      </c>
      <c r="G215" s="109" t="inlineStr">
        <is>
          <t>VACVELT</t>
        </is>
      </c>
      <c r="H215" s="109" t="inlineStr">
        <is>
          <t>Beatable</t>
        </is>
      </c>
      <c r="I215" s="109" t="inlineStr">
        <is>
          <t>Satin Sheets</t>
        </is>
      </c>
      <c r="J215" s="109" t="n"/>
      <c r="K215" s="109" t="inlineStr">
        <is>
          <t>B0C9T1VY8J</t>
        </is>
      </c>
      <c r="L215" s="109" t="inlineStr">
        <is>
          <t>B0C1GJZB6F</t>
        </is>
      </c>
      <c r="M215" s="109" t="n">
        <v>35</v>
      </c>
      <c r="N215" s="109" t="n">
        <v>21.99</v>
      </c>
      <c r="O215" s="109" t="n"/>
      <c r="P215" s="109">
        <f>IF(AND(ISNUMBER(O215),ISNUMBER(N215),N(N215)&gt;0),O215/N215-1,"")</f>
        <v/>
      </c>
      <c r="Q215" s="109" t="n">
        <v>31.95</v>
      </c>
      <c r="R215" s="109">
        <f>IF(AND(ISNUMBER(N215),ISNUMBER(Q215),N(Q215)&gt;0),N215/Q215-1,"")</f>
        <v/>
      </c>
      <c r="S215" s="109" t="n">
        <v>57010</v>
      </c>
      <c r="T215" s="109" t="n">
        <v>35</v>
      </c>
      <c r="U215" s="109" t="n">
        <v>4.5</v>
      </c>
      <c r="V215" s="109" t="n">
        <v>1017</v>
      </c>
      <c r="W215" s="109" t="n">
        <v>23621</v>
      </c>
      <c r="X215" s="109" t="n">
        <v>0.9628617755387157</v>
      </c>
      <c r="Y215" s="109" t="n">
        <v>211</v>
      </c>
      <c r="Z215" s="109" t="n">
        <v>69</v>
      </c>
      <c r="AA215" s="109" t="n">
        <v>16</v>
      </c>
      <c r="AB215" s="109" t="n">
        <v>1</v>
      </c>
      <c r="AC215" s="109" t="inlineStr">
        <is>
          <t>US DC S4</t>
        </is>
      </c>
      <c r="AD215" s="109">
        <f>'US DC S4'!BC166</f>
        <v/>
      </c>
      <c r="AE215" s="109">
        <f>'US DC S4'!BF166</f>
        <v/>
      </c>
      <c r="AF215" s="109" t="n"/>
      <c r="AG215" s="109" t="n"/>
    </row>
    <row r="216">
      <c r="A216" s="109">
        <f>AND(OR(Dashboard!$C$4="All",Dashboard!$C$4=D216),OR(Dashboard!$C$5="All",Dashboard!$C$5=E216),OR(Dashboard!$C$6="All",Dashboard!$C$6=G216),OR(Dashboard!$C$7="All",Dashboard!$C$7=H216),OR(Dashboard!$C$8="All",Dashboard!$C$8=F216))</f>
        <v/>
      </c>
      <c r="B216" s="109">
        <f>IF(A216,B215+1,B215)</f>
        <v/>
      </c>
      <c r="C216" s="109" t="n">
        <v>37</v>
      </c>
      <c r="D216" s="109" t="inlineStr">
        <is>
          <t>DC S4</t>
        </is>
      </c>
      <c r="E216" s="109" t="inlineStr">
        <is>
          <t>US</t>
        </is>
      </c>
      <c r="F216" s="109" t="inlineStr">
        <is>
          <t>Satin</t>
        </is>
      </c>
      <c r="G216" s="109" t="inlineStr">
        <is>
          <t>Homiest</t>
        </is>
      </c>
      <c r="H216" s="109" t="inlineStr">
        <is>
          <t>Beatable</t>
        </is>
      </c>
      <c r="I216" s="109" t="inlineStr">
        <is>
          <t>Satin Sheets</t>
        </is>
      </c>
      <c r="J216" s="109" t="n"/>
      <c r="K216" s="109" t="inlineStr">
        <is>
          <t>B0DYJKM99H</t>
        </is>
      </c>
      <c r="L216" s="109" t="inlineStr">
        <is>
          <t>B0DYJHHJQL</t>
        </is>
      </c>
      <c r="M216" s="109" t="n"/>
      <c r="N216" s="109" t="n">
        <v>27.99</v>
      </c>
      <c r="O216" s="109" t="n"/>
      <c r="P216" s="109">
        <f>IF(AND(ISNUMBER(O216),ISNUMBER(N216),N(N216)&gt;0),O216/N216-1,"")</f>
        <v/>
      </c>
      <c r="Q216" s="109" t="n">
        <v>31.95</v>
      </c>
      <c r="R216" s="109">
        <f>IF(AND(ISNUMBER(N216),ISNUMBER(Q216),N(Q216)&gt;0),N216/Q216-1,"")</f>
        <v/>
      </c>
      <c r="S216" s="109" t="n">
        <v>89437</v>
      </c>
      <c r="T216" s="109" t="n">
        <v>18</v>
      </c>
      <c r="U216" s="109" t="n">
        <v>4.5</v>
      </c>
      <c r="V216" s="109" t="n">
        <v>205</v>
      </c>
      <c r="W216" s="109" t="n"/>
      <c r="X216" s="109" t="n"/>
      <c r="Y216" s="109" t="n"/>
      <c r="Z216" s="109" t="n"/>
      <c r="AA216" s="109" t="n"/>
      <c r="AB216" s="109" t="n"/>
      <c r="AC216" s="109" t="inlineStr">
        <is>
          <t>US DC S4</t>
        </is>
      </c>
      <c r="AD216" s="109">
        <f>'US DC S4'!BC167</f>
        <v/>
      </c>
      <c r="AE216" s="109">
        <f>'US DC S4'!BF167</f>
        <v/>
      </c>
      <c r="AF216" s="109" t="n"/>
      <c r="AG216" s="109" t="n"/>
    </row>
    <row r="217">
      <c r="A217" s="109">
        <f>AND(OR(Dashboard!$C$4="All",Dashboard!$C$4=D217),OR(Dashboard!$C$5="All",Dashboard!$C$5=E217),OR(Dashboard!$C$6="All",Dashboard!$C$6=G217),OR(Dashboard!$C$7="All",Dashboard!$C$7=H217),OR(Dashboard!$C$8="All",Dashboard!$C$8=F217))</f>
        <v/>
      </c>
      <c r="B217" s="109">
        <f>IF(A217,B216+1,B216)</f>
        <v/>
      </c>
      <c r="C217" s="109" t="n">
        <v>37</v>
      </c>
      <c r="D217" s="109" t="inlineStr">
        <is>
          <t>DC S4</t>
        </is>
      </c>
      <c r="E217" s="109" t="inlineStr">
        <is>
          <t>US</t>
        </is>
      </c>
      <c r="F217" s="109" t="inlineStr">
        <is>
          <t>Satin</t>
        </is>
      </c>
      <c r="G217" s="109" t="inlineStr">
        <is>
          <t>LIFCOM</t>
        </is>
      </c>
      <c r="H217" s="109" t="inlineStr">
        <is>
          <t>Beatable</t>
        </is>
      </c>
      <c r="I217" s="109" t="inlineStr">
        <is>
          <t>LIFCOM Satin Sheets Queen,4Pcs Bed Set with 15" Deep Pocket,Brown</t>
        </is>
      </c>
      <c r="J217" s="109" t="inlineStr">
        <is>
          <t>https://images-na.ssl-images-amazon.com/images/I/71eq-pAu2pL.jpg</t>
        </is>
      </c>
      <c r="K217" s="109" t="inlineStr">
        <is>
          <t>B0DBVYL693</t>
        </is>
      </c>
      <c r="L217" s="109" t="inlineStr">
        <is>
          <t>B0DCC78S4N</t>
        </is>
      </c>
      <c r="M217" s="109" t="n">
        <v>73</v>
      </c>
      <c r="N217" s="109" t="n">
        <v>23.99</v>
      </c>
      <c r="O217" s="109" t="n"/>
      <c r="P217" s="109">
        <f>IF(AND(ISNUMBER(O217),ISNUMBER(N217),N(N217)&gt;0),O217/N217-1,"")</f>
        <v/>
      </c>
      <c r="Q217" s="109" t="n">
        <v>31.95</v>
      </c>
      <c r="R217" s="109">
        <f>IF(AND(ISNUMBER(N217),ISNUMBER(Q217),N(Q217)&gt;0),N217/Q217-1,"")</f>
        <v/>
      </c>
      <c r="S217" s="109" t="n">
        <v>96002</v>
      </c>
      <c r="T217" s="109" t="n">
        <v>18</v>
      </c>
      <c r="U217" s="109" t="n">
        <v>4.2</v>
      </c>
      <c r="V217" s="109" t="n">
        <v>361</v>
      </c>
      <c r="W217" s="109" t="n">
        <v>23278</v>
      </c>
      <c r="X217" s="109" t="n">
        <v>0.4926462797491192</v>
      </c>
      <c r="Y217" s="109" t="n">
        <v>235</v>
      </c>
      <c r="Z217" s="109" t="n">
        <v>50</v>
      </c>
      <c r="AA217" s="109" t="n">
        <v>45</v>
      </c>
      <c r="AB217" s="109" t="n">
        <v>0.5539772727272727</v>
      </c>
      <c r="AC217" s="109" t="inlineStr">
        <is>
          <t>US DC S4</t>
        </is>
      </c>
      <c r="AD217" s="109">
        <f>'US DC S4'!BC168</f>
        <v/>
      </c>
      <c r="AE217" s="109">
        <f>'US DC S4'!BF168</f>
        <v/>
      </c>
      <c r="AF217" s="109" t="inlineStr">
        <is>
          <t>Queen</t>
        </is>
      </c>
      <c r="AG217" s="109" t="inlineStr">
        <is>
          <t>Brown</t>
        </is>
      </c>
    </row>
    <row r="218">
      <c r="A218" s="109">
        <f>AND(OR(Dashboard!$C$4="All",Dashboard!$C$4=D218),OR(Dashboard!$C$5="All",Dashboard!$C$5=E218),OR(Dashboard!$C$6="All",Dashboard!$C$6=G218),OR(Dashboard!$C$7="All",Dashboard!$C$7=H218),OR(Dashboard!$C$8="All",Dashboard!$C$8=F218))</f>
        <v/>
      </c>
      <c r="B218" s="109">
        <f>IF(A218,B217+1,B217)</f>
        <v/>
      </c>
      <c r="C218" s="109" t="n">
        <v>37</v>
      </c>
      <c r="D218" s="109" t="inlineStr">
        <is>
          <t>DC S4</t>
        </is>
      </c>
      <c r="E218" s="109" t="inlineStr">
        <is>
          <t>US</t>
        </is>
      </c>
      <c r="F218" s="109" t="inlineStr">
        <is>
          <t>Satin</t>
        </is>
      </c>
      <c r="G218" s="109" t="inlineStr">
        <is>
          <t>Homiest</t>
        </is>
      </c>
      <c r="H218" s="109" t="inlineStr">
        <is>
          <t>Beatable</t>
        </is>
      </c>
      <c r="I218" s="109" t="inlineStr">
        <is>
          <t>Satin Sheets</t>
        </is>
      </c>
      <c r="J218" s="109" t="inlineStr">
        <is>
          <t>https://images-na.ssl-images-amazon.com/images/I/71Upo7a638S.jpg</t>
        </is>
      </c>
      <c r="K218" s="109" t="inlineStr">
        <is>
          <t>B07XBR22W1</t>
        </is>
      </c>
      <c r="L218" s="109" t="inlineStr">
        <is>
          <t>B0B5Z2B9NN</t>
        </is>
      </c>
      <c r="M218" s="109" t="n">
        <v>70</v>
      </c>
      <c r="N218" s="109" t="n">
        <v>21.99</v>
      </c>
      <c r="O218" s="109" t="n">
        <v>25.99</v>
      </c>
      <c r="P218" s="109">
        <f>IF(AND(ISNUMBER(O218),ISNUMBER(N218),N(N218)&gt;0),O218/N218-1,"")</f>
        <v/>
      </c>
      <c r="Q218" s="109" t="n">
        <v>31.95</v>
      </c>
      <c r="R218" s="109">
        <f>IF(AND(ISNUMBER(N218),ISNUMBER(Q218),N(Q218)&gt;0),N218/Q218-1,"")</f>
        <v/>
      </c>
      <c r="S218" s="109" t="n">
        <v>28165</v>
      </c>
      <c r="T218" s="109" t="n">
        <v>5</v>
      </c>
      <c r="U218" s="109" t="n">
        <v>4.4</v>
      </c>
      <c r="V218" s="109" t="n">
        <v>12125</v>
      </c>
      <c r="W218" s="109" t="n">
        <v>20002</v>
      </c>
      <c r="X218" s="109" t="n">
        <v>1</v>
      </c>
      <c r="Y218" s="109" t="n">
        <v>225</v>
      </c>
      <c r="Z218" s="109" t="n">
        <v>76</v>
      </c>
      <c r="AA218" s="109" t="n">
        <v>0</v>
      </c>
      <c r="AB218" s="109" t="n"/>
      <c r="AC218" s="109" t="inlineStr">
        <is>
          <t>US DC S4</t>
        </is>
      </c>
      <c r="AD218" s="109">
        <f>'US DC S4'!BC169</f>
        <v/>
      </c>
      <c r="AE218" s="109">
        <f>'US DC S4'!BF169</f>
        <v/>
      </c>
      <c r="AF218" s="109" t="n"/>
      <c r="AG218" s="109" t="n"/>
    </row>
    <row r="219">
      <c r="A219" s="109">
        <f>AND(OR(Dashboard!$C$4="All",Dashboard!$C$4=D219),OR(Dashboard!$C$5="All",Dashboard!$C$5=E219),OR(Dashboard!$C$6="All",Dashboard!$C$6=G219),OR(Dashboard!$C$7="All",Dashboard!$C$7=H219),OR(Dashboard!$C$8="All",Dashboard!$C$8=F219))</f>
        <v/>
      </c>
      <c r="B219" s="109">
        <f>IF(A219,B218+1,B218)</f>
        <v/>
      </c>
      <c r="C219" s="109" t="n">
        <v>37</v>
      </c>
      <c r="D219" s="109" t="inlineStr">
        <is>
          <t>DC S4</t>
        </is>
      </c>
      <c r="E219" s="109" t="inlineStr">
        <is>
          <t>US</t>
        </is>
      </c>
      <c r="F219" s="109" t="inlineStr">
        <is>
          <t>Satin</t>
        </is>
      </c>
      <c r="G219" s="109" t="inlineStr">
        <is>
          <t>Manyshofu</t>
        </is>
      </c>
      <c r="H219" s="109" t="inlineStr">
        <is>
          <t>Beatable</t>
        </is>
      </c>
      <c r="I219" s="109" t="inlineStr">
        <is>
          <t>Satin Sheets</t>
        </is>
      </c>
      <c r="J219" s="109" t="n"/>
      <c r="K219" s="109" t="inlineStr">
        <is>
          <t>B09YQW7HBK</t>
        </is>
      </c>
      <c r="L219" s="109" t="inlineStr">
        <is>
          <t>B09S5RNLN9</t>
        </is>
      </c>
      <c r="M219" s="109" t="n"/>
      <c r="N219" s="109" t="n">
        <v>28.99</v>
      </c>
      <c r="O219" s="109" t="n"/>
      <c r="P219" s="109">
        <f>IF(AND(ISNUMBER(O219),ISNUMBER(N219),N(N219)&gt;0),O219/N219-1,"")</f>
        <v/>
      </c>
      <c r="Q219" s="109" t="n">
        <v>31.95</v>
      </c>
      <c r="R219" s="109">
        <f>IF(AND(ISNUMBER(N219),ISNUMBER(Q219),N(Q219)&gt;0),N219/Q219-1,"")</f>
        <v/>
      </c>
      <c r="S219" s="109" t="n">
        <v>300374</v>
      </c>
      <c r="T219" s="109" t="n">
        <v>5</v>
      </c>
      <c r="U219" s="109" t="n">
        <v>4.3</v>
      </c>
      <c r="V219" s="109" t="n">
        <v>907</v>
      </c>
      <c r="W219" s="109" t="n"/>
      <c r="X219" s="109" t="n"/>
      <c r="Y219" s="109" t="n"/>
      <c r="Z219" s="109" t="n"/>
      <c r="AA219" s="109" t="n"/>
      <c r="AB219" s="109" t="n"/>
      <c r="AC219" s="109" t="inlineStr">
        <is>
          <t>US DC S4</t>
        </is>
      </c>
      <c r="AD219" s="109">
        <f>'US DC S4'!BC170</f>
        <v/>
      </c>
      <c r="AE219" s="109">
        <f>'US DC S4'!BF170</f>
        <v/>
      </c>
      <c r="AF219" s="109" t="n"/>
      <c r="AG219" s="109" t="n"/>
    </row>
    <row r="220">
      <c r="A220" s="109">
        <f>AND(OR(Dashboard!$C$4="All",Dashboard!$C$4=D220),OR(Dashboard!$C$5="All",Dashboard!$C$5=E220),OR(Dashboard!$C$6="All",Dashboard!$C$6=G220),OR(Dashboard!$C$7="All",Dashboard!$C$7=H220),OR(Dashboard!$C$8="All",Dashboard!$C$8=F220))</f>
        <v/>
      </c>
      <c r="B220" s="109">
        <f>IF(A220,B219+1,B219)</f>
        <v/>
      </c>
      <c r="C220" s="109" t="n">
        <v>37</v>
      </c>
      <c r="D220" s="109" t="inlineStr">
        <is>
          <t>DC S4</t>
        </is>
      </c>
      <c r="E220" s="109" t="inlineStr">
        <is>
          <t>US</t>
        </is>
      </c>
      <c r="F220" s="109" t="inlineStr">
        <is>
          <t>Satin</t>
        </is>
      </c>
      <c r="G220" s="109" t="inlineStr">
        <is>
          <t>Martex</t>
        </is>
      </c>
      <c r="H220" s="109" t="inlineStr">
        <is>
          <t>Beatable</t>
        </is>
      </c>
      <c r="I220" s="109" t="inlineStr">
        <is>
          <t>Satin Sheets</t>
        </is>
      </c>
      <c r="J220" s="109" t="n"/>
      <c r="K220" s="109" t="inlineStr">
        <is>
          <t>B0DLGX8P9D</t>
        </is>
      </c>
      <c r="L220" s="109" t="inlineStr">
        <is>
          <t>B07X49LFDC</t>
        </is>
      </c>
      <c r="M220" s="109" t="n"/>
      <c r="N220" s="109" t="n">
        <v>25.99</v>
      </c>
      <c r="O220" s="109" t="n"/>
      <c r="P220" s="109">
        <f>IF(AND(ISNUMBER(O220),ISNUMBER(N220),N(N220)&gt;0),O220/N220-1,"")</f>
        <v/>
      </c>
      <c r="Q220" s="109" t="n">
        <v>31.95</v>
      </c>
      <c r="R220" s="109">
        <f>IF(AND(ISNUMBER(N220),ISNUMBER(Q220),N(Q220)&gt;0),N220/Q220-1,"")</f>
        <v/>
      </c>
      <c r="S220" s="109" t="n">
        <v>52458</v>
      </c>
      <c r="T220" s="109" t="n">
        <v>5</v>
      </c>
      <c r="U220" s="109" t="n">
        <v>4.3</v>
      </c>
      <c r="V220" s="109" t="n">
        <v>2260</v>
      </c>
      <c r="W220" s="109" t="n"/>
      <c r="X220" s="109" t="n"/>
      <c r="Y220" s="109" t="n"/>
      <c r="Z220" s="109" t="n"/>
      <c r="AA220" s="109" t="n"/>
      <c r="AB220" s="109" t="n"/>
      <c r="AC220" s="109" t="inlineStr">
        <is>
          <t>US DC S4</t>
        </is>
      </c>
      <c r="AD220" s="109">
        <f>'US DC S4'!BC171</f>
        <v/>
      </c>
      <c r="AE220" s="109">
        <f>'US DC S4'!BF171</f>
        <v/>
      </c>
      <c r="AF220" s="109" t="n"/>
      <c r="AG220" s="109" t="n"/>
    </row>
    <row r="221">
      <c r="A221" s="109">
        <f>AND(OR(Dashboard!$C$4="All",Dashboard!$C$4=D221),OR(Dashboard!$C$5="All",Dashboard!$C$5=E221),OR(Dashboard!$C$6="All",Dashboard!$C$6=G221),OR(Dashboard!$C$7="All",Dashboard!$C$7=H221),OR(Dashboard!$C$8="All",Dashboard!$C$8=F221))</f>
        <v/>
      </c>
      <c r="B221" s="109">
        <f>IF(A221,B220+1,B220)</f>
        <v/>
      </c>
      <c r="C221" s="109" t="n">
        <v>37</v>
      </c>
      <c r="D221" s="109" t="inlineStr">
        <is>
          <t>DC S4</t>
        </is>
      </c>
      <c r="E221" s="109" t="inlineStr">
        <is>
          <t>US</t>
        </is>
      </c>
      <c r="F221" s="109" t="inlineStr">
        <is>
          <t>Satin</t>
        </is>
      </c>
      <c r="G221" s="109" t="inlineStr">
        <is>
          <t>P Pothuiny</t>
        </is>
      </c>
      <c r="H221" s="109" t="inlineStr">
        <is>
          <t>Poor</t>
        </is>
      </c>
      <c r="I221" s="109" t="inlineStr">
        <is>
          <t>P Pothuiny 6-Piece Queen Satin Sheet Set Burgundy Silky Sheets</t>
        </is>
      </c>
      <c r="J221" s="109" t="inlineStr">
        <is>
          <t>https://images-na.ssl-images-amazon.com/images/I/71TbH0l5XfL.jpg</t>
        </is>
      </c>
      <c r="K221" s="109" t="inlineStr">
        <is>
          <t>B096P2MYZQ</t>
        </is>
      </c>
      <c r="L221" s="109" t="inlineStr">
        <is>
          <t>B08QMF6D5W</t>
        </is>
      </c>
      <c r="M221" s="109" t="n">
        <v>47</v>
      </c>
      <c r="N221" s="109" t="n">
        <v>26.99</v>
      </c>
      <c r="O221" s="109" t="n"/>
      <c r="P221" s="109">
        <f>IF(AND(ISNUMBER(O221),ISNUMBER(N221),N(N221)&gt;0),O221/N221-1,"")</f>
        <v/>
      </c>
      <c r="Q221" s="109" t="n">
        <v>31.95</v>
      </c>
      <c r="R221" s="109">
        <f>IF(AND(ISNUMBER(N221),ISNUMBER(Q221),N(Q221)&gt;0),N221/Q221-1,"")</f>
        <v/>
      </c>
      <c r="S221" s="109" t="n">
        <v>20031</v>
      </c>
      <c r="T221" s="109" t="n">
        <v>104</v>
      </c>
      <c r="U221" s="109" t="n">
        <v>4.4</v>
      </c>
      <c r="V221" s="109" t="n">
        <v>4031</v>
      </c>
      <c r="W221" s="109" t="n">
        <v>66544</v>
      </c>
      <c r="X221" s="109" t="n">
        <v>0.9166959214955518</v>
      </c>
      <c r="Y221" s="109" t="n">
        <v>235</v>
      </c>
      <c r="Z221" s="109" t="n">
        <v>185</v>
      </c>
      <c r="AA221" s="109" t="n">
        <v>25</v>
      </c>
      <c r="AB221" s="109" t="n">
        <v>1.171497584541063</v>
      </c>
      <c r="AC221" s="109" t="inlineStr">
        <is>
          <t>US DC S4</t>
        </is>
      </c>
      <c r="AD221" s="109">
        <f>'US DC S4'!BC172</f>
        <v/>
      </c>
      <c r="AE221" s="109">
        <f>'US DC S4'!BF172</f>
        <v/>
      </c>
      <c r="AF221" s="109" t="inlineStr">
        <is>
          <t>Queen</t>
        </is>
      </c>
      <c r="AG221" s="109" t="inlineStr">
        <is>
          <t>Burgundy</t>
        </is>
      </c>
    </row>
    <row r="222">
      <c r="A222" s="109">
        <f>AND(OR(Dashboard!$C$4="All",Dashboard!$C$4=D222),OR(Dashboard!$C$5="All",Dashboard!$C$5=E222),OR(Dashboard!$C$6="All",Dashboard!$C$6=G222),OR(Dashboard!$C$7="All",Dashboard!$C$7=H222),OR(Dashboard!$C$8="All",Dashboard!$C$8=F222))</f>
        <v/>
      </c>
      <c r="B222" s="109">
        <f>IF(A222,B221+1,B221)</f>
        <v/>
      </c>
      <c r="C222" s="109" t="n">
        <v>37</v>
      </c>
      <c r="D222" s="109" t="inlineStr">
        <is>
          <t>DC S4</t>
        </is>
      </c>
      <c r="E222" s="109" t="inlineStr">
        <is>
          <t>US</t>
        </is>
      </c>
      <c r="F222" s="109" t="inlineStr">
        <is>
          <t>Satin</t>
        </is>
      </c>
      <c r="G222" s="109" t="inlineStr">
        <is>
          <t>Bedsure</t>
        </is>
      </c>
      <c r="H222" s="109" t="inlineStr">
        <is>
          <t>Poor</t>
        </is>
      </c>
      <c r="I222" s="109" t="inlineStr">
        <is>
          <t>Satin Sheets</t>
        </is>
      </c>
      <c r="J222" s="109" t="inlineStr">
        <is>
          <t>https://images-na.ssl-images-amazon.com/images/I/81zMSoUAMJL.jpg</t>
        </is>
      </c>
      <c r="K222" s="109" t="inlineStr">
        <is>
          <t>B0DCZYNBYS</t>
        </is>
      </c>
      <c r="L222" s="109" t="inlineStr">
        <is>
          <t>B0CJ8RYNTS</t>
        </is>
      </c>
      <c r="M222" s="109" t="n">
        <v>32</v>
      </c>
      <c r="N222" s="109" t="n">
        <v>19.99</v>
      </c>
      <c r="O222" s="109" t="n"/>
      <c r="P222" s="109">
        <f>IF(AND(ISNUMBER(O222),ISNUMBER(N222),N(N222)&gt;0),O222/N222-1,"")</f>
        <v/>
      </c>
      <c r="Q222" s="109" t="n">
        <v>31.95</v>
      </c>
      <c r="R222" s="109">
        <f>IF(AND(ISNUMBER(N222),ISNUMBER(Q222),N(Q222)&gt;0),N222/Q222-1,"")</f>
        <v/>
      </c>
      <c r="S222" s="109" t="n">
        <v>22342</v>
      </c>
      <c r="T222" s="109" t="n">
        <v>92</v>
      </c>
      <c r="U222" s="109" t="n">
        <v>4.3</v>
      </c>
      <c r="V222" s="109" t="n">
        <v>2745</v>
      </c>
      <c r="W222" s="109" t="n">
        <v>89691</v>
      </c>
      <c r="X222" s="109" t="n">
        <v>0.6850140036347012</v>
      </c>
      <c r="Y222" s="109" t="n">
        <v>263</v>
      </c>
      <c r="Z222" s="109" t="n">
        <v>213</v>
      </c>
      <c r="AA222" s="109" t="n">
        <v>140</v>
      </c>
      <c r="AB222" s="109" t="n">
        <v>1.528846153846154</v>
      </c>
      <c r="AC222" s="109" t="inlineStr">
        <is>
          <t>US DC S4</t>
        </is>
      </c>
      <c r="AD222" s="109">
        <f>'US DC S4'!BC173</f>
        <v/>
      </c>
      <c r="AE222" s="109">
        <f>'US DC S4'!BF173</f>
        <v/>
      </c>
      <c r="AF222" s="109" t="n"/>
      <c r="AG222" s="109" t="n"/>
    </row>
    <row r="223">
      <c r="A223" s="109">
        <f>AND(OR(Dashboard!$C$4="All",Dashboard!$C$4=D223),OR(Dashboard!$C$5="All",Dashboard!$C$5=E223),OR(Dashboard!$C$6="All",Dashboard!$C$6=G223),OR(Dashboard!$C$7="All",Dashboard!$C$7=H223),OR(Dashboard!$C$8="All",Dashboard!$C$8=F223))</f>
        <v/>
      </c>
      <c r="B223" s="109">
        <f>IF(A223,B222+1,B222)</f>
        <v/>
      </c>
      <c r="C223" s="109" t="n">
        <v>37</v>
      </c>
      <c r="D223" s="109" t="inlineStr">
        <is>
          <t>DC S4</t>
        </is>
      </c>
      <c r="E223" s="109" t="inlineStr">
        <is>
          <t>US</t>
        </is>
      </c>
      <c r="F223" s="109" t="inlineStr">
        <is>
          <t>Satin</t>
        </is>
      </c>
      <c r="G223" s="109" t="inlineStr">
        <is>
          <t>GOLAL</t>
        </is>
      </c>
      <c r="H223" s="109" t="inlineStr">
        <is>
          <t>Poor</t>
        </is>
      </c>
      <c r="I223" s="109" t="inlineStr">
        <is>
          <t>GOLAL Satin Sheets Full Size - 4 Pieces Luxury Silky Soft Bed Sheets, Wrinkle-Free Black Satin Silk Sheet Set with 1 Deep Pocket Fitted Sheet, 1 Flat Sheet, 2 Pillow Cases</t>
        </is>
      </c>
      <c r="J223" s="109" t="inlineStr">
        <is>
          <t>https://images-na.ssl-images-amazon.com/images/I/71r48b+Sh9L.jpg</t>
        </is>
      </c>
      <c r="K223" s="109" t="inlineStr">
        <is>
          <t>B0B1Q2JG5X</t>
        </is>
      </c>
      <c r="L223" s="109" t="inlineStr">
        <is>
          <t>B09G17SQXF</t>
        </is>
      </c>
      <c r="M223" s="109" t="n">
        <v>94</v>
      </c>
      <c r="N223" s="109" t="n">
        <v>21.99</v>
      </c>
      <c r="O223" s="109" t="n"/>
      <c r="P223" s="109">
        <f>IF(AND(ISNUMBER(O223),ISNUMBER(N223),N(N223)&gt;0),O223/N223-1,"")</f>
        <v/>
      </c>
      <c r="Q223" s="109" t="n">
        <v>29.95</v>
      </c>
      <c r="R223" s="109">
        <f>IF(AND(ISNUMBER(N223),ISNUMBER(Q223),N(Q223)&gt;0),N223/Q223-1,"")</f>
        <v/>
      </c>
      <c r="S223" s="109" t="n">
        <v>132024</v>
      </c>
      <c r="T223" s="109" t="n">
        <v>81</v>
      </c>
      <c r="U223" s="109" t="n">
        <v>4.4</v>
      </c>
      <c r="V223" s="109" t="n">
        <v>3943</v>
      </c>
      <c r="W223" s="109" t="n">
        <v>48561</v>
      </c>
      <c r="X223" s="109" t="n">
        <v>0.6641788183933609</v>
      </c>
      <c r="Y223" s="109" t="n">
        <v>236</v>
      </c>
      <c r="Z223" s="109" t="n">
        <v>121</v>
      </c>
      <c r="AA223" s="109" t="n">
        <v>21</v>
      </c>
      <c r="AB223" s="109" t="n">
        <v>0.8779220779220779</v>
      </c>
      <c r="AC223" s="109" t="inlineStr">
        <is>
          <t>US DC S4</t>
        </is>
      </c>
      <c r="AD223" s="109">
        <f>'US DC S4'!BC174</f>
        <v/>
      </c>
      <c r="AE223" s="109">
        <f>'US DC S4'!BF174</f>
        <v/>
      </c>
      <c r="AF223" s="109" t="inlineStr">
        <is>
          <t>Full</t>
        </is>
      </c>
      <c r="AG223" s="109" t="inlineStr">
        <is>
          <t>Black</t>
        </is>
      </c>
    </row>
    <row r="224">
      <c r="A224" s="109">
        <f>AND(OR(Dashboard!$C$4="All",Dashboard!$C$4=D224),OR(Dashboard!$C$5="All",Dashboard!$C$5=E224),OR(Dashboard!$C$6="All",Dashboard!$C$6=G224),OR(Dashboard!$C$7="All",Dashboard!$C$7=H224),OR(Dashboard!$C$8="All",Dashboard!$C$8=F224))</f>
        <v/>
      </c>
      <c r="B224" s="109">
        <f>IF(A224,B223+1,B223)</f>
        <v/>
      </c>
      <c r="C224" s="109" t="n">
        <v>37</v>
      </c>
      <c r="D224" s="109" t="inlineStr">
        <is>
          <t>DC S4</t>
        </is>
      </c>
      <c r="E224" s="109" t="inlineStr">
        <is>
          <t>US</t>
        </is>
      </c>
      <c r="F224" s="109" t="inlineStr">
        <is>
          <t>Satin</t>
        </is>
      </c>
      <c r="G224" s="109" t="inlineStr">
        <is>
          <t>Vonty</t>
        </is>
      </c>
      <c r="H224" s="109" t="inlineStr">
        <is>
          <t>Poor</t>
        </is>
      </c>
      <c r="I224" s="109" t="inlineStr">
        <is>
          <t>Satin Sheets</t>
        </is>
      </c>
      <c r="J224" s="109" t="n"/>
      <c r="K224" s="109" t="inlineStr">
        <is>
          <t>B0BDDJM9RW</t>
        </is>
      </c>
      <c r="L224" s="109" t="inlineStr">
        <is>
          <t>B0BDDGJ38X</t>
        </is>
      </c>
      <c r="M224" s="109" t="n">
        <v>22</v>
      </c>
      <c r="N224" s="109" t="n">
        <v>30.99</v>
      </c>
      <c r="O224" s="109" t="n"/>
      <c r="P224" s="109">
        <f>IF(AND(ISNUMBER(O224),ISNUMBER(N224),N(N224)&gt;0),O224/N224-1,"")</f>
        <v/>
      </c>
      <c r="Q224" s="109" t="n">
        <v>31.95</v>
      </c>
      <c r="R224" s="109">
        <f>IF(AND(ISNUMBER(N224),ISNUMBER(Q224),N(Q224)&gt;0),N224/Q224-1,"")</f>
        <v/>
      </c>
      <c r="S224" s="109" t="n">
        <v>83620</v>
      </c>
      <c r="T224" s="109" t="n">
        <v>35</v>
      </c>
      <c r="U224" s="109" t="n">
        <v>4.2</v>
      </c>
      <c r="V224" s="109" t="n">
        <v>909</v>
      </c>
      <c r="W224" s="109" t="n">
        <v>11441</v>
      </c>
      <c r="X224" s="109" t="n">
        <v>0.9484301110042829</v>
      </c>
      <c r="Y224" s="109" t="n">
        <v>180</v>
      </c>
      <c r="Z224" s="109" t="n">
        <v>38</v>
      </c>
      <c r="AA224" s="109" t="n">
        <v>13</v>
      </c>
      <c r="AB224" s="109" t="n">
        <v>0.9861111111111112</v>
      </c>
      <c r="AC224" s="109" t="inlineStr">
        <is>
          <t>US DC S4</t>
        </is>
      </c>
      <c r="AD224" s="109">
        <f>'US DC S4'!BC175</f>
        <v/>
      </c>
      <c r="AE224" s="109">
        <f>'US DC S4'!BF175</f>
        <v/>
      </c>
      <c r="AF224" s="109" t="n"/>
      <c r="AG224" s="109" t="n"/>
    </row>
    <row r="225">
      <c r="A225" s="109">
        <f>AND(OR(Dashboard!$C$4="All",Dashboard!$C$4=D225),OR(Dashboard!$C$5="All",Dashboard!$C$5=E225),OR(Dashboard!$C$6="All",Dashboard!$C$6=G225),OR(Dashboard!$C$7="All",Dashboard!$C$7=H225),OR(Dashboard!$C$8="All",Dashboard!$C$8=F225))</f>
        <v/>
      </c>
      <c r="B225" s="109">
        <f>IF(A225,B224+1,B224)</f>
        <v/>
      </c>
      <c r="C225" s="109" t="n">
        <v>37</v>
      </c>
      <c r="D225" s="109" t="inlineStr">
        <is>
          <t>DC S4</t>
        </is>
      </c>
      <c r="E225" s="109" t="inlineStr">
        <is>
          <t>US</t>
        </is>
      </c>
      <c r="F225" s="109" t="inlineStr">
        <is>
          <t>Satin</t>
        </is>
      </c>
      <c r="G225" s="109" t="inlineStr">
        <is>
          <t>HommxJF</t>
        </is>
      </c>
      <c r="H225" s="109" t="inlineStr">
        <is>
          <t>Poor</t>
        </is>
      </c>
      <c r="I225" s="109" t="inlineStr">
        <is>
          <t>Satin Sheets</t>
        </is>
      </c>
      <c r="J225" s="109" t="n"/>
      <c r="K225" s="109" t="inlineStr">
        <is>
          <t>B0BJZT93SL</t>
        </is>
      </c>
      <c r="L225" s="109" t="inlineStr">
        <is>
          <t>B09V52BVJB</t>
        </is>
      </c>
      <c r="M225" s="109" t="n">
        <v>32</v>
      </c>
      <c r="N225" s="109" t="n">
        <v>24.99</v>
      </c>
      <c r="O225" s="109" t="n"/>
      <c r="P225" s="109">
        <f>IF(AND(ISNUMBER(O225),ISNUMBER(N225),N(N225)&gt;0),O225/N225-1,"")</f>
        <v/>
      </c>
      <c r="Q225" s="109" t="n">
        <v>31.95</v>
      </c>
      <c r="R225" s="109">
        <f>IF(AND(ISNUMBER(N225),ISNUMBER(Q225),N(Q225)&gt;0),N225/Q225-1,"")</f>
        <v/>
      </c>
      <c r="S225" s="109" t="n">
        <v>180867</v>
      </c>
      <c r="T225" s="109" t="n">
        <v>18</v>
      </c>
      <c r="U225" s="109" t="n">
        <v>4.3</v>
      </c>
      <c r="V225" s="109" t="n">
        <v>1032</v>
      </c>
      <c r="W225" s="109" t="n">
        <v>16567</v>
      </c>
      <c r="X225" s="109" t="n">
        <v>0.8554338745699279</v>
      </c>
      <c r="Y225" s="109" t="n">
        <v>189</v>
      </c>
      <c r="Z225" s="109" t="n">
        <v>41</v>
      </c>
      <c r="AA225" s="109" t="n">
        <v>46</v>
      </c>
      <c r="AB225" s="109" t="n">
        <v>1.017857142857143</v>
      </c>
      <c r="AC225" s="109" t="inlineStr">
        <is>
          <t>US DC S4</t>
        </is>
      </c>
      <c r="AD225" s="109">
        <f>'US DC S4'!BC176</f>
        <v/>
      </c>
      <c r="AE225" s="109">
        <f>'US DC S4'!BF176</f>
        <v/>
      </c>
      <c r="AF225" s="109" t="n"/>
      <c r="AG225" s="109" t="n"/>
    </row>
    <row r="226">
      <c r="A226" s="109">
        <f>AND(OR(Dashboard!$C$4="All",Dashboard!$C$4=D226),OR(Dashboard!$C$5="All",Dashboard!$C$5=E226),OR(Dashboard!$C$6="All",Dashboard!$C$6=G226),OR(Dashboard!$C$7="All",Dashboard!$C$7=H226),OR(Dashboard!$C$8="All",Dashboard!$C$8=F226))</f>
        <v/>
      </c>
      <c r="B226" s="109">
        <f>IF(A226,B225+1,B225)</f>
        <v/>
      </c>
      <c r="C226" s="109" t="n">
        <v>37</v>
      </c>
      <c r="D226" s="109" t="inlineStr">
        <is>
          <t>DC S4</t>
        </is>
      </c>
      <c r="E226" s="109" t="inlineStr">
        <is>
          <t>US</t>
        </is>
      </c>
      <c r="F226" s="109" t="inlineStr">
        <is>
          <t>Satin</t>
        </is>
      </c>
      <c r="G226" s="109" t="inlineStr">
        <is>
          <t>Madison Park</t>
        </is>
      </c>
      <c r="H226" s="109" t="inlineStr">
        <is>
          <t>Poor</t>
        </is>
      </c>
      <c r="I226" s="109" t="inlineStr">
        <is>
          <t>Satin Sheets</t>
        </is>
      </c>
      <c r="J226" s="109" t="inlineStr">
        <is>
          <t>https://images-na.ssl-images-amazon.com/images/I/81HS7e6wrTL.jpg</t>
        </is>
      </c>
      <c r="K226" s="109" t="inlineStr">
        <is>
          <t>B0DJ2HJ9M4</t>
        </is>
      </c>
      <c r="L226" s="109" t="inlineStr">
        <is>
          <t>B09HVCPNLX</t>
        </is>
      </c>
      <c r="M226" s="109" t="n">
        <v>44</v>
      </c>
      <c r="N226" s="109" t="n">
        <v>26.99</v>
      </c>
      <c r="O226" s="109" t="n"/>
      <c r="P226" s="109">
        <f>IF(AND(ISNUMBER(O226),ISNUMBER(N226),N(N226)&gt;0),O226/N226-1,"")</f>
        <v/>
      </c>
      <c r="Q226" s="109" t="n">
        <v>31.95</v>
      </c>
      <c r="R226" s="109">
        <f>IF(AND(ISNUMBER(N226),ISNUMBER(Q226),N(Q226)&gt;0),N226/Q226-1,"")</f>
        <v/>
      </c>
      <c r="S226" s="109" t="n">
        <v>76753</v>
      </c>
      <c r="T226" s="109" t="n">
        <v>18</v>
      </c>
      <c r="U226" s="109" t="n">
        <v>4.5</v>
      </c>
      <c r="V226" s="109" t="n">
        <v>127</v>
      </c>
      <c r="W226" s="109" t="n">
        <v>35631</v>
      </c>
      <c r="X226" s="109" t="n">
        <v>0.9497345738261626</v>
      </c>
      <c r="Y226" s="109" t="n">
        <v>188</v>
      </c>
      <c r="Z226" s="109" t="n">
        <v>84</v>
      </c>
      <c r="AA226" s="109" t="n">
        <v>13</v>
      </c>
      <c r="AB226" s="109" t="n">
        <v>0.6901408450704226</v>
      </c>
      <c r="AC226" s="109" t="inlineStr">
        <is>
          <t>US DC S4</t>
        </is>
      </c>
      <c r="AD226" s="109">
        <f>'US DC S4'!BC177</f>
        <v/>
      </c>
      <c r="AE226" s="109">
        <f>'US DC S4'!BF177</f>
        <v/>
      </c>
      <c r="AF226" s="109" t="n"/>
      <c r="AG226" s="109" t="n"/>
    </row>
    <row r="227">
      <c r="A227" s="109">
        <f>AND(OR(Dashboard!$C$4="All",Dashboard!$C$4=D227),OR(Dashboard!$C$5="All",Dashboard!$C$5=E227),OR(Dashboard!$C$6="All",Dashboard!$C$6=G227),OR(Dashboard!$C$7="All",Dashboard!$C$7=H227),OR(Dashboard!$C$8="All",Dashboard!$C$8=F227))</f>
        <v/>
      </c>
      <c r="B227" s="109">
        <f>IF(A227,B226+1,B226)</f>
        <v/>
      </c>
      <c r="C227" s="109" t="n">
        <v>37</v>
      </c>
      <c r="D227" s="109" t="inlineStr">
        <is>
          <t>DC S4</t>
        </is>
      </c>
      <c r="E227" s="109" t="inlineStr">
        <is>
          <t>US</t>
        </is>
      </c>
      <c r="F227" s="109" t="inlineStr">
        <is>
          <t>Satin</t>
        </is>
      </c>
      <c r="G227" s="109" t="inlineStr">
        <is>
          <t>MK Home</t>
        </is>
      </c>
      <c r="H227" s="109" t="inlineStr">
        <is>
          <t>Poor</t>
        </is>
      </c>
      <c r="I227" s="109" t="inlineStr">
        <is>
          <t>Satin Sheets</t>
        </is>
      </c>
      <c r="J227" s="109" t="n"/>
      <c r="K227" s="109" t="inlineStr">
        <is>
          <t>B07H522QXD</t>
        </is>
      </c>
      <c r="L227" s="109" t="inlineStr">
        <is>
          <t>B07FGFRZ94</t>
        </is>
      </c>
      <c r="M227" s="109" t="n"/>
      <c r="N227" s="109" t="n">
        <v>18.99</v>
      </c>
      <c r="O227" s="109" t="n"/>
      <c r="P227" s="109">
        <f>IF(AND(ISNUMBER(O227),ISNUMBER(N227),N(N227)&gt;0),O227/N227-1,"")</f>
        <v/>
      </c>
      <c r="Q227" s="109" t="n">
        <v>31.95</v>
      </c>
      <c r="R227" s="109">
        <f>IF(AND(ISNUMBER(N227),ISNUMBER(Q227),N(Q227)&gt;0),N227/Q227-1,"")</f>
        <v/>
      </c>
      <c r="S227" s="109" t="n">
        <v>59039</v>
      </c>
      <c r="T227" s="109" t="n">
        <v>18</v>
      </c>
      <c r="U227" s="109" t="n">
        <v>4.3</v>
      </c>
      <c r="V227" s="109" t="n">
        <v>10761</v>
      </c>
      <c r="W227" s="109" t="n"/>
      <c r="X227" s="109" t="n"/>
      <c r="Y227" s="109" t="n"/>
      <c r="Z227" s="109" t="n"/>
      <c r="AA227" s="109" t="n"/>
      <c r="AB227" s="109" t="n"/>
      <c r="AC227" s="109" t="inlineStr">
        <is>
          <t>US DC S4</t>
        </is>
      </c>
      <c r="AD227" s="109">
        <f>'US DC S4'!BC178</f>
        <v/>
      </c>
      <c r="AE227" s="109">
        <f>'US DC S4'!BF178</f>
        <v/>
      </c>
      <c r="AF227" s="109" t="n"/>
      <c r="AG227" s="109" t="n"/>
    </row>
    <row r="228">
      <c r="A228" s="109">
        <f>AND(OR(Dashboard!$C$4="All",Dashboard!$C$4=D228),OR(Dashboard!$C$5="All",Dashboard!$C$5=E228),OR(Dashboard!$C$6="All",Dashboard!$C$6=G228),OR(Dashboard!$C$7="All",Dashboard!$C$7=H228),OR(Dashboard!$C$8="All",Dashboard!$C$8=F228))</f>
        <v/>
      </c>
      <c r="B228" s="109">
        <f>IF(A228,B227+1,B227)</f>
        <v/>
      </c>
      <c r="C228" s="109" t="n">
        <v>37</v>
      </c>
      <c r="D228" s="109" t="inlineStr">
        <is>
          <t>DC S4</t>
        </is>
      </c>
      <c r="E228" s="109" t="inlineStr">
        <is>
          <t>US</t>
        </is>
      </c>
      <c r="F228" s="109" t="inlineStr">
        <is>
          <t>Satin</t>
        </is>
      </c>
      <c r="G228" s="109" t="inlineStr"/>
      <c r="H228" s="109" t="inlineStr">
        <is>
          <t>Poor</t>
        </is>
      </c>
      <c r="I228" s="109" t="inlineStr">
        <is>
          <t>Juicy Couture Queen Size Satin Bed Sheet Set, Deep Pocket Silky Satin Queen Shee</t>
        </is>
      </c>
      <c r="J228" s="109" t="inlineStr">
        <is>
          <t>https://images-na.ssl-images-amazon.com/images/I/81M3kmoCTLL.jpg</t>
        </is>
      </c>
      <c r="K228" s="109" t="inlineStr">
        <is>
          <t>B0FB47M9WR</t>
        </is>
      </c>
      <c r="L228" s="109" t="inlineStr">
        <is>
          <t>B0BK1WH383</t>
        </is>
      </c>
      <c r="M228" s="109" t="n">
        <v>58</v>
      </c>
      <c r="N228" s="109" t="n">
        <v>5.93</v>
      </c>
      <c r="O228" s="109" t="n"/>
      <c r="P228" s="109">
        <f>IF(AND(ISNUMBER(O228),ISNUMBER(N228),N(N228)&gt;0),O228/N228-1,"")</f>
        <v/>
      </c>
      <c r="Q228" s="109" t="n">
        <v>31.95</v>
      </c>
      <c r="R228" s="109">
        <f>IF(AND(ISNUMBER(N228),ISNUMBER(Q228),N(Q228)&gt;0),N228/Q228-1,"")</f>
        <v/>
      </c>
      <c r="S228" s="109" t="n">
        <v>80060</v>
      </c>
      <c r="T228" s="109" t="n">
        <v>5</v>
      </c>
      <c r="U228" s="109" t="n">
        <v>4.6</v>
      </c>
      <c r="V228" s="109" t="n">
        <v>46</v>
      </c>
      <c r="W228" s="109" t="n">
        <v>41904</v>
      </c>
      <c r="X228" s="109" t="n">
        <v>0.8273237471363115</v>
      </c>
      <c r="Y228" s="109" t="n">
        <v>225</v>
      </c>
      <c r="Z228" s="109" t="n">
        <v>113</v>
      </c>
      <c r="AA228" s="109" t="n">
        <v>124</v>
      </c>
      <c r="AB228" s="109" t="n"/>
      <c r="AC228" s="109" t="inlineStr">
        <is>
          <t>US DC S4</t>
        </is>
      </c>
      <c r="AD228" s="109">
        <f>'US DC S4'!BC179</f>
        <v/>
      </c>
      <c r="AE228" s="109">
        <f>'US DC S4'!BF179</f>
        <v/>
      </c>
      <c r="AF228" s="109" t="inlineStr">
        <is>
          <t>Queen</t>
        </is>
      </c>
      <c r="AG228" s="109" t="n"/>
    </row>
    <row r="229">
      <c r="A229" s="109">
        <f>AND(OR(Dashboard!$C$4="All",Dashboard!$C$4=D229),OR(Dashboard!$C$5="All",Dashboard!$C$5=E229),OR(Dashboard!$C$6="All",Dashboard!$C$6=G229),OR(Dashboard!$C$7="All",Dashboard!$C$7=H229),OR(Dashboard!$C$8="All",Dashboard!$C$8=F229))</f>
        <v/>
      </c>
      <c r="B229" s="109">
        <f>IF(A229,B228+1,B228)</f>
        <v/>
      </c>
      <c r="C229" s="109" t="n">
        <v>37</v>
      </c>
      <c r="D229" s="109" t="inlineStr">
        <is>
          <t>DC S4</t>
        </is>
      </c>
      <c r="E229" s="109" t="inlineStr">
        <is>
          <t>US</t>
        </is>
      </c>
      <c r="F229" s="109" t="inlineStr">
        <is>
          <t>Satin</t>
        </is>
      </c>
      <c r="G229" s="109" t="inlineStr">
        <is>
          <t>Sasttie</t>
        </is>
      </c>
      <c r="H229" s="109" t="inlineStr">
        <is>
          <t>Untiered</t>
        </is>
      </c>
      <c r="I229" s="109" t="inlineStr">
        <is>
          <t>Sasttie Satin Sheets Queen Size - 4 Pieces Luxury Soft Black Silky Bed Sheets Set with Pillowcases - Smooth Silk-Like Satin Fabric, Reinforced 14 Inches Pocket, Oeko-Tex Certified</t>
        </is>
      </c>
      <c r="J229" s="109" t="inlineStr">
        <is>
          <t>https://images-na.ssl-images-amazon.com/images/I/71MADUOjsFL.jpg</t>
        </is>
      </c>
      <c r="K229" s="109" t="inlineStr">
        <is>
          <t>B0F2H9HX69</t>
        </is>
      </c>
      <c r="L229" s="109" t="inlineStr">
        <is>
          <t>B0F2H8LPB3</t>
        </is>
      </c>
      <c r="M229" s="109" t="n">
        <v>47</v>
      </c>
      <c r="N229" s="109" t="n">
        <v>15.99</v>
      </c>
      <c r="O229" s="109" t="n"/>
      <c r="P229" s="109">
        <f>IF(AND(ISNUMBER(O229),ISNUMBER(N229),N(N229)&gt;0),O229/N229-1,"")</f>
        <v/>
      </c>
      <c r="Q229" s="109" t="n">
        <v>31.95</v>
      </c>
      <c r="R229" s="109">
        <f>IF(AND(ISNUMBER(N229),ISNUMBER(Q229),N(Q229)&gt;0),N229/Q229-1,"")</f>
        <v/>
      </c>
      <c r="S229" s="109" t="n">
        <v>58723</v>
      </c>
      <c r="T229" s="109" t="n">
        <v>35</v>
      </c>
      <c r="U229" s="109" t="n">
        <v>4.5</v>
      </c>
      <c r="V229" s="109" t="n">
        <v>968</v>
      </c>
      <c r="W229" s="109" t="n">
        <v>26952</v>
      </c>
      <c r="X229" s="109" t="n">
        <v>0.9879767104482041</v>
      </c>
      <c r="Y229" s="109" t="n">
        <v>242</v>
      </c>
      <c r="Z229" s="109" t="n">
        <v>78</v>
      </c>
      <c r="AA229" s="109" t="n">
        <v>12</v>
      </c>
      <c r="AB229" s="109" t="n">
        <v>1.063356164383562</v>
      </c>
      <c r="AC229" s="109" t="inlineStr">
        <is>
          <t>US DC S4</t>
        </is>
      </c>
      <c r="AD229" s="109">
        <f>'US DC S4'!BC180</f>
        <v/>
      </c>
      <c r="AE229" s="109">
        <f>'US DC S4'!BF180</f>
        <v/>
      </c>
      <c r="AF229" s="109" t="inlineStr">
        <is>
          <t>Queen</t>
        </is>
      </c>
      <c r="AG229" s="109" t="inlineStr">
        <is>
          <t>Black</t>
        </is>
      </c>
    </row>
    <row r="230">
      <c r="A230" s="109">
        <f>AND(OR(Dashboard!$C$4="All",Dashboard!$C$4=D230),OR(Dashboard!$C$5="All",Dashboard!$C$5=E230),OR(Dashboard!$C$6="All",Dashboard!$C$6=G230),OR(Dashboard!$C$7="All",Dashboard!$C$7=H230),OR(Dashboard!$C$8="All",Dashboard!$C$8=F230))</f>
        <v/>
      </c>
      <c r="B230" s="109">
        <f>IF(A230,B229+1,B229)</f>
        <v/>
      </c>
      <c r="C230" s="109" t="n">
        <v>37</v>
      </c>
      <c r="D230" s="109" t="inlineStr">
        <is>
          <t>DC S4</t>
        </is>
      </c>
      <c r="E230" s="109" t="inlineStr">
        <is>
          <t>US</t>
        </is>
      </c>
      <c r="F230" s="109" t="inlineStr">
        <is>
          <t>Satin</t>
        </is>
      </c>
      <c r="G230" s="109" t="inlineStr">
        <is>
          <t>Candoury</t>
        </is>
      </c>
      <c r="H230" s="109" t="inlineStr">
        <is>
          <t>Untiered</t>
        </is>
      </c>
      <c r="I230" s="109" t="inlineStr">
        <is>
          <t>Satin Sheets</t>
        </is>
      </c>
      <c r="J230" s="109" t="n"/>
      <c r="K230" s="109" t="inlineStr">
        <is>
          <t>B08RHZ9TMQ</t>
        </is>
      </c>
      <c r="L230" s="109" t="inlineStr">
        <is>
          <t>B08JKWGXZ9</t>
        </is>
      </c>
      <c r="M230" s="109" t="n"/>
      <c r="N230" s="109" t="n">
        <v>15.99</v>
      </c>
      <c r="O230" s="109" t="n"/>
      <c r="P230" s="109">
        <f>IF(AND(ISNUMBER(O230),ISNUMBER(N230),N(N230)&gt;0),O230/N230-1,"")</f>
        <v/>
      </c>
      <c r="Q230" s="109" t="n">
        <v>31.95</v>
      </c>
      <c r="R230" s="109">
        <f>IF(AND(ISNUMBER(N230),ISNUMBER(Q230),N(Q230)&gt;0),N230/Q230-1,"")</f>
        <v/>
      </c>
      <c r="S230" s="109" t="n">
        <v>420044</v>
      </c>
      <c r="T230" s="109" t="n">
        <v>5</v>
      </c>
      <c r="U230" s="109" t="n">
        <v>4.3</v>
      </c>
      <c r="V230" s="109" t="n">
        <v>5277</v>
      </c>
      <c r="W230" s="109" t="n"/>
      <c r="X230" s="109" t="n"/>
      <c r="Y230" s="109" t="n"/>
      <c r="Z230" s="109" t="n"/>
      <c r="AA230" s="109" t="n"/>
      <c r="AB230" s="109" t="n"/>
      <c r="AC230" s="109" t="inlineStr">
        <is>
          <t>US DC S4</t>
        </is>
      </c>
      <c r="AD230" s="109">
        <f>'US DC S4'!BC181</f>
        <v/>
      </c>
      <c r="AE230" s="109">
        <f>'US DC S4'!BF181</f>
        <v/>
      </c>
      <c r="AF230" s="109" t="n"/>
      <c r="AG230" s="109" t="n"/>
    </row>
    <row r="231">
      <c r="A231" s="109">
        <f>AND(OR(Dashboard!$C$4="All",Dashboard!$C$4=D231),OR(Dashboard!$C$5="All",Dashboard!$C$5=E231),OR(Dashboard!$C$6="All",Dashboard!$C$6=G231),OR(Dashboard!$C$7="All",Dashboard!$C$7=H231),OR(Dashboard!$C$8="All",Dashboard!$C$8=F231))</f>
        <v/>
      </c>
      <c r="B231" s="109">
        <f>IF(A231,B230+1,B230)</f>
        <v/>
      </c>
      <c r="C231" s="109" t="n">
        <v>37</v>
      </c>
      <c r="D231" s="109" t="inlineStr">
        <is>
          <t>DC S4</t>
        </is>
      </c>
      <c r="E231" s="109" t="inlineStr">
        <is>
          <t>CA</t>
        </is>
      </c>
      <c r="F231" s="109" t="inlineStr">
        <is>
          <t>Satin</t>
        </is>
      </c>
      <c r="G231" s="109" t="inlineStr">
        <is>
          <t>Sasttie</t>
        </is>
      </c>
      <c r="H231" s="109" t="inlineStr">
        <is>
          <t>Untiered</t>
        </is>
      </c>
      <c r="I231" s="109" t="inlineStr">
        <is>
          <t>Sasttie Satin Sheets Queen - 4 Pieces Luxury Soft Black Silky Bed Sheets Set with Pillowcases - Smooth Silk-Like Drap Satin Fabric, Reinforced 14 Inches Pocket, Oeko-Tex Certified</t>
        </is>
      </c>
      <c r="J231" s="109" t="inlineStr">
        <is>
          <t>https://m.media-amazon.com/images/I/71MADUOjsFL.jpg</t>
        </is>
      </c>
      <c r="K231" s="109" t="inlineStr">
        <is>
          <t>B0F2HNJ52T</t>
        </is>
      </c>
      <c r="L231" s="109" t="inlineStr">
        <is>
          <t>B0F2H8LPB3</t>
        </is>
      </c>
      <c r="M231" s="109" t="n">
        <v>83</v>
      </c>
      <c r="N231" s="109" t="n">
        <v>31.99</v>
      </c>
      <c r="O231" s="109" t="n"/>
      <c r="P231" s="109">
        <f>IF(AND(ISNUMBER(O231),ISNUMBER(N231),N(N231)&gt;0),O231/N231-1,"")</f>
        <v/>
      </c>
      <c r="Q231" s="109" t="n">
        <v>46.82057894736842</v>
      </c>
      <c r="R231" s="109">
        <f>IF(AND(ISNUMBER(N231),ISNUMBER(Q231),N(Q231)&gt;0),N231/Q231-1,"")</f>
        <v/>
      </c>
      <c r="S231" s="109" t="n">
        <v>1428</v>
      </c>
      <c r="T231" s="109" t="n"/>
      <c r="U231" s="109" t="n">
        <v>4.2</v>
      </c>
      <c r="V231" s="109" t="n">
        <v>962</v>
      </c>
      <c r="W231" s="109" t="n"/>
      <c r="X231" s="109" t="n"/>
      <c r="Y231" s="109" t="n"/>
      <c r="Z231" s="109" t="n"/>
      <c r="AA231" s="109" t="n"/>
      <c r="AB231" s="109" t="n"/>
      <c r="AC231" s="109" t="inlineStr">
        <is>
          <t>CA DC S4</t>
        </is>
      </c>
      <c r="AD231" s="109">
        <f>'CA DC S4'!BC166</f>
        <v/>
      </c>
      <c r="AE231" s="109">
        <f>'CA DC S4'!BF166</f>
        <v/>
      </c>
      <c r="AF231" s="109" t="inlineStr">
        <is>
          <t>Queen</t>
        </is>
      </c>
      <c r="AG231" s="109" t="inlineStr">
        <is>
          <t>Black</t>
        </is>
      </c>
    </row>
    <row r="232">
      <c r="A232" s="109">
        <f>AND(OR(Dashboard!$C$4="All",Dashboard!$C$4=D232),OR(Dashboard!$C$5="All",Dashboard!$C$5=E232),OR(Dashboard!$C$6="All",Dashboard!$C$6=G232),OR(Dashboard!$C$7="All",Dashboard!$C$7=H232),OR(Dashboard!$C$8="All",Dashboard!$C$8=F232))</f>
        <v/>
      </c>
      <c r="B232" s="109">
        <f>IF(A232,B231+1,B231)</f>
        <v/>
      </c>
      <c r="C232" s="109" t="n">
        <v>37</v>
      </c>
      <c r="D232" s="109" t="inlineStr">
        <is>
          <t>DC S4</t>
        </is>
      </c>
      <c r="E232" s="109" t="inlineStr">
        <is>
          <t>CA</t>
        </is>
      </c>
      <c r="F232" s="109" t="inlineStr">
        <is>
          <t>Satin</t>
        </is>
      </c>
      <c r="G232" s="109" t="inlineStr">
        <is>
          <t>MR&amp;HM</t>
        </is>
      </c>
      <c r="H232" s="109" t="inlineStr">
        <is>
          <t>Untiered</t>
        </is>
      </c>
      <c r="I232" s="109" t="inlineStr">
        <is>
          <t>MR&amp;HM Satin Sheets Queen Size with Elastic Corner Straps, Black</t>
        </is>
      </c>
      <c r="J232" s="109" t="inlineStr">
        <is>
          <t>https://m.media-amazon.com/images/I/71zGuoeuSrL.jpg</t>
        </is>
      </c>
      <c r="K232" s="109" t="inlineStr">
        <is>
          <t>B08NPFTQWB</t>
        </is>
      </c>
      <c r="L232" s="109" t="inlineStr">
        <is>
          <t>B08HM6WT6X</t>
        </is>
      </c>
      <c r="M232" s="109" t="n">
        <v>182</v>
      </c>
      <c r="N232" s="109" t="n">
        <v>40.99</v>
      </c>
      <c r="O232" s="109" t="n"/>
      <c r="P232" s="109">
        <f>IF(AND(ISNUMBER(O232),ISNUMBER(N232),N(N232)&gt;0),O232/N232-1,"")</f>
        <v/>
      </c>
      <c r="Q232" s="109" t="n">
        <v>46.82057894736842</v>
      </c>
      <c r="R232" s="109">
        <f>IF(AND(ISNUMBER(N232),ISNUMBER(Q232),N(Q232)&gt;0),N232/Q232-1,"")</f>
        <v/>
      </c>
      <c r="S232" s="109" t="n">
        <v>1512</v>
      </c>
      <c r="T232" s="109" t="n"/>
      <c r="U232" s="109" t="n">
        <v>4.2</v>
      </c>
      <c r="V232" s="109" t="n">
        <v>17432</v>
      </c>
      <c r="W232" s="109" t="n"/>
      <c r="X232" s="109" t="n"/>
      <c r="Y232" s="109" t="n"/>
      <c r="Z232" s="109" t="n"/>
      <c r="AA232" s="109" t="n"/>
      <c r="AB232" s="109" t="n"/>
      <c r="AC232" s="109" t="inlineStr">
        <is>
          <t>CA DC S4</t>
        </is>
      </c>
      <c r="AD232" s="109">
        <f>'CA DC S4'!BC167</f>
        <v/>
      </c>
      <c r="AE232" s="109">
        <f>'CA DC S4'!BF167</f>
        <v/>
      </c>
      <c r="AF232" s="109" t="inlineStr">
        <is>
          <t>Queen</t>
        </is>
      </c>
      <c r="AG232" s="109" t="inlineStr">
        <is>
          <t>01- Black</t>
        </is>
      </c>
    </row>
    <row r="233">
      <c r="A233" s="109">
        <f>AND(OR(Dashboard!$C$4="All",Dashboard!$C$4=D233),OR(Dashboard!$C$5="All",Dashboard!$C$5=E233),OR(Dashboard!$C$6="All",Dashboard!$C$6=G233),OR(Dashboard!$C$7="All",Dashboard!$C$7=H233),OR(Dashboard!$C$8="All",Dashboard!$C$8=F233))</f>
        <v/>
      </c>
      <c r="B233" s="109">
        <f>IF(A233,B232+1,B232)</f>
        <v/>
      </c>
      <c r="C233" s="109" t="n">
        <v>37</v>
      </c>
      <c r="D233" s="109" t="inlineStr">
        <is>
          <t>DC S4</t>
        </is>
      </c>
      <c r="E233" s="109" t="inlineStr">
        <is>
          <t>CA</t>
        </is>
      </c>
      <c r="F233" s="109" t="inlineStr">
        <is>
          <t>Satin</t>
        </is>
      </c>
      <c r="G233" s="109" t="inlineStr">
        <is>
          <t>BEDELITE</t>
        </is>
      </c>
      <c r="H233" s="109" t="inlineStr">
        <is>
          <t>Untiered</t>
        </is>
      </c>
      <c r="I233" s="109" t="inlineStr">
        <is>
          <t>BEDELITE Satin Sheets Queen Size Bed Set, Black, 4 Pieces</t>
        </is>
      </c>
      <c r="J233" s="109" t="inlineStr">
        <is>
          <t>https://m.media-amazon.com/images/I/71zxqUjprTL.jpg</t>
        </is>
      </c>
      <c r="K233" s="109" t="inlineStr">
        <is>
          <t>B0GJC51929</t>
        </is>
      </c>
      <c r="L233" s="109" t="inlineStr">
        <is>
          <t>B0GJCBX6CJ</t>
        </is>
      </c>
      <c r="M233" s="109" t="n">
        <v>16</v>
      </c>
      <c r="N233" s="109" t="n">
        <v>31.99</v>
      </c>
      <c r="O233" s="109" t="n"/>
      <c r="P233" s="109">
        <f>IF(AND(ISNUMBER(O233),ISNUMBER(N233),N(N233)&gt;0),O233/N233-1,"")</f>
        <v/>
      </c>
      <c r="Q233" s="109" t="n">
        <v>46.82057894736842</v>
      </c>
      <c r="R233" s="109">
        <f>IF(AND(ISNUMBER(N233),ISNUMBER(Q233),N(Q233)&gt;0),N233/Q233-1,"")</f>
        <v/>
      </c>
      <c r="S233" s="109" t="n">
        <v>8328</v>
      </c>
      <c r="T233" s="109" t="n"/>
      <c r="U233" s="109" t="n">
        <v>4.1</v>
      </c>
      <c r="V233" s="109" t="n">
        <v>346</v>
      </c>
      <c r="W233" s="109" t="n"/>
      <c r="X233" s="109" t="n"/>
      <c r="Y233" s="109" t="n"/>
      <c r="Z233" s="109" t="n"/>
      <c r="AA233" s="109" t="n"/>
      <c r="AB233" s="109" t="n"/>
      <c r="AC233" s="109" t="inlineStr">
        <is>
          <t>CA DC S4</t>
        </is>
      </c>
      <c r="AD233" s="109">
        <f>'CA DC S4'!BC168</f>
        <v/>
      </c>
      <c r="AE233" s="109">
        <f>'CA DC S4'!BF168</f>
        <v/>
      </c>
      <c r="AF233" s="109" t="inlineStr">
        <is>
          <t>Queen</t>
        </is>
      </c>
      <c r="AG233" s="109" t="inlineStr">
        <is>
          <t>Black</t>
        </is>
      </c>
    </row>
    <row r="234">
      <c r="A234" s="109">
        <f>AND(OR(Dashboard!$C$4="All",Dashboard!$C$4=D234),OR(Dashboard!$C$5="All",Dashboard!$C$5=E234),OR(Dashboard!$C$6="All",Dashboard!$C$6=G234),OR(Dashboard!$C$7="All",Dashboard!$C$7=H234),OR(Dashboard!$C$8="All",Dashboard!$C$8=F234))</f>
        <v/>
      </c>
      <c r="B234" s="109">
        <f>IF(A234,B233+1,B233)</f>
        <v/>
      </c>
      <c r="C234" s="109" t="n">
        <v>37</v>
      </c>
      <c r="D234" s="109" t="inlineStr">
        <is>
          <t>DC S4</t>
        </is>
      </c>
      <c r="E234" s="109" t="inlineStr">
        <is>
          <t>CA</t>
        </is>
      </c>
      <c r="F234" s="109" t="inlineStr">
        <is>
          <t>Satin</t>
        </is>
      </c>
      <c r="G234" s="109" t="inlineStr">
        <is>
          <t>HENGWEITEXT</t>
        </is>
      </c>
      <c r="H234" s="109" t="inlineStr">
        <is>
          <t>Untiered</t>
        </is>
      </c>
      <c r="I234" s="109" t="inlineStr">
        <is>
          <t>HENGWEI Satin Sheet Set Queen Size, 4 Pieces Silky Bed Sheets with Deep Pocket, Luxury Soft Bedding Set Breathable and Cooling for Hair and Skin, 1 Flat Sheet, 1 Fitted Sheet, 2 Pillow Case</t>
        </is>
      </c>
      <c r="J234" s="109" t="inlineStr">
        <is>
          <t>https://m.media-amazon.com/images/I/71C0hMb9zSL.jpg</t>
        </is>
      </c>
      <c r="K234" s="109" t="inlineStr">
        <is>
          <t>B0B1DDMNRF</t>
        </is>
      </c>
      <c r="L234" s="109" t="inlineStr">
        <is>
          <t>B0BYC3HK7X</t>
        </is>
      </c>
      <c r="M234" s="109" t="n">
        <v>23</v>
      </c>
      <c r="N234" s="109" t="n">
        <v>31.99</v>
      </c>
      <c r="O234" s="109" t="n"/>
      <c r="P234" s="109">
        <f>IF(AND(ISNUMBER(O234),ISNUMBER(N234),N(N234)&gt;0),O234/N234-1,"")</f>
        <v/>
      </c>
      <c r="Q234" s="109" t="n">
        <v>46.82057894736842</v>
      </c>
      <c r="R234" s="109">
        <f>IF(AND(ISNUMBER(N234),ISNUMBER(Q234),N(Q234)&gt;0),N234/Q234-1,"")</f>
        <v/>
      </c>
      <c r="S234" s="109" t="n">
        <v>31358</v>
      </c>
      <c r="T234" s="109" t="n"/>
      <c r="U234" s="109" t="n">
        <v>4.2</v>
      </c>
      <c r="V234" s="109" t="n">
        <v>2515</v>
      </c>
      <c r="W234" s="109" t="n"/>
      <c r="X234" s="109" t="n"/>
      <c r="Y234" s="109" t="n"/>
      <c r="Z234" s="109" t="n"/>
      <c r="AA234" s="109" t="n"/>
      <c r="AB234" s="109" t="n"/>
      <c r="AC234" s="109" t="inlineStr">
        <is>
          <t>CA DC S4</t>
        </is>
      </c>
      <c r="AD234" s="109">
        <f>'CA DC S4'!BC169</f>
        <v/>
      </c>
      <c r="AE234" s="109">
        <f>'CA DC S4'!BF169</f>
        <v/>
      </c>
      <c r="AF234" s="109" t="inlineStr">
        <is>
          <t>Queen</t>
        </is>
      </c>
      <c r="AG234" s="109" t="inlineStr">
        <is>
          <t>Sd-brown</t>
        </is>
      </c>
    </row>
    <row r="235">
      <c r="A235" s="109">
        <f>AND(OR(Dashboard!$C$4="All",Dashboard!$C$4=D235),OR(Dashboard!$C$5="All",Dashboard!$C$5=E235),OR(Dashboard!$C$6="All",Dashboard!$C$6=G235),OR(Dashboard!$C$7="All",Dashboard!$C$7=H235),OR(Dashboard!$C$8="All",Dashboard!$C$8=F235))</f>
        <v/>
      </c>
      <c r="B235" s="109">
        <f>IF(A235,B234+1,B234)</f>
        <v/>
      </c>
      <c r="C235" s="109" t="n">
        <v>37</v>
      </c>
      <c r="D235" s="109" t="inlineStr">
        <is>
          <t>DC S4</t>
        </is>
      </c>
      <c r="E235" s="109" t="inlineStr">
        <is>
          <t>CA</t>
        </is>
      </c>
      <c r="F235" s="109" t="inlineStr">
        <is>
          <t>Satin</t>
        </is>
      </c>
      <c r="G235" s="109" t="inlineStr">
        <is>
          <t>GOLAL</t>
        </is>
      </c>
      <c r="H235" s="109" t="inlineStr">
        <is>
          <t>Untiered</t>
        </is>
      </c>
      <c r="I235" s="109" t="inlineStr">
        <is>
          <t>Black Satin Sheets Queen Size - 4 Pieces Luxury Silky Soft Bed Sheets</t>
        </is>
      </c>
      <c r="J235" s="109" t="inlineStr">
        <is>
          <t>https://m.media-amazon.com/images/I/71r48b+Sh9L.jpg</t>
        </is>
      </c>
      <c r="K235" s="109" t="inlineStr">
        <is>
          <t>B09JB7K1PP</t>
        </is>
      </c>
      <c r="L235" s="109" t="inlineStr">
        <is>
          <t>B09G17XZC5</t>
        </is>
      </c>
      <c r="M235" s="109" t="n">
        <v>91</v>
      </c>
      <c r="N235" s="109" t="n">
        <v>47.99</v>
      </c>
      <c r="O235" s="109" t="n"/>
      <c r="P235" s="109">
        <f>IF(AND(ISNUMBER(O235),ISNUMBER(N235),N(N235)&gt;0),O235/N235-1,"")</f>
        <v/>
      </c>
      <c r="Q235" s="109" t="n">
        <v>46.82057894736842</v>
      </c>
      <c r="R235" s="109">
        <f>IF(AND(ISNUMBER(N235),ISNUMBER(Q235),N(Q235)&gt;0),N235/Q235-1,"")</f>
        <v/>
      </c>
      <c r="S235" s="109" t="n">
        <v>18076</v>
      </c>
      <c r="T235" s="109" t="n"/>
      <c r="U235" s="109" t="n">
        <v>4.2</v>
      </c>
      <c r="V235" s="109" t="n">
        <v>1280</v>
      </c>
      <c r="W235" s="109" t="n"/>
      <c r="X235" s="109" t="n"/>
      <c r="Y235" s="109" t="n"/>
      <c r="Z235" s="109" t="n"/>
      <c r="AA235" s="109" t="n"/>
      <c r="AB235" s="109" t="n"/>
      <c r="AC235" s="109" t="inlineStr">
        <is>
          <t>CA DC S4</t>
        </is>
      </c>
      <c r="AD235" s="109">
        <f>'CA DC S4'!BC170</f>
        <v/>
      </c>
      <c r="AE235" s="109">
        <f>'CA DC S4'!BF170</f>
        <v/>
      </c>
      <c r="AF235" s="109" t="inlineStr">
        <is>
          <t>Queen</t>
        </is>
      </c>
      <c r="AG235" s="109" t="inlineStr">
        <is>
          <t>Black</t>
        </is>
      </c>
    </row>
    <row r="236">
      <c r="A236" s="109">
        <f>AND(OR(Dashboard!$C$4="All",Dashboard!$C$4=D236),OR(Dashboard!$C$5="All",Dashboard!$C$5=E236),OR(Dashboard!$C$6="All",Dashboard!$C$6=G236),OR(Dashboard!$C$7="All",Dashboard!$C$7=H236),OR(Dashboard!$C$8="All",Dashboard!$C$8=F236))</f>
        <v/>
      </c>
      <c r="B236" s="109">
        <f>IF(A236,B235+1,B235)</f>
        <v/>
      </c>
      <c r="C236" s="109" t="n">
        <v>37</v>
      </c>
      <c r="D236" s="109" t="inlineStr">
        <is>
          <t>DC S4</t>
        </is>
      </c>
      <c r="E236" s="109" t="inlineStr">
        <is>
          <t>CA</t>
        </is>
      </c>
      <c r="F236" s="109" t="inlineStr">
        <is>
          <t>Satin</t>
        </is>
      </c>
      <c r="G236" s="109" t="inlineStr">
        <is>
          <t>BEDELITE</t>
        </is>
      </c>
      <c r="H236" s="109" t="inlineStr">
        <is>
          <t>Untiered</t>
        </is>
      </c>
      <c r="I236" s="109" t="inlineStr">
        <is>
          <t>BEDELITE Satin Sheets Queen Size Bed Set, Black, 4 Pieces</t>
        </is>
      </c>
      <c r="J236" s="109" t="inlineStr">
        <is>
          <t>https://m.media-amazon.com/images/I/71ujt2CgaQL.jpg</t>
        </is>
      </c>
      <c r="K236" s="109" t="inlineStr">
        <is>
          <t>B0HHQTDM9B</t>
        </is>
      </c>
      <c r="L236" s="109" t="inlineStr">
        <is>
          <t>B0CSFTRP2X</t>
        </is>
      </c>
      <c r="M236" s="109" t="n">
        <v>100</v>
      </c>
      <c r="N236" s="109" t="n">
        <v>44.96</v>
      </c>
      <c r="O236" s="109" t="n"/>
      <c r="P236" s="109">
        <f>IF(AND(ISNUMBER(O236),ISNUMBER(N236),N(N236)&gt;0),O236/N236-1,"")</f>
        <v/>
      </c>
      <c r="Q236" s="109" t="n">
        <v>46.82057894736842</v>
      </c>
      <c r="R236" s="109">
        <f>IF(AND(ISNUMBER(N236),ISNUMBER(Q236),N(Q236)&gt;0),N236/Q236-1,"")</f>
        <v/>
      </c>
      <c r="S236" s="109" t="n">
        <v>128960</v>
      </c>
      <c r="T236" s="109" t="n"/>
      <c r="U236" s="109" t="n">
        <v>4.4</v>
      </c>
      <c r="V236" s="109" t="n">
        <v>5584</v>
      </c>
      <c r="W236" s="109" t="n"/>
      <c r="X236" s="109" t="n"/>
      <c r="Y236" s="109" t="n"/>
      <c r="Z236" s="109" t="n"/>
      <c r="AA236" s="109" t="n"/>
      <c r="AB236" s="109" t="n"/>
      <c r="AC236" s="109" t="inlineStr">
        <is>
          <t>CA DC S4</t>
        </is>
      </c>
      <c r="AD236" s="109">
        <f>'CA DC S4'!BC171</f>
        <v/>
      </c>
      <c r="AE236" s="109">
        <f>'CA DC S4'!BF171</f>
        <v/>
      </c>
      <c r="AF236" s="109" t="inlineStr">
        <is>
          <t>Queen</t>
        </is>
      </c>
      <c r="AG236" s="109" t="inlineStr">
        <is>
          <t>Black</t>
        </is>
      </c>
    </row>
    <row r="237">
      <c r="A237" s="109">
        <f>AND(OR(Dashboard!$C$4="All",Dashboard!$C$4=D237),OR(Dashboard!$C$5="All",Dashboard!$C$5=E237),OR(Dashboard!$C$6="All",Dashboard!$C$6=G237),OR(Dashboard!$C$7="All",Dashboard!$C$7=H237),OR(Dashboard!$C$8="All",Dashboard!$C$8=F237))</f>
        <v/>
      </c>
      <c r="B237" s="109">
        <f>IF(A237,B236+1,B236)</f>
        <v/>
      </c>
      <c r="C237" s="109" t="n">
        <v>37</v>
      </c>
      <c r="D237" s="109" t="inlineStr">
        <is>
          <t>DC S4</t>
        </is>
      </c>
      <c r="E237" s="109" t="inlineStr">
        <is>
          <t>CA</t>
        </is>
      </c>
      <c r="F237" s="109" t="inlineStr">
        <is>
          <t>Satin</t>
        </is>
      </c>
      <c r="G237" s="109" t="inlineStr">
        <is>
          <t>Pure Bedding</t>
        </is>
      </c>
      <c r="H237" s="109" t="inlineStr">
        <is>
          <t>Untiered</t>
        </is>
      </c>
      <c r="I237" s="109" t="inlineStr">
        <is>
          <t>Pure Bedding Satin Sheets Queen [4-Piece, Black] Hotel Luxury Silky Bed Sheets - Extra Soft 1800 Microfiber Sheet Set, Wrinkle, Fade, Deep Pocket Fitted Sheet, Flat Sheet, Pillow Cases</t>
        </is>
      </c>
      <c r="J237" s="109" t="inlineStr">
        <is>
          <t>https://m.media-amazon.com/images/I/81zLU1W0e8L.jpg</t>
        </is>
      </c>
      <c r="K237" s="109" t="inlineStr">
        <is>
          <t>B07N6326HL</t>
        </is>
      </c>
      <c r="L237" s="109" t="inlineStr">
        <is>
          <t>B083G81VSH</t>
        </is>
      </c>
      <c r="M237" s="109" t="n">
        <v>83</v>
      </c>
      <c r="N237" s="109" t="n">
        <v>49.91</v>
      </c>
      <c r="O237" s="109" t="n"/>
      <c r="P237" s="109">
        <f>IF(AND(ISNUMBER(O237),ISNUMBER(N237),N(N237)&gt;0),O237/N237-1,"")</f>
        <v/>
      </c>
      <c r="Q237" s="109" t="n">
        <v>46.82057894736842</v>
      </c>
      <c r="R237" s="109">
        <f>IF(AND(ISNUMBER(N237),ISNUMBER(Q237),N(Q237)&gt;0),N237/Q237-1,"")</f>
        <v/>
      </c>
      <c r="S237" s="109" t="n">
        <v>188067</v>
      </c>
      <c r="T237" s="109" t="n"/>
      <c r="U237" s="109" t="n">
        <v>4.2</v>
      </c>
      <c r="V237" s="109" t="n">
        <v>12410</v>
      </c>
      <c r="W237" s="109" t="n"/>
      <c r="X237" s="109" t="n"/>
      <c r="Y237" s="109" t="n"/>
      <c r="Z237" s="109" t="n"/>
      <c r="AA237" s="109" t="n"/>
      <c r="AB237" s="109" t="n"/>
      <c r="AC237" s="109" t="inlineStr">
        <is>
          <t>CA DC S4</t>
        </is>
      </c>
      <c r="AD237" s="109">
        <f>'CA DC S4'!BC172</f>
        <v/>
      </c>
      <c r="AE237" s="109">
        <f>'CA DC S4'!BF172</f>
        <v/>
      </c>
      <c r="AF237" s="109" t="inlineStr">
        <is>
          <t>Queen</t>
        </is>
      </c>
      <c r="AG237" s="109" t="inlineStr">
        <is>
          <t>Black</t>
        </is>
      </c>
    </row>
    <row r="238">
      <c r="A238" s="109">
        <f>AND(OR(Dashboard!$C$4="All",Dashboard!$C$4=D238),OR(Dashboard!$C$5="All",Dashboard!$C$5=E238),OR(Dashboard!$C$6="All",Dashboard!$C$6=G238),OR(Dashboard!$C$7="All",Dashboard!$C$7=H238),OR(Dashboard!$C$8="All",Dashboard!$C$8=F238))</f>
        <v/>
      </c>
      <c r="B238" s="109">
        <f>IF(A238,B237+1,B237)</f>
        <v/>
      </c>
      <c r="C238" s="109" t="n">
        <v>37</v>
      </c>
      <c r="D238" s="109" t="inlineStr">
        <is>
          <t>DC S4</t>
        </is>
      </c>
      <c r="E238" s="109" t="inlineStr">
        <is>
          <t>CA</t>
        </is>
      </c>
      <c r="F238" s="109" t="inlineStr">
        <is>
          <t>Satin</t>
        </is>
      </c>
      <c r="G238" s="109" t="inlineStr">
        <is>
          <t>LIFCOM</t>
        </is>
      </c>
      <c r="H238" s="109" t="inlineStr">
        <is>
          <t>Untiered</t>
        </is>
      </c>
      <c r="I238" s="109" t="inlineStr">
        <is>
          <t>Satin Sheets Queen Size Bed Set,Similar to Silk Sheets,4Pcs Luxury Satin Sheet Set with 15 Inches Deep Pocket (Queen, Dark Grey)</t>
        </is>
      </c>
      <c r="J238" s="109" t="inlineStr">
        <is>
          <t>https://m.media-amazon.com/images/I/71tkklWokTL.jpg</t>
        </is>
      </c>
      <c r="K238" s="109" t="inlineStr">
        <is>
          <t>B0DJXBHN44</t>
        </is>
      </c>
      <c r="L238" s="109" t="inlineStr">
        <is>
          <t>B0DCC37WB3</t>
        </is>
      </c>
      <c r="M238" s="109" t="n">
        <v>70</v>
      </c>
      <c r="N238" s="109" t="n">
        <v>42.74</v>
      </c>
      <c r="O238" s="109" t="n"/>
      <c r="P238" s="109">
        <f>IF(AND(ISNUMBER(O238),ISNUMBER(N238),N(N238)&gt;0),O238/N238-1,"")</f>
        <v/>
      </c>
      <c r="Q238" s="109" t="n">
        <v>46.82057894736842</v>
      </c>
      <c r="R238" s="109">
        <f>IF(AND(ISNUMBER(N238),ISNUMBER(Q238),N(Q238)&gt;0),N238/Q238-1,"")</f>
        <v/>
      </c>
      <c r="S238" s="109" t="n">
        <v>72861</v>
      </c>
      <c r="T238" s="109" t="n"/>
      <c r="U238" s="109" t="n">
        <v>4.3</v>
      </c>
      <c r="V238" s="109" t="n">
        <v>351</v>
      </c>
      <c r="W238" s="109" t="n"/>
      <c r="X238" s="109" t="n"/>
      <c r="Y238" s="109" t="n"/>
      <c r="Z238" s="109" t="n"/>
      <c r="AA238" s="109" t="n"/>
      <c r="AB238" s="109" t="n"/>
      <c r="AC238" s="109" t="inlineStr">
        <is>
          <t>CA DC S4</t>
        </is>
      </c>
      <c r="AD238" s="109">
        <f>'CA DC S4'!BC173</f>
        <v/>
      </c>
      <c r="AE238" s="109">
        <f>'CA DC S4'!BF173</f>
        <v/>
      </c>
      <c r="AF238" s="109" t="inlineStr">
        <is>
          <t>Queen</t>
        </is>
      </c>
      <c r="AG238" s="109" t="inlineStr">
        <is>
          <t>Dark Grey</t>
        </is>
      </c>
    </row>
    <row r="239">
      <c r="A239" s="109">
        <f>AND(OR(Dashboard!$C$4="All",Dashboard!$C$4=D239),OR(Dashboard!$C$5="All",Dashboard!$C$5=E239),OR(Dashboard!$C$6="All",Dashboard!$C$6=G239),OR(Dashboard!$C$7="All",Dashboard!$C$7=H239),OR(Dashboard!$C$8="All",Dashboard!$C$8=F239))</f>
        <v/>
      </c>
      <c r="B239" s="109">
        <f>IF(A239,B238+1,B238)</f>
        <v/>
      </c>
      <c r="C239" s="109" t="n">
        <v>37</v>
      </c>
      <c r="D239" s="109" t="inlineStr">
        <is>
          <t>DC S4</t>
        </is>
      </c>
      <c r="E239" s="109" t="inlineStr">
        <is>
          <t>CA</t>
        </is>
      </c>
      <c r="F239" s="109" t="inlineStr">
        <is>
          <t>Satin</t>
        </is>
      </c>
      <c r="G239" s="109" t="inlineStr">
        <is>
          <t>Laura Ashley</t>
        </is>
      </c>
      <c r="H239" s="109" t="inlineStr">
        <is>
          <t>Untiered</t>
        </is>
      </c>
      <c r="I239" s="109" t="inlineStr">
        <is>
          <t>Laura Ashley - Queen Sheet Set, 100% Soft &amp; Silky Smooth Satin Bed Sheets, Deep Pockets, Bedding with Matching Fitted Sheet &amp; Pillowcases (Bliss Pink)</t>
        </is>
      </c>
      <c r="J239" s="109" t="inlineStr">
        <is>
          <t>https://m.media-amazon.com/images/I/51r1auLPSDL.jpg</t>
        </is>
      </c>
      <c r="K239" s="109" t="inlineStr">
        <is>
          <t>B0G3QQZTY9</t>
        </is>
      </c>
      <c r="L239" s="109" t="inlineStr">
        <is>
          <t>B0G3C5G8FR</t>
        </is>
      </c>
      <c r="M239" s="109" t="n">
        <v>8</v>
      </c>
      <c r="N239" s="109" t="n">
        <v>48.67</v>
      </c>
      <c r="O239" s="109" t="n"/>
      <c r="P239" s="109">
        <f>IF(AND(ISNUMBER(O239),ISNUMBER(N239),N(N239)&gt;0),O239/N239-1,"")</f>
        <v/>
      </c>
      <c r="Q239" s="109" t="n">
        <v>46.82057894736842</v>
      </c>
      <c r="R239" s="109">
        <f>IF(AND(ISNUMBER(N239),ISNUMBER(Q239),N(Q239)&gt;0),N239/Q239-1,"")</f>
        <v/>
      </c>
      <c r="S239" s="109" t="n">
        <v>329859</v>
      </c>
      <c r="T239" s="109" t="n"/>
      <c r="U239" s="109" t="n">
        <v>4.3</v>
      </c>
      <c r="V239" s="109" t="n">
        <v>13</v>
      </c>
      <c r="W239" s="109" t="n"/>
      <c r="X239" s="109" t="n"/>
      <c r="Y239" s="109" t="n"/>
      <c r="Z239" s="109" t="n"/>
      <c r="AA239" s="109" t="n"/>
      <c r="AB239" s="109" t="n"/>
      <c r="AC239" s="109" t="inlineStr">
        <is>
          <t>CA DC S4</t>
        </is>
      </c>
      <c r="AD239" s="109">
        <f>'CA DC S4'!BC174</f>
        <v/>
      </c>
      <c r="AE239" s="109">
        <f>'CA DC S4'!BF174</f>
        <v/>
      </c>
      <c r="AF239" s="109" t="inlineStr">
        <is>
          <t>Queen</t>
        </is>
      </c>
      <c r="AG239" s="109" t="inlineStr">
        <is>
          <t>Bliss Pink</t>
        </is>
      </c>
    </row>
    <row r="240">
      <c r="A240" s="109">
        <f>AND(OR(Dashboard!$C$4="All",Dashboard!$C$4=D240),OR(Dashboard!$C$5="All",Dashboard!$C$5=E240),OR(Dashboard!$C$6="All",Dashboard!$C$6=G240),OR(Dashboard!$C$7="All",Dashboard!$C$7=H240),OR(Dashboard!$C$8="All",Dashboard!$C$8=F240))</f>
        <v/>
      </c>
      <c r="B240" s="109">
        <f>IF(A240,B239+1,B239)</f>
        <v/>
      </c>
      <c r="C240" s="109" t="n">
        <v>37</v>
      </c>
      <c r="D240" s="109" t="inlineStr">
        <is>
          <t>DC S4</t>
        </is>
      </c>
      <c r="E240" s="109" t="inlineStr">
        <is>
          <t>CA</t>
        </is>
      </c>
      <c r="F240" s="109" t="inlineStr">
        <is>
          <t>Satin</t>
        </is>
      </c>
      <c r="G240" s="109" t="inlineStr">
        <is>
          <t>Lanest Housing</t>
        </is>
      </c>
      <c r="H240" s="109" t="inlineStr">
        <is>
          <t>Untiered</t>
        </is>
      </c>
      <c r="I240" s="109" t="inlineStr">
        <is>
          <t>Lanest Housing Silk Satin Sheets, 4-Piece Queen Size Satin Bed Sheet Set with Deep Pockets, Cooling Soft and Hypoallergenic Satin Sheets Queen - Black</t>
        </is>
      </c>
      <c r="J240" s="109" t="inlineStr">
        <is>
          <t>https://m.media-amazon.com/images/I/71Ilt8ijNsL.jpg</t>
        </is>
      </c>
      <c r="K240" s="109" t="inlineStr">
        <is>
          <t>B07WD4MJHW</t>
        </is>
      </c>
      <c r="L240" s="109" t="inlineStr">
        <is>
          <t>B07VWFV7MB</t>
        </is>
      </c>
      <c r="M240" s="109" t="n">
        <v>146</v>
      </c>
      <c r="N240" s="109" t="n">
        <v>43.77</v>
      </c>
      <c r="O240" s="109" t="n"/>
      <c r="P240" s="109">
        <f>IF(AND(ISNUMBER(O240),ISNUMBER(N240),N(N240)&gt;0),O240/N240-1,"")</f>
        <v/>
      </c>
      <c r="Q240" s="109" t="n">
        <v>46.82057894736842</v>
      </c>
      <c r="R240" s="109">
        <f>IF(AND(ISNUMBER(N240),ISNUMBER(Q240),N(Q240)&gt;0),N240/Q240-1,"")</f>
        <v/>
      </c>
      <c r="S240" s="109" t="n">
        <v>153252</v>
      </c>
      <c r="T240" s="109" t="n"/>
      <c r="U240" s="109" t="n">
        <v>4.2</v>
      </c>
      <c r="V240" s="109" t="n">
        <v>5574</v>
      </c>
      <c r="W240" s="109" t="n"/>
      <c r="X240" s="109" t="n"/>
      <c r="Y240" s="109" t="n"/>
      <c r="Z240" s="109" t="n"/>
      <c r="AA240" s="109" t="n"/>
      <c r="AB240" s="109" t="n"/>
      <c r="AC240" s="109" t="inlineStr">
        <is>
          <t>CA DC S4</t>
        </is>
      </c>
      <c r="AD240" s="109">
        <f>'CA DC S4'!BC175</f>
        <v/>
      </c>
      <c r="AE240" s="109">
        <f>'CA DC S4'!BF175</f>
        <v/>
      </c>
      <c r="AF240" s="109" t="inlineStr">
        <is>
          <t>Queen</t>
        </is>
      </c>
      <c r="AG240" s="109" t="inlineStr">
        <is>
          <t>Black</t>
        </is>
      </c>
    </row>
    <row r="241">
      <c r="A241" s="109">
        <f>AND(OR(Dashboard!$C$4="All",Dashboard!$C$4=D241),OR(Dashboard!$C$5="All",Dashboard!$C$5=E241),OR(Dashboard!$C$6="All",Dashboard!$C$6=G241),OR(Dashboard!$C$7="All",Dashboard!$C$7=H241),OR(Dashboard!$C$8="All",Dashboard!$C$8=F241))</f>
        <v/>
      </c>
      <c r="B241" s="109">
        <f>IF(A241,B240+1,B240)</f>
        <v/>
      </c>
      <c r="C241" s="109" t="n">
        <v>37</v>
      </c>
      <c r="D241" s="109" t="inlineStr">
        <is>
          <t>DC S4</t>
        </is>
      </c>
      <c r="E241" s="109" t="inlineStr">
        <is>
          <t>CA</t>
        </is>
      </c>
      <c r="F241" s="109" t="inlineStr">
        <is>
          <t>Satin</t>
        </is>
      </c>
      <c r="G241" s="109" t="inlineStr">
        <is>
          <t>Pure Bedding</t>
        </is>
      </c>
      <c r="H241" s="109" t="inlineStr">
        <is>
          <t>Untiered</t>
        </is>
      </c>
      <c r="I241" s="109" t="inlineStr">
        <is>
          <t>Satin Sheets Queen [4-Piece, Black] Hotel Luxury Silky Bed Sheets - Extra Soft 1800 Microfiber Sheet Set, Wrinkle, Fade, Stain Resistant - Deep Pocket Fitted Sheet, Flat Sheet, Pillow Cases</t>
        </is>
      </c>
      <c r="J241" s="109" t="inlineStr">
        <is>
          <t>https://m.media-amazon.com/images/I/81zLU1W0e8L.jpg</t>
        </is>
      </c>
      <c r="K241" s="109" t="inlineStr">
        <is>
          <t>B0FMPR6QQ3</t>
        </is>
      </c>
      <c r="L241" s="109" t="inlineStr">
        <is>
          <t>B0FVJG1KD3</t>
        </is>
      </c>
      <c r="M241" s="109" t="n">
        <v>1</v>
      </c>
      <c r="N241" s="109" t="n">
        <v>32.4</v>
      </c>
      <c r="O241" s="109" t="n"/>
      <c r="P241" s="109">
        <f>IF(AND(ISNUMBER(O241),ISNUMBER(N241),N(N241)&gt;0),O241/N241-1,"")</f>
        <v/>
      </c>
      <c r="Q241" s="109" t="n">
        <v>46.82057894736842</v>
      </c>
      <c r="R241" s="109">
        <f>IF(AND(ISNUMBER(N241),ISNUMBER(Q241),N(Q241)&gt;0),N241/Q241-1,"")</f>
        <v/>
      </c>
      <c r="S241" s="109" t="n">
        <v>887952</v>
      </c>
      <c r="T241" s="109" t="n"/>
      <c r="U241" s="109" t="n">
        <v>4.2</v>
      </c>
      <c r="V241" s="109" t="n">
        <v>41</v>
      </c>
      <c r="W241" s="109" t="n"/>
      <c r="X241" s="109" t="n"/>
      <c r="Y241" s="109" t="n"/>
      <c r="Z241" s="109" t="n"/>
      <c r="AA241" s="109" t="n"/>
      <c r="AB241" s="109" t="n"/>
      <c r="AC241" s="109" t="inlineStr">
        <is>
          <t>CA DC S4</t>
        </is>
      </c>
      <c r="AD241" s="109">
        <f>'CA DC S4'!BC176</f>
        <v/>
      </c>
      <c r="AE241" s="109">
        <f>'CA DC S4'!BF176</f>
        <v/>
      </c>
      <c r="AF241" s="109" t="inlineStr">
        <is>
          <t>Queen</t>
        </is>
      </c>
      <c r="AG241" s="109" t="inlineStr">
        <is>
          <t>Black-01</t>
        </is>
      </c>
    </row>
    <row r="242">
      <c r="A242" s="109">
        <f>AND(OR(Dashboard!$C$4="All",Dashboard!$C$4=D242),OR(Dashboard!$C$5="All",Dashboard!$C$5=E242),OR(Dashboard!$C$6="All",Dashboard!$C$6=G242),OR(Dashboard!$C$7="All",Dashboard!$C$7=H242),OR(Dashboard!$C$8="All",Dashboard!$C$8=F242))</f>
        <v/>
      </c>
      <c r="B242" s="109">
        <f>IF(A242,B241+1,B241)</f>
        <v/>
      </c>
      <c r="C242" s="109" t="n">
        <v>37</v>
      </c>
      <c r="D242" s="109" t="inlineStr">
        <is>
          <t>DC S4</t>
        </is>
      </c>
      <c r="E242" s="109" t="inlineStr">
        <is>
          <t>CA</t>
        </is>
      </c>
      <c r="F242" s="109" t="inlineStr">
        <is>
          <t>Satin</t>
        </is>
      </c>
      <c r="G242" s="109" t="inlineStr">
        <is>
          <t>Lirex</t>
        </is>
      </c>
      <c r="H242" s="109" t="inlineStr">
        <is>
          <t>Untiered</t>
        </is>
      </c>
      <c r="I242" s="109" t="inlineStr">
        <is>
          <t>Lirex Satin Sheets Queen Size Bed Set, 4 Piece Sheet Set with 14" Deep Pocket, Luxury Smooth &amp; Soft Microfiber, Includes 1 Fitted Sheet, 1 Flat Sheet and 2 Pillowcases, Blue Daisy</t>
        </is>
      </c>
      <c r="J242" s="109" t="inlineStr">
        <is>
          <t>https://m.media-amazon.com/images/I/81ogMf3izDL.jpg</t>
        </is>
      </c>
      <c r="K242" s="109" t="inlineStr">
        <is>
          <t>B0GWPG1CXG</t>
        </is>
      </c>
      <c r="L242" s="109" t="inlineStr">
        <is>
          <t>B0GWPMHSL9</t>
        </is>
      </c>
      <c r="M242" s="109" t="n">
        <v>14</v>
      </c>
      <c r="N242" s="109" t="n">
        <v>49.99</v>
      </c>
      <c r="O242" s="109" t="n"/>
      <c r="P242" s="109">
        <f>IF(AND(ISNUMBER(O242),ISNUMBER(N242),N(N242)&gt;0),O242/N242-1,"")</f>
        <v/>
      </c>
      <c r="Q242" s="109" t="n">
        <v>46.82057894736842</v>
      </c>
      <c r="R242" s="109">
        <f>IF(AND(ISNUMBER(N242),ISNUMBER(Q242),N(Q242)&gt;0),N242/Q242-1,"")</f>
        <v/>
      </c>
      <c r="S242" s="109" t="n">
        <v>96864</v>
      </c>
      <c r="T242" s="109" t="n"/>
      <c r="U242" s="109" t="n">
        <v>4.6</v>
      </c>
      <c r="V242" s="109" t="n">
        <v>4</v>
      </c>
      <c r="W242" s="109" t="n"/>
      <c r="X242" s="109" t="n"/>
      <c r="Y242" s="109" t="n"/>
      <c r="Z242" s="109" t="n"/>
      <c r="AA242" s="109" t="n"/>
      <c r="AB242" s="109" t="n"/>
      <c r="AC242" s="109" t="inlineStr">
        <is>
          <t>CA DC S4</t>
        </is>
      </c>
      <c r="AD242" s="109">
        <f>'CA DC S4'!BC177</f>
        <v/>
      </c>
      <c r="AE242" s="109">
        <f>'CA DC S4'!BF177</f>
        <v/>
      </c>
      <c r="AF242" s="109" t="inlineStr">
        <is>
          <t>Queen</t>
        </is>
      </c>
      <c r="AG242" s="109" t="inlineStr">
        <is>
          <t>Blue Daisy</t>
        </is>
      </c>
    </row>
    <row r="243">
      <c r="A243" s="109">
        <f>AND(OR(Dashboard!$C$4="All",Dashboard!$C$4=D243),OR(Dashboard!$C$5="All",Dashboard!$C$5=E243),OR(Dashboard!$C$6="All",Dashboard!$C$6=G243),OR(Dashboard!$C$7="All",Dashboard!$C$7=H243),OR(Dashboard!$C$8="All",Dashboard!$C$8=F243))</f>
        <v/>
      </c>
      <c r="B243" s="109">
        <f>IF(A243,B242+1,B242)</f>
        <v/>
      </c>
      <c r="C243" s="109" t="n">
        <v>37</v>
      </c>
      <c r="D243" s="109" t="inlineStr">
        <is>
          <t>DC S4</t>
        </is>
      </c>
      <c r="E243" s="109" t="inlineStr">
        <is>
          <t>CA</t>
        </is>
      </c>
      <c r="F243" s="109" t="inlineStr">
        <is>
          <t>Satin</t>
        </is>
      </c>
      <c r="G243" s="109" t="inlineStr">
        <is>
          <t>Bare Home</t>
        </is>
      </c>
      <c r="H243" s="109" t="inlineStr">
        <is>
          <t>Untiered</t>
        </is>
      </c>
      <c r="I243" s="109" t="inlineStr">
        <is>
          <t>Bare Home Poly Satin Sheet Set Similar to Silk (Queen, Blush)</t>
        </is>
      </c>
      <c r="J243" s="109" t="inlineStr">
        <is>
          <t>https://m.media-amazon.com/images/I/61WvjxRfgdL.jpg</t>
        </is>
      </c>
      <c r="K243" s="109" t="inlineStr">
        <is>
          <t>B0DJHFP2WL</t>
        </is>
      </c>
      <c r="L243" s="109" t="inlineStr">
        <is>
          <t>B0DJDXH65M</t>
        </is>
      </c>
      <c r="M243" s="109" t="n">
        <v>37</v>
      </c>
      <c r="N243" s="109" t="n">
        <v>63.99</v>
      </c>
      <c r="O243" s="109" t="n"/>
      <c r="P243" s="109">
        <f>IF(AND(ISNUMBER(O243),ISNUMBER(N243),N(N243)&gt;0),O243/N243-1,"")</f>
        <v/>
      </c>
      <c r="Q243" s="109" t="n">
        <v>46.82057894736842</v>
      </c>
      <c r="R243" s="109">
        <f>IF(AND(ISNUMBER(N243),ISNUMBER(Q243),N(Q243)&gt;0),N243/Q243-1,"")</f>
        <v/>
      </c>
      <c r="S243" s="109" t="n">
        <v>55879</v>
      </c>
      <c r="T243" s="109" t="n"/>
      <c r="U243" s="109" t="n">
        <v>3.6</v>
      </c>
      <c r="V243" s="109" t="n">
        <v>114</v>
      </c>
      <c r="W243" s="109" t="n"/>
      <c r="X243" s="109" t="n"/>
      <c r="Y243" s="109" t="n"/>
      <c r="Z243" s="109" t="n"/>
      <c r="AA243" s="109" t="n"/>
      <c r="AB243" s="109" t="n"/>
      <c r="AC243" s="109" t="inlineStr">
        <is>
          <t>CA DC S4</t>
        </is>
      </c>
      <c r="AD243" s="109">
        <f>'CA DC S4'!BC178</f>
        <v/>
      </c>
      <c r="AE243" s="109">
        <f>'CA DC S4'!BF178</f>
        <v/>
      </c>
      <c r="AF243" s="109" t="inlineStr">
        <is>
          <t>Queen</t>
        </is>
      </c>
      <c r="AG243" s="109" t="inlineStr">
        <is>
          <t>05 - Blush</t>
        </is>
      </c>
    </row>
    <row r="244">
      <c r="A244" s="109">
        <f>AND(OR(Dashboard!$C$4="All",Dashboard!$C$4=D244),OR(Dashboard!$C$5="All",Dashboard!$C$5=E244),OR(Dashboard!$C$6="All",Dashboard!$C$6=G244),OR(Dashboard!$C$7="All",Dashboard!$C$7=H244),OR(Dashboard!$C$8="All",Dashboard!$C$8=F244))</f>
        <v/>
      </c>
      <c r="B244" s="109">
        <f>IF(A244,B243+1,B243)</f>
        <v/>
      </c>
      <c r="C244" s="109" t="n">
        <v>37</v>
      </c>
      <c r="D244" s="109" t="inlineStr">
        <is>
          <t>DC S4</t>
        </is>
      </c>
      <c r="E244" s="109" t="inlineStr">
        <is>
          <t>CA</t>
        </is>
      </c>
      <c r="F244" s="109" t="inlineStr">
        <is>
          <t>Satin</t>
        </is>
      </c>
      <c r="G244" s="109" t="inlineStr">
        <is>
          <t>Martex</t>
        </is>
      </c>
      <c r="H244" s="109" t="inlineStr">
        <is>
          <t>Untiered</t>
        </is>
      </c>
      <c r="I244" s="109" t="inlineStr">
        <is>
          <t>4-Piece Martex Elegance Satin Sheets | Queen Size Bed Sheets | Luxury Hotel Quality Bed Sheets Set | Satin Sheets | Silky Soft &amp; Smooth | Great for Hair &amp; Skin | Leopard Print Sheets | Leopard</t>
        </is>
      </c>
      <c r="J244" s="109" t="inlineStr">
        <is>
          <t>https://m.media-amazon.com/images/I/8192od9R6kL.jpg</t>
        </is>
      </c>
      <c r="K244" s="109" t="inlineStr">
        <is>
          <t>B07XTX3G7J</t>
        </is>
      </c>
      <c r="L244" s="109" t="inlineStr">
        <is>
          <t>B07X5DPMJ9</t>
        </is>
      </c>
      <c r="M244" s="109" t="n">
        <v>28</v>
      </c>
      <c r="N244" s="109" t="n">
        <v>46.45</v>
      </c>
      <c r="O244" s="109" t="n"/>
      <c r="P244" s="109">
        <f>IF(AND(ISNUMBER(O244),ISNUMBER(N244),N(N244)&gt;0),O244/N244-1,"")</f>
        <v/>
      </c>
      <c r="Q244" s="109" t="n">
        <v>46.82057894736842</v>
      </c>
      <c r="R244" s="109">
        <f>IF(AND(ISNUMBER(N244),ISNUMBER(Q244),N(Q244)&gt;0),N244/Q244-1,"")</f>
        <v/>
      </c>
      <c r="S244" s="109" t="n">
        <v>56349</v>
      </c>
      <c r="T244" s="109" t="n"/>
      <c r="U244" s="109" t="n">
        <v>4.2</v>
      </c>
      <c r="V244" s="109" t="n">
        <v>1078</v>
      </c>
      <c r="W244" s="109" t="n"/>
      <c r="X244" s="109" t="n"/>
      <c r="Y244" s="109" t="n"/>
      <c r="Z244" s="109" t="n"/>
      <c r="AA244" s="109" t="n"/>
      <c r="AB244" s="109" t="n"/>
      <c r="AC244" s="109" t="inlineStr">
        <is>
          <t>CA DC S4</t>
        </is>
      </c>
      <c r="AD244" s="109">
        <f>'CA DC S4'!BC179</f>
        <v/>
      </c>
      <c r="AE244" s="109">
        <f>'CA DC S4'!BF179</f>
        <v/>
      </c>
      <c r="AF244" s="109" t="inlineStr">
        <is>
          <t>Queen</t>
        </is>
      </c>
      <c r="AG244" s="109" t="inlineStr">
        <is>
          <t>Brown</t>
        </is>
      </c>
    </row>
    <row r="245">
      <c r="A245" s="109">
        <f>AND(OR(Dashboard!$C$4="All",Dashboard!$C$4=D245),OR(Dashboard!$C$5="All",Dashboard!$C$5=E245),OR(Dashboard!$C$6="All",Dashboard!$C$6=G245),OR(Dashboard!$C$7="All",Dashboard!$C$7=H245),OR(Dashboard!$C$8="All",Dashboard!$C$8=F245))</f>
        <v/>
      </c>
      <c r="B245" s="109">
        <f>IF(A245,B244+1,B244)</f>
        <v/>
      </c>
      <c r="C245" s="109" t="n">
        <v>37</v>
      </c>
      <c r="D245" s="109" t="inlineStr">
        <is>
          <t>DC S4</t>
        </is>
      </c>
      <c r="E245" s="109" t="inlineStr">
        <is>
          <t>CA</t>
        </is>
      </c>
      <c r="F245" s="109" t="inlineStr">
        <is>
          <t>Satin</t>
        </is>
      </c>
      <c r="G245" s="109" t="inlineStr">
        <is>
          <t>Beatrice Home Fashions</t>
        </is>
      </c>
      <c r="H245" s="109" t="inlineStr">
        <is>
          <t>Untiered</t>
        </is>
      </c>
      <c r="I245" s="109" t="inlineStr">
        <is>
          <t>Elite Home Products 100% Luxury Satin Polyester Solid Sheet Set, Queen, Leopard</t>
        </is>
      </c>
      <c r="J245" s="109" t="inlineStr">
        <is>
          <t>https://m.media-amazon.com/images/I/71jFV5g+prL.jpg</t>
        </is>
      </c>
      <c r="K245" s="109" t="inlineStr">
        <is>
          <t>B077NL4NZK</t>
        </is>
      </c>
      <c r="L245" s="109" t="inlineStr">
        <is>
          <t>B0721C4SD3</t>
        </is>
      </c>
      <c r="M245" s="109" t="n">
        <v>9</v>
      </c>
      <c r="N245" s="109" t="n">
        <v>42.49</v>
      </c>
      <c r="O245" s="109" t="n"/>
      <c r="P245" s="109">
        <f>IF(AND(ISNUMBER(O245),ISNUMBER(N245),N(N245)&gt;0),O245/N245-1,"")</f>
        <v/>
      </c>
      <c r="Q245" s="109" t="n">
        <v>46.82057894736842</v>
      </c>
      <c r="R245" s="109">
        <f>IF(AND(ISNUMBER(N245),ISNUMBER(Q245),N(Q245)&gt;0),N245/Q245-1,"")</f>
        <v/>
      </c>
      <c r="S245" s="109" t="n">
        <v>387847</v>
      </c>
      <c r="T245" s="109" t="n"/>
      <c r="U245" s="109" t="n">
        <v>4</v>
      </c>
      <c r="V245" s="109" t="n">
        <v>996</v>
      </c>
      <c r="W245" s="109" t="n"/>
      <c r="X245" s="109" t="n"/>
      <c r="Y245" s="109" t="n"/>
      <c r="Z245" s="109" t="n"/>
      <c r="AA245" s="109" t="n"/>
      <c r="AB245" s="109" t="n"/>
      <c r="AC245" s="109" t="inlineStr">
        <is>
          <t>CA DC S4</t>
        </is>
      </c>
      <c r="AD245" s="109">
        <f>'CA DC S4'!BC180</f>
        <v/>
      </c>
      <c r="AE245" s="109">
        <f>'CA DC S4'!BF180</f>
        <v/>
      </c>
      <c r="AF245" s="109" t="inlineStr">
        <is>
          <t>Queen</t>
        </is>
      </c>
      <c r="AG245" s="109" t="inlineStr">
        <is>
          <t>Leopard</t>
        </is>
      </c>
    </row>
    <row r="246">
      <c r="A246" s="109">
        <f>AND(OR(Dashboard!$C$4="All",Dashboard!$C$4=D246),OR(Dashboard!$C$5="All",Dashboard!$C$5=E246),OR(Dashboard!$C$6="All",Dashboard!$C$6=G246),OR(Dashboard!$C$7="All",Dashboard!$C$7=H246),OR(Dashboard!$C$8="All",Dashboard!$C$8=F246))</f>
        <v/>
      </c>
      <c r="B246" s="109">
        <f>IF(A246,B245+1,B245)</f>
        <v/>
      </c>
      <c r="C246" s="109" t="n">
        <v>31</v>
      </c>
      <c r="D246" s="109" t="inlineStr">
        <is>
          <t>DC S6</t>
        </is>
      </c>
      <c r="E246" s="109" t="inlineStr">
        <is>
          <t>US</t>
        </is>
      </c>
      <c r="F246" s="109" t="inlineStr">
        <is>
          <t>Satin</t>
        </is>
      </c>
      <c r="G246" s="109" t="inlineStr">
        <is>
          <t>BEDELITE</t>
        </is>
      </c>
      <c r="H246" s="109" t="inlineStr">
        <is>
          <t>Aspirational</t>
        </is>
      </c>
      <c r="I246" s="109" t="inlineStr">
        <is>
          <t>BEDELITE Satin Sheets Queen Size Bed Set, Black, 4 Pieces</t>
        </is>
      </c>
      <c r="J246" s="109" t="inlineStr">
        <is>
          <t>https://images-na.ssl-images-amazon.com/images/I/71ujt2CgaQL.jpg</t>
        </is>
      </c>
      <c r="K246" s="109" t="inlineStr">
        <is>
          <t>B0FNMNMZ9T</t>
        </is>
      </c>
      <c r="L246" s="109" t="inlineStr">
        <is>
          <t>B0CSFTRP2X</t>
        </is>
      </c>
      <c r="M246" s="109" t="n">
        <v>141</v>
      </c>
      <c r="N246" s="109" t="n">
        <v>17.99</v>
      </c>
      <c r="O246" s="109" t="n"/>
      <c r="P246" s="109">
        <f>IF(AND(ISNUMBER(O246),ISNUMBER(N246),N(N246)&gt;0),O246/N246-1,"")</f>
        <v/>
      </c>
      <c r="Q246" s="109" t="n">
        <v>31.95</v>
      </c>
      <c r="R246" s="109">
        <f>IF(AND(ISNUMBER(N246),ISNUMBER(Q246),N(Q246)&gt;0),N246/Q246-1,"")</f>
        <v/>
      </c>
      <c r="S246" s="109" t="n">
        <v>497</v>
      </c>
      <c r="T246" s="109" t="n">
        <v>1963</v>
      </c>
      <c r="U246" s="109" t="n">
        <v>4.3</v>
      </c>
      <c r="V246" s="109" t="n">
        <v>6297</v>
      </c>
      <c r="W246" s="109" t="n">
        <v>997443</v>
      </c>
      <c r="X246" s="109" t="n">
        <v>0.8161266415223724</v>
      </c>
      <c r="Y246" s="109" t="n">
        <v>38</v>
      </c>
      <c r="Z246" s="109" t="n">
        <v>373</v>
      </c>
      <c r="AA246" s="109" t="n">
        <v>393</v>
      </c>
      <c r="AB246" s="109" t="n">
        <v>1.114785561378903</v>
      </c>
      <c r="AC246" s="109" t="inlineStr">
        <is>
          <t>US DC S6</t>
        </is>
      </c>
      <c r="AD246" s="109">
        <f>'US DC S6'!BC157</f>
        <v/>
      </c>
      <c r="AE246" s="109">
        <f>'US DC S6'!BF157</f>
        <v/>
      </c>
      <c r="AF246" s="109" t="inlineStr">
        <is>
          <t>Queen</t>
        </is>
      </c>
      <c r="AG246" s="109" t="inlineStr">
        <is>
          <t>Black</t>
        </is>
      </c>
    </row>
    <row r="247">
      <c r="A247" s="109">
        <f>AND(OR(Dashboard!$C$4="All",Dashboard!$C$4=D247),OR(Dashboard!$C$5="All",Dashboard!$C$5=E247),OR(Dashboard!$C$6="All",Dashboard!$C$6=G247),OR(Dashboard!$C$7="All",Dashboard!$C$7=H247),OR(Dashboard!$C$8="All",Dashboard!$C$8=F247))</f>
        <v/>
      </c>
      <c r="B247" s="109">
        <f>IF(A247,B246+1,B246)</f>
        <v/>
      </c>
      <c r="C247" s="109" t="n">
        <v>31</v>
      </c>
      <c r="D247" s="109" t="inlineStr">
        <is>
          <t>DC S6</t>
        </is>
      </c>
      <c r="E247" s="109" t="inlineStr">
        <is>
          <t>US</t>
        </is>
      </c>
      <c r="F247" s="109" t="inlineStr">
        <is>
          <t>Satin</t>
        </is>
      </c>
      <c r="G247" s="109" t="inlineStr">
        <is>
          <t>Love's cabin</t>
        </is>
      </c>
      <c r="H247" s="109" t="inlineStr">
        <is>
          <t>Aspirational</t>
        </is>
      </c>
      <c r="I247" s="109" t="inlineStr">
        <is>
          <t>Love's cabin Satin Queen Sheets Set, 4 Pieces, Pink, 15" Deep Pocket</t>
        </is>
      </c>
      <c r="J247" s="109" t="inlineStr">
        <is>
          <t>https://images-na.ssl-images-amazon.com/images/I/81C-fXI71XL.jpg</t>
        </is>
      </c>
      <c r="K247" s="109" t="inlineStr">
        <is>
          <t>B08DHTB63X</t>
        </is>
      </c>
      <c r="L247" s="109" t="inlineStr">
        <is>
          <t>B0BNMC5G8R</t>
        </is>
      </c>
      <c r="M247" s="109" t="n">
        <v>128</v>
      </c>
      <c r="N247" s="109" t="n">
        <v>16.13</v>
      </c>
      <c r="O247" s="109" t="n">
        <v>19.99</v>
      </c>
      <c r="P247" s="109">
        <f>IF(AND(ISNUMBER(O247),ISNUMBER(N247),N(N247)&gt;0),O247/N247-1,"")</f>
        <v/>
      </c>
      <c r="Q247" s="109" t="n">
        <v>31.95</v>
      </c>
      <c r="R247" s="109">
        <f>IF(AND(ISNUMBER(N247),ISNUMBER(Q247),N(Q247)&gt;0),N247/Q247-1,"")</f>
        <v/>
      </c>
      <c r="S247" s="109" t="n">
        <v>949</v>
      </c>
      <c r="T247" s="109" t="n">
        <v>809</v>
      </c>
      <c r="U247" s="109" t="n">
        <v>4.5</v>
      </c>
      <c r="V247" s="109" t="n">
        <v>5747</v>
      </c>
      <c r="W247" s="109" t="n">
        <v>385363</v>
      </c>
      <c r="X247" s="109" t="n">
        <v>0.8181775938530695</v>
      </c>
      <c r="Y247" s="109" t="n">
        <v>63</v>
      </c>
      <c r="Z247" s="109" t="n">
        <v>328</v>
      </c>
      <c r="AA247" s="109" t="n">
        <v>478</v>
      </c>
      <c r="AB247" s="109" t="n">
        <v>1.036399938565504</v>
      </c>
      <c r="AC247" s="109" t="inlineStr">
        <is>
          <t>US DC S6</t>
        </is>
      </c>
      <c r="AD247" s="109">
        <f>'US DC S6'!BC158</f>
        <v/>
      </c>
      <c r="AE247" s="109">
        <f>'US DC S6'!BF158</f>
        <v/>
      </c>
      <c r="AF247" s="109" t="inlineStr">
        <is>
          <t>Queen</t>
        </is>
      </c>
      <c r="AG247" s="109" t="inlineStr">
        <is>
          <t>Pink</t>
        </is>
      </c>
    </row>
    <row r="248">
      <c r="A248" s="109">
        <f>AND(OR(Dashboard!$C$4="All",Dashboard!$C$4=D248),OR(Dashboard!$C$5="All",Dashboard!$C$5=E248),OR(Dashboard!$C$6="All",Dashboard!$C$6=G248),OR(Dashboard!$C$7="All",Dashboard!$C$7=H248),OR(Dashboard!$C$8="All",Dashboard!$C$8=F248))</f>
        <v/>
      </c>
      <c r="B248" s="109">
        <f>IF(A248,B247+1,B247)</f>
        <v/>
      </c>
      <c r="C248" s="109" t="n">
        <v>31</v>
      </c>
      <c r="D248" s="109" t="inlineStr">
        <is>
          <t>DC S6</t>
        </is>
      </c>
      <c r="E248" s="109" t="inlineStr">
        <is>
          <t>US</t>
        </is>
      </c>
      <c r="F248" s="109" t="inlineStr">
        <is>
          <t>Satin</t>
        </is>
      </c>
      <c r="G248" s="109" t="inlineStr">
        <is>
          <t>MR&amp;HM</t>
        </is>
      </c>
      <c r="H248" s="109" t="inlineStr">
        <is>
          <t>Aspirational</t>
        </is>
      </c>
      <c r="I248" s="109" t="inlineStr">
        <is>
          <t>MR&amp;HM Satin Sheets Queen Size with Elastic Corner Straps, Black</t>
        </is>
      </c>
      <c r="J248" s="109" t="inlineStr">
        <is>
          <t>https://images-na.ssl-images-amazon.com/images/I/71zGuoeuSrL.jpg</t>
        </is>
      </c>
      <c r="K248" s="109" t="inlineStr">
        <is>
          <t>B08NQ3W7PG</t>
        </is>
      </c>
      <c r="L248" s="109" t="inlineStr">
        <is>
          <t>B08HM6WT6X</t>
        </is>
      </c>
      <c r="M248" s="109" t="n">
        <v>183</v>
      </c>
      <c r="N248" s="109" t="n">
        <v>19.99</v>
      </c>
      <c r="O248" s="109" t="n"/>
      <c r="P248" s="109">
        <f>IF(AND(ISNUMBER(O248),ISNUMBER(N248),N(N248)&gt;0),O248/N248-1,"")</f>
        <v/>
      </c>
      <c r="Q248" s="109" t="n">
        <v>31.95</v>
      </c>
      <c r="R248" s="109">
        <f>IF(AND(ISNUMBER(N248),ISNUMBER(Q248),N(Q248)&gt;0),N248/Q248-1,"")</f>
        <v/>
      </c>
      <c r="S248" s="109" t="n">
        <v>2025</v>
      </c>
      <c r="T248" s="109" t="n">
        <v>809</v>
      </c>
      <c r="U248" s="109" t="n">
        <v>4.4</v>
      </c>
      <c r="V248" s="109" t="n">
        <v>17886</v>
      </c>
      <c r="W248" s="109" t="n">
        <v>356457</v>
      </c>
      <c r="X248" s="109" t="n">
        <v>0.7964633734223203</v>
      </c>
      <c r="Y248" s="109" t="n">
        <v>65</v>
      </c>
      <c r="Z248" s="109" t="n">
        <v>314</v>
      </c>
      <c r="AA248" s="109" t="n">
        <v>443</v>
      </c>
      <c r="AB248" s="109" t="n">
        <v>0.9844138242602214</v>
      </c>
      <c r="AC248" s="109" t="inlineStr">
        <is>
          <t>US DC S6</t>
        </is>
      </c>
      <c r="AD248" s="109">
        <f>'US DC S6'!BC159</f>
        <v/>
      </c>
      <c r="AE248" s="109">
        <f>'US DC S6'!BF159</f>
        <v/>
      </c>
      <c r="AF248" s="109" t="inlineStr">
        <is>
          <t>Queen</t>
        </is>
      </c>
      <c r="AG248" s="109" t="inlineStr">
        <is>
          <t>Black</t>
        </is>
      </c>
    </row>
    <row r="249">
      <c r="A249" s="109">
        <f>AND(OR(Dashboard!$C$4="All",Dashboard!$C$4=D249),OR(Dashboard!$C$5="All",Dashboard!$C$5=E249),OR(Dashboard!$C$6="All",Dashboard!$C$6=G249),OR(Dashboard!$C$7="All",Dashboard!$C$7=H249),OR(Dashboard!$C$8="All",Dashboard!$C$8=F249))</f>
        <v/>
      </c>
      <c r="B249" s="109">
        <f>IF(A249,B248+1,B248)</f>
        <v/>
      </c>
      <c r="C249" s="109" t="n">
        <v>31</v>
      </c>
      <c r="D249" s="109" t="inlineStr">
        <is>
          <t>DC S6</t>
        </is>
      </c>
      <c r="E249" s="109" t="inlineStr">
        <is>
          <t>US</t>
        </is>
      </c>
      <c r="F249" s="109" t="inlineStr">
        <is>
          <t>Satin</t>
        </is>
      </c>
      <c r="G249" s="109" t="inlineStr">
        <is>
          <t>CozyLux</t>
        </is>
      </c>
      <c r="H249" s="109" t="inlineStr">
        <is>
          <t>Aspirational</t>
        </is>
      </c>
      <c r="I249" s="109" t="inlineStr">
        <is>
          <t>CozyLux Satin Sheets Queen, 4-Piece 14-Inch Deep Pocket Sheet Set</t>
        </is>
      </c>
      <c r="J249" s="109" t="inlineStr">
        <is>
          <t>https://images-na.ssl-images-amazon.com/images/I/71QlFwpmpcL.jpg</t>
        </is>
      </c>
      <c r="K249" s="109" t="inlineStr">
        <is>
          <t>B08CQKS3KP</t>
        </is>
      </c>
      <c r="L249" s="109" t="inlineStr">
        <is>
          <t>B08P16XLP2</t>
        </is>
      </c>
      <c r="M249" s="109" t="n">
        <v>115</v>
      </c>
      <c r="N249" s="109" t="n">
        <v>13.99</v>
      </c>
      <c r="O249" s="109" t="n">
        <v>18.99</v>
      </c>
      <c r="P249" s="109">
        <f>IF(AND(ISNUMBER(O249),ISNUMBER(N249),N(N249)&gt;0),O249/N249-1,"")</f>
        <v/>
      </c>
      <c r="Q249" s="109" t="n">
        <v>31.95</v>
      </c>
      <c r="R249" s="109">
        <f>IF(AND(ISNUMBER(N249),ISNUMBER(Q249),N(Q249)&gt;0),N249/Q249-1,"")</f>
        <v/>
      </c>
      <c r="S249" s="109" t="n">
        <v>3102</v>
      </c>
      <c r="T249" s="109" t="n">
        <v>347</v>
      </c>
      <c r="U249" s="109" t="n">
        <v>4.3</v>
      </c>
      <c r="V249" s="109" t="n">
        <v>7075</v>
      </c>
      <c r="W249" s="109" t="n">
        <v>164434</v>
      </c>
      <c r="X249" s="109" t="n">
        <v>0.724298132381382</v>
      </c>
      <c r="Y249" s="109" t="n">
        <v>61</v>
      </c>
      <c r="Z249" s="109" t="n">
        <v>300</v>
      </c>
      <c r="AA249" s="109" t="n">
        <v>361</v>
      </c>
      <c r="AB249" s="109" t="n">
        <v>0.8168981481481481</v>
      </c>
      <c r="AC249" s="109" t="inlineStr">
        <is>
          <t>US DC S6</t>
        </is>
      </c>
      <c r="AD249" s="109">
        <f>'US DC S6'!BC160</f>
        <v/>
      </c>
      <c r="AE249" s="109">
        <f>'US DC S6'!BF160</f>
        <v/>
      </c>
      <c r="AF249" s="109" t="inlineStr">
        <is>
          <t>Queen</t>
        </is>
      </c>
      <c r="AG249" s="109" t="n"/>
    </row>
    <row r="250">
      <c r="A250" s="109">
        <f>AND(OR(Dashboard!$C$4="All",Dashboard!$C$4=D250),OR(Dashboard!$C$5="All",Dashboard!$C$5=E250),OR(Dashboard!$C$6="All",Dashboard!$C$6=G250),OR(Dashboard!$C$7="All",Dashboard!$C$7=H250),OR(Dashboard!$C$8="All",Dashboard!$C$8=F250))</f>
        <v/>
      </c>
      <c r="B250" s="109">
        <f>IF(A250,B249+1,B249)</f>
        <v/>
      </c>
      <c r="C250" s="109" t="n">
        <v>31</v>
      </c>
      <c r="D250" s="109" t="inlineStr">
        <is>
          <t>DC S6</t>
        </is>
      </c>
      <c r="E250" s="109" t="inlineStr">
        <is>
          <t>US</t>
        </is>
      </c>
      <c r="F250" s="109" t="inlineStr">
        <is>
          <t>Satin</t>
        </is>
      </c>
      <c r="G250" s="109" t="inlineStr">
        <is>
          <t>Lanest Housing</t>
        </is>
      </c>
      <c r="H250" s="109" t="inlineStr">
        <is>
          <t>Aspirational</t>
        </is>
      </c>
      <c r="I250" s="109" t="inlineStr">
        <is>
          <t>Lanest Housing Silk Satin Sheets, Queen Size Satin Bed Sheet Set with Deep Pockets, Cooling Soft and Hypoallergenic Satin Sheets Queen - Light Gray</t>
        </is>
      </c>
      <c r="J250" s="109" t="inlineStr">
        <is>
          <t>https://images-na.ssl-images-amazon.com/images/I/71PMIXXTc0L.jpg</t>
        </is>
      </c>
      <c r="K250" s="109" t="inlineStr">
        <is>
          <t>B0DC3MX1DP</t>
        </is>
      </c>
      <c r="L250" s="109" t="inlineStr">
        <is>
          <t>B082B5CY3D</t>
        </is>
      </c>
      <c r="M250" s="109" t="n">
        <v>154</v>
      </c>
      <c r="N250" s="109" t="n">
        <v>22.99</v>
      </c>
      <c r="O250" s="109" t="n"/>
      <c r="P250" s="109">
        <f>IF(AND(ISNUMBER(O250),ISNUMBER(N250),N(N250)&gt;0),O250/N250-1,"")</f>
        <v/>
      </c>
      <c r="Q250" s="109" t="n">
        <v>31.95</v>
      </c>
      <c r="R250" s="109">
        <f>IF(AND(ISNUMBER(N250),ISNUMBER(Q250),N(Q250)&gt;0),N250/Q250-1,"")</f>
        <v/>
      </c>
      <c r="S250" s="109" t="n">
        <v>4671</v>
      </c>
      <c r="T250" s="109" t="n">
        <v>208</v>
      </c>
      <c r="U250" s="109" t="n">
        <v>4.3</v>
      </c>
      <c r="V250" s="109" t="n">
        <v>5837</v>
      </c>
      <c r="W250" s="109" t="n">
        <v>163454</v>
      </c>
      <c r="X250" s="109" t="n">
        <v>0.511816095659941</v>
      </c>
      <c r="Y250" s="109" t="n">
        <v>95</v>
      </c>
      <c r="Z250" s="109" t="n">
        <v>220</v>
      </c>
      <c r="AA250" s="109" t="n">
        <v>98</v>
      </c>
      <c r="AB250" s="109" t="n">
        <v>0.4183908045977011</v>
      </c>
      <c r="AC250" s="109" t="inlineStr">
        <is>
          <t>US DC S6</t>
        </is>
      </c>
      <c r="AD250" s="109">
        <f>'US DC S6'!BC161</f>
        <v/>
      </c>
      <c r="AE250" s="109">
        <f>'US DC S6'!BF161</f>
        <v/>
      </c>
      <c r="AF250" s="109" t="inlineStr">
        <is>
          <t>Queen</t>
        </is>
      </c>
      <c r="AG250" s="109" t="inlineStr">
        <is>
          <t>Gray</t>
        </is>
      </c>
    </row>
    <row r="251">
      <c r="A251" s="109">
        <f>AND(OR(Dashboard!$C$4="All",Dashboard!$C$4=D251),OR(Dashboard!$C$5="All",Dashboard!$C$5=E251),OR(Dashboard!$C$6="All",Dashboard!$C$6=G251),OR(Dashboard!$C$7="All",Dashboard!$C$7=H251),OR(Dashboard!$C$8="All",Dashboard!$C$8=F251))</f>
        <v/>
      </c>
      <c r="B251" s="109">
        <f>IF(A251,B250+1,B250)</f>
        <v/>
      </c>
      <c r="C251" s="109" t="n">
        <v>31</v>
      </c>
      <c r="D251" s="109" t="inlineStr">
        <is>
          <t>DC S6</t>
        </is>
      </c>
      <c r="E251" s="109" t="inlineStr">
        <is>
          <t>US</t>
        </is>
      </c>
      <c r="F251" s="109" t="inlineStr">
        <is>
          <t>Satin</t>
        </is>
      </c>
      <c r="G251" s="109" t="inlineStr">
        <is>
          <t>Pure Bedding</t>
        </is>
      </c>
      <c r="H251" s="109" t="inlineStr">
        <is>
          <t>Aspirational</t>
        </is>
      </c>
      <c r="I251" s="109" t="inlineStr">
        <is>
          <t>Pure Bedding Satin Sheets Queen [4-Piece, Black] Hotel Luxury Silky Bed Sheets - Extra Soft 1800 Microfiber Sheet Set, Wrinkle, Fade, Deep Pocket Fitted Sheet, Flat Sheet, Pillow Cases</t>
        </is>
      </c>
      <c r="J251" s="109" t="inlineStr">
        <is>
          <t>https://images-na.ssl-images-amazon.com/images/I/81zLU1W0e8L.jpg</t>
        </is>
      </c>
      <c r="K251" s="109" t="inlineStr">
        <is>
          <t>B0FMPQYB2J</t>
        </is>
      </c>
      <c r="L251" s="109" t="inlineStr">
        <is>
          <t>B083G81VSH</t>
        </is>
      </c>
      <c r="M251" s="109" t="n">
        <v>146</v>
      </c>
      <c r="N251" s="109" t="n">
        <v>20.99</v>
      </c>
      <c r="O251" s="109" t="n"/>
      <c r="P251" s="109">
        <f>IF(AND(ISNUMBER(O251),ISNUMBER(N251),N(N251)&gt;0),O251/N251-1,"")</f>
        <v/>
      </c>
      <c r="Q251" s="109" t="n">
        <v>31.95</v>
      </c>
      <c r="R251" s="109">
        <f>IF(AND(ISNUMBER(N251),ISNUMBER(Q251),N(Q251)&gt;0),N251/Q251-1,"")</f>
        <v/>
      </c>
      <c r="S251" s="109" t="n">
        <v>30991</v>
      </c>
      <c r="T251" s="109" t="n">
        <v>92</v>
      </c>
      <c r="U251" s="109" t="n">
        <v>4.4</v>
      </c>
      <c r="V251" s="109" t="n">
        <v>9828</v>
      </c>
      <c r="W251" s="109" t="n">
        <v>119531</v>
      </c>
      <c r="X251" s="109" t="n">
        <v>0.6204180681162206</v>
      </c>
      <c r="Y251" s="109" t="n">
        <v>95</v>
      </c>
      <c r="Z251" s="109" t="n">
        <v>225</v>
      </c>
      <c r="AA251" s="109" t="n">
        <v>241</v>
      </c>
      <c r="AB251" s="109" t="n">
        <v>0.7574960547080484</v>
      </c>
      <c r="AC251" s="109" t="inlineStr">
        <is>
          <t>US DC S6</t>
        </is>
      </c>
      <c r="AD251" s="109">
        <f>'US DC S6'!BC162</f>
        <v/>
      </c>
      <c r="AE251" s="109">
        <f>'US DC S6'!BF162</f>
        <v/>
      </c>
      <c r="AF251" s="109" t="inlineStr">
        <is>
          <t>Queen</t>
        </is>
      </c>
      <c r="AG251" s="109" t="inlineStr">
        <is>
          <t>Black</t>
        </is>
      </c>
    </row>
    <row r="252">
      <c r="A252" s="109">
        <f>AND(OR(Dashboard!$C$4="All",Dashboard!$C$4=D252),OR(Dashboard!$C$5="All",Dashboard!$C$5=E252),OR(Dashboard!$C$6="All",Dashboard!$C$6=G252),OR(Dashboard!$C$7="All",Dashboard!$C$7=H252),OR(Dashboard!$C$8="All",Dashboard!$C$8=F252))</f>
        <v/>
      </c>
      <c r="B252" s="109">
        <f>IF(A252,B251+1,B251)</f>
        <v/>
      </c>
      <c r="C252" s="109" t="n">
        <v>31</v>
      </c>
      <c r="D252" s="109" t="inlineStr">
        <is>
          <t>DC S6</t>
        </is>
      </c>
      <c r="E252" s="109" t="inlineStr">
        <is>
          <t>US</t>
        </is>
      </c>
      <c r="F252" s="109" t="inlineStr">
        <is>
          <t>Satin</t>
        </is>
      </c>
      <c r="G252" s="109" t="inlineStr">
        <is>
          <t>FreshCulture</t>
        </is>
      </c>
      <c r="H252" s="109" t="inlineStr">
        <is>
          <t>Beatable</t>
        </is>
      </c>
      <c r="I252" s="109" t="inlineStr">
        <is>
          <t>Satin Sheets</t>
        </is>
      </c>
      <c r="J252" s="109" t="inlineStr">
        <is>
          <t>https://images-na.ssl-images-amazon.com/images/I/810d6GzTlfL.jpg</t>
        </is>
      </c>
      <c r="K252" s="109" t="inlineStr">
        <is>
          <t>B0D9B18P6N</t>
        </is>
      </c>
      <c r="L252" s="109" t="inlineStr">
        <is>
          <t>B0D9BD63QH</t>
        </is>
      </c>
      <c r="M252" s="109" t="n">
        <v>54</v>
      </c>
      <c r="N252" s="109" t="n">
        <v>23.99</v>
      </c>
      <c r="O252" s="109" t="n"/>
      <c r="P252" s="109">
        <f>IF(AND(ISNUMBER(O252),ISNUMBER(N252),N(N252)&gt;0),O252/N252-1,"")</f>
        <v/>
      </c>
      <c r="Q252" s="109" t="n">
        <v>31.95</v>
      </c>
      <c r="R252" s="109">
        <f>IF(AND(ISNUMBER(N252),ISNUMBER(Q252),N(Q252)&gt;0),N252/Q252-1,"")</f>
        <v/>
      </c>
      <c r="S252" s="109" t="n">
        <v>17918</v>
      </c>
      <c r="T252" s="109" t="n">
        <v>104</v>
      </c>
      <c r="U252" s="109" t="n">
        <v>4.4</v>
      </c>
      <c r="V252" s="109" t="n">
        <v>780</v>
      </c>
      <c r="W252" s="109" t="n">
        <v>99046</v>
      </c>
      <c r="X252" s="109" t="n">
        <v>0.9634387880378817</v>
      </c>
      <c r="Y252" s="109" t="n">
        <v>56</v>
      </c>
      <c r="Z252" s="109" t="n">
        <v>208</v>
      </c>
      <c r="AA252" s="109" t="n">
        <v>32</v>
      </c>
      <c r="AB252" s="109" t="n"/>
      <c r="AC252" s="109" t="inlineStr">
        <is>
          <t>US DC S6</t>
        </is>
      </c>
      <c r="AD252" s="109">
        <f>'US DC S6'!BC163</f>
        <v/>
      </c>
      <c r="AE252" s="109">
        <f>'US DC S6'!BF163</f>
        <v/>
      </c>
      <c r="AF252" s="109" t="n"/>
      <c r="AG252" s="109" t="n"/>
    </row>
    <row r="253">
      <c r="A253" s="109">
        <f>AND(OR(Dashboard!$C$4="All",Dashboard!$C$4=D253),OR(Dashboard!$C$5="All",Dashboard!$C$5=E253),OR(Dashboard!$C$6="All",Dashboard!$C$6=G253),OR(Dashboard!$C$7="All",Dashboard!$C$7=H253),OR(Dashboard!$C$8="All",Dashboard!$C$8=F253))</f>
        <v/>
      </c>
      <c r="B253" s="109">
        <f>IF(A253,B252+1,B252)</f>
        <v/>
      </c>
      <c r="C253" s="109" t="n">
        <v>31</v>
      </c>
      <c r="D253" s="109" t="inlineStr">
        <is>
          <t>DC S6</t>
        </is>
      </c>
      <c r="E253" s="109" t="inlineStr">
        <is>
          <t>US</t>
        </is>
      </c>
      <c r="F253" s="109" t="inlineStr">
        <is>
          <t>Satin</t>
        </is>
      </c>
      <c r="G253" s="109" t="inlineStr">
        <is>
          <t>P Pothuiny</t>
        </is>
      </c>
      <c r="H253" s="109" t="inlineStr">
        <is>
          <t>Beatable</t>
        </is>
      </c>
      <c r="I253" s="109" t="inlineStr">
        <is>
          <t>P Pothuiny 6-Piece Queen Satin Sheet Set Burgundy Silky Sheets</t>
        </is>
      </c>
      <c r="J253" s="109" t="inlineStr">
        <is>
          <t>https://images-na.ssl-images-amazon.com/images/I/71TbH0l5XfL.jpg</t>
        </is>
      </c>
      <c r="K253" s="109" t="inlineStr">
        <is>
          <t>B096P2MYZQ</t>
        </is>
      </c>
      <c r="L253" s="109" t="inlineStr">
        <is>
          <t>B08QMF6D5W</t>
        </is>
      </c>
      <c r="M253" s="109" t="n">
        <v>47</v>
      </c>
      <c r="N253" s="109" t="n">
        <v>26.99</v>
      </c>
      <c r="O253" s="109" t="n"/>
      <c r="P253" s="109">
        <f>IF(AND(ISNUMBER(O253),ISNUMBER(N253),N(N253)&gt;0),O253/N253-1,"")</f>
        <v/>
      </c>
      <c r="Q253" s="109" t="n">
        <v>31.95</v>
      </c>
      <c r="R253" s="109">
        <f>IF(AND(ISNUMBER(N253),ISNUMBER(Q253),N(Q253)&gt;0),N253/Q253-1,"")</f>
        <v/>
      </c>
      <c r="S253" s="109" t="n">
        <v>20031</v>
      </c>
      <c r="T253" s="109" t="n">
        <v>104</v>
      </c>
      <c r="U253" s="109" t="n">
        <v>4.4</v>
      </c>
      <c r="V253" s="109" t="n">
        <v>4031</v>
      </c>
      <c r="W253" s="109" t="n">
        <v>66544</v>
      </c>
      <c r="X253" s="109" t="n">
        <v>0.9166959214955518</v>
      </c>
      <c r="Y253" s="109" t="n">
        <v>84</v>
      </c>
      <c r="Z253" s="109" t="n">
        <v>228</v>
      </c>
      <c r="AA253" s="109" t="n">
        <v>42</v>
      </c>
      <c r="AB253" s="109" t="n">
        <v>1.171497584541063</v>
      </c>
      <c r="AC253" s="109" t="inlineStr">
        <is>
          <t>US DC S6</t>
        </is>
      </c>
      <c r="AD253" s="109">
        <f>'US DC S6'!BC164</f>
        <v/>
      </c>
      <c r="AE253" s="109">
        <f>'US DC S6'!BF164</f>
        <v/>
      </c>
      <c r="AF253" s="109" t="inlineStr">
        <is>
          <t>Queen</t>
        </is>
      </c>
      <c r="AG253" s="109" t="inlineStr">
        <is>
          <t>Burgundy</t>
        </is>
      </c>
    </row>
    <row r="254">
      <c r="A254" s="109">
        <f>AND(OR(Dashboard!$C$4="All",Dashboard!$C$4=D254),OR(Dashboard!$C$5="All",Dashboard!$C$5=E254),OR(Dashboard!$C$6="All",Dashboard!$C$6=G254),OR(Dashboard!$C$7="All",Dashboard!$C$7=H254),OR(Dashboard!$C$8="All",Dashboard!$C$8=F254))</f>
        <v/>
      </c>
      <c r="B254" s="109">
        <f>IF(A254,B253+1,B253)</f>
        <v/>
      </c>
      <c r="C254" s="109" t="n">
        <v>31</v>
      </c>
      <c r="D254" s="109" t="inlineStr">
        <is>
          <t>DC S6</t>
        </is>
      </c>
      <c r="E254" s="109" t="inlineStr">
        <is>
          <t>US</t>
        </is>
      </c>
      <c r="F254" s="109" t="inlineStr">
        <is>
          <t>Satin</t>
        </is>
      </c>
      <c r="G254" s="109" t="inlineStr">
        <is>
          <t>Bedsure</t>
        </is>
      </c>
      <c r="H254" s="109" t="inlineStr">
        <is>
          <t>Beatable</t>
        </is>
      </c>
      <c r="I254" s="109" t="inlineStr">
        <is>
          <t>Satin Sheets</t>
        </is>
      </c>
      <c r="J254" s="109" t="inlineStr">
        <is>
          <t>https://images-na.ssl-images-amazon.com/images/I/81zMSoUAMJL.jpg</t>
        </is>
      </c>
      <c r="K254" s="109" t="inlineStr">
        <is>
          <t>B0DCZYNBYS</t>
        </is>
      </c>
      <c r="L254" s="109" t="inlineStr">
        <is>
          <t>B0CJ8RYNTS</t>
        </is>
      </c>
      <c r="M254" s="109" t="n">
        <v>32</v>
      </c>
      <c r="N254" s="109" t="n">
        <v>19.99</v>
      </c>
      <c r="O254" s="109" t="n"/>
      <c r="P254" s="109">
        <f>IF(AND(ISNUMBER(O254),ISNUMBER(N254),N(N254)&gt;0),O254/N254-1,"")</f>
        <v/>
      </c>
      <c r="Q254" s="109" t="n">
        <v>31.95</v>
      </c>
      <c r="R254" s="109">
        <f>IF(AND(ISNUMBER(N254),ISNUMBER(Q254),N(Q254)&gt;0),N254/Q254-1,"")</f>
        <v/>
      </c>
      <c r="S254" s="109" t="n">
        <v>22342</v>
      </c>
      <c r="T254" s="109" t="n">
        <v>92</v>
      </c>
      <c r="U254" s="109" t="n">
        <v>4.3</v>
      </c>
      <c r="V254" s="109" t="n">
        <v>2745</v>
      </c>
      <c r="W254" s="109" t="n">
        <v>89691</v>
      </c>
      <c r="X254" s="109" t="n">
        <v>0.6850140036347012</v>
      </c>
      <c r="Y254" s="109" t="n">
        <v>79</v>
      </c>
      <c r="Z254" s="109" t="n">
        <v>220</v>
      </c>
      <c r="AA254" s="109" t="n">
        <v>181</v>
      </c>
      <c r="AB254" s="109" t="n">
        <v>1.528846153846154</v>
      </c>
      <c r="AC254" s="109" t="inlineStr">
        <is>
          <t>US DC S6</t>
        </is>
      </c>
      <c r="AD254" s="109">
        <f>'US DC S6'!BC165</f>
        <v/>
      </c>
      <c r="AE254" s="109">
        <f>'US DC S6'!BF165</f>
        <v/>
      </c>
      <c r="AF254" s="109" t="n"/>
      <c r="AG254" s="109" t="n"/>
    </row>
    <row r="255">
      <c r="A255" s="109">
        <f>AND(OR(Dashboard!$C$4="All",Dashboard!$C$4=D255),OR(Dashboard!$C$5="All",Dashboard!$C$5=E255),OR(Dashboard!$C$6="All",Dashboard!$C$6=G255),OR(Dashboard!$C$7="All",Dashboard!$C$7=H255),OR(Dashboard!$C$8="All",Dashboard!$C$8=F255))</f>
        <v/>
      </c>
      <c r="B255" s="109">
        <f>IF(A255,B254+1,B254)</f>
        <v/>
      </c>
      <c r="C255" s="109" t="n">
        <v>31</v>
      </c>
      <c r="D255" s="109" t="inlineStr">
        <is>
          <t>DC S6</t>
        </is>
      </c>
      <c r="E255" s="109" t="inlineStr">
        <is>
          <t>US</t>
        </is>
      </c>
      <c r="F255" s="109" t="inlineStr">
        <is>
          <t>Satin</t>
        </is>
      </c>
      <c r="G255" s="109" t="inlineStr">
        <is>
          <t>SiinvdaBZX</t>
        </is>
      </c>
      <c r="H255" s="109" t="inlineStr">
        <is>
          <t>Beatable</t>
        </is>
      </c>
      <c r="I255" s="109" t="inlineStr">
        <is>
          <t>SiinvdaBZX 4Pcs Satin Sheet Set Queen Size 15-Inch Deep Pocket, Beige</t>
        </is>
      </c>
      <c r="J255" s="109" t="inlineStr">
        <is>
          <t>https://images-na.ssl-images-amazon.com/images/I/71ZrkfMtWLL.jpg</t>
        </is>
      </c>
      <c r="K255" s="109" t="inlineStr">
        <is>
          <t>B0DD37S32L</t>
        </is>
      </c>
      <c r="L255" s="109" t="inlineStr">
        <is>
          <t>B08JP9DG5Z</t>
        </is>
      </c>
      <c r="M255" s="109" t="n">
        <v>96</v>
      </c>
      <c r="N255" s="109" t="n">
        <v>22.99</v>
      </c>
      <c r="O255" s="109" t="n"/>
      <c r="P255" s="109">
        <f>IF(AND(ISNUMBER(O255),ISNUMBER(N255),N(N255)&gt;0),O255/N255-1,"")</f>
        <v/>
      </c>
      <c r="Q255" s="109" t="n">
        <v>31.95</v>
      </c>
      <c r="R255" s="109">
        <f>IF(AND(ISNUMBER(N255),ISNUMBER(Q255),N(Q255)&gt;0),N255/Q255-1,"")</f>
        <v/>
      </c>
      <c r="S255" s="109" t="n">
        <v>23154</v>
      </c>
      <c r="T255" s="109" t="n">
        <v>92</v>
      </c>
      <c r="U255" s="109" t="n">
        <v>4.4</v>
      </c>
      <c r="V255" s="109" t="n">
        <v>6981</v>
      </c>
      <c r="W255" s="109" t="n">
        <v>47722</v>
      </c>
      <c r="X255" s="109" t="n">
        <v>0.8752176061355349</v>
      </c>
      <c r="Y255" s="109" t="n">
        <v>100</v>
      </c>
      <c r="Z255" s="109" t="n">
        <v>189</v>
      </c>
      <c r="AA255" s="109" t="n">
        <v>128</v>
      </c>
      <c r="AB255" s="109" t="n">
        <v>1.035928143712575</v>
      </c>
      <c r="AC255" s="109" t="inlineStr">
        <is>
          <t>US DC S6</t>
        </is>
      </c>
      <c r="AD255" s="109">
        <f>'US DC S6'!BC166</f>
        <v/>
      </c>
      <c r="AE255" s="109">
        <f>'US DC S6'!BF166</f>
        <v/>
      </c>
      <c r="AF255" s="109" t="inlineStr">
        <is>
          <t>Queen</t>
        </is>
      </c>
      <c r="AG255" s="109" t="inlineStr">
        <is>
          <t>Beige</t>
        </is>
      </c>
    </row>
    <row r="256">
      <c r="A256" s="109">
        <f>AND(OR(Dashboard!$C$4="All",Dashboard!$C$4=D256),OR(Dashboard!$C$5="All",Dashboard!$C$5=E256),OR(Dashboard!$C$6="All",Dashboard!$C$6=G256),OR(Dashboard!$C$7="All",Dashboard!$C$7=H256),OR(Dashboard!$C$8="All",Dashboard!$C$8=F256))</f>
        <v/>
      </c>
      <c r="B256" s="109">
        <f>IF(A256,B255+1,B255)</f>
        <v/>
      </c>
      <c r="C256" s="109" t="n">
        <v>31</v>
      </c>
      <c r="D256" s="109" t="inlineStr">
        <is>
          <t>DC S6</t>
        </is>
      </c>
      <c r="E256" s="109" t="inlineStr">
        <is>
          <t>US</t>
        </is>
      </c>
      <c r="F256" s="109" t="inlineStr">
        <is>
          <t>Satin</t>
        </is>
      </c>
      <c r="G256" s="109" t="inlineStr">
        <is>
          <t>GOLAL</t>
        </is>
      </c>
      <c r="H256" s="109" t="inlineStr">
        <is>
          <t>Beatable</t>
        </is>
      </c>
      <c r="I256" s="109" t="inlineStr">
        <is>
          <t>GOLAL Satin Sheets Full Size - 4 Pieces Luxury Silky Soft Bed Sheets, Wrinkle-Free Black Satin Silk Sheet Set with 1 Deep Pocket Fitted Sheet, 1 Flat Sheet, 2 Pillow Cases</t>
        </is>
      </c>
      <c r="J256" s="109" t="inlineStr">
        <is>
          <t>https://images-na.ssl-images-amazon.com/images/I/71r48b+Sh9L.jpg</t>
        </is>
      </c>
      <c r="K256" s="109" t="inlineStr">
        <is>
          <t>B0B1Q2JG5X</t>
        </is>
      </c>
      <c r="L256" s="109" t="inlineStr">
        <is>
          <t>B09G17SQXF</t>
        </is>
      </c>
      <c r="M256" s="109" t="n">
        <v>94</v>
      </c>
      <c r="N256" s="109" t="n">
        <v>21.99</v>
      </c>
      <c r="O256" s="109" t="n"/>
      <c r="P256" s="109">
        <f>IF(AND(ISNUMBER(O256),ISNUMBER(N256),N(N256)&gt;0),O256/N256-1,"")</f>
        <v/>
      </c>
      <c r="Q256" s="109" t="n">
        <v>29.95</v>
      </c>
      <c r="R256" s="109">
        <f>IF(AND(ISNUMBER(N256),ISNUMBER(Q256),N(Q256)&gt;0),N256/Q256-1,"")</f>
        <v/>
      </c>
      <c r="S256" s="109" t="n">
        <v>132024</v>
      </c>
      <c r="T256" s="109" t="n">
        <v>81</v>
      </c>
      <c r="U256" s="109" t="n">
        <v>4.4</v>
      </c>
      <c r="V256" s="109" t="n">
        <v>3943</v>
      </c>
      <c r="W256" s="109" t="n">
        <v>48561</v>
      </c>
      <c r="X256" s="109" t="n">
        <v>0.6641788183933609</v>
      </c>
      <c r="Y256" s="109" t="n">
        <v>103</v>
      </c>
      <c r="Z256" s="109" t="n">
        <v>172</v>
      </c>
      <c r="AA256" s="109" t="n">
        <v>51</v>
      </c>
      <c r="AB256" s="109" t="n">
        <v>0.8779220779220779</v>
      </c>
      <c r="AC256" s="109" t="inlineStr">
        <is>
          <t>US DC S6</t>
        </is>
      </c>
      <c r="AD256" s="109">
        <f>'US DC S6'!BC167</f>
        <v/>
      </c>
      <c r="AE256" s="109">
        <f>'US DC S6'!BF167</f>
        <v/>
      </c>
      <c r="AF256" s="109" t="inlineStr">
        <is>
          <t>Full</t>
        </is>
      </c>
      <c r="AG256" s="109" t="inlineStr">
        <is>
          <t>Black</t>
        </is>
      </c>
    </row>
    <row r="257">
      <c r="A257" s="109">
        <f>AND(OR(Dashboard!$C$4="All",Dashboard!$C$4=D257),OR(Dashboard!$C$5="All",Dashboard!$C$5=E257),OR(Dashboard!$C$6="All",Dashboard!$C$6=G257),OR(Dashboard!$C$7="All",Dashboard!$C$7=H257),OR(Dashboard!$C$8="All",Dashboard!$C$8=F257))</f>
        <v/>
      </c>
      <c r="B257" s="109">
        <f>IF(A257,B256+1,B256)</f>
        <v/>
      </c>
      <c r="C257" s="109" t="n">
        <v>31</v>
      </c>
      <c r="D257" s="109" t="inlineStr">
        <is>
          <t>DC S6</t>
        </is>
      </c>
      <c r="E257" s="109" t="inlineStr">
        <is>
          <t>US</t>
        </is>
      </c>
      <c r="F257" s="109" t="inlineStr">
        <is>
          <t>Satin</t>
        </is>
      </c>
      <c r="G257" s="109" t="inlineStr">
        <is>
          <t>Cobedzy</t>
        </is>
      </c>
      <c r="H257" s="109" t="inlineStr">
        <is>
          <t>Beatable</t>
        </is>
      </c>
      <c r="I257" s="109" t="inlineStr">
        <is>
          <t>Satin Sheets</t>
        </is>
      </c>
      <c r="J257" s="109" t="inlineStr">
        <is>
          <t>https://images-na.ssl-images-amazon.com/images/I/61QL2B3WPsL.jpg</t>
        </is>
      </c>
      <c r="K257" s="109" t="inlineStr">
        <is>
          <t>B099PPQ7T3</t>
        </is>
      </c>
      <c r="L257" s="109" t="inlineStr">
        <is>
          <t>B087CSRQQ4</t>
        </is>
      </c>
      <c r="M257" s="109" t="n">
        <v>18</v>
      </c>
      <c r="N257" s="109" t="n">
        <v>27.99</v>
      </c>
      <c r="O257" s="109" t="n"/>
      <c r="P257" s="109">
        <f>IF(AND(ISNUMBER(O257),ISNUMBER(N257),N(N257)&gt;0),O257/N257-1,"")</f>
        <v/>
      </c>
      <c r="Q257" s="109" t="n">
        <v>31.95</v>
      </c>
      <c r="R257" s="109">
        <f>IF(AND(ISNUMBER(N257),ISNUMBER(Q257),N(Q257)&gt;0),N257/Q257-1,"")</f>
        <v/>
      </c>
      <c r="S257" s="109" t="n">
        <v>68667</v>
      </c>
      <c r="T257" s="109" t="n">
        <v>35</v>
      </c>
      <c r="U257" s="109" t="n">
        <v>4.4</v>
      </c>
      <c r="V257" s="109" t="n">
        <v>2838</v>
      </c>
      <c r="W257" s="109" t="n">
        <v>21925</v>
      </c>
      <c r="X257" s="109" t="n">
        <v>0.9295306681870016</v>
      </c>
      <c r="Y257" s="109" t="n">
        <v>114</v>
      </c>
      <c r="Z257" s="109" t="n">
        <v>96</v>
      </c>
      <c r="AA257" s="109" t="n">
        <v>68</v>
      </c>
      <c r="AB257" s="109" t="n">
        <v>0.8934169278996865</v>
      </c>
      <c r="AC257" s="109" t="inlineStr">
        <is>
          <t>US DC S6</t>
        </is>
      </c>
      <c r="AD257" s="109">
        <f>'US DC S6'!BC168</f>
        <v/>
      </c>
      <c r="AE257" s="109">
        <f>'US DC S6'!BF168</f>
        <v/>
      </c>
      <c r="AF257" s="109" t="n"/>
      <c r="AG257" s="109" t="n"/>
    </row>
    <row r="258">
      <c r="A258" s="109">
        <f>AND(OR(Dashboard!$C$4="All",Dashboard!$C$4=D258),OR(Dashboard!$C$5="All",Dashboard!$C$5=E258),OR(Dashboard!$C$6="All",Dashboard!$C$6=G258),OR(Dashboard!$C$7="All",Dashboard!$C$7=H258),OR(Dashboard!$C$8="All",Dashboard!$C$8=F258))</f>
        <v/>
      </c>
      <c r="B258" s="109">
        <f>IF(A258,B257+1,B257)</f>
        <v/>
      </c>
      <c r="C258" s="109" t="n">
        <v>31</v>
      </c>
      <c r="D258" s="109" t="inlineStr">
        <is>
          <t>DC S6</t>
        </is>
      </c>
      <c r="E258" s="109" t="inlineStr">
        <is>
          <t>US</t>
        </is>
      </c>
      <c r="F258" s="109" t="inlineStr">
        <is>
          <t>Satin</t>
        </is>
      </c>
      <c r="G258" s="109" t="inlineStr">
        <is>
          <t>Horbaunal</t>
        </is>
      </c>
      <c r="H258" s="109" t="inlineStr">
        <is>
          <t>Beatable</t>
        </is>
      </c>
      <c r="I258" s="109" t="inlineStr">
        <is>
          <t>Horbaunal 6 Piece Satin Sheet Set Queen, Emerald Green Queen Bed Sheets</t>
        </is>
      </c>
      <c r="J258" s="109" t="inlineStr">
        <is>
          <t>https://images-na.ssl-images-amazon.com/images/I/813TGJ9FKjL.jpg</t>
        </is>
      </c>
      <c r="K258" s="109" t="inlineStr">
        <is>
          <t>B0B4MQCT87</t>
        </is>
      </c>
      <c r="L258" s="109" t="inlineStr">
        <is>
          <t>B0B4MQ1PP1</t>
        </is>
      </c>
      <c r="M258" s="109" t="n">
        <v>23</v>
      </c>
      <c r="N258" s="109" t="n">
        <v>28.99</v>
      </c>
      <c r="O258" s="109" t="n"/>
      <c r="P258" s="109">
        <f>IF(AND(ISNUMBER(O258),ISNUMBER(N258),N(N258)&gt;0),O258/N258-1,"")</f>
        <v/>
      </c>
      <c r="Q258" s="109" t="n">
        <v>31.95</v>
      </c>
      <c r="R258" s="109">
        <f>IF(AND(ISNUMBER(N258),ISNUMBER(Q258),N(Q258)&gt;0),N258/Q258-1,"")</f>
        <v/>
      </c>
      <c r="S258" s="109" t="n">
        <v>110638</v>
      </c>
      <c r="T258" s="109" t="n">
        <v>35</v>
      </c>
      <c r="U258" s="109" t="n">
        <v>4.4</v>
      </c>
      <c r="V258" s="109" t="n">
        <v>772</v>
      </c>
      <c r="W258" s="109" t="n"/>
      <c r="X258" s="109" t="n"/>
      <c r="Y258" s="109" t="n"/>
      <c r="Z258" s="109" t="n"/>
      <c r="AA258" s="109" t="n"/>
      <c r="AB258" s="109" t="n"/>
      <c r="AC258" s="109" t="inlineStr">
        <is>
          <t>US DC S6</t>
        </is>
      </c>
      <c r="AD258" s="109">
        <f>'US DC S6'!BC169</f>
        <v/>
      </c>
      <c r="AE258" s="109">
        <f>'US DC S6'!BF169</f>
        <v/>
      </c>
      <c r="AF258" s="109" t="inlineStr">
        <is>
          <t>Queen</t>
        </is>
      </c>
      <c r="AG258" s="109" t="inlineStr">
        <is>
          <t>Green</t>
        </is>
      </c>
    </row>
    <row r="259">
      <c r="A259" s="109">
        <f>AND(OR(Dashboard!$C$4="All",Dashboard!$C$4=D259),OR(Dashboard!$C$5="All",Dashboard!$C$5=E259),OR(Dashboard!$C$6="All",Dashboard!$C$6=G259),OR(Dashboard!$C$7="All",Dashboard!$C$7=H259),OR(Dashboard!$C$8="All",Dashboard!$C$8=F259))</f>
        <v/>
      </c>
      <c r="B259" s="109">
        <f>IF(A259,B258+1,B258)</f>
        <v/>
      </c>
      <c r="C259" s="109" t="n">
        <v>31</v>
      </c>
      <c r="D259" s="109" t="inlineStr">
        <is>
          <t>DC S6</t>
        </is>
      </c>
      <c r="E259" s="109" t="inlineStr">
        <is>
          <t>US</t>
        </is>
      </c>
      <c r="F259" s="109" t="inlineStr">
        <is>
          <t>Satin</t>
        </is>
      </c>
      <c r="G259" s="109" t="inlineStr">
        <is>
          <t>VACVELT</t>
        </is>
      </c>
      <c r="H259" s="109" t="inlineStr">
        <is>
          <t>Beatable</t>
        </is>
      </c>
      <c r="I259" s="109" t="inlineStr">
        <is>
          <t>Satin Sheets</t>
        </is>
      </c>
      <c r="J259" s="109" t="n"/>
      <c r="K259" s="109" t="inlineStr">
        <is>
          <t>B0C9T1VY8J</t>
        </is>
      </c>
      <c r="L259" s="109" t="inlineStr">
        <is>
          <t>B0C1GJZB6F</t>
        </is>
      </c>
      <c r="M259" s="109" t="n">
        <v>35</v>
      </c>
      <c r="N259" s="109" t="n">
        <v>21.99</v>
      </c>
      <c r="O259" s="109" t="n"/>
      <c r="P259" s="109">
        <f>IF(AND(ISNUMBER(O259),ISNUMBER(N259),N(N259)&gt;0),O259/N259-1,"")</f>
        <v/>
      </c>
      <c r="Q259" s="109" t="n">
        <v>31.95</v>
      </c>
      <c r="R259" s="109">
        <f>IF(AND(ISNUMBER(N259),ISNUMBER(Q259),N(Q259)&gt;0),N259/Q259-1,"")</f>
        <v/>
      </c>
      <c r="S259" s="109" t="n">
        <v>57010</v>
      </c>
      <c r="T259" s="109" t="n">
        <v>35</v>
      </c>
      <c r="U259" s="109" t="n">
        <v>4.5</v>
      </c>
      <c r="V259" s="109" t="n">
        <v>1017</v>
      </c>
      <c r="W259" s="109" t="n">
        <v>23621</v>
      </c>
      <c r="X259" s="109" t="n">
        <v>0.9628617755387157</v>
      </c>
      <c r="Y259" s="109" t="n">
        <v>146</v>
      </c>
      <c r="Z259" s="109" t="n">
        <v>106</v>
      </c>
      <c r="AA259" s="109" t="n">
        <v>23</v>
      </c>
      <c r="AB259" s="109" t="n">
        <v>1</v>
      </c>
      <c r="AC259" s="109" t="inlineStr">
        <is>
          <t>US DC S6</t>
        </is>
      </c>
      <c r="AD259" s="109">
        <f>'US DC S6'!BC170</f>
        <v/>
      </c>
      <c r="AE259" s="109">
        <f>'US DC S6'!BF170</f>
        <v/>
      </c>
      <c r="AF259" s="109" t="n"/>
      <c r="AG259" s="109" t="n"/>
    </row>
    <row r="260">
      <c r="A260" s="109">
        <f>AND(OR(Dashboard!$C$4="All",Dashboard!$C$4=D260),OR(Dashboard!$C$5="All",Dashboard!$C$5=E260),OR(Dashboard!$C$6="All",Dashboard!$C$6=G260),OR(Dashboard!$C$7="All",Dashboard!$C$7=H260),OR(Dashboard!$C$8="All",Dashboard!$C$8=F260))</f>
        <v/>
      </c>
      <c r="B260" s="109">
        <f>IF(A260,B259+1,B259)</f>
        <v/>
      </c>
      <c r="C260" s="109" t="n">
        <v>31</v>
      </c>
      <c r="D260" s="109" t="inlineStr">
        <is>
          <t>DC S6</t>
        </is>
      </c>
      <c r="E260" s="109" t="inlineStr">
        <is>
          <t>US</t>
        </is>
      </c>
      <c r="F260" s="109" t="inlineStr">
        <is>
          <t>Satin</t>
        </is>
      </c>
      <c r="G260" s="109" t="inlineStr">
        <is>
          <t>Homiest</t>
        </is>
      </c>
      <c r="H260" s="109" t="inlineStr">
        <is>
          <t>Beatable</t>
        </is>
      </c>
      <c r="I260" s="109" t="inlineStr">
        <is>
          <t>Satin Sheets</t>
        </is>
      </c>
      <c r="J260" s="109" t="n"/>
      <c r="K260" s="109" t="inlineStr">
        <is>
          <t>B0DYJKM99H</t>
        </is>
      </c>
      <c r="L260" s="109" t="inlineStr">
        <is>
          <t>B0DYJHHJQL</t>
        </is>
      </c>
      <c r="M260" s="109" t="n"/>
      <c r="N260" s="109" t="n">
        <v>27.99</v>
      </c>
      <c r="O260" s="109" t="n"/>
      <c r="P260" s="109">
        <f>IF(AND(ISNUMBER(O260),ISNUMBER(N260),N(N260)&gt;0),O260/N260-1,"")</f>
        <v/>
      </c>
      <c r="Q260" s="109" t="n">
        <v>31.95</v>
      </c>
      <c r="R260" s="109">
        <f>IF(AND(ISNUMBER(N260),ISNUMBER(Q260),N(Q260)&gt;0),N260/Q260-1,"")</f>
        <v/>
      </c>
      <c r="S260" s="109" t="n">
        <v>89437</v>
      </c>
      <c r="T260" s="109" t="n">
        <v>18</v>
      </c>
      <c r="U260" s="109" t="n">
        <v>4.5</v>
      </c>
      <c r="V260" s="109" t="n">
        <v>205</v>
      </c>
      <c r="W260" s="109" t="n"/>
      <c r="X260" s="109" t="n"/>
      <c r="Y260" s="109" t="n"/>
      <c r="Z260" s="109" t="n"/>
      <c r="AA260" s="109" t="n"/>
      <c r="AB260" s="109" t="n"/>
      <c r="AC260" s="109" t="inlineStr">
        <is>
          <t>US DC S6</t>
        </is>
      </c>
      <c r="AD260" s="109">
        <f>'US DC S6'!BC171</f>
        <v/>
      </c>
      <c r="AE260" s="109">
        <f>'US DC S6'!BF171</f>
        <v/>
      </c>
      <c r="AF260" s="109" t="n"/>
      <c r="AG260" s="109" t="n"/>
    </row>
    <row r="261">
      <c r="A261" s="109">
        <f>AND(OR(Dashboard!$C$4="All",Dashboard!$C$4=D261),OR(Dashboard!$C$5="All",Dashboard!$C$5=E261),OR(Dashboard!$C$6="All",Dashboard!$C$6=G261),OR(Dashboard!$C$7="All",Dashboard!$C$7=H261),OR(Dashboard!$C$8="All",Dashboard!$C$8=F261))</f>
        <v/>
      </c>
      <c r="B261" s="109">
        <f>IF(A261,B260+1,B260)</f>
        <v/>
      </c>
      <c r="C261" s="109" t="n">
        <v>31</v>
      </c>
      <c r="D261" s="109" t="inlineStr">
        <is>
          <t>DC S6</t>
        </is>
      </c>
      <c r="E261" s="109" t="inlineStr">
        <is>
          <t>US</t>
        </is>
      </c>
      <c r="F261" s="109" t="inlineStr">
        <is>
          <t>Satin</t>
        </is>
      </c>
      <c r="G261" s="109" t="inlineStr">
        <is>
          <t>HommxJF</t>
        </is>
      </c>
      <c r="H261" s="109" t="inlineStr">
        <is>
          <t>Beatable</t>
        </is>
      </c>
      <c r="I261" s="109" t="inlineStr">
        <is>
          <t>Satin Sheets</t>
        </is>
      </c>
      <c r="J261" s="109" t="n"/>
      <c r="K261" s="109" t="inlineStr">
        <is>
          <t>B0BJZT93SL</t>
        </is>
      </c>
      <c r="L261" s="109" t="inlineStr">
        <is>
          <t>B09V52BVJB</t>
        </is>
      </c>
      <c r="M261" s="109" t="n">
        <v>32</v>
      </c>
      <c r="N261" s="109" t="n">
        <v>24.99</v>
      </c>
      <c r="O261" s="109" t="n"/>
      <c r="P261" s="109">
        <f>IF(AND(ISNUMBER(O261),ISNUMBER(N261),N(N261)&gt;0),O261/N261-1,"")</f>
        <v/>
      </c>
      <c r="Q261" s="109" t="n">
        <v>31.95</v>
      </c>
      <c r="R261" s="109">
        <f>IF(AND(ISNUMBER(N261),ISNUMBER(Q261),N(Q261)&gt;0),N261/Q261-1,"")</f>
        <v/>
      </c>
      <c r="S261" s="109" t="n">
        <v>180867</v>
      </c>
      <c r="T261" s="109" t="n">
        <v>18</v>
      </c>
      <c r="U261" s="109" t="n">
        <v>4.3</v>
      </c>
      <c r="V261" s="109" t="n">
        <v>1032</v>
      </c>
      <c r="W261" s="109" t="n">
        <v>16567</v>
      </c>
      <c r="X261" s="109" t="n">
        <v>0.8554338745699279</v>
      </c>
      <c r="Y261" s="109" t="n">
        <v>142</v>
      </c>
      <c r="Z261" s="109" t="n">
        <v>79</v>
      </c>
      <c r="AA261" s="109" t="n">
        <v>63</v>
      </c>
      <c r="AB261" s="109" t="n">
        <v>1.017857142857143</v>
      </c>
      <c r="AC261" s="109" t="inlineStr">
        <is>
          <t>US DC S6</t>
        </is>
      </c>
      <c r="AD261" s="109">
        <f>'US DC S6'!BC172</f>
        <v/>
      </c>
      <c r="AE261" s="109">
        <f>'US DC S6'!BF172</f>
        <v/>
      </c>
      <c r="AF261" s="109" t="n"/>
      <c r="AG261" s="109" t="n"/>
    </row>
    <row r="262">
      <c r="A262" s="109">
        <f>AND(OR(Dashboard!$C$4="All",Dashboard!$C$4=D262),OR(Dashboard!$C$5="All",Dashboard!$C$5=E262),OR(Dashboard!$C$6="All",Dashboard!$C$6=G262),OR(Dashboard!$C$7="All",Dashboard!$C$7=H262),OR(Dashboard!$C$8="All",Dashboard!$C$8=F262))</f>
        <v/>
      </c>
      <c r="B262" s="109">
        <f>IF(A262,B261+1,B261)</f>
        <v/>
      </c>
      <c r="C262" s="109" t="n">
        <v>31</v>
      </c>
      <c r="D262" s="109" t="inlineStr">
        <is>
          <t>DC S6</t>
        </is>
      </c>
      <c r="E262" s="109" t="inlineStr">
        <is>
          <t>US</t>
        </is>
      </c>
      <c r="F262" s="109" t="inlineStr">
        <is>
          <t>Satin</t>
        </is>
      </c>
      <c r="G262" s="109" t="inlineStr">
        <is>
          <t>LIFCOM</t>
        </is>
      </c>
      <c r="H262" s="109" t="inlineStr">
        <is>
          <t>Beatable</t>
        </is>
      </c>
      <c r="I262" s="109" t="inlineStr">
        <is>
          <t>LIFCOM Satin Sheets Queen,4Pcs Bed Set with 15" Deep Pocket,Brown</t>
        </is>
      </c>
      <c r="J262" s="109" t="inlineStr">
        <is>
          <t>https://images-na.ssl-images-amazon.com/images/I/71eq-pAu2pL.jpg</t>
        </is>
      </c>
      <c r="K262" s="109" t="inlineStr">
        <is>
          <t>B0DBVYL693</t>
        </is>
      </c>
      <c r="L262" s="109" t="inlineStr">
        <is>
          <t>B0DCC78S4N</t>
        </is>
      </c>
      <c r="M262" s="109" t="n">
        <v>73</v>
      </c>
      <c r="N262" s="109" t="n">
        <v>23.99</v>
      </c>
      <c r="O262" s="109" t="n"/>
      <c r="P262" s="109">
        <f>IF(AND(ISNUMBER(O262),ISNUMBER(N262),N(N262)&gt;0),O262/N262-1,"")</f>
        <v/>
      </c>
      <c r="Q262" s="109" t="n">
        <v>31.95</v>
      </c>
      <c r="R262" s="109">
        <f>IF(AND(ISNUMBER(N262),ISNUMBER(Q262),N(Q262)&gt;0),N262/Q262-1,"")</f>
        <v/>
      </c>
      <c r="S262" s="109" t="n">
        <v>96002</v>
      </c>
      <c r="T262" s="109" t="n">
        <v>18</v>
      </c>
      <c r="U262" s="109" t="n">
        <v>4.2</v>
      </c>
      <c r="V262" s="109" t="n">
        <v>361</v>
      </c>
      <c r="W262" s="109" t="n">
        <v>23278</v>
      </c>
      <c r="X262" s="109" t="n">
        <v>0.4926462797491192</v>
      </c>
      <c r="Y262" s="109" t="n">
        <v>169</v>
      </c>
      <c r="Z262" s="109" t="n">
        <v>72</v>
      </c>
      <c r="AA262" s="109" t="n">
        <v>70</v>
      </c>
      <c r="AB262" s="109" t="n">
        <v>0.5539772727272727</v>
      </c>
      <c r="AC262" s="109" t="inlineStr">
        <is>
          <t>US DC S6</t>
        </is>
      </c>
      <c r="AD262" s="109">
        <f>'US DC S6'!BC173</f>
        <v/>
      </c>
      <c r="AE262" s="109">
        <f>'US DC S6'!BF173</f>
        <v/>
      </c>
      <c r="AF262" s="109" t="inlineStr">
        <is>
          <t>Queen</t>
        </is>
      </c>
      <c r="AG262" s="109" t="inlineStr">
        <is>
          <t>Brown</t>
        </is>
      </c>
    </row>
    <row r="263">
      <c r="A263" s="109">
        <f>AND(OR(Dashboard!$C$4="All",Dashboard!$C$4=D263),OR(Dashboard!$C$5="All",Dashboard!$C$5=E263),OR(Dashboard!$C$6="All",Dashboard!$C$6=G263),OR(Dashboard!$C$7="All",Dashboard!$C$7=H263),OR(Dashboard!$C$8="All",Dashboard!$C$8=F263))</f>
        <v/>
      </c>
      <c r="B263" s="109">
        <f>IF(A263,B262+1,B262)</f>
        <v/>
      </c>
      <c r="C263" s="109" t="n">
        <v>31</v>
      </c>
      <c r="D263" s="109" t="inlineStr">
        <is>
          <t>DC S6</t>
        </is>
      </c>
      <c r="E263" s="109" t="inlineStr">
        <is>
          <t>US</t>
        </is>
      </c>
      <c r="F263" s="109" t="inlineStr">
        <is>
          <t>Satin</t>
        </is>
      </c>
      <c r="G263" s="109" t="inlineStr">
        <is>
          <t>Madison Park</t>
        </is>
      </c>
      <c r="H263" s="109" t="inlineStr">
        <is>
          <t>Beatable</t>
        </is>
      </c>
      <c r="I263" s="109" t="inlineStr">
        <is>
          <t>Satin Sheets</t>
        </is>
      </c>
      <c r="J263" s="109" t="inlineStr">
        <is>
          <t>https://images-na.ssl-images-amazon.com/images/I/81HS7e6wrTL.jpg</t>
        </is>
      </c>
      <c r="K263" s="109" t="inlineStr">
        <is>
          <t>B0DJ2HJ9M4</t>
        </is>
      </c>
      <c r="L263" s="109" t="inlineStr">
        <is>
          <t>B09HVCPNLX</t>
        </is>
      </c>
      <c r="M263" s="109" t="n">
        <v>44</v>
      </c>
      <c r="N263" s="109" t="n">
        <v>26.99</v>
      </c>
      <c r="O263" s="109" t="n"/>
      <c r="P263" s="109">
        <f>IF(AND(ISNUMBER(O263),ISNUMBER(N263),N(N263)&gt;0),O263/N263-1,"")</f>
        <v/>
      </c>
      <c r="Q263" s="109" t="n">
        <v>31.95</v>
      </c>
      <c r="R263" s="109">
        <f>IF(AND(ISNUMBER(N263),ISNUMBER(Q263),N(Q263)&gt;0),N263/Q263-1,"")</f>
        <v/>
      </c>
      <c r="S263" s="109" t="n">
        <v>76753</v>
      </c>
      <c r="T263" s="109" t="n">
        <v>18</v>
      </c>
      <c r="U263" s="109" t="n">
        <v>4.5</v>
      </c>
      <c r="V263" s="109" t="n">
        <v>127</v>
      </c>
      <c r="W263" s="109" t="n">
        <v>35631</v>
      </c>
      <c r="X263" s="109" t="n">
        <v>0.9497345738261626</v>
      </c>
      <c r="Y263" s="109" t="n">
        <v>123</v>
      </c>
      <c r="Z263" s="109" t="n">
        <v>105</v>
      </c>
      <c r="AA263" s="109" t="n">
        <v>20</v>
      </c>
      <c r="AB263" s="109" t="n">
        <v>0.6901408450704226</v>
      </c>
      <c r="AC263" s="109" t="inlineStr">
        <is>
          <t>US DC S6</t>
        </is>
      </c>
      <c r="AD263" s="109">
        <f>'US DC S6'!BC174</f>
        <v/>
      </c>
      <c r="AE263" s="109">
        <f>'US DC S6'!BF174</f>
        <v/>
      </c>
      <c r="AF263" s="109" t="n"/>
      <c r="AG263" s="109" t="n"/>
    </row>
    <row r="264">
      <c r="A264" s="109">
        <f>AND(OR(Dashboard!$C$4="All",Dashboard!$C$4=D264),OR(Dashboard!$C$5="All",Dashboard!$C$5=E264),OR(Dashboard!$C$6="All",Dashboard!$C$6=G264),OR(Dashboard!$C$7="All",Dashboard!$C$7=H264),OR(Dashboard!$C$8="All",Dashboard!$C$8=F264))</f>
        <v/>
      </c>
      <c r="B264" s="109">
        <f>IF(A264,B263+1,B263)</f>
        <v/>
      </c>
      <c r="C264" s="109" t="n">
        <v>31</v>
      </c>
      <c r="D264" s="109" t="inlineStr">
        <is>
          <t>DC S6</t>
        </is>
      </c>
      <c r="E264" s="109" t="inlineStr">
        <is>
          <t>US</t>
        </is>
      </c>
      <c r="F264" s="109" t="inlineStr">
        <is>
          <t>Satin</t>
        </is>
      </c>
      <c r="G264" s="109" t="inlineStr">
        <is>
          <t>MK Home</t>
        </is>
      </c>
      <c r="H264" s="109" t="inlineStr">
        <is>
          <t>Beatable</t>
        </is>
      </c>
      <c r="I264" s="109" t="inlineStr">
        <is>
          <t>Satin Sheets</t>
        </is>
      </c>
      <c r="J264" s="109" t="n"/>
      <c r="K264" s="109" t="inlineStr">
        <is>
          <t>B07H522QXD</t>
        </is>
      </c>
      <c r="L264" s="109" t="inlineStr">
        <is>
          <t>B07FGFRZ94</t>
        </is>
      </c>
      <c r="M264" s="109" t="n"/>
      <c r="N264" s="109" t="n">
        <v>18.99</v>
      </c>
      <c r="O264" s="109" t="n"/>
      <c r="P264" s="109">
        <f>IF(AND(ISNUMBER(O264),ISNUMBER(N264),N(N264)&gt;0),O264/N264-1,"")</f>
        <v/>
      </c>
      <c r="Q264" s="109" t="n">
        <v>31.95</v>
      </c>
      <c r="R264" s="109">
        <f>IF(AND(ISNUMBER(N264),ISNUMBER(Q264),N(Q264)&gt;0),N264/Q264-1,"")</f>
        <v/>
      </c>
      <c r="S264" s="109" t="n">
        <v>59039</v>
      </c>
      <c r="T264" s="109" t="n">
        <v>18</v>
      </c>
      <c r="U264" s="109" t="n">
        <v>4.3</v>
      </c>
      <c r="V264" s="109" t="n">
        <v>10761</v>
      </c>
      <c r="W264" s="109" t="n"/>
      <c r="X264" s="109" t="n"/>
      <c r="Y264" s="109" t="n"/>
      <c r="Z264" s="109" t="n"/>
      <c r="AA264" s="109" t="n"/>
      <c r="AB264" s="109" t="n"/>
      <c r="AC264" s="109" t="inlineStr">
        <is>
          <t>US DC S6</t>
        </is>
      </c>
      <c r="AD264" s="109">
        <f>'US DC S6'!BC175</f>
        <v/>
      </c>
      <c r="AE264" s="109">
        <f>'US DC S6'!BF175</f>
        <v/>
      </c>
      <c r="AF264" s="109" t="n"/>
      <c r="AG264" s="109" t="n"/>
    </row>
    <row r="265">
      <c r="A265" s="109">
        <f>AND(OR(Dashboard!$C$4="All",Dashboard!$C$4=D265),OR(Dashboard!$C$5="All",Dashboard!$C$5=E265),OR(Dashboard!$C$6="All",Dashboard!$C$6=G265),OR(Dashboard!$C$7="All",Dashboard!$C$7=H265),OR(Dashboard!$C$8="All",Dashboard!$C$8=F265))</f>
        <v/>
      </c>
      <c r="B265" s="109">
        <f>IF(A265,B264+1,B264)</f>
        <v/>
      </c>
      <c r="C265" s="109" t="n">
        <v>31</v>
      </c>
      <c r="D265" s="109" t="inlineStr">
        <is>
          <t>DC S6</t>
        </is>
      </c>
      <c r="E265" s="109" t="inlineStr">
        <is>
          <t>US</t>
        </is>
      </c>
      <c r="F265" s="109" t="inlineStr">
        <is>
          <t>Satin</t>
        </is>
      </c>
      <c r="G265" s="109" t="inlineStr">
        <is>
          <t>Homiest</t>
        </is>
      </c>
      <c r="H265" s="109" t="inlineStr">
        <is>
          <t>Beatable</t>
        </is>
      </c>
      <c r="I265" s="109" t="inlineStr">
        <is>
          <t>Satin Sheets</t>
        </is>
      </c>
      <c r="J265" s="109" t="inlineStr">
        <is>
          <t>https://images-na.ssl-images-amazon.com/images/I/71Upo7a638S.jpg</t>
        </is>
      </c>
      <c r="K265" s="109" t="inlineStr">
        <is>
          <t>B07XBR22W1</t>
        </is>
      </c>
      <c r="L265" s="109" t="inlineStr">
        <is>
          <t>B0B5Z2B9NN</t>
        </is>
      </c>
      <c r="M265" s="109" t="n">
        <v>70</v>
      </c>
      <c r="N265" s="109" t="n">
        <v>21.99</v>
      </c>
      <c r="O265" s="109" t="n">
        <v>25.99</v>
      </c>
      <c r="P265" s="109">
        <f>IF(AND(ISNUMBER(O265),ISNUMBER(N265),N(N265)&gt;0),O265/N265-1,"")</f>
        <v/>
      </c>
      <c r="Q265" s="109" t="n">
        <v>31.95</v>
      </c>
      <c r="R265" s="109">
        <f>IF(AND(ISNUMBER(N265),ISNUMBER(Q265),N(Q265)&gt;0),N265/Q265-1,"")</f>
        <v/>
      </c>
      <c r="S265" s="109" t="n">
        <v>28165</v>
      </c>
      <c r="T265" s="109" t="n">
        <v>5</v>
      </c>
      <c r="U265" s="109" t="n">
        <v>4.4</v>
      </c>
      <c r="V265" s="109" t="n">
        <v>12125</v>
      </c>
      <c r="W265" s="109" t="n">
        <v>20002</v>
      </c>
      <c r="X265" s="109" t="n">
        <v>1</v>
      </c>
      <c r="Y265" s="109" t="n">
        <v>167</v>
      </c>
      <c r="Z265" s="109" t="n">
        <v>102</v>
      </c>
      <c r="AA265" s="109" t="n">
        <v>0</v>
      </c>
      <c r="AB265" s="109" t="n"/>
      <c r="AC265" s="109" t="inlineStr">
        <is>
          <t>US DC S6</t>
        </is>
      </c>
      <c r="AD265" s="109">
        <f>'US DC S6'!BC176</f>
        <v/>
      </c>
      <c r="AE265" s="109">
        <f>'US DC S6'!BF176</f>
        <v/>
      </c>
      <c r="AF265" s="109" t="n"/>
      <c r="AG265" s="109" t="n"/>
    </row>
    <row r="266">
      <c r="A266" s="109">
        <f>AND(OR(Dashboard!$C$4="All",Dashboard!$C$4=D266),OR(Dashboard!$C$5="All",Dashboard!$C$5=E266),OR(Dashboard!$C$6="All",Dashboard!$C$6=G266),OR(Dashboard!$C$7="All",Dashboard!$C$7=H266),OR(Dashboard!$C$8="All",Dashboard!$C$8=F266))</f>
        <v/>
      </c>
      <c r="B266" s="109">
        <f>IF(A266,B265+1,B265)</f>
        <v/>
      </c>
      <c r="C266" s="109" t="n">
        <v>31</v>
      </c>
      <c r="D266" s="109" t="inlineStr">
        <is>
          <t>DC S6</t>
        </is>
      </c>
      <c r="E266" s="109" t="inlineStr">
        <is>
          <t>US</t>
        </is>
      </c>
      <c r="F266" s="109" t="inlineStr">
        <is>
          <t>Satin</t>
        </is>
      </c>
      <c r="G266" s="109" t="inlineStr">
        <is>
          <t>Manyshofu</t>
        </is>
      </c>
      <c r="H266" s="109" t="inlineStr">
        <is>
          <t>Beatable</t>
        </is>
      </c>
      <c r="I266" s="109" t="inlineStr">
        <is>
          <t>Satin Sheets</t>
        </is>
      </c>
      <c r="J266" s="109" t="n"/>
      <c r="K266" s="109" t="inlineStr">
        <is>
          <t>B09YQW7HBK</t>
        </is>
      </c>
      <c r="L266" s="109" t="inlineStr">
        <is>
          <t>B09S5RNLN9</t>
        </is>
      </c>
      <c r="M266" s="109" t="n"/>
      <c r="N266" s="109" t="n">
        <v>28.99</v>
      </c>
      <c r="O266" s="109" t="n"/>
      <c r="P266" s="109">
        <f>IF(AND(ISNUMBER(O266),ISNUMBER(N266),N(N266)&gt;0),O266/N266-1,"")</f>
        <v/>
      </c>
      <c r="Q266" s="109" t="n">
        <v>31.95</v>
      </c>
      <c r="R266" s="109">
        <f>IF(AND(ISNUMBER(N266),ISNUMBER(Q266),N(Q266)&gt;0),N266/Q266-1,"")</f>
        <v/>
      </c>
      <c r="S266" s="109" t="n">
        <v>300374</v>
      </c>
      <c r="T266" s="109" t="n">
        <v>5</v>
      </c>
      <c r="U266" s="109" t="n">
        <v>4.3</v>
      </c>
      <c r="V266" s="109" t="n">
        <v>907</v>
      </c>
      <c r="W266" s="109" t="n"/>
      <c r="X266" s="109" t="n"/>
      <c r="Y266" s="109" t="n"/>
      <c r="Z266" s="109" t="n"/>
      <c r="AA266" s="109" t="n"/>
      <c r="AB266" s="109" t="n"/>
      <c r="AC266" s="109" t="inlineStr">
        <is>
          <t>US DC S6</t>
        </is>
      </c>
      <c r="AD266" s="109">
        <f>'US DC S6'!BC177</f>
        <v/>
      </c>
      <c r="AE266" s="109">
        <f>'US DC S6'!BF177</f>
        <v/>
      </c>
      <c r="AF266" s="109" t="n"/>
      <c r="AG266" s="109" t="n"/>
    </row>
    <row r="267">
      <c r="A267" s="109">
        <f>AND(OR(Dashboard!$C$4="All",Dashboard!$C$4=D267),OR(Dashboard!$C$5="All",Dashboard!$C$5=E267),OR(Dashboard!$C$6="All",Dashboard!$C$6=G267),OR(Dashboard!$C$7="All",Dashboard!$C$7=H267),OR(Dashboard!$C$8="All",Dashboard!$C$8=F267))</f>
        <v/>
      </c>
      <c r="B267" s="109">
        <f>IF(A267,B266+1,B266)</f>
        <v/>
      </c>
      <c r="C267" s="109" t="n">
        <v>31</v>
      </c>
      <c r="D267" s="109" t="inlineStr">
        <is>
          <t>DC S6</t>
        </is>
      </c>
      <c r="E267" s="109" t="inlineStr">
        <is>
          <t>US</t>
        </is>
      </c>
      <c r="F267" s="109" t="inlineStr">
        <is>
          <t>Satin</t>
        </is>
      </c>
      <c r="G267" s="109" t="inlineStr">
        <is>
          <t>Martex</t>
        </is>
      </c>
      <c r="H267" s="109" t="inlineStr">
        <is>
          <t>Beatable</t>
        </is>
      </c>
      <c r="I267" s="109" t="inlineStr">
        <is>
          <t>Satin Sheets</t>
        </is>
      </c>
      <c r="J267" s="109" t="n"/>
      <c r="K267" s="109" t="inlineStr">
        <is>
          <t>B0DLGX8P9D</t>
        </is>
      </c>
      <c r="L267" s="109" t="inlineStr">
        <is>
          <t>B07X49LFDC</t>
        </is>
      </c>
      <c r="M267" s="109" t="n"/>
      <c r="N267" s="109" t="n">
        <v>25.99</v>
      </c>
      <c r="O267" s="109" t="n"/>
      <c r="P267" s="109">
        <f>IF(AND(ISNUMBER(O267),ISNUMBER(N267),N(N267)&gt;0),O267/N267-1,"")</f>
        <v/>
      </c>
      <c r="Q267" s="109" t="n">
        <v>31.95</v>
      </c>
      <c r="R267" s="109">
        <f>IF(AND(ISNUMBER(N267),ISNUMBER(Q267),N(Q267)&gt;0),N267/Q267-1,"")</f>
        <v/>
      </c>
      <c r="S267" s="109" t="n">
        <v>52458</v>
      </c>
      <c r="T267" s="109" t="n">
        <v>5</v>
      </c>
      <c r="U267" s="109" t="n">
        <v>4.3</v>
      </c>
      <c r="V267" s="109" t="n">
        <v>2260</v>
      </c>
      <c r="W267" s="109" t="n"/>
      <c r="X267" s="109" t="n"/>
      <c r="Y267" s="109" t="n"/>
      <c r="Z267" s="109" t="n"/>
      <c r="AA267" s="109" t="n"/>
      <c r="AB267" s="109" t="n"/>
      <c r="AC267" s="109" t="inlineStr">
        <is>
          <t>US DC S6</t>
        </is>
      </c>
      <c r="AD267" s="109">
        <f>'US DC S6'!BC178</f>
        <v/>
      </c>
      <c r="AE267" s="109">
        <f>'US DC S6'!BF178</f>
        <v/>
      </c>
      <c r="AF267" s="109" t="n"/>
      <c r="AG267" s="109" t="n"/>
    </row>
    <row r="268">
      <c r="A268" s="109">
        <f>AND(OR(Dashboard!$C$4="All",Dashboard!$C$4=D268),OR(Dashboard!$C$5="All",Dashboard!$C$5=E268),OR(Dashboard!$C$6="All",Dashboard!$C$6=G268),OR(Dashboard!$C$7="All",Dashboard!$C$7=H268),OR(Dashboard!$C$8="All",Dashboard!$C$8=F268))</f>
        <v/>
      </c>
      <c r="B268" s="109">
        <f>IF(A268,B267+1,B267)</f>
        <v/>
      </c>
      <c r="C268" s="109" t="n">
        <v>31</v>
      </c>
      <c r="D268" s="109" t="inlineStr">
        <is>
          <t>DC S6</t>
        </is>
      </c>
      <c r="E268" s="109" t="inlineStr">
        <is>
          <t>US</t>
        </is>
      </c>
      <c r="F268" s="109" t="inlineStr">
        <is>
          <t>Satin</t>
        </is>
      </c>
      <c r="G268" s="109" t="inlineStr">
        <is>
          <t>Vonty</t>
        </is>
      </c>
      <c r="H268" s="109" t="inlineStr">
        <is>
          <t>Poor</t>
        </is>
      </c>
      <c r="I268" s="109" t="inlineStr">
        <is>
          <t>Satin Sheets</t>
        </is>
      </c>
      <c r="J268" s="109" t="n"/>
      <c r="K268" s="109" t="inlineStr">
        <is>
          <t>B0BDDJM9RW</t>
        </is>
      </c>
      <c r="L268" s="109" t="inlineStr">
        <is>
          <t>B0BDDGJ38X</t>
        </is>
      </c>
      <c r="M268" s="109" t="n">
        <v>22</v>
      </c>
      <c r="N268" s="109" t="n">
        <v>30.99</v>
      </c>
      <c r="O268" s="109" t="n"/>
      <c r="P268" s="109">
        <f>IF(AND(ISNUMBER(O268),ISNUMBER(N268),N(N268)&gt;0),O268/N268-1,"")</f>
        <v/>
      </c>
      <c r="Q268" s="109" t="n">
        <v>31.95</v>
      </c>
      <c r="R268" s="109">
        <f>IF(AND(ISNUMBER(N268),ISNUMBER(Q268),N(Q268)&gt;0),N268/Q268-1,"")</f>
        <v/>
      </c>
      <c r="S268" s="109" t="n">
        <v>83620</v>
      </c>
      <c r="T268" s="109" t="n">
        <v>35</v>
      </c>
      <c r="U268" s="109" t="n">
        <v>4.2</v>
      </c>
      <c r="V268" s="109" t="n">
        <v>909</v>
      </c>
      <c r="W268" s="109" t="n">
        <v>11441</v>
      </c>
      <c r="X268" s="109" t="n">
        <v>0.9484301110042829</v>
      </c>
      <c r="Y268" s="109" t="n">
        <v>141</v>
      </c>
      <c r="Z268" s="109" t="n">
        <v>42</v>
      </c>
      <c r="AA268" s="109" t="n">
        <v>15</v>
      </c>
      <c r="AB268" s="109" t="n">
        <v>0.9861111111111112</v>
      </c>
      <c r="AC268" s="109" t="inlineStr">
        <is>
          <t>US DC S6</t>
        </is>
      </c>
      <c r="AD268" s="109">
        <f>'US DC S6'!BC179</f>
        <v/>
      </c>
      <c r="AE268" s="109">
        <f>'US DC S6'!BF179</f>
        <v/>
      </c>
      <c r="AF268" s="109" t="n"/>
      <c r="AG268" s="109" t="n"/>
    </row>
    <row r="269">
      <c r="A269" s="109">
        <f>AND(OR(Dashboard!$C$4="All",Dashboard!$C$4=D269),OR(Dashboard!$C$5="All",Dashboard!$C$5=E269),OR(Dashboard!$C$6="All",Dashboard!$C$6=G269),OR(Dashboard!$C$7="All",Dashboard!$C$7=H269),OR(Dashboard!$C$8="All",Dashboard!$C$8=F269))</f>
        <v/>
      </c>
      <c r="B269" s="109">
        <f>IF(A269,B268+1,B268)</f>
        <v/>
      </c>
      <c r="C269" s="109" t="n">
        <v>31</v>
      </c>
      <c r="D269" s="109" t="inlineStr">
        <is>
          <t>DC S6</t>
        </is>
      </c>
      <c r="E269" s="109" t="inlineStr">
        <is>
          <t>US</t>
        </is>
      </c>
      <c r="F269" s="109" t="inlineStr">
        <is>
          <t>Satin</t>
        </is>
      </c>
      <c r="G269" s="109" t="inlineStr"/>
      <c r="H269" s="109" t="inlineStr">
        <is>
          <t>Poor</t>
        </is>
      </c>
      <c r="I269" s="109" t="inlineStr">
        <is>
          <t>Juicy Couture Queen Size Satin Bed Sheet Set, Deep Pocket Silky Satin Queen Shee</t>
        </is>
      </c>
      <c r="J269" s="109" t="inlineStr">
        <is>
          <t>https://images-na.ssl-images-amazon.com/images/I/81M3kmoCTLL.jpg</t>
        </is>
      </c>
      <c r="K269" s="109" t="inlineStr">
        <is>
          <t>B0FB47M9WR</t>
        </is>
      </c>
      <c r="L269" s="109" t="inlineStr">
        <is>
          <t>B0BK1WH383</t>
        </is>
      </c>
      <c r="M269" s="109" t="n">
        <v>58</v>
      </c>
      <c r="N269" s="109" t="n">
        <v>5.93</v>
      </c>
      <c r="O269" s="109" t="n"/>
      <c r="P269" s="109">
        <f>IF(AND(ISNUMBER(O269),ISNUMBER(N269),N(N269)&gt;0),O269/N269-1,"")</f>
        <v/>
      </c>
      <c r="Q269" s="109" t="n">
        <v>31.95</v>
      </c>
      <c r="R269" s="109">
        <f>IF(AND(ISNUMBER(N269),ISNUMBER(Q269),N(Q269)&gt;0),N269/Q269-1,"")</f>
        <v/>
      </c>
      <c r="S269" s="109" t="n">
        <v>80060</v>
      </c>
      <c r="T269" s="109" t="n">
        <v>5</v>
      </c>
      <c r="U269" s="109" t="n">
        <v>4.6</v>
      </c>
      <c r="V269" s="109" t="n">
        <v>46</v>
      </c>
      <c r="W269" s="109" t="n">
        <v>41904</v>
      </c>
      <c r="X269" s="109" t="n">
        <v>0.8273237471363115</v>
      </c>
      <c r="Y269" s="109" t="n">
        <v>149</v>
      </c>
      <c r="Z269" s="109" t="n">
        <v>91</v>
      </c>
      <c r="AA269" s="109" t="n">
        <v>134</v>
      </c>
      <c r="AB269" s="109" t="n"/>
      <c r="AC269" s="109" t="inlineStr">
        <is>
          <t>US DC S6</t>
        </is>
      </c>
      <c r="AD269" s="109">
        <f>'US DC S6'!BC180</f>
        <v/>
      </c>
      <c r="AE269" s="109">
        <f>'US DC S6'!BF180</f>
        <v/>
      </c>
      <c r="AF269" s="109" t="inlineStr">
        <is>
          <t>Queen</t>
        </is>
      </c>
      <c r="AG269" s="109" t="n"/>
    </row>
    <row r="270">
      <c r="A270" s="109">
        <f>AND(OR(Dashboard!$C$4="All",Dashboard!$C$4=D270),OR(Dashboard!$C$5="All",Dashboard!$C$5=E270),OR(Dashboard!$C$6="All",Dashboard!$C$6=G270),OR(Dashboard!$C$7="All",Dashboard!$C$7=H270),OR(Dashboard!$C$8="All",Dashboard!$C$8=F270))</f>
        <v/>
      </c>
      <c r="B270" s="109">
        <f>IF(A270,B269+1,B269)</f>
        <v/>
      </c>
      <c r="C270" s="109" t="n">
        <v>31</v>
      </c>
      <c r="D270" s="109" t="inlineStr">
        <is>
          <t>DC S6</t>
        </is>
      </c>
      <c r="E270" s="109" t="inlineStr">
        <is>
          <t>US</t>
        </is>
      </c>
      <c r="F270" s="109" t="inlineStr">
        <is>
          <t>Satin</t>
        </is>
      </c>
      <c r="G270" s="109" t="inlineStr">
        <is>
          <t>Sasttie</t>
        </is>
      </c>
      <c r="H270" s="109" t="inlineStr">
        <is>
          <t>Untiered</t>
        </is>
      </c>
      <c r="I270" s="109" t="inlineStr">
        <is>
          <t>Sasttie Satin Sheets Queen Size - 4 Pieces Luxury Soft Black Silky Bed Sheets Set with Pillowcases - Smooth Silk-Like Satin Fabric, Reinforced 14 Inches Pocket, Oeko-Tex Certified</t>
        </is>
      </c>
      <c r="J270" s="109" t="inlineStr">
        <is>
          <t>https://images-na.ssl-images-amazon.com/images/I/71MADUOjsFL.jpg</t>
        </is>
      </c>
      <c r="K270" s="109" t="inlineStr">
        <is>
          <t>B0F2H9HX69</t>
        </is>
      </c>
      <c r="L270" s="109" t="inlineStr">
        <is>
          <t>B0F2H8LPB3</t>
        </is>
      </c>
      <c r="M270" s="109" t="n">
        <v>47</v>
      </c>
      <c r="N270" s="109" t="n">
        <v>15.99</v>
      </c>
      <c r="O270" s="109" t="n"/>
      <c r="P270" s="109">
        <f>IF(AND(ISNUMBER(O270),ISNUMBER(N270),N(N270)&gt;0),O270/N270-1,"")</f>
        <v/>
      </c>
      <c r="Q270" s="109" t="n">
        <v>31.95</v>
      </c>
      <c r="R270" s="109">
        <f>IF(AND(ISNUMBER(N270),ISNUMBER(Q270),N(Q270)&gt;0),N270/Q270-1,"")</f>
        <v/>
      </c>
      <c r="S270" s="109" t="n">
        <v>58723</v>
      </c>
      <c r="T270" s="109" t="n">
        <v>35</v>
      </c>
      <c r="U270" s="109" t="n">
        <v>4.5</v>
      </c>
      <c r="V270" s="109" t="n">
        <v>968</v>
      </c>
      <c r="W270" s="109" t="n">
        <v>26952</v>
      </c>
      <c r="X270" s="109" t="n">
        <v>0.9879767104482041</v>
      </c>
      <c r="Y270" s="109" t="n">
        <v>108</v>
      </c>
      <c r="Z270" s="109" t="n">
        <v>153</v>
      </c>
      <c r="AA270" s="109" t="n">
        <v>13</v>
      </c>
      <c r="AB270" s="109" t="n">
        <v>1.063356164383562</v>
      </c>
      <c r="AC270" s="109" t="inlineStr">
        <is>
          <t>US DC S6</t>
        </is>
      </c>
      <c r="AD270" s="109">
        <f>'US DC S6'!BC181</f>
        <v/>
      </c>
      <c r="AE270" s="109">
        <f>'US DC S6'!BF181</f>
        <v/>
      </c>
      <c r="AF270" s="109" t="inlineStr">
        <is>
          <t>Queen</t>
        </is>
      </c>
      <c r="AG270" s="109" t="inlineStr">
        <is>
          <t>Black</t>
        </is>
      </c>
    </row>
    <row r="271">
      <c r="A271" s="109">
        <f>AND(OR(Dashboard!$C$4="All",Dashboard!$C$4=D271),OR(Dashboard!$C$5="All",Dashboard!$C$5=E271),OR(Dashboard!$C$6="All",Dashboard!$C$6=G271),OR(Dashboard!$C$7="All",Dashboard!$C$7=H271),OR(Dashboard!$C$8="All",Dashboard!$C$8=F271))</f>
        <v/>
      </c>
      <c r="B271" s="109">
        <f>IF(A271,B270+1,B270)</f>
        <v/>
      </c>
      <c r="C271" s="109" t="n">
        <v>31</v>
      </c>
      <c r="D271" s="109" t="inlineStr">
        <is>
          <t>DC S6</t>
        </is>
      </c>
      <c r="E271" s="109" t="inlineStr">
        <is>
          <t>US</t>
        </is>
      </c>
      <c r="F271" s="109" t="inlineStr">
        <is>
          <t>Satin</t>
        </is>
      </c>
      <c r="G271" s="109" t="inlineStr">
        <is>
          <t>Candoury</t>
        </is>
      </c>
      <c r="H271" s="109" t="inlineStr">
        <is>
          <t>Untiered</t>
        </is>
      </c>
      <c r="I271" s="109" t="inlineStr">
        <is>
          <t>Satin Sheets</t>
        </is>
      </c>
      <c r="J271" s="109" t="n"/>
      <c r="K271" s="109" t="inlineStr">
        <is>
          <t>B08RHZ9TMQ</t>
        </is>
      </c>
      <c r="L271" s="109" t="inlineStr">
        <is>
          <t>B08JKWGXZ9</t>
        </is>
      </c>
      <c r="M271" s="109" t="n"/>
      <c r="N271" s="109" t="n">
        <v>15.99</v>
      </c>
      <c r="O271" s="109" t="n"/>
      <c r="P271" s="109">
        <f>IF(AND(ISNUMBER(O271),ISNUMBER(N271),N(N271)&gt;0),O271/N271-1,"")</f>
        <v/>
      </c>
      <c r="Q271" s="109" t="n">
        <v>31.95</v>
      </c>
      <c r="R271" s="109">
        <f>IF(AND(ISNUMBER(N271),ISNUMBER(Q271),N(Q271)&gt;0),N271/Q271-1,"")</f>
        <v/>
      </c>
      <c r="S271" s="109" t="n">
        <v>420044</v>
      </c>
      <c r="T271" s="109" t="n">
        <v>5</v>
      </c>
      <c r="U271" s="109" t="n">
        <v>4.3</v>
      </c>
      <c r="V271" s="109" t="n">
        <v>5277</v>
      </c>
      <c r="W271" s="109" t="n"/>
      <c r="X271" s="109" t="n"/>
      <c r="Y271" s="109" t="n"/>
      <c r="Z271" s="109" t="n"/>
      <c r="AA271" s="109" t="n"/>
      <c r="AB271" s="109" t="n"/>
      <c r="AC271" s="109" t="inlineStr">
        <is>
          <t>US DC S6</t>
        </is>
      </c>
      <c r="AD271" s="109">
        <f>'US DC S6'!BC182</f>
        <v/>
      </c>
      <c r="AE271" s="109">
        <f>'US DC S6'!BF182</f>
        <v/>
      </c>
      <c r="AF271" s="109" t="n"/>
      <c r="AG271" s="109" t="n"/>
    </row>
    <row r="272">
      <c r="A272" s="109">
        <f>AND(OR(Dashboard!$C$4="All",Dashboard!$C$4=D272),OR(Dashboard!$C$5="All",Dashboard!$C$5=E272),OR(Dashboard!$C$6="All",Dashboard!$C$6=G272),OR(Dashboard!$C$7="All",Dashboard!$C$7=H272),OR(Dashboard!$C$8="All",Dashboard!$C$8=F272))</f>
        <v/>
      </c>
      <c r="B272" s="109">
        <f>IF(A272,B271+1,B271)</f>
        <v/>
      </c>
      <c r="C272" s="109" t="n">
        <v>31</v>
      </c>
      <c r="D272" s="109" t="inlineStr">
        <is>
          <t>DC S6</t>
        </is>
      </c>
      <c r="E272" s="109" t="inlineStr">
        <is>
          <t>CA</t>
        </is>
      </c>
      <c r="F272" s="109" t="inlineStr">
        <is>
          <t>Satin</t>
        </is>
      </c>
      <c r="G272" s="109" t="inlineStr">
        <is>
          <t>JUWENIN</t>
        </is>
      </c>
      <c r="H272" s="109" t="inlineStr">
        <is>
          <t>Untiered</t>
        </is>
      </c>
      <c r="I272" s="109" t="inlineStr">
        <is>
          <t>Satin Sheet Set, 6 Piece Soft Silky Bed Sheets Deep Pocket, Good for Skin and Hair 1 Satin Fitted Sheet + 1 Flat Sheet + 4 Pillow Cases (Gray, Queen-6PCS)</t>
        </is>
      </c>
      <c r="J272" s="109" t="inlineStr">
        <is>
          <t>https://m.media-amazon.com/images/I/61-Kk3biG1L.jpg</t>
        </is>
      </c>
      <c r="K272" s="109" t="inlineStr">
        <is>
          <t>B0FNQY65MC</t>
        </is>
      </c>
      <c r="L272" s="109" t="inlineStr">
        <is>
          <t>B0FNR1QR4J</t>
        </is>
      </c>
      <c r="M272" s="109" t="n">
        <v>11</v>
      </c>
      <c r="N272" s="109" t="n">
        <v>27.99</v>
      </c>
      <c r="O272" s="109" t="n"/>
      <c r="P272" s="109">
        <f>IF(AND(ISNUMBER(O272),ISNUMBER(N272),N(N272)&gt;0),O272/N272-1,"")</f>
        <v/>
      </c>
      <c r="Q272" s="109" t="n">
        <v>50.21499999999998</v>
      </c>
      <c r="R272" s="109">
        <f>IF(AND(ISNUMBER(N272),ISNUMBER(Q272),N(Q272)&gt;0),N272/Q272-1,"")</f>
        <v/>
      </c>
      <c r="S272" s="109" t="n">
        <v>224911</v>
      </c>
      <c r="T272" s="109" t="n"/>
      <c r="U272" s="109" t="n">
        <v>4.1</v>
      </c>
      <c r="V272" s="109" t="n">
        <v>29</v>
      </c>
      <c r="W272" s="109" t="n"/>
      <c r="X272" s="109" t="n"/>
      <c r="Y272" s="109" t="n"/>
      <c r="Z272" s="109" t="n"/>
      <c r="AA272" s="109" t="n"/>
      <c r="AB272" s="109" t="n"/>
      <c r="AC272" s="109" t="inlineStr">
        <is>
          <t>CA DC S6</t>
        </is>
      </c>
      <c r="AD272" s="109">
        <f>'CA DC S6'!BC157</f>
        <v/>
      </c>
      <c r="AE272" s="109">
        <f>'CA DC S6'!BF157</f>
        <v/>
      </c>
      <c r="AF272" s="109" t="inlineStr">
        <is>
          <t>Queen</t>
        </is>
      </c>
      <c r="AG272" s="109" t="inlineStr">
        <is>
          <t>Gray</t>
        </is>
      </c>
    </row>
    <row r="273">
      <c r="A273" s="109">
        <f>AND(OR(Dashboard!$C$4="All",Dashboard!$C$4=D273),OR(Dashboard!$C$5="All",Dashboard!$C$5=E273),OR(Dashboard!$C$6="All",Dashboard!$C$6=G273),OR(Dashboard!$C$7="All",Dashboard!$C$7=H273),OR(Dashboard!$C$8="All",Dashboard!$C$8=F273))</f>
        <v/>
      </c>
      <c r="B273" s="109">
        <f>IF(A273,B272+1,B272)</f>
        <v/>
      </c>
      <c r="C273" s="109" t="n">
        <v>31</v>
      </c>
      <c r="D273" s="109" t="inlineStr">
        <is>
          <t>DC S6</t>
        </is>
      </c>
      <c r="E273" s="109" t="inlineStr">
        <is>
          <t>CA</t>
        </is>
      </c>
      <c r="F273" s="109" t="inlineStr">
        <is>
          <t>Satin</t>
        </is>
      </c>
      <c r="G273" s="109" t="inlineStr">
        <is>
          <t>Love's cabin</t>
        </is>
      </c>
      <c r="H273" s="109" t="inlineStr">
        <is>
          <t>Untiered</t>
        </is>
      </c>
      <c r="I273" s="109" t="inlineStr">
        <is>
          <t>Love's cabin Satin Queen Sheets Set, 6 Pieces, Brown, 15" Deep Pocket</t>
        </is>
      </c>
      <c r="J273" s="109" t="inlineStr">
        <is>
          <t>https://m.media-amazon.com/images/I/81uzfBY3YQL.jpg</t>
        </is>
      </c>
      <c r="K273" s="109" t="inlineStr">
        <is>
          <t>B08PZKGSSN</t>
        </is>
      </c>
      <c r="L273" s="109" t="inlineStr">
        <is>
          <t>B0H756Q1V9</t>
        </is>
      </c>
      <c r="M273" s="109" t="n">
        <v>200</v>
      </c>
      <c r="N273" s="109" t="n">
        <v>51.29</v>
      </c>
      <c r="O273" s="109" t="n"/>
      <c r="P273" s="109">
        <f>IF(AND(ISNUMBER(O273),ISNUMBER(N273),N(N273)&gt;0),O273/N273-1,"")</f>
        <v/>
      </c>
      <c r="Q273" s="109" t="n">
        <v>50.21499999999998</v>
      </c>
      <c r="R273" s="109">
        <f>IF(AND(ISNUMBER(N273),ISNUMBER(Q273),N(Q273)&gt;0),N273/Q273-1,"")</f>
        <v/>
      </c>
      <c r="S273" s="109" t="n">
        <v>303174</v>
      </c>
      <c r="T273" s="109" t="n"/>
      <c r="U273" s="109" t="n">
        <v>4.4</v>
      </c>
      <c r="V273" s="109" t="n">
        <v>5953</v>
      </c>
      <c r="W273" s="109" t="n"/>
      <c r="X273" s="109" t="n"/>
      <c r="Y273" s="109" t="n"/>
      <c r="Z273" s="109" t="n"/>
      <c r="AA273" s="109" t="n"/>
      <c r="AB273" s="109" t="n"/>
      <c r="AC273" s="109" t="inlineStr">
        <is>
          <t>CA DC S6</t>
        </is>
      </c>
      <c r="AD273" s="109">
        <f>'CA DC S6'!BC158</f>
        <v/>
      </c>
      <c r="AE273" s="109">
        <f>'CA DC S6'!BF158</f>
        <v/>
      </c>
      <c r="AF273" s="109" t="inlineStr">
        <is>
          <t>Queen</t>
        </is>
      </c>
      <c r="AG273" s="109" t="inlineStr">
        <is>
          <t>Brown.</t>
        </is>
      </c>
    </row>
    <row r="274">
      <c r="A274" s="109">
        <f>AND(OR(Dashboard!$C$4="All",Dashboard!$C$4=D274),OR(Dashboard!$C$5="All",Dashboard!$C$5=E274),OR(Dashboard!$C$6="All",Dashboard!$C$6=G274),OR(Dashboard!$C$7="All",Dashboard!$C$7=H274),OR(Dashboard!$C$8="All",Dashboard!$C$8=F274))</f>
        <v/>
      </c>
      <c r="B274" s="109">
        <f>IF(A274,B273+1,B273)</f>
        <v/>
      </c>
      <c r="C274" s="109" t="n">
        <v>31</v>
      </c>
      <c r="D274" s="109" t="inlineStr">
        <is>
          <t>DC S6</t>
        </is>
      </c>
      <c r="E274" s="109" t="inlineStr">
        <is>
          <t>CA</t>
        </is>
      </c>
      <c r="F274" s="109" t="inlineStr">
        <is>
          <t>Satin</t>
        </is>
      </c>
      <c r="G274" s="109" t="inlineStr">
        <is>
          <t>P Pothuiny</t>
        </is>
      </c>
      <c r="H274" s="109" t="inlineStr">
        <is>
          <t>Untiered</t>
        </is>
      </c>
      <c r="I274" s="109" t="inlineStr">
        <is>
          <t>P Pothuiny 6-Piece Queen Satin Sheet Set Burgundy Silky Sheets</t>
        </is>
      </c>
      <c r="J274" s="109" t="inlineStr">
        <is>
          <t>https://m.media-amazon.com/images/I/71TbH0l5XfL.jpg</t>
        </is>
      </c>
      <c r="K274" s="109" t="inlineStr">
        <is>
          <t>B08T9NBQ1J</t>
        </is>
      </c>
      <c r="L274" s="109" t="inlineStr">
        <is>
          <t>B08QMF6D5W</t>
        </is>
      </c>
      <c r="M274" s="109" t="n">
        <v>37</v>
      </c>
      <c r="N274" s="109" t="n">
        <v>55.67</v>
      </c>
      <c r="O274" s="109" t="n"/>
      <c r="P274" s="109">
        <f>IF(AND(ISNUMBER(O274),ISNUMBER(N274),N(N274)&gt;0),O274/N274-1,"")</f>
        <v/>
      </c>
      <c r="Q274" s="109" t="n">
        <v>50.21499999999998</v>
      </c>
      <c r="R274" s="109">
        <f>IF(AND(ISNUMBER(N274),ISNUMBER(Q274),N(Q274)&gt;0),N274/Q274-1,"")</f>
        <v/>
      </c>
      <c r="S274" s="109" t="n">
        <v>365995</v>
      </c>
      <c r="T274" s="109" t="n"/>
      <c r="U274" s="109" t="n">
        <v>4.4</v>
      </c>
      <c r="V274" s="109" t="n">
        <v>3487</v>
      </c>
      <c r="W274" s="109" t="n"/>
      <c r="X274" s="109" t="n"/>
      <c r="Y274" s="109" t="n"/>
      <c r="Z274" s="109" t="n"/>
      <c r="AA274" s="109" t="n"/>
      <c r="AB274" s="109" t="n"/>
      <c r="AC274" s="109" t="inlineStr">
        <is>
          <t>CA DC S6</t>
        </is>
      </c>
      <c r="AD274" s="109">
        <f>'CA DC S6'!BC159</f>
        <v/>
      </c>
      <c r="AE274" s="109">
        <f>'CA DC S6'!BF159</f>
        <v/>
      </c>
      <c r="AF274" s="109" t="inlineStr">
        <is>
          <t>Queen</t>
        </is>
      </c>
      <c r="AG274" s="109" t="inlineStr">
        <is>
          <t>Burgundy</t>
        </is>
      </c>
    </row>
    <row r="275">
      <c r="A275" s="109">
        <f>AND(OR(Dashboard!$C$4="All",Dashboard!$C$4=D275),OR(Dashboard!$C$5="All",Dashboard!$C$5=E275),OR(Dashboard!$C$6="All",Dashboard!$C$6=G275),OR(Dashboard!$C$7="All",Dashboard!$C$7=H275),OR(Dashboard!$C$8="All",Dashboard!$C$8=F275))</f>
        <v/>
      </c>
      <c r="B275" s="109">
        <f>IF(A275,B274+1,B274)</f>
        <v/>
      </c>
      <c r="C275" s="109" t="n">
        <v>31</v>
      </c>
      <c r="D275" s="109" t="inlineStr">
        <is>
          <t>DC S6</t>
        </is>
      </c>
      <c r="E275" s="109" t="inlineStr">
        <is>
          <t>CA</t>
        </is>
      </c>
      <c r="F275" s="109" t="inlineStr">
        <is>
          <t>Satin</t>
        </is>
      </c>
      <c r="G275" s="109" t="inlineStr">
        <is>
          <t>Madison Park</t>
        </is>
      </c>
      <c r="H275" s="109" t="inlineStr">
        <is>
          <t>Untiered</t>
        </is>
      </c>
      <c r="I275" s="109" t="inlineStr">
        <is>
          <t>Madison Park Essentials Polyester Satin 6 Piece Sheet Set with Ivory MPE20-904, Queen</t>
        </is>
      </c>
      <c r="J275" s="109" t="inlineStr">
        <is>
          <t>https://m.media-amazon.com/images/I/81ZfhNYfpcL.jpg</t>
        </is>
      </c>
      <c r="K275" s="109" t="inlineStr">
        <is>
          <t>B0H7TMMW5T</t>
        </is>
      </c>
      <c r="L275" s="109" t="inlineStr">
        <is>
          <t>B09HVCPNLX</t>
        </is>
      </c>
      <c r="M275" s="109" t="n">
        <v>1</v>
      </c>
      <c r="N275" s="109" t="n">
        <v>52.62</v>
      </c>
      <c r="O275" s="109" t="n"/>
      <c r="P275" s="109">
        <f>IF(AND(ISNUMBER(O275),ISNUMBER(N275),N(N275)&gt;0),O275/N275-1,"")</f>
        <v/>
      </c>
      <c r="Q275" s="109" t="n">
        <v>50.21499999999998</v>
      </c>
      <c r="R275" s="109">
        <f>IF(AND(ISNUMBER(N275),ISNUMBER(Q275),N(Q275)&gt;0),N275/Q275-1,"")</f>
        <v/>
      </c>
      <c r="S275" s="109" t="n">
        <v>678123</v>
      </c>
      <c r="T275" s="109" t="n"/>
      <c r="U275" s="109" t="n">
        <v>4.4</v>
      </c>
      <c r="V275" s="109" t="n">
        <v>123</v>
      </c>
      <c r="W275" s="109" t="n"/>
      <c r="X275" s="109" t="n"/>
      <c r="Y275" s="109" t="n"/>
      <c r="Z275" s="109" t="n"/>
      <c r="AA275" s="109" t="n"/>
      <c r="AB275" s="109" t="n"/>
      <c r="AC275" s="109" t="inlineStr">
        <is>
          <t>CA DC S6</t>
        </is>
      </c>
      <c r="AD275" s="109">
        <f>'CA DC S6'!BC160</f>
        <v/>
      </c>
      <c r="AE275" s="109">
        <f>'CA DC S6'!BF160</f>
        <v/>
      </c>
      <c r="AF275" s="109" t="inlineStr">
        <is>
          <t>Queen</t>
        </is>
      </c>
      <c r="AG275" s="109" t="inlineStr">
        <is>
          <t>Ivory</t>
        </is>
      </c>
    </row>
    <row r="276">
      <c r="A276" s="109">
        <f>AND(OR(Dashboard!$C$4="All",Dashboard!$C$4=D276),OR(Dashboard!$C$5="All",Dashboard!$C$5=E276),OR(Dashboard!$C$6="All",Dashboard!$C$6=G276),OR(Dashboard!$C$7="All",Dashboard!$C$7=H276),OR(Dashboard!$C$8="All",Dashboard!$C$8=F276))</f>
        <v/>
      </c>
      <c r="B276" s="109">
        <f>IF(A276,B275+1,B275)</f>
        <v/>
      </c>
      <c r="C276" s="109" t="n">
        <v>31</v>
      </c>
      <c r="D276" s="109" t="inlineStr">
        <is>
          <t>DC S6</t>
        </is>
      </c>
      <c r="E276" s="109" t="inlineStr">
        <is>
          <t>CA</t>
        </is>
      </c>
      <c r="F276" s="109" t="inlineStr">
        <is>
          <t>Satin</t>
        </is>
      </c>
      <c r="G276" s="109" t="inlineStr">
        <is>
          <t>GOLAL</t>
        </is>
      </c>
      <c r="H276" s="109" t="inlineStr">
        <is>
          <t>Untiered</t>
        </is>
      </c>
      <c r="I276" s="109" t="inlineStr">
        <is>
          <t>Sage Green Satin Sheets Queen Size - 6 Pieces Silky Soft Bed Sheets</t>
        </is>
      </c>
      <c r="J276" s="109" t="inlineStr">
        <is>
          <t>https://m.media-amazon.com/images/I/718KDeMA1pL.jpg</t>
        </is>
      </c>
      <c r="K276" s="109" t="inlineStr">
        <is>
          <t>B09JB7K1PP</t>
        </is>
      </c>
      <c r="L276" s="109" t="inlineStr">
        <is>
          <t>B0DB5QPHB8</t>
        </is>
      </c>
      <c r="M276" s="109" t="n">
        <v>91</v>
      </c>
      <c r="N276" s="109" t="n">
        <v>66.66</v>
      </c>
      <c r="O276" s="109" t="n"/>
      <c r="P276" s="109">
        <f>IF(AND(ISNUMBER(O276),ISNUMBER(N276),N(N276)&gt;0),O276/N276-1,"")</f>
        <v/>
      </c>
      <c r="Q276" s="109" t="n">
        <v>50.21499999999998</v>
      </c>
      <c r="R276" s="109">
        <f>IF(AND(ISNUMBER(N276),ISNUMBER(Q276),N(Q276)&gt;0),N276/Q276-1,"")</f>
        <v/>
      </c>
      <c r="S276" s="109" t="n">
        <v>18076</v>
      </c>
      <c r="T276" s="109" t="n"/>
      <c r="U276" s="109" t="n">
        <v>4</v>
      </c>
      <c r="V276" s="109" t="n">
        <v>31</v>
      </c>
      <c r="W276" s="109" t="n"/>
      <c r="X276" s="109" t="n"/>
      <c r="Y276" s="109" t="n"/>
      <c r="Z276" s="109" t="n"/>
      <c r="AA276" s="109" t="n"/>
      <c r="AB276" s="109" t="n"/>
      <c r="AC276" s="109" t="inlineStr">
        <is>
          <t>CA DC S6</t>
        </is>
      </c>
      <c r="AD276" s="109">
        <f>'CA DC S6'!BC161</f>
        <v/>
      </c>
      <c r="AE276" s="109">
        <f>'CA DC S6'!BF161</f>
        <v/>
      </c>
      <c r="AF276" s="109" t="inlineStr">
        <is>
          <t>Queen</t>
        </is>
      </c>
      <c r="AG276" s="109" t="inlineStr">
        <is>
          <t>Sage Green</t>
        </is>
      </c>
    </row>
    <row r="277">
      <c r="A277" s="109">
        <f>AND(OR(Dashboard!$C$4="All",Dashboard!$C$4=D277),OR(Dashboard!$C$5="All",Dashboard!$C$5=E277),OR(Dashboard!$C$6="All",Dashboard!$C$6=G277),OR(Dashboard!$C$7="All",Dashboard!$C$7=H277),OR(Dashboard!$C$8="All",Dashboard!$C$8=F277))</f>
        <v/>
      </c>
      <c r="B277" s="109">
        <f>IF(A277,B276+1,B276)</f>
        <v/>
      </c>
      <c r="C277" s="109" t="n">
        <v>31</v>
      </c>
      <c r="D277" s="109" t="inlineStr">
        <is>
          <t>DC S6</t>
        </is>
      </c>
      <c r="E277" s="109" t="inlineStr">
        <is>
          <t>CA</t>
        </is>
      </c>
      <c r="F277" s="109" t="inlineStr">
        <is>
          <t>Satin</t>
        </is>
      </c>
      <c r="G277" s="109" t="inlineStr">
        <is>
          <t>Horbaunal</t>
        </is>
      </c>
      <c r="H277" s="109" t="inlineStr">
        <is>
          <t>Untiered</t>
        </is>
      </c>
      <c r="I277" s="109" t="inlineStr">
        <is>
          <t>Horbaunal 6 Piece Satin Sheet Set Queen Size Luxury Silky &amp; Soft Burgundy Satin Queen Bed Sheet Set with 16" Deep Pocket, 1 Fitted Sheet, 1 Flat Sheet, 4 Pillowcases</t>
        </is>
      </c>
      <c r="J277" s="109" t="inlineStr">
        <is>
          <t>https://m.media-amazon.com/images/I/71NqLu99bjL.jpg</t>
        </is>
      </c>
      <c r="K277" s="109" t="inlineStr">
        <is>
          <t>B0B853RZWS</t>
        </is>
      </c>
      <c r="L277" s="109" t="inlineStr">
        <is>
          <t>B0B4MWGBCL</t>
        </is>
      </c>
      <c r="M277" s="109" t="n">
        <v>25</v>
      </c>
      <c r="N277" s="109" t="n">
        <v>54.37</v>
      </c>
      <c r="O277" s="109" t="n"/>
      <c r="P277" s="109">
        <f>IF(AND(ISNUMBER(O277),ISNUMBER(N277),N(N277)&gt;0),O277/N277-1,"")</f>
        <v/>
      </c>
      <c r="Q277" s="109" t="n">
        <v>50.21499999999998</v>
      </c>
      <c r="R277" s="109">
        <f>IF(AND(ISNUMBER(N277),ISNUMBER(Q277),N(Q277)&gt;0),N277/Q277-1,"")</f>
        <v/>
      </c>
      <c r="S277" s="109" t="n">
        <v>515168</v>
      </c>
      <c r="T277" s="109" t="n"/>
      <c r="U277" s="109" t="n">
        <v>4.4</v>
      </c>
      <c r="V277" s="109" t="n">
        <v>842</v>
      </c>
      <c r="W277" s="109" t="n"/>
      <c r="X277" s="109" t="n"/>
      <c r="Y277" s="109" t="n"/>
      <c r="Z277" s="109" t="n"/>
      <c r="AA277" s="109" t="n"/>
      <c r="AB277" s="109" t="n"/>
      <c r="AC277" s="109" t="inlineStr">
        <is>
          <t>CA DC S6</t>
        </is>
      </c>
      <c r="AD277" s="109">
        <f>'CA DC S6'!BC162</f>
        <v/>
      </c>
      <c r="AE277" s="109">
        <f>'CA DC S6'!BF162</f>
        <v/>
      </c>
      <c r="AF277" s="109" t="inlineStr">
        <is>
          <t>Queen</t>
        </is>
      </c>
      <c r="AG277" s="109" t="inlineStr">
        <is>
          <t>Burgundy</t>
        </is>
      </c>
    </row>
    <row r="278">
      <c r="A278" s="109">
        <f>AND(OR(Dashboard!$C$4="All",Dashboard!$C$4=D278),OR(Dashboard!$C$5="All",Dashboard!$C$5=E278),OR(Dashboard!$C$6="All",Dashboard!$C$6=G278),OR(Dashboard!$C$7="All",Dashboard!$C$7=H278),OR(Dashboard!$C$8="All",Dashboard!$C$8=F278))</f>
        <v/>
      </c>
      <c r="B278" s="109">
        <f>IF(A278,B277+1,B277)</f>
        <v/>
      </c>
      <c r="C278" s="109" t="n">
        <v>31</v>
      </c>
      <c r="D278" s="109" t="inlineStr">
        <is>
          <t>DC S6</t>
        </is>
      </c>
      <c r="E278" s="109" t="inlineStr">
        <is>
          <t>CA</t>
        </is>
      </c>
      <c r="F278" s="109" t="inlineStr">
        <is>
          <t>Satin</t>
        </is>
      </c>
      <c r="G278" s="109" t="inlineStr">
        <is>
          <t>JUWENIN</t>
        </is>
      </c>
      <c r="H278" s="109" t="inlineStr">
        <is>
          <t>Untiered</t>
        </is>
      </c>
      <c r="I278" s="109" t="inlineStr">
        <is>
          <t>JUWENIN Satin Sheet Set, 6 Piece Soft Silky Bed Sheets Deep Pocket, Good for Skin and Hair 1 Satin Fitted Sheet + 1 Flat Sheet + 4 Pillow Cases(Gray, Queen)</t>
        </is>
      </c>
      <c r="J278" s="109" t="inlineStr">
        <is>
          <t>https://m.media-amazon.com/images/I/51VwRlflBFL.jpg</t>
        </is>
      </c>
      <c r="K278" s="109" t="inlineStr">
        <is>
          <t>B0FBL9474N</t>
        </is>
      </c>
      <c r="L278" s="109" t="inlineStr">
        <is>
          <t>B0CN5LRC1T</t>
        </is>
      </c>
      <c r="M278" s="109" t="n">
        <v>3</v>
      </c>
      <c r="N278" s="109" t="n">
        <v>49.7</v>
      </c>
      <c r="O278" s="109" t="n"/>
      <c r="P278" s="109">
        <f>IF(AND(ISNUMBER(O278),ISNUMBER(N278),N(N278)&gt;0),O278/N278-1,"")</f>
        <v/>
      </c>
      <c r="Q278" s="109" t="n">
        <v>50.21499999999998</v>
      </c>
      <c r="R278" s="109">
        <f>IF(AND(ISNUMBER(N278),ISNUMBER(Q278),N(Q278)&gt;0),N278/Q278-1,"")</f>
        <v/>
      </c>
      <c r="S278" s="109" t="n">
        <v>418002</v>
      </c>
      <c r="T278" s="109" t="n"/>
      <c r="U278" s="109" t="n"/>
      <c r="V278" s="109" t="n"/>
      <c r="W278" s="109" t="n"/>
      <c r="X278" s="109" t="n"/>
      <c r="Y278" s="109" t="n"/>
      <c r="Z278" s="109" t="n"/>
      <c r="AA278" s="109" t="n"/>
      <c r="AB278" s="109" t="n"/>
      <c r="AC278" s="109" t="inlineStr">
        <is>
          <t>CA DC S6</t>
        </is>
      </c>
      <c r="AD278" s="109">
        <f>'CA DC S6'!BC163</f>
        <v/>
      </c>
      <c r="AE278" s="109">
        <f>'CA DC S6'!BF163</f>
        <v/>
      </c>
      <c r="AF278" s="109" t="inlineStr">
        <is>
          <t>Queen</t>
        </is>
      </c>
      <c r="AG278" s="109" t="inlineStr">
        <is>
          <t>Gray</t>
        </is>
      </c>
    </row>
    <row r="279">
      <c r="A279" s="109">
        <f>AND(OR(Dashboard!$C$4="All",Dashboard!$C$4=D279),OR(Dashboard!$C$5="All",Dashboard!$C$5=E279),OR(Dashboard!$C$6="All",Dashboard!$C$6=G279),OR(Dashboard!$C$7="All",Dashboard!$C$7=H279),OR(Dashboard!$C$8="All",Dashboard!$C$8=F279))</f>
        <v/>
      </c>
      <c r="B279" s="109">
        <f>IF(A279,B278+1,B278)</f>
        <v/>
      </c>
      <c r="C279" s="109" t="n">
        <v>31</v>
      </c>
      <c r="D279" s="109" t="inlineStr">
        <is>
          <t>DC S6</t>
        </is>
      </c>
      <c r="E279" s="109" t="inlineStr">
        <is>
          <t>CA</t>
        </is>
      </c>
      <c r="F279" s="109" t="inlineStr">
        <is>
          <t>Satin</t>
        </is>
      </c>
      <c r="G279" s="109" t="inlineStr">
        <is>
          <t>MR&amp;HM</t>
        </is>
      </c>
      <c r="H279" s="109" t="inlineStr">
        <is>
          <t>Untiered</t>
        </is>
      </c>
      <c r="I279" s="109" t="inlineStr">
        <is>
          <t>MR&amp;HM Satin Sheets Queen Size with Elastic Corner Straps, Black</t>
        </is>
      </c>
      <c r="J279" s="109" t="inlineStr">
        <is>
          <t>https://m.media-amazon.com/images/I/71r+gBRw83L.jpg</t>
        </is>
      </c>
      <c r="K279" s="109" t="inlineStr">
        <is>
          <t>B08NPFTQWB</t>
        </is>
      </c>
      <c r="L279" s="109" t="inlineStr">
        <is>
          <t>B08R64X5P9</t>
        </is>
      </c>
      <c r="M279" s="109" t="n">
        <v>182</v>
      </c>
      <c r="N279" s="109" t="n">
        <v>64.89</v>
      </c>
      <c r="O279" s="109" t="n"/>
      <c r="P279" s="109">
        <f>IF(AND(ISNUMBER(O279),ISNUMBER(N279),N(N279)&gt;0),O279/N279-1,"")</f>
        <v/>
      </c>
      <c r="Q279" s="109" t="n">
        <v>50.21499999999998</v>
      </c>
      <c r="R279" s="109">
        <f>IF(AND(ISNUMBER(N279),ISNUMBER(Q279),N(Q279)&gt;0),N279/Q279-1,"")</f>
        <v/>
      </c>
      <c r="S279" s="109" t="n">
        <v>1512</v>
      </c>
      <c r="T279" s="109" t="n"/>
      <c r="U279" s="109" t="n">
        <v>4.2</v>
      </c>
      <c r="V279" s="109" t="n">
        <v>17432</v>
      </c>
      <c r="W279" s="109" t="n"/>
      <c r="X279" s="109" t="n"/>
      <c r="Y279" s="109" t="n"/>
      <c r="Z279" s="109" t="n"/>
      <c r="AA279" s="109" t="n"/>
      <c r="AB279" s="109" t="n"/>
      <c r="AC279" s="109" t="inlineStr">
        <is>
          <t>CA DC S6</t>
        </is>
      </c>
      <c r="AD279" s="109">
        <f>'CA DC S6'!BC164</f>
        <v/>
      </c>
      <c r="AE279" s="109">
        <f>'CA DC S6'!BF164</f>
        <v/>
      </c>
      <c r="AF279" s="109" t="inlineStr">
        <is>
          <t>Queen</t>
        </is>
      </c>
      <c r="AG279" s="109" t="inlineStr">
        <is>
          <t>01- Black</t>
        </is>
      </c>
    </row>
    <row r="280">
      <c r="A280" s="109">
        <f>AND(OR(Dashboard!$C$4="All",Dashboard!$C$4=D280),OR(Dashboard!$C$5="All",Dashboard!$C$5=E280),OR(Dashboard!$C$6="All",Dashboard!$C$6=G280),OR(Dashboard!$C$7="All",Dashboard!$C$7=H280),OR(Dashboard!$C$8="All",Dashboard!$C$8=F280))</f>
        <v/>
      </c>
      <c r="B280" s="109">
        <f>IF(A280,B279+1,B279)</f>
        <v/>
      </c>
      <c r="C280" s="109" t="n">
        <v>31</v>
      </c>
      <c r="D280" s="109" t="inlineStr">
        <is>
          <t>DC S6</t>
        </is>
      </c>
      <c r="E280" s="109" t="inlineStr">
        <is>
          <t>CA</t>
        </is>
      </c>
      <c r="F280" s="109" t="inlineStr">
        <is>
          <t>Satin</t>
        </is>
      </c>
      <c r="G280" s="109" t="inlineStr">
        <is>
          <t>Madison Park</t>
        </is>
      </c>
      <c r="H280" s="109" t="inlineStr">
        <is>
          <t>Untiered</t>
        </is>
      </c>
      <c r="I280" s="109" t="inlineStr">
        <is>
          <t>Madison Park Essentials Satin Sheet Set Luxury and Silky with Natural Sheen, Elastic 14" Pocket fits up to 16" Mattress, All Around Elastic - Year-Round Bedding, Queen, White, 6 Piece</t>
        </is>
      </c>
      <c r="J280" s="109" t="inlineStr">
        <is>
          <t>https://m.media-amazon.com/images/I/81iqkRjtATL.jpg</t>
        </is>
      </c>
      <c r="K280" s="109" t="n"/>
      <c r="L280" s="109" t="inlineStr">
        <is>
          <t>B09HVFNH3Z</t>
        </is>
      </c>
      <c r="M280" s="109" t="n"/>
      <c r="N280" s="109" t="n">
        <v>59.75</v>
      </c>
      <c r="O280" s="109" t="n"/>
      <c r="P280" s="109">
        <f>IF(AND(ISNUMBER(O280),ISNUMBER(N280),N(N280)&gt;0),O280/N280-1,"")</f>
        <v/>
      </c>
      <c r="Q280" s="109" t="n">
        <v>50.21499999999998</v>
      </c>
      <c r="R280" s="109">
        <f>IF(AND(ISNUMBER(N280),ISNUMBER(Q280),N(Q280)&gt;0),N280/Q280-1,"")</f>
        <v/>
      </c>
      <c r="S280" s="109" t="n">
        <v>724759</v>
      </c>
      <c r="T280" s="109" t="n"/>
      <c r="U280" s="109" t="n">
        <v>4.3</v>
      </c>
      <c r="V280" s="109" t="n">
        <v>40</v>
      </c>
      <c r="W280" s="109" t="n"/>
      <c r="X280" s="109" t="n"/>
      <c r="Y280" s="109" t="n"/>
      <c r="Z280" s="109" t="n"/>
      <c r="AA280" s="109" t="n"/>
      <c r="AB280" s="109" t="n"/>
      <c r="AC280" s="109" t="inlineStr">
        <is>
          <t>CA DC S6</t>
        </is>
      </c>
      <c r="AD280" s="109">
        <f>'CA DC S6'!BC165</f>
        <v/>
      </c>
      <c r="AE280" s="109">
        <f>'CA DC S6'!BF165</f>
        <v/>
      </c>
      <c r="AF280" s="109" t="inlineStr">
        <is>
          <t>Queen</t>
        </is>
      </c>
      <c r="AG280" s="109" t="inlineStr">
        <is>
          <t>White</t>
        </is>
      </c>
    </row>
    <row r="281">
      <c r="A281" s="109">
        <f>AND(OR(Dashboard!$C$4="All",Dashboard!$C$4=D281),OR(Dashboard!$C$5="All",Dashboard!$C$5=E281),OR(Dashboard!$C$6="All",Dashboard!$C$6=G281),OR(Dashboard!$C$7="All",Dashboard!$C$7=H281),OR(Dashboard!$C$8="All",Dashboard!$C$8=F281))</f>
        <v/>
      </c>
      <c r="B281" s="109">
        <f>IF(A281,B280+1,B280)</f>
        <v/>
      </c>
      <c r="C281" s="109" t="n">
        <v>31</v>
      </c>
      <c r="D281" s="109" t="inlineStr">
        <is>
          <t>DC S6</t>
        </is>
      </c>
      <c r="E281" s="109" t="inlineStr">
        <is>
          <t>CA</t>
        </is>
      </c>
      <c r="F281" s="109" t="inlineStr">
        <is>
          <t>Satin</t>
        </is>
      </c>
      <c r="G281" s="109" t="inlineStr">
        <is>
          <t>Candoury</t>
        </is>
      </c>
      <c r="H281" s="109" t="inlineStr">
        <is>
          <t>Untiered</t>
        </is>
      </c>
      <c r="I281" s="109" t="inlineStr">
        <is>
          <t>Candoury - Satin Sheet Set 6 Piece Luxury Queen Bed Sheets Set - Soft Durable Flat Sheet Set - Top Sheet, Fitted Sheet &amp; Pillowcases - Hotel Quality (Queen, Burgundy)</t>
        </is>
      </c>
      <c r="J281" s="109" t="inlineStr">
        <is>
          <t>https://m.media-amazon.com/images/I/71+1229cTuL.jpg</t>
        </is>
      </c>
      <c r="K281" s="109" t="inlineStr">
        <is>
          <t>B08KHR1MCV</t>
        </is>
      </c>
      <c r="L281" s="109" t="inlineStr">
        <is>
          <t>B08R5WM69J</t>
        </is>
      </c>
      <c r="M281" s="109" t="n">
        <v>58</v>
      </c>
      <c r="N281" s="109" t="n">
        <v>78.98999999999999</v>
      </c>
      <c r="O281" s="109" t="n"/>
      <c r="P281" s="109">
        <f>IF(AND(ISNUMBER(O281),ISNUMBER(N281),N(N281)&gt;0),O281/N281-1,"")</f>
        <v/>
      </c>
      <c r="Q281" s="109" t="n">
        <v>50.21499999999998</v>
      </c>
      <c r="R281" s="109">
        <f>IF(AND(ISNUMBER(N281),ISNUMBER(Q281),N(Q281)&gt;0),N281/Q281-1,"")</f>
        <v/>
      </c>
      <c r="S281" s="109" t="n">
        <v>137725</v>
      </c>
      <c r="T281" s="109" t="n"/>
      <c r="U281" s="109" t="n">
        <v>4.2</v>
      </c>
      <c r="V281" s="109" t="n">
        <v>5080</v>
      </c>
      <c r="W281" s="109" t="n"/>
      <c r="X281" s="109" t="n"/>
      <c r="Y281" s="109" t="n"/>
      <c r="Z281" s="109" t="n"/>
      <c r="AA281" s="109" t="n"/>
      <c r="AB281" s="109" t="n"/>
      <c r="AC281" s="109" t="inlineStr">
        <is>
          <t>CA DC S6</t>
        </is>
      </c>
      <c r="AD281" s="109">
        <f>'CA DC S6'!BC166</f>
        <v/>
      </c>
      <c r="AE281" s="109">
        <f>'CA DC S6'!BF166</f>
        <v/>
      </c>
      <c r="AF281" s="109" t="inlineStr">
        <is>
          <t>Queen</t>
        </is>
      </c>
      <c r="AG281" s="109" t="inlineStr">
        <is>
          <t>Burgundy</t>
        </is>
      </c>
    </row>
    <row r="282">
      <c r="A282" s="109">
        <f>AND(OR(Dashboard!$C$4="All",Dashboard!$C$4=D282),OR(Dashboard!$C$5="All",Dashboard!$C$5=E282),OR(Dashboard!$C$6="All",Dashboard!$C$6=G282),OR(Dashboard!$C$7="All",Dashboard!$C$7=H282),OR(Dashboard!$C$8="All",Dashboard!$C$8=F282))</f>
        <v/>
      </c>
      <c r="B282" s="109">
        <f>IF(A282,B281+1,B281)</f>
        <v/>
      </c>
      <c r="C282" s="109" t="n">
        <v>31</v>
      </c>
      <c r="D282" s="109" t="inlineStr">
        <is>
          <t>DC S6</t>
        </is>
      </c>
      <c r="E282" s="109" t="inlineStr">
        <is>
          <t>CA</t>
        </is>
      </c>
      <c r="F282" s="109" t="inlineStr">
        <is>
          <t>Satin</t>
        </is>
      </c>
      <c r="G282" s="109" t="inlineStr">
        <is>
          <t>P Pothuiny</t>
        </is>
      </c>
      <c r="H282" s="109" t="inlineStr">
        <is>
          <t>Untiered</t>
        </is>
      </c>
      <c r="I282" s="109" t="inlineStr">
        <is>
          <t>P Pothuiny 6-Piece Queen Satin Sheet Set Flint Blue Striped Printed</t>
        </is>
      </c>
      <c r="J282" s="109" t="inlineStr">
        <is>
          <t>https://m.media-amazon.com/images/I/71DuFRcKCPL.jpg</t>
        </is>
      </c>
      <c r="K282" s="109" t="n"/>
      <c r="L282" s="109" t="inlineStr">
        <is>
          <t>B0B3D4SBB1</t>
        </is>
      </c>
      <c r="M282" s="109" t="n"/>
      <c r="N282" s="109" t="n">
        <v>59.4</v>
      </c>
      <c r="O282" s="109" t="n"/>
      <c r="P282" s="109">
        <f>IF(AND(ISNUMBER(O282),ISNUMBER(N282),N(N282)&gt;0),O282/N282-1,"")</f>
        <v/>
      </c>
      <c r="Q282" s="109" t="n">
        <v>50.21499999999998</v>
      </c>
      <c r="R282" s="109">
        <f>IF(AND(ISNUMBER(N282),ISNUMBER(Q282),N(Q282)&gt;0),N282/Q282-1,"")</f>
        <v/>
      </c>
      <c r="S282" s="109" t="n">
        <v>1923711</v>
      </c>
      <c r="T282" s="109" t="n"/>
      <c r="U282" s="109" t="n">
        <v>4.4</v>
      </c>
      <c r="V282" s="109" t="n">
        <v>23</v>
      </c>
      <c r="W282" s="109" t="n"/>
      <c r="X282" s="109" t="n"/>
      <c r="Y282" s="109" t="n"/>
      <c r="Z282" s="109" t="n"/>
      <c r="AA282" s="109" t="n"/>
      <c r="AB282" s="109" t="n"/>
      <c r="AC282" s="109" t="inlineStr">
        <is>
          <t>CA DC S6</t>
        </is>
      </c>
      <c r="AD282" s="109">
        <f>'CA DC S6'!BC167</f>
        <v/>
      </c>
      <c r="AE282" s="109">
        <f>'CA DC S6'!BF167</f>
        <v/>
      </c>
      <c r="AF282" s="109" t="inlineStr">
        <is>
          <t>Queen</t>
        </is>
      </c>
      <c r="AG282" s="109" t="inlineStr">
        <is>
          <t>Flint Blue</t>
        </is>
      </c>
    </row>
    <row r="283">
      <c r="A283" s="109">
        <f>AND(OR(Dashboard!$C$4="All",Dashboard!$C$4=D283),OR(Dashboard!$C$5="All",Dashboard!$C$5=E283),OR(Dashboard!$C$6="All",Dashboard!$C$6=G283),OR(Dashboard!$C$7="All",Dashboard!$C$7=H283),OR(Dashboard!$C$8="All",Dashboard!$C$8=F283))</f>
        <v/>
      </c>
      <c r="B283" s="109">
        <f>IF(A283,B282+1,B282)</f>
        <v/>
      </c>
      <c r="C283" s="109" t="n">
        <v>31</v>
      </c>
      <c r="D283" s="109" t="inlineStr">
        <is>
          <t>DC S6</t>
        </is>
      </c>
      <c r="E283" s="109" t="inlineStr">
        <is>
          <t>CA</t>
        </is>
      </c>
      <c r="F283" s="109" t="inlineStr">
        <is>
          <t>Satin</t>
        </is>
      </c>
      <c r="G283" s="109" t="inlineStr">
        <is>
          <t>TREELY</t>
        </is>
      </c>
      <c r="H283" s="109" t="inlineStr">
        <is>
          <t>Untiered</t>
        </is>
      </c>
      <c r="I283" s="109" t="inlineStr">
        <is>
          <t>TREELY 6 Piece Satin Sheets King Size Silky Smooth Beige Satin Sheet Set with Deep Pocket, Satin Fitted Sheet, Flat Sheet, 4 Satin Pillowcase</t>
        </is>
      </c>
      <c r="J283" s="109" t="inlineStr">
        <is>
          <t>https://m.media-amazon.com/images/I/7137mOom6hL.jpg</t>
        </is>
      </c>
      <c r="K283" s="109" t="n"/>
      <c r="L283" s="109" t="inlineStr">
        <is>
          <t>B0CG8XWGLK</t>
        </is>
      </c>
      <c r="M283" s="109" t="n"/>
      <c r="N283" s="109" t="n">
        <v>47.57</v>
      </c>
      <c r="O283" s="109" t="n"/>
      <c r="P283" s="109">
        <f>IF(AND(ISNUMBER(O283),ISNUMBER(N283),N(N283)&gt;0),O283/N283-1,"")</f>
        <v/>
      </c>
      <c r="Q283" s="109" t="n">
        <v>50.94631067961166</v>
      </c>
      <c r="R283" s="109">
        <f>IF(AND(ISNUMBER(N283),ISNUMBER(Q283),N(Q283)&gt;0),N283/Q283-1,"")</f>
        <v/>
      </c>
      <c r="S283" s="109" t="n"/>
      <c r="T283" s="109" t="n"/>
      <c r="U283" s="109" t="n">
        <v>5</v>
      </c>
      <c r="V283" s="109" t="n">
        <v>3</v>
      </c>
      <c r="W283" s="109" t="n"/>
      <c r="X283" s="109" t="n"/>
      <c r="Y283" s="109" t="n"/>
      <c r="Z283" s="109" t="n"/>
      <c r="AA283" s="109" t="n"/>
      <c r="AB283" s="109" t="n"/>
      <c r="AC283" s="109" t="inlineStr">
        <is>
          <t>CA DC S6</t>
        </is>
      </c>
      <c r="AD283" s="109">
        <f>'CA DC S6'!BC168</f>
        <v/>
      </c>
      <c r="AE283" s="109">
        <f>'CA DC S6'!BF168</f>
        <v/>
      </c>
      <c r="AF283" s="109" t="inlineStr">
        <is>
          <t>King</t>
        </is>
      </c>
      <c r="AG283" s="109" t="inlineStr">
        <is>
          <t>Beige</t>
        </is>
      </c>
    </row>
    <row r="284">
      <c r="A284" s="109">
        <f>AND(OR(Dashboard!$C$4="All",Dashboard!$C$4=D284),OR(Dashboard!$C$5="All",Dashboard!$C$5=E284),OR(Dashboard!$C$6="All",Dashboard!$C$6=G284),OR(Dashboard!$C$7="All",Dashboard!$C$7=H284),OR(Dashboard!$C$8="All",Dashboard!$C$8=F284))</f>
        <v/>
      </c>
      <c r="B284" s="109">
        <f>IF(A284,B283+1,B283)</f>
        <v/>
      </c>
      <c r="C284" s="109" t="n">
        <v>31</v>
      </c>
      <c r="D284" s="109" t="inlineStr">
        <is>
          <t>DC S6</t>
        </is>
      </c>
      <c r="E284" s="109" t="inlineStr">
        <is>
          <t>CA</t>
        </is>
      </c>
      <c r="F284" s="109" t="inlineStr">
        <is>
          <t>Satin</t>
        </is>
      </c>
      <c r="G284" s="109" t="inlineStr">
        <is>
          <t>Madison Park</t>
        </is>
      </c>
      <c r="H284" s="109" t="inlineStr">
        <is>
          <t>Untiered</t>
        </is>
      </c>
      <c r="I284" s="109" t="inlineStr">
        <is>
          <t>Madison Park Satin Sheets Queen Size, Luxurious Silky Bed Sheets, Elastic 14" Pocket fits up to 16" Mattress, Wrinkle-Free, Soft Satin Bed Sheet Set, Emerald 6 Piece</t>
        </is>
      </c>
      <c r="J284" s="109" t="inlineStr">
        <is>
          <t>https://m.media-amazon.com/images/I/81WDDYbsuoL.jpg</t>
        </is>
      </c>
      <c r="K284" s="109" t="inlineStr">
        <is>
          <t>B0DDQD35D4</t>
        </is>
      </c>
      <c r="L284" s="109" t="inlineStr">
        <is>
          <t>B0DDQ6H23P</t>
        </is>
      </c>
      <c r="M284" s="109" t="n">
        <v>39</v>
      </c>
      <c r="N284" s="109" t="n">
        <v>96.7</v>
      </c>
      <c r="O284" s="109" t="n"/>
      <c r="P284" s="109">
        <f>IF(AND(ISNUMBER(O284),ISNUMBER(N284),N(N284)&gt;0),O284/N284-1,"")</f>
        <v/>
      </c>
      <c r="Q284" s="109" t="n">
        <v>50.21499999999998</v>
      </c>
      <c r="R284" s="109">
        <f>IF(AND(ISNUMBER(N284),ISNUMBER(Q284),N(Q284)&gt;0),N284/Q284-1,"")</f>
        <v/>
      </c>
      <c r="S284" s="109" t="n">
        <v>724244</v>
      </c>
      <c r="T284" s="109" t="n"/>
      <c r="U284" s="109" t="n">
        <v>4.2</v>
      </c>
      <c r="V284" s="109" t="n">
        <v>110</v>
      </c>
      <c r="W284" s="109" t="n"/>
      <c r="X284" s="109" t="n"/>
      <c r="Y284" s="109" t="n"/>
      <c r="Z284" s="109" t="n"/>
      <c r="AA284" s="109" t="n"/>
      <c r="AB284" s="109" t="n"/>
      <c r="AC284" s="109" t="inlineStr">
        <is>
          <t>CA DC S6</t>
        </is>
      </c>
      <c r="AD284" s="109">
        <f>'CA DC S6'!BC169</f>
        <v/>
      </c>
      <c r="AE284" s="109">
        <f>'CA DC S6'!BF169</f>
        <v/>
      </c>
      <c r="AF284" s="109" t="inlineStr">
        <is>
          <t>Queen</t>
        </is>
      </c>
      <c r="AG284" s="109" t="inlineStr">
        <is>
          <t>Emerald Green</t>
        </is>
      </c>
    </row>
    <row r="285">
      <c r="A285" s="109">
        <f>AND(OR(Dashboard!$C$4="All",Dashboard!$C$4=D285),OR(Dashboard!$C$5="All",Dashboard!$C$5=E285),OR(Dashboard!$C$6="All",Dashboard!$C$6=G285),OR(Dashboard!$C$7="All",Dashboard!$C$7=H285),OR(Dashboard!$C$8="All",Dashboard!$C$8=F285))</f>
        <v/>
      </c>
      <c r="B285" s="109">
        <f>IF(A285,B284+1,B284)</f>
        <v/>
      </c>
      <c r="C285" s="109" t="n">
        <v>31</v>
      </c>
      <c r="D285" s="109" t="inlineStr">
        <is>
          <t>DC S6</t>
        </is>
      </c>
      <c r="E285" s="109" t="inlineStr">
        <is>
          <t>CA</t>
        </is>
      </c>
      <c r="F285" s="109" t="inlineStr">
        <is>
          <t>Satin</t>
        </is>
      </c>
      <c r="G285" s="109" t="inlineStr">
        <is>
          <t>Madison Park</t>
        </is>
      </c>
      <c r="H285" s="109" t="inlineStr">
        <is>
          <t>Untiered</t>
        </is>
      </c>
      <c r="I285" s="109" t="inlineStr">
        <is>
          <t>Madison Park Essentials Premier Comfort SHET20-173 Satin 6 Piece Sheet Set, Queen, Black</t>
        </is>
      </c>
      <c r="J285" s="109" t="inlineStr">
        <is>
          <t>https://m.media-amazon.com/images/I/81gVMcbJ+9L.jpg</t>
        </is>
      </c>
      <c r="K285" s="109" t="inlineStr">
        <is>
          <t>B07N97B765</t>
        </is>
      </c>
      <c r="L285" s="109" t="inlineStr">
        <is>
          <t>B0053WL9UA</t>
        </is>
      </c>
      <c r="M285" s="109" t="n">
        <v>15</v>
      </c>
      <c r="N285" s="109" t="n">
        <v>61.99</v>
      </c>
      <c r="O285" s="109" t="n"/>
      <c r="P285" s="109">
        <f>IF(AND(ISNUMBER(O285),ISNUMBER(N285),N(N285)&gt;0),O285/N285-1,"")</f>
        <v/>
      </c>
      <c r="Q285" s="109" t="n">
        <v>50.21499999999998</v>
      </c>
      <c r="R285" s="109">
        <f>IF(AND(ISNUMBER(N285),ISNUMBER(Q285),N(Q285)&gt;0),N285/Q285-1,"")</f>
        <v/>
      </c>
      <c r="S285" s="109" t="n">
        <v>823880</v>
      </c>
      <c r="T285" s="109" t="n"/>
      <c r="U285" s="109" t="n">
        <v>4</v>
      </c>
      <c r="V285" s="109" t="n">
        <v>2955</v>
      </c>
      <c r="W285" s="109" t="n"/>
      <c r="X285" s="109" t="n"/>
      <c r="Y285" s="109" t="n"/>
      <c r="Z285" s="109" t="n"/>
      <c r="AA285" s="109" t="n"/>
      <c r="AB285" s="109" t="n"/>
      <c r="AC285" s="109" t="inlineStr">
        <is>
          <t>CA DC S6</t>
        </is>
      </c>
      <c r="AD285" s="109">
        <f>'CA DC S6'!BC170</f>
        <v/>
      </c>
      <c r="AE285" s="109">
        <f>'CA DC S6'!BF170</f>
        <v/>
      </c>
      <c r="AF285" s="109" t="inlineStr">
        <is>
          <t>Queen</t>
        </is>
      </c>
      <c r="AG285" s="109" t="inlineStr">
        <is>
          <t>Black</t>
        </is>
      </c>
    </row>
    <row r="286">
      <c r="A286" s="109">
        <f>AND(OR(Dashboard!$C$4="All",Dashboard!$C$4=D286),OR(Dashboard!$C$5="All",Dashboard!$C$5=E286),OR(Dashboard!$C$6="All",Dashboard!$C$6=G286),OR(Dashboard!$C$7="All",Dashboard!$C$7=H286),OR(Dashboard!$C$8="All",Dashboard!$C$8=F286))</f>
        <v/>
      </c>
      <c r="B286" s="109">
        <f>IF(A286,B285+1,B285)</f>
        <v/>
      </c>
      <c r="C286" s="109" t="n">
        <v>31</v>
      </c>
      <c r="D286" s="109" t="inlineStr">
        <is>
          <t>DC S6</t>
        </is>
      </c>
      <c r="E286" s="109" t="inlineStr">
        <is>
          <t>CA</t>
        </is>
      </c>
      <c r="F286" s="109" t="inlineStr">
        <is>
          <t>Satin</t>
        </is>
      </c>
      <c r="G286" s="109" t="inlineStr">
        <is>
          <t>P Pothuiny</t>
        </is>
      </c>
      <c r="H286" s="109" t="inlineStr">
        <is>
          <t>Untiered</t>
        </is>
      </c>
      <c r="I286" s="109" t="inlineStr">
        <is>
          <t>P Pothuiny 6-Piece Queen Satin Sheet Set Burnt Orange Silky Sheets</t>
        </is>
      </c>
      <c r="J286" s="109" t="inlineStr">
        <is>
          <t>https://m.media-amazon.com/images/I/71VWxLeKClL.jpg</t>
        </is>
      </c>
      <c r="K286" s="109" t="n"/>
      <c r="L286" s="109" t="inlineStr">
        <is>
          <t>B09W2QF9B8</t>
        </is>
      </c>
      <c r="M286" s="109" t="n"/>
      <c r="N286" s="109" t="n">
        <v>59.5</v>
      </c>
      <c r="O286" s="109" t="n"/>
      <c r="P286" s="109">
        <f>IF(AND(ISNUMBER(O286),ISNUMBER(N286),N(N286)&gt;0),O286/N286-1,"")</f>
        <v/>
      </c>
      <c r="Q286" s="109" t="n">
        <v>50.21499999999998</v>
      </c>
      <c r="R286" s="109">
        <f>IF(AND(ISNUMBER(N286),ISNUMBER(Q286),N(Q286)&gt;0),N286/Q286-1,"")</f>
        <v/>
      </c>
      <c r="S286" s="109" t="n"/>
      <c r="T286" s="109" t="n"/>
      <c r="U286" s="109" t="n">
        <v>4</v>
      </c>
      <c r="V286" s="109" t="n">
        <v>64</v>
      </c>
      <c r="W286" s="109" t="n"/>
      <c r="X286" s="109" t="n"/>
      <c r="Y286" s="109" t="n"/>
      <c r="Z286" s="109" t="n"/>
      <c r="AA286" s="109" t="n"/>
      <c r="AB286" s="109" t="n"/>
      <c r="AC286" s="109" t="inlineStr">
        <is>
          <t>CA DC S6</t>
        </is>
      </c>
      <c r="AD286" s="109">
        <f>'CA DC S6'!BC171</f>
        <v/>
      </c>
      <c r="AE286" s="109">
        <f>'CA DC S6'!BF171</f>
        <v/>
      </c>
      <c r="AF286" s="109" t="inlineStr">
        <is>
          <t>Queen</t>
        </is>
      </c>
      <c r="AG286" s="109" t="inlineStr">
        <is>
          <t>Burnt Orange</t>
        </is>
      </c>
    </row>
    <row r="287">
      <c r="A287" s="109">
        <f>AND(OR(Dashboard!$C$4="All",Dashboard!$C$4=D287),OR(Dashboard!$C$5="All",Dashboard!$C$5=E287),OR(Dashboard!$C$6="All",Dashboard!$C$6=G287),OR(Dashboard!$C$7="All",Dashboard!$C$7=H287),OR(Dashboard!$C$8="All",Dashboard!$C$8=F287))</f>
        <v/>
      </c>
      <c r="B287" s="109">
        <f>IF(A287,B286+1,B286)</f>
        <v/>
      </c>
      <c r="C287" s="109" t="n">
        <v>39</v>
      </c>
      <c r="D287" s="109" t="inlineStr">
        <is>
          <t>SSS4</t>
        </is>
      </c>
      <c r="E287" s="109" t="inlineStr">
        <is>
          <t>US</t>
        </is>
      </c>
      <c r="F287" s="109" t="inlineStr">
        <is>
          <t>Satin</t>
        </is>
      </c>
      <c r="G287" s="109" t="inlineStr">
        <is>
          <t>BEDELITE</t>
        </is>
      </c>
      <c r="H287" s="109" t="inlineStr">
        <is>
          <t>Aspirational</t>
        </is>
      </c>
      <c r="I287" s="109" t="inlineStr">
        <is>
          <t>BEDELITE Satin Sheets Queen Size Bed Set, Black, 4 Pieces</t>
        </is>
      </c>
      <c r="J287" s="109" t="inlineStr">
        <is>
          <t>https://images-na.ssl-images-amazon.com/images/I/71ujt2CgaQL.jpg</t>
        </is>
      </c>
      <c r="K287" s="109" t="inlineStr">
        <is>
          <t>B0FNMNMZ9T</t>
        </is>
      </c>
      <c r="L287" s="109" t="inlineStr">
        <is>
          <t>B0CSFTRP2X</t>
        </is>
      </c>
      <c r="M287" s="109" t="n">
        <v>141</v>
      </c>
      <c r="N287" s="109" t="n">
        <v>17.99</v>
      </c>
      <c r="O287" s="109" t="n"/>
      <c r="P287" s="109">
        <f>IF(AND(ISNUMBER(O287),ISNUMBER(N287),N(N287)&gt;0),O287/N287-1,"")</f>
        <v/>
      </c>
      <c r="Q287" s="109" t="n">
        <v>33.95</v>
      </c>
      <c r="R287" s="109">
        <f>IF(AND(ISNUMBER(N287),ISNUMBER(Q287),N(Q287)&gt;0),N287/Q287-1,"")</f>
        <v/>
      </c>
      <c r="S287" s="109" t="n">
        <v>497</v>
      </c>
      <c r="T287" s="109" t="n">
        <v>1963</v>
      </c>
      <c r="U287" s="109" t="n">
        <v>4.3</v>
      </c>
      <c r="V287" s="109" t="n">
        <v>6297</v>
      </c>
      <c r="W287" s="109" t="n">
        <v>997443</v>
      </c>
      <c r="X287" s="109" t="n">
        <v>0.8161266415223724</v>
      </c>
      <c r="Y287" s="109" t="n">
        <v>61</v>
      </c>
      <c r="Z287" s="109" t="n">
        <v>385</v>
      </c>
      <c r="AA287" s="109" t="n">
        <v>332</v>
      </c>
      <c r="AB287" s="109" t="n">
        <v>1.114785561378903</v>
      </c>
      <c r="AC287" s="109" t="inlineStr">
        <is>
          <t>US SSS4</t>
        </is>
      </c>
      <c r="AD287" s="109">
        <f>'US SSS4'!BC155</f>
        <v/>
      </c>
      <c r="AE287" s="109">
        <f>'US SSS4'!BF155</f>
        <v/>
      </c>
      <c r="AF287" s="109" t="inlineStr">
        <is>
          <t>Queen</t>
        </is>
      </c>
      <c r="AG287" s="109" t="inlineStr">
        <is>
          <t>Black</t>
        </is>
      </c>
    </row>
    <row r="288">
      <c r="A288" s="109">
        <f>AND(OR(Dashboard!$C$4="All",Dashboard!$C$4=D288),OR(Dashboard!$C$5="All",Dashboard!$C$5=E288),OR(Dashboard!$C$6="All",Dashboard!$C$6=G288),OR(Dashboard!$C$7="All",Dashboard!$C$7=H288),OR(Dashboard!$C$8="All",Dashboard!$C$8=F288))</f>
        <v/>
      </c>
      <c r="B288" s="109">
        <f>IF(A288,B287+1,B287)</f>
        <v/>
      </c>
      <c r="C288" s="109" t="n">
        <v>39</v>
      </c>
      <c r="D288" s="109" t="inlineStr">
        <is>
          <t>SSS4</t>
        </is>
      </c>
      <c r="E288" s="109" t="inlineStr">
        <is>
          <t>US</t>
        </is>
      </c>
      <c r="F288" s="109" t="inlineStr">
        <is>
          <t>Satin</t>
        </is>
      </c>
      <c r="G288" s="109" t="inlineStr">
        <is>
          <t>Love's cabin</t>
        </is>
      </c>
      <c r="H288" s="109" t="inlineStr">
        <is>
          <t>Aspirational</t>
        </is>
      </c>
      <c r="I288" s="109" t="inlineStr">
        <is>
          <t>Love's cabin Satin Queen Sheets Set, 4 Pieces, Pink, 15" Deep Pocket</t>
        </is>
      </c>
      <c r="J288" s="109" t="inlineStr">
        <is>
          <t>https://images-na.ssl-images-amazon.com/images/I/81C-fXI71XL.jpg</t>
        </is>
      </c>
      <c r="K288" s="109" t="inlineStr">
        <is>
          <t>B08DHTB63X</t>
        </is>
      </c>
      <c r="L288" s="109" t="inlineStr">
        <is>
          <t>B0BNMC5G8R</t>
        </is>
      </c>
      <c r="M288" s="109" t="n">
        <v>128</v>
      </c>
      <c r="N288" s="109" t="n">
        <v>16.13</v>
      </c>
      <c r="O288" s="109" t="n">
        <v>19.99</v>
      </c>
      <c r="P288" s="109">
        <f>IF(AND(ISNUMBER(O288),ISNUMBER(N288),N(N288)&gt;0),O288/N288-1,"")</f>
        <v/>
      </c>
      <c r="Q288" s="109" t="n">
        <v>33.95</v>
      </c>
      <c r="R288" s="109">
        <f>IF(AND(ISNUMBER(N288),ISNUMBER(Q288),N(Q288)&gt;0),N288/Q288-1,"")</f>
        <v/>
      </c>
      <c r="S288" s="109" t="n">
        <v>949</v>
      </c>
      <c r="T288" s="109" t="n">
        <v>809</v>
      </c>
      <c r="U288" s="109" t="n">
        <v>4.5</v>
      </c>
      <c r="V288" s="109" t="n">
        <v>5747</v>
      </c>
      <c r="W288" s="109" t="n">
        <v>385363</v>
      </c>
      <c r="X288" s="109" t="n">
        <v>0.8181775938530695</v>
      </c>
      <c r="Y288" s="109" t="n">
        <v>68</v>
      </c>
      <c r="Z288" s="109" t="n">
        <v>353</v>
      </c>
      <c r="AA288" s="109" t="n">
        <v>400</v>
      </c>
      <c r="AB288" s="109" t="n">
        <v>1.036399938565504</v>
      </c>
      <c r="AC288" s="109" t="inlineStr">
        <is>
          <t>US SSS4</t>
        </is>
      </c>
      <c r="AD288" s="109">
        <f>'US SSS4'!BC156</f>
        <v/>
      </c>
      <c r="AE288" s="109">
        <f>'US SSS4'!BF156</f>
        <v/>
      </c>
      <c r="AF288" s="109" t="inlineStr">
        <is>
          <t>Queen</t>
        </is>
      </c>
      <c r="AG288" s="109" t="inlineStr">
        <is>
          <t>Pink</t>
        </is>
      </c>
    </row>
    <row r="289">
      <c r="A289" s="109">
        <f>AND(OR(Dashboard!$C$4="All",Dashboard!$C$4=D289),OR(Dashboard!$C$5="All",Dashboard!$C$5=E289),OR(Dashboard!$C$6="All",Dashboard!$C$6=G289),OR(Dashboard!$C$7="All",Dashboard!$C$7=H289),OR(Dashboard!$C$8="All",Dashboard!$C$8=F289))</f>
        <v/>
      </c>
      <c r="B289" s="109">
        <f>IF(A289,B288+1,B288)</f>
        <v/>
      </c>
      <c r="C289" s="109" t="n">
        <v>39</v>
      </c>
      <c r="D289" s="109" t="inlineStr">
        <is>
          <t>SSS4</t>
        </is>
      </c>
      <c r="E289" s="109" t="inlineStr">
        <is>
          <t>US</t>
        </is>
      </c>
      <c r="F289" s="109" t="inlineStr">
        <is>
          <t>Satin</t>
        </is>
      </c>
      <c r="G289" s="109" t="inlineStr">
        <is>
          <t>MR&amp;HM</t>
        </is>
      </c>
      <c r="H289" s="109" t="inlineStr">
        <is>
          <t>Aspirational</t>
        </is>
      </c>
      <c r="I289" s="109" t="inlineStr">
        <is>
          <t>MR&amp;HM Satin Sheets Queen Size with Elastic Corner Straps, Black</t>
        </is>
      </c>
      <c r="J289" s="109" t="inlineStr">
        <is>
          <t>https://images-na.ssl-images-amazon.com/images/I/71zGuoeuSrL.jpg</t>
        </is>
      </c>
      <c r="K289" s="109" t="inlineStr">
        <is>
          <t>B08NQ3W7PG</t>
        </is>
      </c>
      <c r="L289" s="109" t="inlineStr">
        <is>
          <t>B08HM6WT6X</t>
        </is>
      </c>
      <c r="M289" s="109" t="n">
        <v>183</v>
      </c>
      <c r="N289" s="109" t="n">
        <v>19.99</v>
      </c>
      <c r="O289" s="109" t="n"/>
      <c r="P289" s="109">
        <f>IF(AND(ISNUMBER(O289),ISNUMBER(N289),N(N289)&gt;0),O289/N289-1,"")</f>
        <v/>
      </c>
      <c r="Q289" s="109" t="n">
        <v>33.95</v>
      </c>
      <c r="R289" s="109">
        <f>IF(AND(ISNUMBER(N289),ISNUMBER(Q289),N(Q289)&gt;0),N289/Q289-1,"")</f>
        <v/>
      </c>
      <c r="S289" s="109" t="n">
        <v>2025</v>
      </c>
      <c r="T289" s="109" t="n">
        <v>809</v>
      </c>
      <c r="U289" s="109" t="n">
        <v>4.4</v>
      </c>
      <c r="V289" s="109" t="n">
        <v>17886</v>
      </c>
      <c r="W289" s="109" t="n">
        <v>356457</v>
      </c>
      <c r="X289" s="109" t="n">
        <v>0.7964633734223203</v>
      </c>
      <c r="Y289" s="109" t="n">
        <v>93</v>
      </c>
      <c r="Z289" s="109" t="n">
        <v>328</v>
      </c>
      <c r="AA289" s="109" t="n">
        <v>363</v>
      </c>
      <c r="AB289" s="109" t="n">
        <v>0.9844138242602214</v>
      </c>
      <c r="AC289" s="109" t="inlineStr">
        <is>
          <t>US SSS4</t>
        </is>
      </c>
      <c r="AD289" s="109">
        <f>'US SSS4'!BC157</f>
        <v/>
      </c>
      <c r="AE289" s="109">
        <f>'US SSS4'!BF157</f>
        <v/>
      </c>
      <c r="AF289" s="109" t="inlineStr">
        <is>
          <t>Queen</t>
        </is>
      </c>
      <c r="AG289" s="109" t="inlineStr">
        <is>
          <t>Black</t>
        </is>
      </c>
    </row>
    <row r="290">
      <c r="A290" s="109">
        <f>AND(OR(Dashboard!$C$4="All",Dashboard!$C$4=D290),OR(Dashboard!$C$5="All",Dashboard!$C$5=E290),OR(Dashboard!$C$6="All",Dashboard!$C$6=G290),OR(Dashboard!$C$7="All",Dashboard!$C$7=H290),OR(Dashboard!$C$8="All",Dashboard!$C$8=F290))</f>
        <v/>
      </c>
      <c r="B290" s="109">
        <f>IF(A290,B289+1,B289)</f>
        <v/>
      </c>
      <c r="C290" s="109" t="n">
        <v>39</v>
      </c>
      <c r="D290" s="109" t="inlineStr">
        <is>
          <t>SSS4</t>
        </is>
      </c>
      <c r="E290" s="109" t="inlineStr">
        <is>
          <t>US</t>
        </is>
      </c>
      <c r="F290" s="109" t="inlineStr">
        <is>
          <t>Satin</t>
        </is>
      </c>
      <c r="G290" s="109" t="inlineStr">
        <is>
          <t>CozyLux</t>
        </is>
      </c>
      <c r="H290" s="109" t="inlineStr">
        <is>
          <t>Aspirational</t>
        </is>
      </c>
      <c r="I290" s="109" t="inlineStr">
        <is>
          <t>CozyLux Satin Sheets Queen, 4-Piece 14-Inch Deep Pocket Sheet Set</t>
        </is>
      </c>
      <c r="J290" s="109" t="inlineStr">
        <is>
          <t>https://images-na.ssl-images-amazon.com/images/I/71QlFwpmpcL.jpg</t>
        </is>
      </c>
      <c r="K290" s="109" t="inlineStr">
        <is>
          <t>B08CQKS3KP</t>
        </is>
      </c>
      <c r="L290" s="109" t="inlineStr">
        <is>
          <t>B08P16XLP2</t>
        </is>
      </c>
      <c r="M290" s="109" t="n">
        <v>115</v>
      </c>
      <c r="N290" s="109" t="n">
        <v>13.99</v>
      </c>
      <c r="O290" s="109" t="n">
        <v>18.99</v>
      </c>
      <c r="P290" s="109">
        <f>IF(AND(ISNUMBER(O290),ISNUMBER(N290),N(N290)&gt;0),O290/N290-1,"")</f>
        <v/>
      </c>
      <c r="Q290" s="109" t="n">
        <v>33.95</v>
      </c>
      <c r="R290" s="109">
        <f>IF(AND(ISNUMBER(N290),ISNUMBER(Q290),N(Q290)&gt;0),N290/Q290-1,"")</f>
        <v/>
      </c>
      <c r="S290" s="109" t="n">
        <v>3102</v>
      </c>
      <c r="T290" s="109" t="n">
        <v>347</v>
      </c>
      <c r="U290" s="109" t="n">
        <v>4.3</v>
      </c>
      <c r="V290" s="109" t="n">
        <v>7075</v>
      </c>
      <c r="W290" s="109" t="n">
        <v>164434</v>
      </c>
      <c r="X290" s="109" t="n">
        <v>0.724298132381382</v>
      </c>
      <c r="Y290" s="109" t="n">
        <v>113</v>
      </c>
      <c r="Z290" s="109" t="n">
        <v>272</v>
      </c>
      <c r="AA290" s="109" t="n">
        <v>305</v>
      </c>
      <c r="AB290" s="109" t="n">
        <v>0.8168981481481481</v>
      </c>
      <c r="AC290" s="109" t="inlineStr">
        <is>
          <t>US SSS4</t>
        </is>
      </c>
      <c r="AD290" s="109">
        <f>'US SSS4'!BC158</f>
        <v/>
      </c>
      <c r="AE290" s="109">
        <f>'US SSS4'!BF158</f>
        <v/>
      </c>
      <c r="AF290" s="109" t="inlineStr">
        <is>
          <t>Queen</t>
        </is>
      </c>
      <c r="AG290" s="109" t="n"/>
    </row>
    <row r="291">
      <c r="A291" s="109">
        <f>AND(OR(Dashboard!$C$4="All",Dashboard!$C$4=D291),OR(Dashboard!$C$5="All",Dashboard!$C$5=E291),OR(Dashboard!$C$6="All",Dashboard!$C$6=G291),OR(Dashboard!$C$7="All",Dashboard!$C$7=H291),OR(Dashboard!$C$8="All",Dashboard!$C$8=F291))</f>
        <v/>
      </c>
      <c r="B291" s="109">
        <f>IF(A291,B290+1,B290)</f>
        <v/>
      </c>
      <c r="C291" s="109" t="n">
        <v>39</v>
      </c>
      <c r="D291" s="109" t="inlineStr">
        <is>
          <t>SSS4</t>
        </is>
      </c>
      <c r="E291" s="109" t="inlineStr">
        <is>
          <t>US</t>
        </is>
      </c>
      <c r="F291" s="109" t="inlineStr">
        <is>
          <t>Satin</t>
        </is>
      </c>
      <c r="G291" s="109" t="inlineStr">
        <is>
          <t>BEDELITE</t>
        </is>
      </c>
      <c r="H291" s="109" t="inlineStr">
        <is>
          <t>Aspirational</t>
        </is>
      </c>
      <c r="I291" s="109" t="inlineStr">
        <is>
          <t>BEDELITE Satin Queen Fitted Sheet &amp; Pillowcases Set, Black, 3 Pieces</t>
        </is>
      </c>
      <c r="J291" s="109" t="inlineStr">
        <is>
          <t>https://images-na.ssl-images-amazon.com/images/I/71Jlvkv3rfL.jpg</t>
        </is>
      </c>
      <c r="K291" s="109" t="inlineStr">
        <is>
          <t>B0FPCM7DL3</t>
        </is>
      </c>
      <c r="L291" s="109" t="inlineStr">
        <is>
          <t>B0CSFV4FXW</t>
        </is>
      </c>
      <c r="M291" s="109" t="n">
        <v>107</v>
      </c>
      <c r="N291" s="109" t="n">
        <v>15.98</v>
      </c>
      <c r="O291" s="109" t="n">
        <v>19.99</v>
      </c>
      <c r="P291" s="109">
        <f>IF(AND(ISNUMBER(O291),ISNUMBER(N291),N(N291)&gt;0),O291/N291-1,"")</f>
        <v/>
      </c>
      <c r="Q291" s="109" t="n">
        <v>33.95</v>
      </c>
      <c r="R291" s="109">
        <f>IF(AND(ISNUMBER(N291),ISNUMBER(Q291),N(Q291)&gt;0),N291/Q291-1,"")</f>
        <v/>
      </c>
      <c r="S291" s="109" t="n">
        <v>4306</v>
      </c>
      <c r="T291" s="109" t="n">
        <v>208</v>
      </c>
      <c r="U291" s="109" t="n">
        <v>4.4</v>
      </c>
      <c r="V291" s="109" t="n">
        <v>1858</v>
      </c>
      <c r="W291" s="109" t="n">
        <v>179643</v>
      </c>
      <c r="X291" s="109" t="n">
        <v>0.4557323781054652</v>
      </c>
      <c r="Y291" s="109" t="n">
        <v>104</v>
      </c>
      <c r="Z291" s="109" t="n">
        <v>235</v>
      </c>
      <c r="AA291" s="109" t="n">
        <v>561</v>
      </c>
      <c r="AB291" s="109" t="n">
        <v>1.118721461187214</v>
      </c>
      <c r="AC291" s="109" t="inlineStr">
        <is>
          <t>US SSS4</t>
        </is>
      </c>
      <c r="AD291" s="109">
        <f>'US SSS4'!BC159</f>
        <v/>
      </c>
      <c r="AE291" s="109">
        <f>'US SSS4'!BF159</f>
        <v/>
      </c>
      <c r="AF291" s="109" t="inlineStr">
        <is>
          <t>Queen</t>
        </is>
      </c>
      <c r="AG291" s="109" t="inlineStr">
        <is>
          <t>Black</t>
        </is>
      </c>
    </row>
    <row r="292">
      <c r="A292" s="109">
        <f>AND(OR(Dashboard!$C$4="All",Dashboard!$C$4=D292),OR(Dashboard!$C$5="All",Dashboard!$C$5=E292),OR(Dashboard!$C$6="All",Dashboard!$C$6=G292),OR(Dashboard!$C$7="All",Dashboard!$C$7=H292),OR(Dashboard!$C$8="All",Dashboard!$C$8=F292))</f>
        <v/>
      </c>
      <c r="B292" s="109">
        <f>IF(A292,B291+1,B291)</f>
        <v/>
      </c>
      <c r="C292" s="109" t="n">
        <v>39</v>
      </c>
      <c r="D292" s="109" t="inlineStr">
        <is>
          <t>SSS4</t>
        </is>
      </c>
      <c r="E292" s="109" t="inlineStr">
        <is>
          <t>US</t>
        </is>
      </c>
      <c r="F292" s="109" t="inlineStr">
        <is>
          <t>Satin</t>
        </is>
      </c>
      <c r="G292" s="109" t="inlineStr">
        <is>
          <t>Lanest Housing</t>
        </is>
      </c>
      <c r="H292" s="109" t="inlineStr">
        <is>
          <t>Beatable</t>
        </is>
      </c>
      <c r="I292" s="109" t="inlineStr">
        <is>
          <t>Lanest Housing Silk Satin Sheets, Queen Size Satin Bed Sheet Set with Deep Pockets, Cooling Soft and Hypoallergenic Satin Sheets Queen - Light Gray</t>
        </is>
      </c>
      <c r="J292" s="109" t="inlineStr">
        <is>
          <t>https://images-na.ssl-images-amazon.com/images/I/71PMIXXTc0L.jpg</t>
        </is>
      </c>
      <c r="K292" s="109" t="inlineStr">
        <is>
          <t>B0DC3MX1DP</t>
        </is>
      </c>
      <c r="L292" s="109" t="inlineStr">
        <is>
          <t>B082B5CY3D</t>
        </is>
      </c>
      <c r="M292" s="109" t="n">
        <v>154</v>
      </c>
      <c r="N292" s="109" t="n">
        <v>22.99</v>
      </c>
      <c r="O292" s="109" t="n"/>
      <c r="P292" s="109">
        <f>IF(AND(ISNUMBER(O292),ISNUMBER(N292),N(N292)&gt;0),O292/N292-1,"")</f>
        <v/>
      </c>
      <c r="Q292" s="109" t="n">
        <v>33.95</v>
      </c>
      <c r="R292" s="109">
        <f>IF(AND(ISNUMBER(N292),ISNUMBER(Q292),N(Q292)&gt;0),N292/Q292-1,"")</f>
        <v/>
      </c>
      <c r="S292" s="109" t="n">
        <v>4671</v>
      </c>
      <c r="T292" s="109" t="n">
        <v>208</v>
      </c>
      <c r="U292" s="109" t="n">
        <v>4.3</v>
      </c>
      <c r="V292" s="109" t="n">
        <v>5837</v>
      </c>
      <c r="W292" s="109" t="n">
        <v>163454</v>
      </c>
      <c r="X292" s="109" t="n">
        <v>0.511816095659941</v>
      </c>
      <c r="Y292" s="109" t="n">
        <v>96</v>
      </c>
      <c r="Z292" s="109" t="n">
        <v>228</v>
      </c>
      <c r="AA292" s="109" t="n">
        <v>53</v>
      </c>
      <c r="AB292" s="109" t="n">
        <v>0.4183908045977011</v>
      </c>
      <c r="AC292" s="109" t="inlineStr">
        <is>
          <t>US SSS4</t>
        </is>
      </c>
      <c r="AD292" s="109">
        <f>'US SSS4'!BC160</f>
        <v/>
      </c>
      <c r="AE292" s="109">
        <f>'US SSS4'!BF160</f>
        <v/>
      </c>
      <c r="AF292" s="109" t="inlineStr">
        <is>
          <t>Queen</t>
        </is>
      </c>
      <c r="AG292" s="109" t="inlineStr">
        <is>
          <t>Gray</t>
        </is>
      </c>
    </row>
    <row r="293">
      <c r="A293" s="109">
        <f>AND(OR(Dashboard!$C$4="All",Dashboard!$C$4=D293),OR(Dashboard!$C$5="All",Dashboard!$C$5=E293),OR(Dashboard!$C$6="All",Dashboard!$C$6=G293),OR(Dashboard!$C$7="All",Dashboard!$C$7=H293),OR(Dashboard!$C$8="All",Dashboard!$C$8=F293))</f>
        <v/>
      </c>
      <c r="B293" s="109">
        <f>IF(A293,B292+1,B292)</f>
        <v/>
      </c>
      <c r="C293" s="109" t="n">
        <v>39</v>
      </c>
      <c r="D293" s="109" t="inlineStr">
        <is>
          <t>SSS4</t>
        </is>
      </c>
      <c r="E293" s="109" t="inlineStr">
        <is>
          <t>US</t>
        </is>
      </c>
      <c r="F293" s="109" t="inlineStr">
        <is>
          <t>Satin</t>
        </is>
      </c>
      <c r="G293" s="109" t="inlineStr">
        <is>
          <t>Bedsure</t>
        </is>
      </c>
      <c r="H293" s="109" t="inlineStr">
        <is>
          <t>Beatable</t>
        </is>
      </c>
      <c r="I293" s="109" t="inlineStr">
        <is>
          <t>Satin Sheets</t>
        </is>
      </c>
      <c r="J293" s="109" t="inlineStr">
        <is>
          <t>https://images-na.ssl-images-amazon.com/images/I/81zMSoUAMJL.jpg</t>
        </is>
      </c>
      <c r="K293" s="109" t="inlineStr">
        <is>
          <t>B0DCZYNBYS</t>
        </is>
      </c>
      <c r="L293" s="109" t="inlineStr">
        <is>
          <t>B0CJ8RYNTS</t>
        </is>
      </c>
      <c r="M293" s="109" t="n">
        <v>32</v>
      </c>
      <c r="N293" s="109" t="n">
        <v>19.99</v>
      </c>
      <c r="O293" s="109" t="n"/>
      <c r="P293" s="109">
        <f>IF(AND(ISNUMBER(O293),ISNUMBER(N293),N(N293)&gt;0),O293/N293-1,"")</f>
        <v/>
      </c>
      <c r="Q293" s="109" t="n">
        <v>33.95</v>
      </c>
      <c r="R293" s="109">
        <f>IF(AND(ISNUMBER(N293),ISNUMBER(Q293),N(Q293)&gt;0),N293/Q293-1,"")</f>
        <v/>
      </c>
      <c r="S293" s="109" t="n">
        <v>22342</v>
      </c>
      <c r="T293" s="109" t="n">
        <v>92</v>
      </c>
      <c r="U293" s="109" t="n">
        <v>4.3</v>
      </c>
      <c r="V293" s="109" t="n">
        <v>2745</v>
      </c>
      <c r="W293" s="109" t="n">
        <v>89691</v>
      </c>
      <c r="X293" s="109" t="n">
        <v>0.6850140036347012</v>
      </c>
      <c r="Y293" s="109" t="n">
        <v>101</v>
      </c>
      <c r="Z293" s="109" t="n">
        <v>192</v>
      </c>
      <c r="AA293" s="109" t="n">
        <v>129</v>
      </c>
      <c r="AB293" s="109" t="n">
        <v>1.528846153846154</v>
      </c>
      <c r="AC293" s="109" t="inlineStr">
        <is>
          <t>US SSS4</t>
        </is>
      </c>
      <c r="AD293" s="109">
        <f>'US SSS4'!BC161</f>
        <v/>
      </c>
      <c r="AE293" s="109">
        <f>'US SSS4'!BF161</f>
        <v/>
      </c>
      <c r="AF293" s="109" t="n"/>
      <c r="AG293" s="109" t="n"/>
    </row>
    <row r="294">
      <c r="A294" s="109">
        <f>AND(OR(Dashboard!$C$4="All",Dashboard!$C$4=D294),OR(Dashboard!$C$5="All",Dashboard!$C$5=E294),OR(Dashboard!$C$6="All",Dashboard!$C$6=G294),OR(Dashboard!$C$7="All",Dashboard!$C$7=H294),OR(Dashboard!$C$8="All",Dashboard!$C$8=F294))</f>
        <v/>
      </c>
      <c r="B294" s="109">
        <f>IF(A294,B293+1,B293)</f>
        <v/>
      </c>
      <c r="C294" s="109" t="n">
        <v>39</v>
      </c>
      <c r="D294" s="109" t="inlineStr">
        <is>
          <t>SSS4</t>
        </is>
      </c>
      <c r="E294" s="109" t="inlineStr">
        <is>
          <t>US</t>
        </is>
      </c>
      <c r="F294" s="109" t="inlineStr">
        <is>
          <t>Satin</t>
        </is>
      </c>
      <c r="G294" s="109" t="inlineStr">
        <is>
          <t>SiinvdaBZX</t>
        </is>
      </c>
      <c r="H294" s="109" t="inlineStr">
        <is>
          <t>Beatable</t>
        </is>
      </c>
      <c r="I294" s="109" t="inlineStr">
        <is>
          <t>SiinvdaBZX 4Pcs Satin Sheet Set Queen Size 15-Inch Deep Pocket, Beige</t>
        </is>
      </c>
      <c r="J294" s="109" t="inlineStr">
        <is>
          <t>https://images-na.ssl-images-amazon.com/images/I/71ZrkfMtWLL.jpg</t>
        </is>
      </c>
      <c r="K294" s="109" t="inlineStr">
        <is>
          <t>B0DD37S32L</t>
        </is>
      </c>
      <c r="L294" s="109" t="inlineStr">
        <is>
          <t>B08JP9DG5Z</t>
        </is>
      </c>
      <c r="M294" s="109" t="n">
        <v>96</v>
      </c>
      <c r="N294" s="109" t="n">
        <v>22.99</v>
      </c>
      <c r="O294" s="109" t="n"/>
      <c r="P294" s="109">
        <f>IF(AND(ISNUMBER(O294),ISNUMBER(N294),N(N294)&gt;0),O294/N294-1,"")</f>
        <v/>
      </c>
      <c r="Q294" s="109" t="n">
        <v>33.95</v>
      </c>
      <c r="R294" s="109">
        <f>IF(AND(ISNUMBER(N294),ISNUMBER(Q294),N(Q294)&gt;0),N294/Q294-1,"")</f>
        <v/>
      </c>
      <c r="S294" s="109" t="n">
        <v>23154</v>
      </c>
      <c r="T294" s="109" t="n">
        <v>92</v>
      </c>
      <c r="U294" s="109" t="n">
        <v>4.4</v>
      </c>
      <c r="V294" s="109" t="n">
        <v>6981</v>
      </c>
      <c r="W294" s="109" t="n">
        <v>47722</v>
      </c>
      <c r="X294" s="109" t="n">
        <v>0.8752176061355349</v>
      </c>
      <c r="Y294" s="109" t="n">
        <v>146</v>
      </c>
      <c r="Z294" s="109" t="n">
        <v>159</v>
      </c>
      <c r="AA294" s="109" t="n">
        <v>98</v>
      </c>
      <c r="AB294" s="109" t="n">
        <v>1.035928143712575</v>
      </c>
      <c r="AC294" s="109" t="inlineStr">
        <is>
          <t>US SSS4</t>
        </is>
      </c>
      <c r="AD294" s="109">
        <f>'US SSS4'!BC162</f>
        <v/>
      </c>
      <c r="AE294" s="109">
        <f>'US SSS4'!BF162</f>
        <v/>
      </c>
      <c r="AF294" s="109" t="inlineStr">
        <is>
          <t>Queen</t>
        </is>
      </c>
      <c r="AG294" s="109" t="inlineStr">
        <is>
          <t>Beige</t>
        </is>
      </c>
    </row>
    <row r="295">
      <c r="A295" s="109">
        <f>AND(OR(Dashboard!$C$4="All",Dashboard!$C$4=D295),OR(Dashboard!$C$5="All",Dashboard!$C$5=E295),OR(Dashboard!$C$6="All",Dashboard!$C$6=G295),OR(Dashboard!$C$7="All",Dashboard!$C$7=H295),OR(Dashboard!$C$8="All",Dashboard!$C$8=F295))</f>
        <v/>
      </c>
      <c r="B295" s="109">
        <f>IF(A295,B294+1,B294)</f>
        <v/>
      </c>
      <c r="C295" s="109" t="n">
        <v>39</v>
      </c>
      <c r="D295" s="109" t="inlineStr">
        <is>
          <t>SSS4</t>
        </is>
      </c>
      <c r="E295" s="109" t="inlineStr">
        <is>
          <t>US</t>
        </is>
      </c>
      <c r="F295" s="109" t="inlineStr">
        <is>
          <t>Satin</t>
        </is>
      </c>
      <c r="G295" s="109" t="inlineStr">
        <is>
          <t>Sasttie</t>
        </is>
      </c>
      <c r="H295" s="109" t="inlineStr">
        <is>
          <t>Beatable</t>
        </is>
      </c>
      <c r="I295" s="109" t="inlineStr">
        <is>
          <t>Sasttie Satin Sheets Queen Size - 4 Pieces Luxury Soft Black Silky Bed Sheets Set with Pillowcases - Smooth Silk-Like Satin Fabric, Reinforced 14 Inches Pocket, Oeko-Tex Certified</t>
        </is>
      </c>
      <c r="J295" s="109" t="inlineStr">
        <is>
          <t>https://images-na.ssl-images-amazon.com/images/I/71MADUOjsFL.jpg</t>
        </is>
      </c>
      <c r="K295" s="109" t="inlineStr">
        <is>
          <t>B0F2H9HX69</t>
        </is>
      </c>
      <c r="L295" s="109" t="inlineStr">
        <is>
          <t>B0F2H8LPB3</t>
        </is>
      </c>
      <c r="M295" s="109" t="n">
        <v>47</v>
      </c>
      <c r="N295" s="109" t="n">
        <v>15.99</v>
      </c>
      <c r="O295" s="109" t="n"/>
      <c r="P295" s="109">
        <f>IF(AND(ISNUMBER(O295),ISNUMBER(N295),N(N295)&gt;0),O295/N295-1,"")</f>
        <v/>
      </c>
      <c r="Q295" s="109" t="n">
        <v>33.95</v>
      </c>
      <c r="R295" s="109">
        <f>IF(AND(ISNUMBER(N295),ISNUMBER(Q295),N(Q295)&gt;0),N295/Q295-1,"")</f>
        <v/>
      </c>
      <c r="S295" s="109" t="n">
        <v>58723</v>
      </c>
      <c r="T295" s="109" t="n">
        <v>35</v>
      </c>
      <c r="U295" s="109" t="n">
        <v>4.5</v>
      </c>
      <c r="V295" s="109" t="n">
        <v>968</v>
      </c>
      <c r="W295" s="109" t="n">
        <v>26952</v>
      </c>
      <c r="X295" s="109" t="n">
        <v>0.9879767104482041</v>
      </c>
      <c r="Y295" s="109" t="n">
        <v>132</v>
      </c>
      <c r="Z295" s="109" t="n">
        <v>107</v>
      </c>
      <c r="AA295" s="109" t="n">
        <v>13</v>
      </c>
      <c r="AB295" s="109" t="n">
        <v>1.063356164383562</v>
      </c>
      <c r="AC295" s="109" t="inlineStr">
        <is>
          <t>US SSS4</t>
        </is>
      </c>
      <c r="AD295" s="109">
        <f>'US SSS4'!BC163</f>
        <v/>
      </c>
      <c r="AE295" s="109">
        <f>'US SSS4'!BF163</f>
        <v/>
      </c>
      <c r="AF295" s="109" t="inlineStr">
        <is>
          <t>Queen</t>
        </is>
      </c>
      <c r="AG295" s="109" t="inlineStr">
        <is>
          <t>Black</t>
        </is>
      </c>
    </row>
    <row r="296">
      <c r="A296" s="109">
        <f>AND(OR(Dashboard!$C$4="All",Dashboard!$C$4=D296),OR(Dashboard!$C$5="All",Dashboard!$C$5=E296),OR(Dashboard!$C$6="All",Dashboard!$C$6=G296),OR(Dashboard!$C$7="All",Dashboard!$C$7=H296),OR(Dashboard!$C$8="All",Dashboard!$C$8=F296))</f>
        <v/>
      </c>
      <c r="B296" s="109">
        <f>IF(A296,B295+1,B295)</f>
        <v/>
      </c>
      <c r="C296" s="109" t="n">
        <v>39</v>
      </c>
      <c r="D296" s="109" t="inlineStr">
        <is>
          <t>SSS4</t>
        </is>
      </c>
      <c r="E296" s="109" t="inlineStr">
        <is>
          <t>US</t>
        </is>
      </c>
      <c r="F296" s="109" t="inlineStr">
        <is>
          <t>Satin</t>
        </is>
      </c>
      <c r="G296" s="109" t="inlineStr">
        <is>
          <t>LIFCOM</t>
        </is>
      </c>
      <c r="H296" s="109" t="inlineStr">
        <is>
          <t>Beatable</t>
        </is>
      </c>
      <c r="I296" s="109" t="inlineStr">
        <is>
          <t>LIFCOM Satin Sheets Queen,4Pcs Bed Set with 15" Deep Pocket,Brown</t>
        </is>
      </c>
      <c r="J296" s="109" t="inlineStr">
        <is>
          <t>https://images-na.ssl-images-amazon.com/images/I/71eq-pAu2pL.jpg</t>
        </is>
      </c>
      <c r="K296" s="109" t="inlineStr">
        <is>
          <t>B0DBVYL693</t>
        </is>
      </c>
      <c r="L296" s="109" t="inlineStr">
        <is>
          <t>B0DCC78S4N</t>
        </is>
      </c>
      <c r="M296" s="109" t="n">
        <v>73</v>
      </c>
      <c r="N296" s="109" t="n">
        <v>23.99</v>
      </c>
      <c r="O296" s="109" t="n"/>
      <c r="P296" s="109">
        <f>IF(AND(ISNUMBER(O296),ISNUMBER(N296),N(N296)&gt;0),O296/N296-1,"")</f>
        <v/>
      </c>
      <c r="Q296" s="109" t="n">
        <v>33.95</v>
      </c>
      <c r="R296" s="109">
        <f>IF(AND(ISNUMBER(N296),ISNUMBER(Q296),N(Q296)&gt;0),N296/Q296-1,"")</f>
        <v/>
      </c>
      <c r="S296" s="109" t="n">
        <v>96002</v>
      </c>
      <c r="T296" s="109" t="n">
        <v>18</v>
      </c>
      <c r="U296" s="109" t="n">
        <v>4.2</v>
      </c>
      <c r="V296" s="109" t="n">
        <v>361</v>
      </c>
      <c r="W296" s="109" t="n">
        <v>23278</v>
      </c>
      <c r="X296" s="109" t="n">
        <v>0.4926462797491192</v>
      </c>
      <c r="Y296" s="109" t="n">
        <v>166</v>
      </c>
      <c r="Z296" s="109" t="n">
        <v>64</v>
      </c>
      <c r="AA296" s="109" t="n">
        <v>44</v>
      </c>
      <c r="AB296" s="109" t="n">
        <v>0.5539772727272727</v>
      </c>
      <c r="AC296" s="109" t="inlineStr">
        <is>
          <t>US SSS4</t>
        </is>
      </c>
      <c r="AD296" s="109">
        <f>'US SSS4'!BC164</f>
        <v/>
      </c>
      <c r="AE296" s="109">
        <f>'US SSS4'!BF164</f>
        <v/>
      </c>
      <c r="AF296" s="109" t="inlineStr">
        <is>
          <t>Queen</t>
        </is>
      </c>
      <c r="AG296" s="109" t="inlineStr">
        <is>
          <t>Brown</t>
        </is>
      </c>
    </row>
    <row r="297">
      <c r="A297" s="109">
        <f>AND(OR(Dashboard!$C$4="All",Dashboard!$C$4=D297),OR(Dashboard!$C$5="All",Dashboard!$C$5=E297),OR(Dashboard!$C$6="All",Dashboard!$C$6=G297),OR(Dashboard!$C$7="All",Dashboard!$C$7=H297),OR(Dashboard!$C$8="All",Dashboard!$C$8=F297))</f>
        <v/>
      </c>
      <c r="B297" s="109">
        <f>IF(A297,B296+1,B296)</f>
        <v/>
      </c>
      <c r="C297" s="109" t="n">
        <v>39</v>
      </c>
      <c r="D297" s="109" t="inlineStr">
        <is>
          <t>SSS4</t>
        </is>
      </c>
      <c r="E297" s="109" t="inlineStr">
        <is>
          <t>US</t>
        </is>
      </c>
      <c r="F297" s="109" t="inlineStr">
        <is>
          <t>Satin</t>
        </is>
      </c>
      <c r="G297" s="109" t="inlineStr">
        <is>
          <t>Madison Park</t>
        </is>
      </c>
      <c r="H297" s="109" t="inlineStr">
        <is>
          <t>Beatable</t>
        </is>
      </c>
      <c r="I297" s="109" t="inlineStr">
        <is>
          <t>Satin Sheets</t>
        </is>
      </c>
      <c r="J297" s="109" t="inlineStr">
        <is>
          <t>https://images-na.ssl-images-amazon.com/images/I/81HS7e6wrTL.jpg</t>
        </is>
      </c>
      <c r="K297" s="109" t="inlineStr">
        <is>
          <t>B0DJ2HJ9M4</t>
        </is>
      </c>
      <c r="L297" s="109" t="inlineStr">
        <is>
          <t>B09HVCPNLX</t>
        </is>
      </c>
      <c r="M297" s="109" t="n">
        <v>44</v>
      </c>
      <c r="N297" s="109" t="n">
        <v>26.99</v>
      </c>
      <c r="O297" s="109" t="n"/>
      <c r="P297" s="109">
        <f>IF(AND(ISNUMBER(O297),ISNUMBER(N297),N(N297)&gt;0),O297/N297-1,"")</f>
        <v/>
      </c>
      <c r="Q297" s="109" t="n">
        <v>33.95</v>
      </c>
      <c r="R297" s="109">
        <f>IF(AND(ISNUMBER(N297),ISNUMBER(Q297),N(Q297)&gt;0),N297/Q297-1,"")</f>
        <v/>
      </c>
      <c r="S297" s="109" t="n">
        <v>76753</v>
      </c>
      <c r="T297" s="109" t="n">
        <v>18</v>
      </c>
      <c r="U297" s="109" t="n">
        <v>4.5</v>
      </c>
      <c r="V297" s="109" t="n">
        <v>127</v>
      </c>
      <c r="W297" s="109" t="n">
        <v>35631</v>
      </c>
      <c r="X297" s="109" t="n">
        <v>0.9497345738261626</v>
      </c>
      <c r="Y297" s="109" t="n">
        <v>146</v>
      </c>
      <c r="Z297" s="109" t="n">
        <v>87</v>
      </c>
      <c r="AA297" s="109" t="n">
        <v>18</v>
      </c>
      <c r="AB297" s="109" t="n">
        <v>0.6901408450704226</v>
      </c>
      <c r="AC297" s="109" t="inlineStr">
        <is>
          <t>US SSS4</t>
        </is>
      </c>
      <c r="AD297" s="109">
        <f>'US SSS4'!BC165</f>
        <v/>
      </c>
      <c r="AE297" s="109">
        <f>'US SSS4'!BF165</f>
        <v/>
      </c>
      <c r="AF297" s="109" t="n"/>
      <c r="AG297" s="109" t="n"/>
    </row>
    <row r="298">
      <c r="A298" s="109">
        <f>AND(OR(Dashboard!$C$4="All",Dashboard!$C$4=D298),OR(Dashboard!$C$5="All",Dashboard!$C$5=E298),OR(Dashboard!$C$6="All",Dashboard!$C$6=G298),OR(Dashboard!$C$7="All",Dashboard!$C$7=H298),OR(Dashboard!$C$8="All",Dashboard!$C$8=F298))</f>
        <v/>
      </c>
      <c r="B298" s="109">
        <f>IF(A298,B297+1,B297)</f>
        <v/>
      </c>
      <c r="C298" s="109" t="n">
        <v>39</v>
      </c>
      <c r="D298" s="109" t="inlineStr">
        <is>
          <t>SSS4</t>
        </is>
      </c>
      <c r="E298" s="109" t="inlineStr">
        <is>
          <t>US</t>
        </is>
      </c>
      <c r="F298" s="109" t="inlineStr">
        <is>
          <t>Satin</t>
        </is>
      </c>
      <c r="G298" s="109" t="inlineStr">
        <is>
          <t>Homiest</t>
        </is>
      </c>
      <c r="H298" s="109" t="inlineStr">
        <is>
          <t>Beatable</t>
        </is>
      </c>
      <c r="I298" s="109" t="inlineStr">
        <is>
          <t>Satin Sheets</t>
        </is>
      </c>
      <c r="J298" s="109" t="inlineStr">
        <is>
          <t>https://images-na.ssl-images-amazon.com/images/I/71Upo7a638S.jpg</t>
        </is>
      </c>
      <c r="K298" s="109" t="inlineStr">
        <is>
          <t>B07XBR22W1</t>
        </is>
      </c>
      <c r="L298" s="109" t="inlineStr">
        <is>
          <t>B0B5Z2B9NN</t>
        </is>
      </c>
      <c r="M298" s="109" t="n">
        <v>70</v>
      </c>
      <c r="N298" s="109" t="n">
        <v>21.99</v>
      </c>
      <c r="O298" s="109" t="n">
        <v>25.99</v>
      </c>
      <c r="P298" s="109">
        <f>IF(AND(ISNUMBER(O298),ISNUMBER(N298),N(N298)&gt;0),O298/N298-1,"")</f>
        <v/>
      </c>
      <c r="Q298" s="109" t="n">
        <v>33.95</v>
      </c>
      <c r="R298" s="109">
        <f>IF(AND(ISNUMBER(N298),ISNUMBER(Q298),N(Q298)&gt;0),N298/Q298-1,"")</f>
        <v/>
      </c>
      <c r="S298" s="109" t="n">
        <v>28165</v>
      </c>
      <c r="T298" s="109" t="n">
        <v>5</v>
      </c>
      <c r="U298" s="109" t="n">
        <v>4.4</v>
      </c>
      <c r="V298" s="109" t="n">
        <v>12125</v>
      </c>
      <c r="W298" s="109" t="n">
        <v>20002</v>
      </c>
      <c r="X298" s="109" t="n">
        <v>1</v>
      </c>
      <c r="Y298" s="109" t="n">
        <v>197</v>
      </c>
      <c r="Z298" s="109" t="n">
        <v>81</v>
      </c>
      <c r="AA298" s="109" t="n">
        <v>0</v>
      </c>
      <c r="AB298" s="109" t="n"/>
      <c r="AC298" s="109" t="inlineStr">
        <is>
          <t>US SSS4</t>
        </is>
      </c>
      <c r="AD298" s="109">
        <f>'US SSS4'!BC166</f>
        <v/>
      </c>
      <c r="AE298" s="109">
        <f>'US SSS4'!BF166</f>
        <v/>
      </c>
      <c r="AF298" s="109" t="n"/>
      <c r="AG298" s="109" t="n"/>
    </row>
    <row r="299">
      <c r="A299" s="109">
        <f>AND(OR(Dashboard!$C$4="All",Dashboard!$C$4=D299),OR(Dashboard!$C$5="All",Dashboard!$C$5=E299),OR(Dashboard!$C$6="All",Dashboard!$C$6=G299),OR(Dashboard!$C$7="All",Dashboard!$C$7=H299),OR(Dashboard!$C$8="All",Dashboard!$C$8=F299))</f>
        <v/>
      </c>
      <c r="B299" s="109">
        <f>IF(A299,B298+1,B298)</f>
        <v/>
      </c>
      <c r="C299" s="109" t="n">
        <v>39</v>
      </c>
      <c r="D299" s="109" t="inlineStr">
        <is>
          <t>SSS4</t>
        </is>
      </c>
      <c r="E299" s="109" t="inlineStr">
        <is>
          <t>US</t>
        </is>
      </c>
      <c r="F299" s="109" t="inlineStr">
        <is>
          <t>Satin</t>
        </is>
      </c>
      <c r="G299" s="109" t="inlineStr"/>
      <c r="H299" s="109" t="inlineStr">
        <is>
          <t>Beatable</t>
        </is>
      </c>
      <c r="I299" s="109" t="inlineStr">
        <is>
          <t>Juicy Couture Queen Size Satin Bed Sheet Set, Deep Pocket Silky Satin Queen Shee</t>
        </is>
      </c>
      <c r="J299" s="109" t="inlineStr">
        <is>
          <t>https://images-na.ssl-images-amazon.com/images/I/81M3kmoCTLL.jpg</t>
        </is>
      </c>
      <c r="K299" s="109" t="inlineStr">
        <is>
          <t>B0FB47M9WR</t>
        </is>
      </c>
      <c r="L299" s="109" t="inlineStr">
        <is>
          <t>B0BK1WH383</t>
        </is>
      </c>
      <c r="M299" s="109" t="n">
        <v>58</v>
      </c>
      <c r="N299" s="109" t="n">
        <v>5.93</v>
      </c>
      <c r="O299" s="109" t="n"/>
      <c r="P299" s="109">
        <f>IF(AND(ISNUMBER(O299),ISNUMBER(N299),N(N299)&gt;0),O299/N299-1,"")</f>
        <v/>
      </c>
      <c r="Q299" s="109" t="n">
        <v>33.95</v>
      </c>
      <c r="R299" s="109">
        <f>IF(AND(ISNUMBER(N299),ISNUMBER(Q299),N(Q299)&gt;0),N299/Q299-1,"")</f>
        <v/>
      </c>
      <c r="S299" s="109" t="n">
        <v>80060</v>
      </c>
      <c r="T299" s="109" t="n">
        <v>5</v>
      </c>
      <c r="U299" s="109" t="n">
        <v>4.6</v>
      </c>
      <c r="V299" s="109" t="n">
        <v>46</v>
      </c>
      <c r="W299" s="109" t="n">
        <v>41904</v>
      </c>
      <c r="X299" s="109" t="n">
        <v>0.8273237471363115</v>
      </c>
      <c r="Y299" s="109" t="n">
        <v>156</v>
      </c>
      <c r="Z299" s="109" t="n">
        <v>71</v>
      </c>
      <c r="AA299" s="109" t="n">
        <v>112</v>
      </c>
      <c r="AB299" s="109" t="n"/>
      <c r="AC299" s="109" t="inlineStr">
        <is>
          <t>US SSS4</t>
        </is>
      </c>
      <c r="AD299" s="109">
        <f>'US SSS4'!BC167</f>
        <v/>
      </c>
      <c r="AE299" s="109">
        <f>'US SSS4'!BF167</f>
        <v/>
      </c>
      <c r="AF299" s="109" t="inlineStr">
        <is>
          <t>Queen</t>
        </is>
      </c>
      <c r="AG299" s="109" t="n"/>
    </row>
    <row r="300">
      <c r="A300" s="109">
        <f>AND(OR(Dashboard!$C$4="All",Dashboard!$C$4=D300),OR(Dashboard!$C$5="All",Dashboard!$C$5=E300),OR(Dashboard!$C$6="All",Dashboard!$C$6=G300),OR(Dashboard!$C$7="All",Dashboard!$C$7=H300),OR(Dashboard!$C$8="All",Dashboard!$C$8=F300))</f>
        <v/>
      </c>
      <c r="B300" s="109">
        <f>IF(A300,B299+1,B299)</f>
        <v/>
      </c>
      <c r="C300" s="109" t="n">
        <v>39</v>
      </c>
      <c r="D300" s="109" t="inlineStr">
        <is>
          <t>SSS4</t>
        </is>
      </c>
      <c r="E300" s="109" t="inlineStr">
        <is>
          <t>US</t>
        </is>
      </c>
      <c r="F300" s="109" t="inlineStr">
        <is>
          <t>Satin</t>
        </is>
      </c>
      <c r="G300" s="109" t="inlineStr">
        <is>
          <t>FreshCulture</t>
        </is>
      </c>
      <c r="H300" s="109" t="inlineStr">
        <is>
          <t>Poor</t>
        </is>
      </c>
      <c r="I300" s="109" t="inlineStr">
        <is>
          <t>Satin Sheets</t>
        </is>
      </c>
      <c r="J300" s="109" t="inlineStr">
        <is>
          <t>https://images-na.ssl-images-amazon.com/images/I/810d6GzTlfL.jpg</t>
        </is>
      </c>
      <c r="K300" s="109" t="inlineStr">
        <is>
          <t>B0D9B18P6N</t>
        </is>
      </c>
      <c r="L300" s="109" t="inlineStr">
        <is>
          <t>B0D9BD63QH</t>
        </is>
      </c>
      <c r="M300" s="109" t="n">
        <v>54</v>
      </c>
      <c r="N300" s="109" t="n">
        <v>23.99</v>
      </c>
      <c r="O300" s="109" t="n"/>
      <c r="P300" s="109">
        <f>IF(AND(ISNUMBER(O300),ISNUMBER(N300),N(N300)&gt;0),O300/N300-1,"")</f>
        <v/>
      </c>
      <c r="Q300" s="109" t="n">
        <v>33.95</v>
      </c>
      <c r="R300" s="109">
        <f>IF(AND(ISNUMBER(N300),ISNUMBER(Q300),N(Q300)&gt;0),N300/Q300-1,"")</f>
        <v/>
      </c>
      <c r="S300" s="109" t="n">
        <v>17918</v>
      </c>
      <c r="T300" s="109" t="n">
        <v>104</v>
      </c>
      <c r="U300" s="109" t="n">
        <v>4.4</v>
      </c>
      <c r="V300" s="109" t="n">
        <v>780</v>
      </c>
      <c r="W300" s="109" t="n">
        <v>99046</v>
      </c>
      <c r="X300" s="109" t="n">
        <v>0.9634387880378817</v>
      </c>
      <c r="Y300" s="109" t="n">
        <v>85</v>
      </c>
      <c r="Z300" s="109" t="n">
        <v>205</v>
      </c>
      <c r="AA300" s="109" t="n">
        <v>19</v>
      </c>
      <c r="AB300" s="109" t="n"/>
      <c r="AC300" s="109" t="inlineStr">
        <is>
          <t>US SSS4</t>
        </is>
      </c>
      <c r="AD300" s="109">
        <f>'US SSS4'!BC168</f>
        <v/>
      </c>
      <c r="AE300" s="109">
        <f>'US SSS4'!BF168</f>
        <v/>
      </c>
      <c r="AF300" s="109" t="n"/>
      <c r="AG300" s="109" t="n"/>
    </row>
    <row r="301">
      <c r="A301" s="109">
        <f>AND(OR(Dashboard!$C$4="All",Dashboard!$C$4=D301),OR(Dashboard!$C$5="All",Dashboard!$C$5=E301),OR(Dashboard!$C$6="All",Dashboard!$C$6=G301),OR(Dashboard!$C$7="All",Dashboard!$C$7=H301),OR(Dashboard!$C$8="All",Dashboard!$C$8=F301))</f>
        <v/>
      </c>
      <c r="B301" s="109">
        <f>IF(A301,B300+1,B300)</f>
        <v/>
      </c>
      <c r="C301" s="109" t="n">
        <v>39</v>
      </c>
      <c r="D301" s="109" t="inlineStr">
        <is>
          <t>SSS4</t>
        </is>
      </c>
      <c r="E301" s="109" t="inlineStr">
        <is>
          <t>US</t>
        </is>
      </c>
      <c r="F301" s="109" t="inlineStr">
        <is>
          <t>Satin</t>
        </is>
      </c>
      <c r="G301" s="109" t="inlineStr">
        <is>
          <t>P Pothuiny</t>
        </is>
      </c>
      <c r="H301" s="109" t="inlineStr">
        <is>
          <t>Poor</t>
        </is>
      </c>
      <c r="I301" s="109" t="inlineStr">
        <is>
          <t>P Pothuiny 6-Piece Queen Satin Sheet Set Burgundy Silky Sheets</t>
        </is>
      </c>
      <c r="J301" s="109" t="inlineStr">
        <is>
          <t>https://images-na.ssl-images-amazon.com/images/I/71TbH0l5XfL.jpg</t>
        </is>
      </c>
      <c r="K301" s="109" t="inlineStr">
        <is>
          <t>B096P2MYZQ</t>
        </is>
      </c>
      <c r="L301" s="109" t="inlineStr">
        <is>
          <t>B08QMF6D5W</t>
        </is>
      </c>
      <c r="M301" s="109" t="n">
        <v>47</v>
      </c>
      <c r="N301" s="109" t="n">
        <v>26.99</v>
      </c>
      <c r="O301" s="109" t="n"/>
      <c r="P301" s="109">
        <f>IF(AND(ISNUMBER(O301),ISNUMBER(N301),N(N301)&gt;0),O301/N301-1,"")</f>
        <v/>
      </c>
      <c r="Q301" s="109" t="n">
        <v>33.95</v>
      </c>
      <c r="R301" s="109">
        <f>IF(AND(ISNUMBER(N301),ISNUMBER(Q301),N(Q301)&gt;0),N301/Q301-1,"")</f>
        <v/>
      </c>
      <c r="S301" s="109" t="n">
        <v>20031</v>
      </c>
      <c r="T301" s="109" t="n">
        <v>104</v>
      </c>
      <c r="U301" s="109" t="n">
        <v>4.4</v>
      </c>
      <c r="V301" s="109" t="n">
        <v>4031</v>
      </c>
      <c r="W301" s="109" t="n">
        <v>66544</v>
      </c>
      <c r="X301" s="109" t="n">
        <v>0.9166959214955518</v>
      </c>
      <c r="Y301" s="109" t="n">
        <v>115</v>
      </c>
      <c r="Z301" s="109" t="n">
        <v>172</v>
      </c>
      <c r="AA301" s="109" t="n">
        <v>39</v>
      </c>
      <c r="AB301" s="109" t="n">
        <v>1.171497584541063</v>
      </c>
      <c r="AC301" s="109" t="inlineStr">
        <is>
          <t>US SSS4</t>
        </is>
      </c>
      <c r="AD301" s="109">
        <f>'US SSS4'!BC169</f>
        <v/>
      </c>
      <c r="AE301" s="109">
        <f>'US SSS4'!BF169</f>
        <v/>
      </c>
      <c r="AF301" s="109" t="inlineStr">
        <is>
          <t>Queen</t>
        </is>
      </c>
      <c r="AG301" s="109" t="inlineStr">
        <is>
          <t>Burgundy</t>
        </is>
      </c>
    </row>
    <row r="302">
      <c r="A302" s="109">
        <f>AND(OR(Dashboard!$C$4="All",Dashboard!$C$4=D302),OR(Dashboard!$C$5="All",Dashboard!$C$5=E302),OR(Dashboard!$C$6="All",Dashboard!$C$6=G302),OR(Dashboard!$C$7="All",Dashboard!$C$7=H302),OR(Dashboard!$C$8="All",Dashboard!$C$8=F302))</f>
        <v/>
      </c>
      <c r="B302" s="109">
        <f>IF(A302,B301+1,B301)</f>
        <v/>
      </c>
      <c r="C302" s="109" t="n">
        <v>39</v>
      </c>
      <c r="D302" s="109" t="inlineStr">
        <is>
          <t>SSS4</t>
        </is>
      </c>
      <c r="E302" s="109" t="inlineStr">
        <is>
          <t>US</t>
        </is>
      </c>
      <c r="F302" s="109" t="inlineStr">
        <is>
          <t>Satin</t>
        </is>
      </c>
      <c r="G302" s="109" t="inlineStr">
        <is>
          <t>Pure Bedding</t>
        </is>
      </c>
      <c r="H302" s="109" t="inlineStr">
        <is>
          <t>Poor</t>
        </is>
      </c>
      <c r="I302" s="109" t="inlineStr">
        <is>
          <t>Pure Bedding Satin Sheets Queen [4-Piece, Black] Hotel Luxury Silky Bed Sheets - Extra Soft 1800 Microfiber Sheet Set, Wrinkle, Fade, Deep Pocket Fitted Sheet, Flat Sheet, Pillow Cases</t>
        </is>
      </c>
      <c r="J302" s="109" t="inlineStr">
        <is>
          <t>https://images-na.ssl-images-amazon.com/images/I/81zLU1W0e8L.jpg</t>
        </is>
      </c>
      <c r="K302" s="109" t="inlineStr">
        <is>
          <t>B0FMPQYB2J</t>
        </is>
      </c>
      <c r="L302" s="109" t="inlineStr">
        <is>
          <t>B083G81VSH</t>
        </is>
      </c>
      <c r="M302" s="109" t="n">
        <v>146</v>
      </c>
      <c r="N302" s="109" t="n">
        <v>20.99</v>
      </c>
      <c r="O302" s="109" t="n"/>
      <c r="P302" s="109">
        <f>IF(AND(ISNUMBER(O302),ISNUMBER(N302),N(N302)&gt;0),O302/N302-1,"")</f>
        <v/>
      </c>
      <c r="Q302" s="109" t="n">
        <v>33.95</v>
      </c>
      <c r="R302" s="109">
        <f>IF(AND(ISNUMBER(N302),ISNUMBER(Q302),N(Q302)&gt;0),N302/Q302-1,"")</f>
        <v/>
      </c>
      <c r="S302" s="109" t="n">
        <v>30991</v>
      </c>
      <c r="T302" s="109" t="n">
        <v>92</v>
      </c>
      <c r="U302" s="109" t="n">
        <v>4.4</v>
      </c>
      <c r="V302" s="109" t="n">
        <v>9828</v>
      </c>
      <c r="W302" s="109" t="n">
        <v>119531</v>
      </c>
      <c r="X302" s="109" t="n">
        <v>0.6204180681162206</v>
      </c>
      <c r="Y302" s="109" t="n">
        <v>123</v>
      </c>
      <c r="Z302" s="109" t="n">
        <v>173</v>
      </c>
      <c r="AA302" s="109" t="n">
        <v>211</v>
      </c>
      <c r="AB302" s="109" t="n">
        <v>0.7574960547080484</v>
      </c>
      <c r="AC302" s="109" t="inlineStr">
        <is>
          <t>US SSS4</t>
        </is>
      </c>
      <c r="AD302" s="109">
        <f>'US SSS4'!BC170</f>
        <v/>
      </c>
      <c r="AE302" s="109">
        <f>'US SSS4'!BF170</f>
        <v/>
      </c>
      <c r="AF302" s="109" t="inlineStr">
        <is>
          <t>Queen</t>
        </is>
      </c>
      <c r="AG302" s="109" t="inlineStr">
        <is>
          <t>Black</t>
        </is>
      </c>
    </row>
    <row r="303">
      <c r="A303" s="109">
        <f>AND(OR(Dashboard!$C$4="All",Dashboard!$C$4=D303),OR(Dashboard!$C$5="All",Dashboard!$C$5=E303),OR(Dashboard!$C$6="All",Dashboard!$C$6=G303),OR(Dashboard!$C$7="All",Dashboard!$C$7=H303),OR(Dashboard!$C$8="All",Dashboard!$C$8=F303))</f>
        <v/>
      </c>
      <c r="B303" s="109">
        <f>IF(A303,B302+1,B302)</f>
        <v/>
      </c>
      <c r="C303" s="109" t="n">
        <v>39</v>
      </c>
      <c r="D303" s="109" t="inlineStr">
        <is>
          <t>SSS4</t>
        </is>
      </c>
      <c r="E303" s="109" t="inlineStr">
        <is>
          <t>US</t>
        </is>
      </c>
      <c r="F303" s="109" t="inlineStr">
        <is>
          <t>Satin</t>
        </is>
      </c>
      <c r="G303" s="109" t="inlineStr">
        <is>
          <t>VACVELT</t>
        </is>
      </c>
      <c r="H303" s="109" t="inlineStr">
        <is>
          <t>Poor</t>
        </is>
      </c>
      <c r="I303" s="109" t="inlineStr">
        <is>
          <t>VACVELT 3pcs Queen Black Extra Deep Pocket Satin Fitted Sheet Set</t>
        </is>
      </c>
      <c r="J303" s="109" t="inlineStr">
        <is>
          <t>https://images-na.ssl-images-amazon.com/images/I/71d2-R2XfJL.jpg</t>
        </is>
      </c>
      <c r="K303" s="109" t="inlineStr">
        <is>
          <t>B0BWJ4PYLN</t>
        </is>
      </c>
      <c r="L303" s="109" t="inlineStr">
        <is>
          <t>B0BWJ4MLLZ</t>
        </is>
      </c>
      <c r="M303" s="109" t="n">
        <v>40</v>
      </c>
      <c r="N303" s="109" t="n">
        <v>18.99</v>
      </c>
      <c r="O303" s="109" t="n"/>
      <c r="P303" s="109">
        <f>IF(AND(ISNUMBER(O303),ISNUMBER(N303),N(N303)&gt;0),O303/N303-1,"")</f>
        <v/>
      </c>
      <c r="Q303" s="109" t="n">
        <v>33.95</v>
      </c>
      <c r="R303" s="109">
        <f>IF(AND(ISNUMBER(N303),ISNUMBER(Q303),N(Q303)&gt;0),N303/Q303-1,"")</f>
        <v/>
      </c>
      <c r="S303" s="109" t="n">
        <v>49291</v>
      </c>
      <c r="T303" s="109" t="n">
        <v>92</v>
      </c>
      <c r="U303" s="109" t="n">
        <v>4.2</v>
      </c>
      <c r="V303" s="109" t="n">
        <v>747</v>
      </c>
      <c r="W303" s="109" t="n">
        <v>25451</v>
      </c>
      <c r="X303" s="109" t="n">
        <v>0.9999606773800636</v>
      </c>
      <c r="Y303" s="109" t="n">
        <v>147</v>
      </c>
      <c r="Z303" s="109" t="n">
        <v>79</v>
      </c>
      <c r="AA303" s="109" t="n">
        <v>1</v>
      </c>
      <c r="AB303" s="109" t="n">
        <v>1.145341614906832</v>
      </c>
      <c r="AC303" s="109" t="inlineStr">
        <is>
          <t>US SSS4</t>
        </is>
      </c>
      <c r="AD303" s="109">
        <f>'US SSS4'!BC171</f>
        <v/>
      </c>
      <c r="AE303" s="109">
        <f>'US SSS4'!BF171</f>
        <v/>
      </c>
      <c r="AF303" s="109" t="inlineStr">
        <is>
          <t>Queen</t>
        </is>
      </c>
      <c r="AG303" s="109" t="inlineStr">
        <is>
          <t>Black</t>
        </is>
      </c>
    </row>
    <row r="304">
      <c r="A304" s="109">
        <f>AND(OR(Dashboard!$C$4="All",Dashboard!$C$4=D304),OR(Dashboard!$C$5="All",Dashboard!$C$5=E304),OR(Dashboard!$C$6="All",Dashboard!$C$6=G304),OR(Dashboard!$C$7="All",Dashboard!$C$7=H304),OR(Dashboard!$C$8="All",Dashboard!$C$8=F304))</f>
        <v/>
      </c>
      <c r="B304" s="109">
        <f>IF(A304,B303+1,B303)</f>
        <v/>
      </c>
      <c r="C304" s="109" t="n">
        <v>39</v>
      </c>
      <c r="D304" s="109" t="inlineStr">
        <is>
          <t>SSS4</t>
        </is>
      </c>
      <c r="E304" s="109" t="inlineStr">
        <is>
          <t>US</t>
        </is>
      </c>
      <c r="F304" s="109" t="inlineStr">
        <is>
          <t>Satin</t>
        </is>
      </c>
      <c r="G304" s="109" t="inlineStr">
        <is>
          <t>GOLAL</t>
        </is>
      </c>
      <c r="H304" s="109" t="inlineStr">
        <is>
          <t>Poor</t>
        </is>
      </c>
      <c r="I304" s="109" t="inlineStr">
        <is>
          <t>GOLAL Satin Sheets Full Size - 4 Pieces Luxury Silky Soft Bed Sheets, Wrinkle-Free Black Satin Silk Sheet Set with 1 Deep Pocket Fitted Sheet, 1 Flat Sheet, 2 Pillow Cases</t>
        </is>
      </c>
      <c r="J304" s="109" t="inlineStr">
        <is>
          <t>https://images-na.ssl-images-amazon.com/images/I/71r48b+Sh9L.jpg</t>
        </is>
      </c>
      <c r="K304" s="109" t="inlineStr">
        <is>
          <t>B0B1Q2JG5X</t>
        </is>
      </c>
      <c r="L304" s="109" t="inlineStr">
        <is>
          <t>B09G17SQXF</t>
        </is>
      </c>
      <c r="M304" s="109" t="n">
        <v>94</v>
      </c>
      <c r="N304" s="109" t="n">
        <v>21.99</v>
      </c>
      <c r="O304" s="109" t="n"/>
      <c r="P304" s="109">
        <f>IF(AND(ISNUMBER(O304),ISNUMBER(N304),N(N304)&gt;0),O304/N304-1,"")</f>
        <v/>
      </c>
      <c r="Q304" s="109" t="n">
        <v>31.95</v>
      </c>
      <c r="R304" s="109">
        <f>IF(AND(ISNUMBER(N304),ISNUMBER(Q304),N(Q304)&gt;0),N304/Q304-1,"")</f>
        <v/>
      </c>
      <c r="S304" s="109" t="n">
        <v>132024</v>
      </c>
      <c r="T304" s="109" t="n">
        <v>81</v>
      </c>
      <c r="U304" s="109" t="n">
        <v>4.4</v>
      </c>
      <c r="V304" s="109" t="n">
        <v>3943</v>
      </c>
      <c r="W304" s="109" t="n">
        <v>48561</v>
      </c>
      <c r="X304" s="109" t="n">
        <v>0.6641788183933609</v>
      </c>
      <c r="Y304" s="109" t="n">
        <v>118</v>
      </c>
      <c r="Z304" s="109" t="n">
        <v>146</v>
      </c>
      <c r="AA304" s="109" t="n">
        <v>31</v>
      </c>
      <c r="AB304" s="109" t="n">
        <v>0.8779220779220779</v>
      </c>
      <c r="AC304" s="109" t="inlineStr">
        <is>
          <t>US SSS4</t>
        </is>
      </c>
      <c r="AD304" s="109">
        <f>'US SSS4'!BC172</f>
        <v/>
      </c>
      <c r="AE304" s="109">
        <f>'US SSS4'!BF172</f>
        <v/>
      </c>
      <c r="AF304" s="109" t="inlineStr">
        <is>
          <t>Full</t>
        </is>
      </c>
      <c r="AG304" s="109" t="inlineStr">
        <is>
          <t>Black</t>
        </is>
      </c>
    </row>
    <row r="305">
      <c r="A305" s="109">
        <f>AND(OR(Dashboard!$C$4="All",Dashboard!$C$4=D305),OR(Dashboard!$C$5="All",Dashboard!$C$5=E305),OR(Dashboard!$C$6="All",Dashboard!$C$6=G305),OR(Dashboard!$C$7="All",Dashboard!$C$7=H305),OR(Dashboard!$C$8="All",Dashboard!$C$8=F305))</f>
        <v/>
      </c>
      <c r="B305" s="109">
        <f>IF(A305,B304+1,B304)</f>
        <v/>
      </c>
      <c r="C305" s="109" t="n">
        <v>39</v>
      </c>
      <c r="D305" s="109" t="inlineStr">
        <is>
          <t>SSS4</t>
        </is>
      </c>
      <c r="E305" s="109" t="inlineStr">
        <is>
          <t>US</t>
        </is>
      </c>
      <c r="F305" s="109" t="inlineStr">
        <is>
          <t>Satin</t>
        </is>
      </c>
      <c r="G305" s="109" t="inlineStr">
        <is>
          <t>Cobedzy</t>
        </is>
      </c>
      <c r="H305" s="109" t="inlineStr">
        <is>
          <t>Poor</t>
        </is>
      </c>
      <c r="I305" s="109" t="inlineStr">
        <is>
          <t>Satin Sheets</t>
        </is>
      </c>
      <c r="J305" s="109" t="inlineStr">
        <is>
          <t>https://images-na.ssl-images-amazon.com/images/I/61QL2B3WPsL.jpg</t>
        </is>
      </c>
      <c r="K305" s="109" t="inlineStr">
        <is>
          <t>B099PPQ7T3</t>
        </is>
      </c>
      <c r="L305" s="109" t="inlineStr">
        <is>
          <t>B087CSRQQ4</t>
        </is>
      </c>
      <c r="M305" s="109" t="n">
        <v>18</v>
      </c>
      <c r="N305" s="109" t="n">
        <v>27.99</v>
      </c>
      <c r="O305" s="109" t="n"/>
      <c r="P305" s="109">
        <f>IF(AND(ISNUMBER(O305),ISNUMBER(N305),N(N305)&gt;0),O305/N305-1,"")</f>
        <v/>
      </c>
      <c r="Q305" s="109" t="n">
        <v>33.95</v>
      </c>
      <c r="R305" s="109">
        <f>IF(AND(ISNUMBER(N305),ISNUMBER(Q305),N(Q305)&gt;0),N305/Q305-1,"")</f>
        <v/>
      </c>
      <c r="S305" s="109" t="n">
        <v>68667</v>
      </c>
      <c r="T305" s="109" t="n">
        <v>35</v>
      </c>
      <c r="U305" s="109" t="n">
        <v>4.4</v>
      </c>
      <c r="V305" s="109" t="n">
        <v>2838</v>
      </c>
      <c r="W305" s="109" t="n">
        <v>21925</v>
      </c>
      <c r="X305" s="109" t="n">
        <v>0.9295306681870016</v>
      </c>
      <c r="Y305" s="109" t="n">
        <v>154</v>
      </c>
      <c r="Z305" s="109" t="n">
        <v>80</v>
      </c>
      <c r="AA305" s="109" t="n">
        <v>39</v>
      </c>
      <c r="AB305" s="109" t="n">
        <v>0.8934169278996865</v>
      </c>
      <c r="AC305" s="109" t="inlineStr">
        <is>
          <t>US SSS4</t>
        </is>
      </c>
      <c r="AD305" s="109">
        <f>'US SSS4'!BC173</f>
        <v/>
      </c>
      <c r="AE305" s="109">
        <f>'US SSS4'!BF173</f>
        <v/>
      </c>
      <c r="AF305" s="109" t="n"/>
      <c r="AG305" s="109" t="n"/>
    </row>
    <row r="306">
      <c r="A306" s="109">
        <f>AND(OR(Dashboard!$C$4="All",Dashboard!$C$4=D306),OR(Dashboard!$C$5="All",Dashboard!$C$5=E306),OR(Dashboard!$C$6="All",Dashboard!$C$6=G306),OR(Dashboard!$C$7="All",Dashboard!$C$7=H306),OR(Dashboard!$C$8="All",Dashboard!$C$8=F306))</f>
        <v/>
      </c>
      <c r="B306" s="109">
        <f>IF(A306,B305+1,B305)</f>
        <v/>
      </c>
      <c r="C306" s="109" t="n">
        <v>39</v>
      </c>
      <c r="D306" s="109" t="inlineStr">
        <is>
          <t>SSS4</t>
        </is>
      </c>
      <c r="E306" s="109" t="inlineStr">
        <is>
          <t>US</t>
        </is>
      </c>
      <c r="F306" s="109" t="inlineStr">
        <is>
          <t>Satin</t>
        </is>
      </c>
      <c r="G306" s="109" t="inlineStr">
        <is>
          <t>Horbaunal</t>
        </is>
      </c>
      <c r="H306" s="109" t="inlineStr">
        <is>
          <t>Poor</t>
        </is>
      </c>
      <c r="I306" s="109" t="inlineStr">
        <is>
          <t>Horbaunal 6 Piece Satin Sheet Set Queen, Emerald Green Queen Bed Sheets</t>
        </is>
      </c>
      <c r="J306" s="109" t="inlineStr">
        <is>
          <t>https://images-na.ssl-images-amazon.com/images/I/813TGJ9FKjL.jpg</t>
        </is>
      </c>
      <c r="K306" s="109" t="inlineStr">
        <is>
          <t>B0B4MQCT87</t>
        </is>
      </c>
      <c r="L306" s="109" t="inlineStr">
        <is>
          <t>B0B4MQ1PP1</t>
        </is>
      </c>
      <c r="M306" s="109" t="n">
        <v>23</v>
      </c>
      <c r="N306" s="109" t="n">
        <v>28.99</v>
      </c>
      <c r="O306" s="109" t="n"/>
      <c r="P306" s="109">
        <f>IF(AND(ISNUMBER(O306),ISNUMBER(N306),N(N306)&gt;0),O306/N306-1,"")</f>
        <v/>
      </c>
      <c r="Q306" s="109" t="n">
        <v>33.95</v>
      </c>
      <c r="R306" s="109">
        <f>IF(AND(ISNUMBER(N306),ISNUMBER(Q306),N(Q306)&gt;0),N306/Q306-1,"")</f>
        <v/>
      </c>
      <c r="S306" s="109" t="n">
        <v>110638</v>
      </c>
      <c r="T306" s="109" t="n">
        <v>35</v>
      </c>
      <c r="U306" s="109" t="n">
        <v>4.4</v>
      </c>
      <c r="V306" s="109" t="n">
        <v>772</v>
      </c>
      <c r="W306" s="109" t="n"/>
      <c r="X306" s="109" t="n"/>
      <c r="Y306" s="109" t="n"/>
      <c r="Z306" s="109" t="n"/>
      <c r="AA306" s="109" t="n"/>
      <c r="AB306" s="109" t="n"/>
      <c r="AC306" s="109" t="inlineStr">
        <is>
          <t>US SSS4</t>
        </is>
      </c>
      <c r="AD306" s="109">
        <f>'US SSS4'!BC174</f>
        <v/>
      </c>
      <c r="AE306" s="109">
        <f>'US SSS4'!BF174</f>
        <v/>
      </c>
      <c r="AF306" s="109" t="inlineStr">
        <is>
          <t>Queen</t>
        </is>
      </c>
      <c r="AG306" s="109" t="inlineStr">
        <is>
          <t>Green</t>
        </is>
      </c>
    </row>
    <row r="307">
      <c r="A307" s="109">
        <f>AND(OR(Dashboard!$C$4="All",Dashboard!$C$4=D307),OR(Dashboard!$C$5="All",Dashboard!$C$5=E307),OR(Dashboard!$C$6="All",Dashboard!$C$6=G307),OR(Dashboard!$C$7="All",Dashboard!$C$7=H307),OR(Dashboard!$C$8="All",Dashboard!$C$8=F307))</f>
        <v/>
      </c>
      <c r="B307" s="109">
        <f>IF(A307,B306+1,B306)</f>
        <v/>
      </c>
      <c r="C307" s="109" t="n">
        <v>39</v>
      </c>
      <c r="D307" s="109" t="inlineStr">
        <is>
          <t>SSS4</t>
        </is>
      </c>
      <c r="E307" s="109" t="inlineStr">
        <is>
          <t>US</t>
        </is>
      </c>
      <c r="F307" s="109" t="inlineStr">
        <is>
          <t>Satin</t>
        </is>
      </c>
      <c r="G307" s="109" t="inlineStr">
        <is>
          <t>VACVELT</t>
        </is>
      </c>
      <c r="H307" s="109" t="inlineStr">
        <is>
          <t>Poor</t>
        </is>
      </c>
      <c r="I307" s="109" t="inlineStr">
        <is>
          <t>Satin Sheets</t>
        </is>
      </c>
      <c r="J307" s="109" t="n"/>
      <c r="K307" s="109" t="inlineStr">
        <is>
          <t>B0C9T1VY8J</t>
        </is>
      </c>
      <c r="L307" s="109" t="inlineStr">
        <is>
          <t>B0C1GJZB6F</t>
        </is>
      </c>
      <c r="M307" s="109" t="n">
        <v>35</v>
      </c>
      <c r="N307" s="109" t="n">
        <v>21.99</v>
      </c>
      <c r="O307" s="109" t="n"/>
      <c r="P307" s="109">
        <f>IF(AND(ISNUMBER(O307),ISNUMBER(N307),N(N307)&gt;0),O307/N307-1,"")</f>
        <v/>
      </c>
      <c r="Q307" s="109" t="n">
        <v>33.95</v>
      </c>
      <c r="R307" s="109">
        <f>IF(AND(ISNUMBER(N307),ISNUMBER(Q307),N(Q307)&gt;0),N307/Q307-1,"")</f>
        <v/>
      </c>
      <c r="S307" s="109" t="n">
        <v>57010</v>
      </c>
      <c r="T307" s="109" t="n">
        <v>35</v>
      </c>
      <c r="U307" s="109" t="n">
        <v>4.5</v>
      </c>
      <c r="V307" s="109" t="n">
        <v>1017</v>
      </c>
      <c r="W307" s="109" t="n">
        <v>23621</v>
      </c>
      <c r="X307" s="109" t="n">
        <v>0.9628617755387157</v>
      </c>
      <c r="Y307" s="109" t="n">
        <v>181</v>
      </c>
      <c r="Z307" s="109" t="n">
        <v>82</v>
      </c>
      <c r="AA307" s="109" t="n">
        <v>15</v>
      </c>
      <c r="AB307" s="109" t="n">
        <v>1</v>
      </c>
      <c r="AC307" s="109" t="inlineStr">
        <is>
          <t>US SSS4</t>
        </is>
      </c>
      <c r="AD307" s="109">
        <f>'US SSS4'!BC175</f>
        <v/>
      </c>
      <c r="AE307" s="109">
        <f>'US SSS4'!BF175</f>
        <v/>
      </c>
      <c r="AF307" s="109" t="n"/>
      <c r="AG307" s="109" t="n"/>
    </row>
    <row r="308">
      <c r="A308" s="109">
        <f>AND(OR(Dashboard!$C$4="All",Dashboard!$C$4=D308),OR(Dashboard!$C$5="All",Dashboard!$C$5=E308),OR(Dashboard!$C$6="All",Dashboard!$C$6=G308),OR(Dashboard!$C$7="All",Dashboard!$C$7=H308),OR(Dashboard!$C$8="All",Dashboard!$C$8=F308))</f>
        <v/>
      </c>
      <c r="B308" s="109">
        <f>IF(A308,B307+1,B307)</f>
        <v/>
      </c>
      <c r="C308" s="109" t="n">
        <v>39</v>
      </c>
      <c r="D308" s="109" t="inlineStr">
        <is>
          <t>SSS4</t>
        </is>
      </c>
      <c r="E308" s="109" t="inlineStr">
        <is>
          <t>US</t>
        </is>
      </c>
      <c r="F308" s="109" t="inlineStr">
        <is>
          <t>Satin</t>
        </is>
      </c>
      <c r="G308" s="109" t="inlineStr">
        <is>
          <t>Vonty</t>
        </is>
      </c>
      <c r="H308" s="109" t="inlineStr">
        <is>
          <t>Poor</t>
        </is>
      </c>
      <c r="I308" s="109" t="inlineStr">
        <is>
          <t>Satin Sheets</t>
        </is>
      </c>
      <c r="J308" s="109" t="n"/>
      <c r="K308" s="109" t="inlineStr">
        <is>
          <t>B0BDDJM9RW</t>
        </is>
      </c>
      <c r="L308" s="109" t="inlineStr">
        <is>
          <t>B0BDDGJ38X</t>
        </is>
      </c>
      <c r="M308" s="109" t="n">
        <v>22</v>
      </c>
      <c r="N308" s="109" t="n">
        <v>30.99</v>
      </c>
      <c r="O308" s="109" t="n"/>
      <c r="P308" s="109">
        <f>IF(AND(ISNUMBER(O308),ISNUMBER(N308),N(N308)&gt;0),O308/N308-1,"")</f>
        <v/>
      </c>
      <c r="Q308" s="109" t="n">
        <v>33.95</v>
      </c>
      <c r="R308" s="109">
        <f>IF(AND(ISNUMBER(N308),ISNUMBER(Q308),N(Q308)&gt;0),N308/Q308-1,"")</f>
        <v/>
      </c>
      <c r="S308" s="109" t="n">
        <v>83620</v>
      </c>
      <c r="T308" s="109" t="n">
        <v>35</v>
      </c>
      <c r="U308" s="109" t="n">
        <v>4.2</v>
      </c>
      <c r="V308" s="109" t="n">
        <v>909</v>
      </c>
      <c r="W308" s="109" t="n">
        <v>11441</v>
      </c>
      <c r="X308" s="109" t="n">
        <v>0.9484301110042829</v>
      </c>
      <c r="Y308" s="109" t="n">
        <v>143</v>
      </c>
      <c r="Z308" s="109" t="n">
        <v>45</v>
      </c>
      <c r="AA308" s="109" t="n">
        <v>15</v>
      </c>
      <c r="AB308" s="109" t="n">
        <v>0.9861111111111112</v>
      </c>
      <c r="AC308" s="109" t="inlineStr">
        <is>
          <t>US SSS4</t>
        </is>
      </c>
      <c r="AD308" s="109">
        <f>'US SSS4'!BC176</f>
        <v/>
      </c>
      <c r="AE308" s="109">
        <f>'US SSS4'!BF176</f>
        <v/>
      </c>
      <c r="AF308" s="109" t="n"/>
      <c r="AG308" s="109" t="n"/>
    </row>
    <row r="309">
      <c r="A309" s="109">
        <f>AND(OR(Dashboard!$C$4="All",Dashboard!$C$4=D309),OR(Dashboard!$C$5="All",Dashboard!$C$5=E309),OR(Dashboard!$C$6="All",Dashboard!$C$6=G309),OR(Dashboard!$C$7="All",Dashboard!$C$7=H309),OR(Dashboard!$C$8="All",Dashboard!$C$8=F309))</f>
        <v/>
      </c>
      <c r="B309" s="109">
        <f>IF(A309,B308+1,B308)</f>
        <v/>
      </c>
      <c r="C309" s="109" t="n">
        <v>39</v>
      </c>
      <c r="D309" s="109" t="inlineStr">
        <is>
          <t>SSS4</t>
        </is>
      </c>
      <c r="E309" s="109" t="inlineStr">
        <is>
          <t>US</t>
        </is>
      </c>
      <c r="F309" s="109" t="inlineStr">
        <is>
          <t>Satin</t>
        </is>
      </c>
      <c r="G309" s="109" t="inlineStr">
        <is>
          <t>Homiest</t>
        </is>
      </c>
      <c r="H309" s="109" t="inlineStr">
        <is>
          <t>Poor</t>
        </is>
      </c>
      <c r="I309" s="109" t="inlineStr">
        <is>
          <t>Satin Sheets</t>
        </is>
      </c>
      <c r="J309" s="109" t="n"/>
      <c r="K309" s="109" t="inlineStr">
        <is>
          <t>B0DYJKM99H</t>
        </is>
      </c>
      <c r="L309" s="109" t="inlineStr">
        <is>
          <t>B0DYJHHJQL</t>
        </is>
      </c>
      <c r="M309" s="109" t="n"/>
      <c r="N309" s="109" t="n">
        <v>27.99</v>
      </c>
      <c r="O309" s="109" t="n"/>
      <c r="P309" s="109">
        <f>IF(AND(ISNUMBER(O309),ISNUMBER(N309),N(N309)&gt;0),O309/N309-1,"")</f>
        <v/>
      </c>
      <c r="Q309" s="109" t="n">
        <v>33.95</v>
      </c>
      <c r="R309" s="109">
        <f>IF(AND(ISNUMBER(N309),ISNUMBER(Q309),N(Q309)&gt;0),N309/Q309-1,"")</f>
        <v/>
      </c>
      <c r="S309" s="109" t="n">
        <v>89437</v>
      </c>
      <c r="T309" s="109" t="n">
        <v>18</v>
      </c>
      <c r="U309" s="109" t="n">
        <v>4.5</v>
      </c>
      <c r="V309" s="109" t="n">
        <v>205</v>
      </c>
      <c r="W309" s="109" t="n"/>
      <c r="X309" s="109" t="n"/>
      <c r="Y309" s="109" t="n"/>
      <c r="Z309" s="109" t="n"/>
      <c r="AA309" s="109" t="n"/>
      <c r="AB309" s="109" t="n"/>
      <c r="AC309" s="109" t="inlineStr">
        <is>
          <t>US SSS4</t>
        </is>
      </c>
      <c r="AD309" s="109">
        <f>'US SSS4'!BC177</f>
        <v/>
      </c>
      <c r="AE309" s="109">
        <f>'US SSS4'!BF177</f>
        <v/>
      </c>
      <c r="AF309" s="109" t="n"/>
      <c r="AG309" s="109" t="n"/>
    </row>
    <row r="310">
      <c r="A310" s="109">
        <f>AND(OR(Dashboard!$C$4="All",Dashboard!$C$4=D310),OR(Dashboard!$C$5="All",Dashboard!$C$5=E310),OR(Dashboard!$C$6="All",Dashboard!$C$6=G310),OR(Dashboard!$C$7="All",Dashboard!$C$7=H310),OR(Dashboard!$C$8="All",Dashboard!$C$8=F310))</f>
        <v/>
      </c>
      <c r="B310" s="109">
        <f>IF(A310,B309+1,B309)</f>
        <v/>
      </c>
      <c r="C310" s="109" t="n">
        <v>39</v>
      </c>
      <c r="D310" s="109" t="inlineStr">
        <is>
          <t>SSS4</t>
        </is>
      </c>
      <c r="E310" s="109" t="inlineStr">
        <is>
          <t>US</t>
        </is>
      </c>
      <c r="F310" s="109" t="inlineStr">
        <is>
          <t>Satin</t>
        </is>
      </c>
      <c r="G310" s="109" t="inlineStr">
        <is>
          <t>HommxJF</t>
        </is>
      </c>
      <c r="H310" s="109" t="inlineStr">
        <is>
          <t>Poor</t>
        </is>
      </c>
      <c r="I310" s="109" t="inlineStr">
        <is>
          <t>Satin Sheets</t>
        </is>
      </c>
      <c r="J310" s="109" t="n"/>
      <c r="K310" s="109" t="inlineStr">
        <is>
          <t>B0BJZT93SL</t>
        </is>
      </c>
      <c r="L310" s="109" t="inlineStr">
        <is>
          <t>B09V52BVJB</t>
        </is>
      </c>
      <c r="M310" s="109" t="n">
        <v>32</v>
      </c>
      <c r="N310" s="109" t="n">
        <v>24.99</v>
      </c>
      <c r="O310" s="109" t="n"/>
      <c r="P310" s="109">
        <f>IF(AND(ISNUMBER(O310),ISNUMBER(N310),N(N310)&gt;0),O310/N310-1,"")</f>
        <v/>
      </c>
      <c r="Q310" s="109" t="n">
        <v>33.95</v>
      </c>
      <c r="R310" s="109">
        <f>IF(AND(ISNUMBER(N310),ISNUMBER(Q310),N(Q310)&gt;0),N310/Q310-1,"")</f>
        <v/>
      </c>
      <c r="S310" s="109" t="n">
        <v>180867</v>
      </c>
      <c r="T310" s="109" t="n">
        <v>18</v>
      </c>
      <c r="U310" s="109" t="n">
        <v>4.3</v>
      </c>
      <c r="V310" s="109" t="n">
        <v>1032</v>
      </c>
      <c r="W310" s="109" t="n">
        <v>16567</v>
      </c>
      <c r="X310" s="109" t="n">
        <v>0.8554338745699279</v>
      </c>
      <c r="Y310" s="109" t="n">
        <v>164</v>
      </c>
      <c r="Z310" s="109" t="n">
        <v>68</v>
      </c>
      <c r="AA310" s="109" t="n">
        <v>33</v>
      </c>
      <c r="AB310" s="109" t="n">
        <v>1.017857142857143</v>
      </c>
      <c r="AC310" s="109" t="inlineStr">
        <is>
          <t>US SSS4</t>
        </is>
      </c>
      <c r="AD310" s="109">
        <f>'US SSS4'!BC178</f>
        <v/>
      </c>
      <c r="AE310" s="109">
        <f>'US SSS4'!BF178</f>
        <v/>
      </c>
      <c r="AF310" s="109" t="n"/>
      <c r="AG310" s="109" t="n"/>
    </row>
    <row r="311">
      <c r="A311" s="109">
        <f>AND(OR(Dashboard!$C$4="All",Dashboard!$C$4=D311),OR(Dashboard!$C$5="All",Dashboard!$C$5=E311),OR(Dashboard!$C$6="All",Dashboard!$C$6=G311),OR(Dashboard!$C$7="All",Dashboard!$C$7=H311),OR(Dashboard!$C$8="All",Dashboard!$C$8=F311))</f>
        <v/>
      </c>
      <c r="B311" s="109">
        <f>IF(A311,B310+1,B310)</f>
        <v/>
      </c>
      <c r="C311" s="109" t="n">
        <v>39</v>
      </c>
      <c r="D311" s="109" t="inlineStr">
        <is>
          <t>SSS4</t>
        </is>
      </c>
      <c r="E311" s="109" t="inlineStr">
        <is>
          <t>US</t>
        </is>
      </c>
      <c r="F311" s="109" t="inlineStr">
        <is>
          <t>Satin</t>
        </is>
      </c>
      <c r="G311" s="109" t="inlineStr">
        <is>
          <t>MK Home</t>
        </is>
      </c>
      <c r="H311" s="109" t="inlineStr">
        <is>
          <t>Poor</t>
        </is>
      </c>
      <c r="I311" s="109" t="inlineStr">
        <is>
          <t>Satin Sheets</t>
        </is>
      </c>
      <c r="J311" s="109" t="n"/>
      <c r="K311" s="109" t="inlineStr">
        <is>
          <t>B07H522QXD</t>
        </is>
      </c>
      <c r="L311" s="109" t="inlineStr">
        <is>
          <t>B07FGFRZ94</t>
        </is>
      </c>
      <c r="M311" s="109" t="n"/>
      <c r="N311" s="109" t="n">
        <v>18.99</v>
      </c>
      <c r="O311" s="109" t="n"/>
      <c r="P311" s="109">
        <f>IF(AND(ISNUMBER(O311),ISNUMBER(N311),N(N311)&gt;0),O311/N311-1,"")</f>
        <v/>
      </c>
      <c r="Q311" s="109" t="n">
        <v>33.95</v>
      </c>
      <c r="R311" s="109">
        <f>IF(AND(ISNUMBER(N311),ISNUMBER(Q311),N(Q311)&gt;0),N311/Q311-1,"")</f>
        <v/>
      </c>
      <c r="S311" s="109" t="n">
        <v>59039</v>
      </c>
      <c r="T311" s="109" t="n">
        <v>18</v>
      </c>
      <c r="U311" s="109" t="n">
        <v>4.3</v>
      </c>
      <c r="V311" s="109" t="n">
        <v>10761</v>
      </c>
      <c r="W311" s="109" t="n"/>
      <c r="X311" s="109" t="n"/>
      <c r="Y311" s="109" t="n"/>
      <c r="Z311" s="109" t="n"/>
      <c r="AA311" s="109" t="n"/>
      <c r="AB311" s="109" t="n"/>
      <c r="AC311" s="109" t="inlineStr">
        <is>
          <t>US SSS4</t>
        </is>
      </c>
      <c r="AD311" s="109">
        <f>'US SSS4'!BC179</f>
        <v/>
      </c>
      <c r="AE311" s="109">
        <f>'US SSS4'!BF179</f>
        <v/>
      </c>
      <c r="AF311" s="109" t="n"/>
      <c r="AG311" s="109" t="n"/>
    </row>
    <row r="312">
      <c r="A312" s="109">
        <f>AND(OR(Dashboard!$C$4="All",Dashboard!$C$4=D312),OR(Dashboard!$C$5="All",Dashboard!$C$5=E312),OR(Dashboard!$C$6="All",Dashboard!$C$6=G312),OR(Dashboard!$C$7="All",Dashboard!$C$7=H312),OR(Dashboard!$C$8="All",Dashboard!$C$8=F312))</f>
        <v/>
      </c>
      <c r="B312" s="109">
        <f>IF(A312,B311+1,B311)</f>
        <v/>
      </c>
      <c r="C312" s="109" t="n">
        <v>39</v>
      </c>
      <c r="D312" s="109" t="inlineStr">
        <is>
          <t>SSS4</t>
        </is>
      </c>
      <c r="E312" s="109" t="inlineStr">
        <is>
          <t>US</t>
        </is>
      </c>
      <c r="F312" s="109" t="inlineStr">
        <is>
          <t>Satin</t>
        </is>
      </c>
      <c r="G312" s="109" t="inlineStr">
        <is>
          <t>VACVELT</t>
        </is>
      </c>
      <c r="H312" s="109" t="inlineStr">
        <is>
          <t>Poor</t>
        </is>
      </c>
      <c r="I312" s="109" t="inlineStr">
        <is>
          <t>Satin Sheets</t>
        </is>
      </c>
      <c r="J312" s="109" t="n"/>
      <c r="K312" s="109" t="inlineStr">
        <is>
          <t>B0F7XQDVJY</t>
        </is>
      </c>
      <c r="L312" s="109" t="inlineStr">
        <is>
          <t>B0F7XRNKQY</t>
        </is>
      </c>
      <c r="M312" s="109" t="n">
        <v>31</v>
      </c>
      <c r="N312" s="109" t="n">
        <v>17.99</v>
      </c>
      <c r="O312" s="109" t="n"/>
      <c r="P312" s="109">
        <f>IF(AND(ISNUMBER(O312),ISNUMBER(N312),N(N312)&gt;0),O312/N312-1,"")</f>
        <v/>
      </c>
      <c r="Q312" s="109" t="n">
        <v>33.95</v>
      </c>
      <c r="R312" s="109">
        <f>IF(AND(ISNUMBER(N312),ISNUMBER(Q312),N(Q312)&gt;0),N312/Q312-1,"")</f>
        <v/>
      </c>
      <c r="S312" s="109" t="n">
        <v>79028</v>
      </c>
      <c r="T312" s="109" t="n">
        <v>18</v>
      </c>
      <c r="U312" s="109" t="n">
        <v>4.4</v>
      </c>
      <c r="V312" s="109" t="n">
        <v>209</v>
      </c>
      <c r="W312" s="109" t="n">
        <v>21912</v>
      </c>
      <c r="X312" s="109" t="n">
        <v>0.9845742834976268</v>
      </c>
      <c r="Y312" s="109" t="n">
        <v>166</v>
      </c>
      <c r="Z312" s="109" t="n">
        <v>84</v>
      </c>
      <c r="AA312" s="109" t="n">
        <v>10</v>
      </c>
      <c r="AB312" s="109" t="n">
        <v>1.707818930041152</v>
      </c>
      <c r="AC312" s="109" t="inlineStr">
        <is>
          <t>US SSS4</t>
        </is>
      </c>
      <c r="AD312" s="109">
        <f>'US SSS4'!BC180</f>
        <v/>
      </c>
      <c r="AE312" s="109">
        <f>'US SSS4'!BF180</f>
        <v/>
      </c>
      <c r="AF312" s="109" t="n"/>
      <c r="AG312" s="109" t="n"/>
    </row>
    <row r="313">
      <c r="A313" s="109">
        <f>AND(OR(Dashboard!$C$4="All",Dashboard!$C$4=D313),OR(Dashboard!$C$5="All",Dashboard!$C$5=E313),OR(Dashboard!$C$6="All",Dashboard!$C$6=G313),OR(Dashboard!$C$7="All",Dashboard!$C$7=H313),OR(Dashboard!$C$8="All",Dashboard!$C$8=F313))</f>
        <v/>
      </c>
      <c r="B313" s="109">
        <f>IF(A313,B312+1,B312)</f>
        <v/>
      </c>
      <c r="C313" s="109" t="n">
        <v>39</v>
      </c>
      <c r="D313" s="109" t="inlineStr">
        <is>
          <t>SSS4</t>
        </is>
      </c>
      <c r="E313" s="109" t="inlineStr">
        <is>
          <t>US</t>
        </is>
      </c>
      <c r="F313" s="109" t="inlineStr">
        <is>
          <t>Satin</t>
        </is>
      </c>
      <c r="G313" s="109" t="inlineStr">
        <is>
          <t>Candoury</t>
        </is>
      </c>
      <c r="H313" s="109" t="inlineStr">
        <is>
          <t>Poor</t>
        </is>
      </c>
      <c r="I313" s="109" t="inlineStr">
        <is>
          <t>Satin Sheets</t>
        </is>
      </c>
      <c r="J313" s="109" t="n"/>
      <c r="K313" s="109" t="inlineStr">
        <is>
          <t>B08RHZ9TMQ</t>
        </is>
      </c>
      <c r="L313" s="109" t="inlineStr">
        <is>
          <t>B08JKWGXZ9</t>
        </is>
      </c>
      <c r="M313" s="109" t="n"/>
      <c r="N313" s="109" t="n">
        <v>15.99</v>
      </c>
      <c r="O313" s="109" t="n"/>
      <c r="P313" s="109">
        <f>IF(AND(ISNUMBER(O313),ISNUMBER(N313),N(N313)&gt;0),O313/N313-1,"")</f>
        <v/>
      </c>
      <c r="Q313" s="109" t="n">
        <v>33.95</v>
      </c>
      <c r="R313" s="109">
        <f>IF(AND(ISNUMBER(N313),ISNUMBER(Q313),N(Q313)&gt;0),N313/Q313-1,"")</f>
        <v/>
      </c>
      <c r="S313" s="109" t="n">
        <v>420044</v>
      </c>
      <c r="T313" s="109" t="n">
        <v>5</v>
      </c>
      <c r="U313" s="109" t="n">
        <v>4.3</v>
      </c>
      <c r="V313" s="109" t="n">
        <v>5277</v>
      </c>
      <c r="W313" s="109" t="n"/>
      <c r="X313" s="109" t="n"/>
      <c r="Y313" s="109" t="n"/>
      <c r="Z313" s="109" t="n"/>
      <c r="AA313" s="109" t="n"/>
      <c r="AB313" s="109" t="n"/>
      <c r="AC313" s="109" t="inlineStr">
        <is>
          <t>US SSS4</t>
        </is>
      </c>
      <c r="AD313" s="109">
        <f>'US SSS4'!BC181</f>
        <v/>
      </c>
      <c r="AE313" s="109">
        <f>'US SSS4'!BF181</f>
        <v/>
      </c>
      <c r="AF313" s="109" t="n"/>
      <c r="AG313" s="109" t="n"/>
    </row>
    <row r="314">
      <c r="A314" s="109">
        <f>AND(OR(Dashboard!$C$4="All",Dashboard!$C$4=D314),OR(Dashboard!$C$5="All",Dashboard!$C$5=E314),OR(Dashboard!$C$6="All",Dashboard!$C$6=G314),OR(Dashboard!$C$7="All",Dashboard!$C$7=H314),OR(Dashboard!$C$8="All",Dashboard!$C$8=F314))</f>
        <v/>
      </c>
      <c r="B314" s="109">
        <f>IF(A314,B313+1,B313)</f>
        <v/>
      </c>
      <c r="C314" s="109" t="n">
        <v>39</v>
      </c>
      <c r="D314" s="109" t="inlineStr">
        <is>
          <t>SSS4</t>
        </is>
      </c>
      <c r="E314" s="109" t="inlineStr">
        <is>
          <t>US</t>
        </is>
      </c>
      <c r="F314" s="109" t="inlineStr">
        <is>
          <t>Satin</t>
        </is>
      </c>
      <c r="G314" s="109" t="inlineStr">
        <is>
          <t>Manyshofu</t>
        </is>
      </c>
      <c r="H314" s="109" t="inlineStr">
        <is>
          <t>Poor</t>
        </is>
      </c>
      <c r="I314" s="109" t="inlineStr">
        <is>
          <t>Satin Sheets</t>
        </is>
      </c>
      <c r="J314" s="109" t="n"/>
      <c r="K314" s="109" t="inlineStr">
        <is>
          <t>B09YQW7HBK</t>
        </is>
      </c>
      <c r="L314" s="109" t="inlineStr">
        <is>
          <t>B09S5RNLN9</t>
        </is>
      </c>
      <c r="M314" s="109" t="n"/>
      <c r="N314" s="109" t="n">
        <v>28.99</v>
      </c>
      <c r="O314" s="109" t="n"/>
      <c r="P314" s="109">
        <f>IF(AND(ISNUMBER(O314),ISNUMBER(N314),N(N314)&gt;0),O314/N314-1,"")</f>
        <v/>
      </c>
      <c r="Q314" s="109" t="n">
        <v>33.95</v>
      </c>
      <c r="R314" s="109">
        <f>IF(AND(ISNUMBER(N314),ISNUMBER(Q314),N(Q314)&gt;0),N314/Q314-1,"")</f>
        <v/>
      </c>
      <c r="S314" s="109" t="n">
        <v>300374</v>
      </c>
      <c r="T314" s="109" t="n">
        <v>5</v>
      </c>
      <c r="U314" s="109" t="n">
        <v>4.3</v>
      </c>
      <c r="V314" s="109" t="n">
        <v>907</v>
      </c>
      <c r="W314" s="109" t="n"/>
      <c r="X314" s="109" t="n"/>
      <c r="Y314" s="109" t="n"/>
      <c r="Z314" s="109" t="n"/>
      <c r="AA314" s="109" t="n"/>
      <c r="AB314" s="109" t="n"/>
      <c r="AC314" s="109" t="inlineStr">
        <is>
          <t>US SSS4</t>
        </is>
      </c>
      <c r="AD314" s="109">
        <f>'US SSS4'!BC182</f>
        <v/>
      </c>
      <c r="AE314" s="109">
        <f>'US SSS4'!BF182</f>
        <v/>
      </c>
      <c r="AF314" s="109" t="n"/>
      <c r="AG314" s="109" t="n"/>
    </row>
    <row r="315">
      <c r="A315" s="109">
        <f>AND(OR(Dashboard!$C$4="All",Dashboard!$C$4=D315),OR(Dashboard!$C$5="All",Dashboard!$C$5=E315),OR(Dashboard!$C$6="All",Dashboard!$C$6=G315),OR(Dashboard!$C$7="All",Dashboard!$C$7=H315),OR(Dashboard!$C$8="All",Dashboard!$C$8=F315))</f>
        <v/>
      </c>
      <c r="B315" s="109">
        <f>IF(A315,B314+1,B314)</f>
        <v/>
      </c>
      <c r="C315" s="109" t="n">
        <v>39</v>
      </c>
      <c r="D315" s="109" t="inlineStr">
        <is>
          <t>SSS4</t>
        </is>
      </c>
      <c r="E315" s="109" t="inlineStr">
        <is>
          <t>US</t>
        </is>
      </c>
      <c r="F315" s="109" t="inlineStr">
        <is>
          <t>Satin</t>
        </is>
      </c>
      <c r="G315" s="109" t="inlineStr">
        <is>
          <t>Martex</t>
        </is>
      </c>
      <c r="H315" s="109" t="inlineStr">
        <is>
          <t>Poor</t>
        </is>
      </c>
      <c r="I315" s="109" t="inlineStr">
        <is>
          <t>Satin Sheets</t>
        </is>
      </c>
      <c r="J315" s="109" t="n"/>
      <c r="K315" s="109" t="inlineStr">
        <is>
          <t>B0DLGX8P9D</t>
        </is>
      </c>
      <c r="L315" s="109" t="inlineStr">
        <is>
          <t>B07X49LFDC</t>
        </is>
      </c>
      <c r="M315" s="109" t="n"/>
      <c r="N315" s="109" t="n">
        <v>25.99</v>
      </c>
      <c r="O315" s="109" t="n"/>
      <c r="P315" s="109">
        <f>IF(AND(ISNUMBER(O315),ISNUMBER(N315),N(N315)&gt;0),O315/N315-1,"")</f>
        <v/>
      </c>
      <c r="Q315" s="109" t="n">
        <v>33.95</v>
      </c>
      <c r="R315" s="109">
        <f>IF(AND(ISNUMBER(N315),ISNUMBER(Q315),N(Q315)&gt;0),N315/Q315-1,"")</f>
        <v/>
      </c>
      <c r="S315" s="109" t="n">
        <v>52458</v>
      </c>
      <c r="T315" s="109" t="n">
        <v>5</v>
      </c>
      <c r="U315" s="109" t="n">
        <v>4.3</v>
      </c>
      <c r="V315" s="109" t="n">
        <v>2260</v>
      </c>
      <c r="W315" s="109" t="n"/>
      <c r="X315" s="109" t="n"/>
      <c r="Y315" s="109" t="n"/>
      <c r="Z315" s="109" t="n"/>
      <c r="AA315" s="109" t="n"/>
      <c r="AB315" s="109" t="n"/>
      <c r="AC315" s="109" t="inlineStr">
        <is>
          <t>US SSS4</t>
        </is>
      </c>
      <c r="AD315" s="109">
        <f>'US SSS4'!BC183</f>
        <v/>
      </c>
      <c r="AE315" s="109">
        <f>'US SSS4'!BF183</f>
        <v/>
      </c>
      <c r="AF315" s="109" t="n"/>
      <c r="AG315" s="109" t="n"/>
    </row>
    <row r="316">
      <c r="A316" s="109">
        <f>AND(OR(Dashboard!$C$4="All",Dashboard!$C$4=D316),OR(Dashboard!$C$5="All",Dashboard!$C$5=E316),OR(Dashboard!$C$6="All",Dashboard!$C$6=G316),OR(Dashboard!$C$7="All",Dashboard!$C$7=H316),OR(Dashboard!$C$8="All",Dashboard!$C$8=F316))</f>
        <v/>
      </c>
      <c r="B316" s="109">
        <f>IF(A316,B315+1,B315)</f>
        <v/>
      </c>
      <c r="C316" s="109" t="n">
        <v>39</v>
      </c>
      <c r="D316" s="109" t="inlineStr">
        <is>
          <t>SSS4</t>
        </is>
      </c>
      <c r="E316" s="109" t="inlineStr">
        <is>
          <t>CA</t>
        </is>
      </c>
      <c r="F316" s="109" t="inlineStr">
        <is>
          <t>Satin</t>
        </is>
      </c>
      <c r="G316" s="109" t="inlineStr">
        <is>
          <t>Sasttie</t>
        </is>
      </c>
      <c r="H316" s="109" t="inlineStr">
        <is>
          <t>Untiered</t>
        </is>
      </c>
      <c r="I316" s="109" t="inlineStr">
        <is>
          <t>Sasttie Satin Sheets Queen - 4 Pieces Luxury Soft Black Silky Bed Sheets Set with Pillowcases - Smooth Silk-Like Drap Satin Fabric, Reinforced 14 Inches Pocket, Oeko-Tex Certified</t>
        </is>
      </c>
      <c r="J316" s="109" t="inlineStr">
        <is>
          <t>https://m.media-amazon.com/images/I/71MADUOjsFL.jpg</t>
        </is>
      </c>
      <c r="K316" s="109" t="inlineStr">
        <is>
          <t>B0F2HNJ52T</t>
        </is>
      </c>
      <c r="L316" s="109" t="inlineStr">
        <is>
          <t>B0F2H8LPB3</t>
        </is>
      </c>
      <c r="M316" s="109" t="n">
        <v>83</v>
      </c>
      <c r="N316" s="109" t="n">
        <v>31.99</v>
      </c>
      <c r="O316" s="109" t="n"/>
      <c r="P316" s="109">
        <f>IF(AND(ISNUMBER(O316),ISNUMBER(N316),N(N316)&gt;0),O316/N316-1,"")</f>
        <v/>
      </c>
      <c r="Q316" s="109" t="n">
        <v>46.95</v>
      </c>
      <c r="R316" s="109">
        <f>IF(AND(ISNUMBER(N316),ISNUMBER(Q316),N(Q316)&gt;0),N316/Q316-1,"")</f>
        <v/>
      </c>
      <c r="S316" s="109" t="n">
        <v>1428</v>
      </c>
      <c r="T316" s="109" t="n"/>
      <c r="U316" s="109" t="n">
        <v>4.2</v>
      </c>
      <c r="V316" s="109" t="n">
        <v>962</v>
      </c>
      <c r="W316" s="109" t="n"/>
      <c r="X316" s="109" t="n"/>
      <c r="Y316" s="109" t="n"/>
      <c r="Z316" s="109" t="n"/>
      <c r="AA316" s="109" t="n"/>
      <c r="AB316" s="109" t="n"/>
      <c r="AC316" s="109" t="inlineStr">
        <is>
          <t>CA SSS4</t>
        </is>
      </c>
      <c r="AD316" s="109">
        <f>'CA SSS4'!BC155</f>
        <v/>
      </c>
      <c r="AE316" s="109">
        <f>'CA SSS4'!BF155</f>
        <v/>
      </c>
      <c r="AF316" s="109" t="inlineStr">
        <is>
          <t>Queen</t>
        </is>
      </c>
      <c r="AG316" s="109" t="inlineStr">
        <is>
          <t>Black</t>
        </is>
      </c>
    </row>
    <row r="317">
      <c r="A317" s="109">
        <f>AND(OR(Dashboard!$C$4="All",Dashboard!$C$4=D317),OR(Dashboard!$C$5="All",Dashboard!$C$5=E317),OR(Dashboard!$C$6="All",Dashboard!$C$6=G317),OR(Dashboard!$C$7="All",Dashboard!$C$7=H317),OR(Dashboard!$C$8="All",Dashboard!$C$8=F317))</f>
        <v/>
      </c>
      <c r="B317" s="109">
        <f>IF(A317,B316+1,B316)</f>
        <v/>
      </c>
      <c r="C317" s="109" t="n">
        <v>39</v>
      </c>
      <c r="D317" s="109" t="inlineStr">
        <is>
          <t>SSS4</t>
        </is>
      </c>
      <c r="E317" s="109" t="inlineStr">
        <is>
          <t>CA</t>
        </is>
      </c>
      <c r="F317" s="109" t="inlineStr">
        <is>
          <t>Satin</t>
        </is>
      </c>
      <c r="G317" s="109" t="inlineStr">
        <is>
          <t>MR&amp;HM</t>
        </is>
      </c>
      <c r="H317" s="109" t="inlineStr">
        <is>
          <t>Untiered</t>
        </is>
      </c>
      <c r="I317" s="109" t="inlineStr">
        <is>
          <t>MR&amp;HM Satin Sheets Queen Size with Elastic Corner Straps, Black</t>
        </is>
      </c>
      <c r="J317" s="109" t="inlineStr">
        <is>
          <t>https://m.media-amazon.com/images/I/71zGuoeuSrL.jpg</t>
        </is>
      </c>
      <c r="K317" s="109" t="inlineStr">
        <is>
          <t>B08NPFTQWB</t>
        </is>
      </c>
      <c r="L317" s="109" t="inlineStr">
        <is>
          <t>B08HM6WT6X</t>
        </is>
      </c>
      <c r="M317" s="109" t="n">
        <v>182</v>
      </c>
      <c r="N317" s="109" t="n">
        <v>40.99</v>
      </c>
      <c r="O317" s="109" t="n"/>
      <c r="P317" s="109">
        <f>IF(AND(ISNUMBER(O317),ISNUMBER(N317),N(N317)&gt;0),O317/N317-1,"")</f>
        <v/>
      </c>
      <c r="Q317" s="109" t="n">
        <v>46.95</v>
      </c>
      <c r="R317" s="109">
        <f>IF(AND(ISNUMBER(N317),ISNUMBER(Q317),N(Q317)&gt;0),N317/Q317-1,"")</f>
        <v/>
      </c>
      <c r="S317" s="109" t="n">
        <v>1512</v>
      </c>
      <c r="T317" s="109" t="n"/>
      <c r="U317" s="109" t="n">
        <v>4.2</v>
      </c>
      <c r="V317" s="109" t="n">
        <v>17432</v>
      </c>
      <c r="W317" s="109" t="n"/>
      <c r="X317" s="109" t="n"/>
      <c r="Y317" s="109" t="n"/>
      <c r="Z317" s="109" t="n"/>
      <c r="AA317" s="109" t="n"/>
      <c r="AB317" s="109" t="n"/>
      <c r="AC317" s="109" t="inlineStr">
        <is>
          <t>CA SSS4</t>
        </is>
      </c>
      <c r="AD317" s="109">
        <f>'CA SSS4'!BC156</f>
        <v/>
      </c>
      <c r="AE317" s="109">
        <f>'CA SSS4'!BF156</f>
        <v/>
      </c>
      <c r="AF317" s="109" t="inlineStr">
        <is>
          <t>Queen</t>
        </is>
      </c>
      <c r="AG317" s="109" t="inlineStr">
        <is>
          <t>01- Black</t>
        </is>
      </c>
    </row>
    <row r="318">
      <c r="A318" s="109">
        <f>AND(OR(Dashboard!$C$4="All",Dashboard!$C$4=D318),OR(Dashboard!$C$5="All",Dashboard!$C$5=E318),OR(Dashboard!$C$6="All",Dashboard!$C$6=G318),OR(Dashboard!$C$7="All",Dashboard!$C$7=H318),OR(Dashboard!$C$8="All",Dashboard!$C$8=F318))</f>
        <v/>
      </c>
      <c r="B318" s="109">
        <f>IF(A318,B317+1,B317)</f>
        <v/>
      </c>
      <c r="C318" s="109" t="n">
        <v>39</v>
      </c>
      <c r="D318" s="109" t="inlineStr">
        <is>
          <t>SSS4</t>
        </is>
      </c>
      <c r="E318" s="109" t="inlineStr">
        <is>
          <t>CA</t>
        </is>
      </c>
      <c r="F318" s="109" t="inlineStr">
        <is>
          <t>Satin</t>
        </is>
      </c>
      <c r="G318" s="109" t="inlineStr">
        <is>
          <t>BEDELITE</t>
        </is>
      </c>
      <c r="H318" s="109" t="inlineStr">
        <is>
          <t>Untiered</t>
        </is>
      </c>
      <c r="I318" s="109" t="inlineStr">
        <is>
          <t>BEDELITE Satin Sheets Queen Size Bed Set, Black, 4 Pieces</t>
        </is>
      </c>
      <c r="J318" s="109" t="inlineStr">
        <is>
          <t>https://m.media-amazon.com/images/I/71zxqUjprTL.jpg</t>
        </is>
      </c>
      <c r="K318" s="109" t="inlineStr">
        <is>
          <t>B0GJC51929</t>
        </is>
      </c>
      <c r="L318" s="109" t="inlineStr">
        <is>
          <t>B0GJCBX6CJ</t>
        </is>
      </c>
      <c r="M318" s="109" t="n">
        <v>16</v>
      </c>
      <c r="N318" s="109" t="n">
        <v>31.99</v>
      </c>
      <c r="O318" s="109" t="n"/>
      <c r="P318" s="109">
        <f>IF(AND(ISNUMBER(O318),ISNUMBER(N318),N(N318)&gt;0),O318/N318-1,"")</f>
        <v/>
      </c>
      <c r="Q318" s="109" t="n">
        <v>46.95</v>
      </c>
      <c r="R318" s="109">
        <f>IF(AND(ISNUMBER(N318),ISNUMBER(Q318),N(Q318)&gt;0),N318/Q318-1,"")</f>
        <v/>
      </c>
      <c r="S318" s="109" t="n">
        <v>8328</v>
      </c>
      <c r="T318" s="109" t="n"/>
      <c r="U318" s="109" t="n">
        <v>4.1</v>
      </c>
      <c r="V318" s="109" t="n">
        <v>346</v>
      </c>
      <c r="W318" s="109" t="n"/>
      <c r="X318" s="109" t="n"/>
      <c r="Y318" s="109" t="n"/>
      <c r="Z318" s="109" t="n"/>
      <c r="AA318" s="109" t="n"/>
      <c r="AB318" s="109" t="n"/>
      <c r="AC318" s="109" t="inlineStr">
        <is>
          <t>CA SSS4</t>
        </is>
      </c>
      <c r="AD318" s="109">
        <f>'CA SSS4'!BC157</f>
        <v/>
      </c>
      <c r="AE318" s="109">
        <f>'CA SSS4'!BF157</f>
        <v/>
      </c>
      <c r="AF318" s="109" t="inlineStr">
        <is>
          <t>Queen</t>
        </is>
      </c>
      <c r="AG318" s="109" t="inlineStr">
        <is>
          <t>Black</t>
        </is>
      </c>
    </row>
    <row r="319">
      <c r="A319" s="109">
        <f>AND(OR(Dashboard!$C$4="All",Dashboard!$C$4=D319),OR(Dashboard!$C$5="All",Dashboard!$C$5=E319),OR(Dashboard!$C$6="All",Dashboard!$C$6=G319),OR(Dashboard!$C$7="All",Dashboard!$C$7=H319),OR(Dashboard!$C$8="All",Dashboard!$C$8=F319))</f>
        <v/>
      </c>
      <c r="B319" s="109">
        <f>IF(A319,B318+1,B318)</f>
        <v/>
      </c>
      <c r="C319" s="109" t="n">
        <v>39</v>
      </c>
      <c r="D319" s="109" t="inlineStr">
        <is>
          <t>SSS4</t>
        </is>
      </c>
      <c r="E319" s="109" t="inlineStr">
        <is>
          <t>CA</t>
        </is>
      </c>
      <c r="F319" s="109" t="inlineStr">
        <is>
          <t>Satin</t>
        </is>
      </c>
      <c r="G319" s="109" t="inlineStr">
        <is>
          <t>HENGWEITEXT</t>
        </is>
      </c>
      <c r="H319" s="109" t="inlineStr">
        <is>
          <t>Untiered</t>
        </is>
      </c>
      <c r="I319" s="109" t="inlineStr">
        <is>
          <t>HENGWEI Satin Sheet Set Queen Size, 4 Pieces Silky Bed Sheets with Deep Pocket, Luxury Soft Bedding Set Breathable and Cooling for Hair and Skin, 1 Flat Sheet, 1 Fitted Sheet, 2 Pillow Case</t>
        </is>
      </c>
      <c r="J319" s="109" t="inlineStr">
        <is>
          <t>https://m.media-amazon.com/images/I/71C0hMb9zSL.jpg</t>
        </is>
      </c>
      <c r="K319" s="109" t="inlineStr">
        <is>
          <t>B0B1DDMNRF</t>
        </is>
      </c>
      <c r="L319" s="109" t="inlineStr">
        <is>
          <t>B0BYC3HK7X</t>
        </is>
      </c>
      <c r="M319" s="109" t="n">
        <v>23</v>
      </c>
      <c r="N319" s="109" t="n">
        <v>31.99</v>
      </c>
      <c r="O319" s="109" t="n"/>
      <c r="P319" s="109">
        <f>IF(AND(ISNUMBER(O319),ISNUMBER(N319),N(N319)&gt;0),O319/N319-1,"")</f>
        <v/>
      </c>
      <c r="Q319" s="109" t="n">
        <v>46.95</v>
      </c>
      <c r="R319" s="109">
        <f>IF(AND(ISNUMBER(N319),ISNUMBER(Q319),N(Q319)&gt;0),N319/Q319-1,"")</f>
        <v/>
      </c>
      <c r="S319" s="109" t="n">
        <v>31358</v>
      </c>
      <c r="T319" s="109" t="n"/>
      <c r="U319" s="109" t="n">
        <v>4.2</v>
      </c>
      <c r="V319" s="109" t="n">
        <v>2515</v>
      </c>
      <c r="W319" s="109" t="n"/>
      <c r="X319" s="109" t="n"/>
      <c r="Y319" s="109" t="n"/>
      <c r="Z319" s="109" t="n"/>
      <c r="AA319" s="109" t="n"/>
      <c r="AB319" s="109" t="n"/>
      <c r="AC319" s="109" t="inlineStr">
        <is>
          <t>CA SSS4</t>
        </is>
      </c>
      <c r="AD319" s="109">
        <f>'CA SSS4'!BC158</f>
        <v/>
      </c>
      <c r="AE319" s="109">
        <f>'CA SSS4'!BF158</f>
        <v/>
      </c>
      <c r="AF319" s="109" t="inlineStr">
        <is>
          <t>Queen</t>
        </is>
      </c>
      <c r="AG319" s="109" t="inlineStr">
        <is>
          <t>Sd-brown</t>
        </is>
      </c>
    </row>
    <row r="320">
      <c r="A320" s="109">
        <f>AND(OR(Dashboard!$C$4="All",Dashboard!$C$4=D320),OR(Dashboard!$C$5="All",Dashboard!$C$5=E320),OR(Dashboard!$C$6="All",Dashboard!$C$6=G320),OR(Dashboard!$C$7="All",Dashboard!$C$7=H320),OR(Dashboard!$C$8="All",Dashboard!$C$8=F320))</f>
        <v/>
      </c>
      <c r="B320" s="109">
        <f>IF(A320,B319+1,B319)</f>
        <v/>
      </c>
      <c r="C320" s="109" t="n">
        <v>39</v>
      </c>
      <c r="D320" s="109" t="inlineStr">
        <is>
          <t>SSS4</t>
        </is>
      </c>
      <c r="E320" s="109" t="inlineStr">
        <is>
          <t>CA</t>
        </is>
      </c>
      <c r="F320" s="109" t="inlineStr">
        <is>
          <t>Satin</t>
        </is>
      </c>
      <c r="G320" s="109" t="inlineStr">
        <is>
          <t>GOLAL</t>
        </is>
      </c>
      <c r="H320" s="109" t="inlineStr">
        <is>
          <t>Untiered</t>
        </is>
      </c>
      <c r="I320" s="109" t="inlineStr">
        <is>
          <t>Black Satin Sheets Queen Size - 4 Pieces Luxury Silky Soft Bed Sheets</t>
        </is>
      </c>
      <c r="J320" s="109" t="inlineStr">
        <is>
          <t>https://m.media-amazon.com/images/I/71r48b+Sh9L.jpg</t>
        </is>
      </c>
      <c r="K320" s="109" t="inlineStr">
        <is>
          <t>B09JB7K1PP</t>
        </is>
      </c>
      <c r="L320" s="109" t="inlineStr">
        <is>
          <t>B09G17XZC5</t>
        </is>
      </c>
      <c r="M320" s="109" t="n">
        <v>91</v>
      </c>
      <c r="N320" s="109" t="n">
        <v>47.99</v>
      </c>
      <c r="O320" s="109" t="n"/>
      <c r="P320" s="109">
        <f>IF(AND(ISNUMBER(O320),ISNUMBER(N320),N(N320)&gt;0),O320/N320-1,"")</f>
        <v/>
      </c>
      <c r="Q320" s="109" t="n">
        <v>46.95</v>
      </c>
      <c r="R320" s="109">
        <f>IF(AND(ISNUMBER(N320),ISNUMBER(Q320),N(Q320)&gt;0),N320/Q320-1,"")</f>
        <v/>
      </c>
      <c r="S320" s="109" t="n">
        <v>18076</v>
      </c>
      <c r="T320" s="109" t="n"/>
      <c r="U320" s="109" t="n">
        <v>4.2</v>
      </c>
      <c r="V320" s="109" t="n">
        <v>1280</v>
      </c>
      <c r="W320" s="109" t="n"/>
      <c r="X320" s="109" t="n"/>
      <c r="Y320" s="109" t="n"/>
      <c r="Z320" s="109" t="n"/>
      <c r="AA320" s="109" t="n"/>
      <c r="AB320" s="109" t="n"/>
      <c r="AC320" s="109" t="inlineStr">
        <is>
          <t>CA SSS4</t>
        </is>
      </c>
      <c r="AD320" s="109">
        <f>'CA SSS4'!BC159</f>
        <v/>
      </c>
      <c r="AE320" s="109">
        <f>'CA SSS4'!BF159</f>
        <v/>
      </c>
      <c r="AF320" s="109" t="inlineStr">
        <is>
          <t>Queen</t>
        </is>
      </c>
      <c r="AG320" s="109" t="inlineStr">
        <is>
          <t>Black</t>
        </is>
      </c>
    </row>
    <row r="321">
      <c r="A321" s="109">
        <f>AND(OR(Dashboard!$C$4="All",Dashboard!$C$4=D321),OR(Dashboard!$C$5="All",Dashboard!$C$5=E321),OR(Dashboard!$C$6="All",Dashboard!$C$6=G321),OR(Dashboard!$C$7="All",Dashboard!$C$7=H321),OR(Dashboard!$C$8="All",Dashboard!$C$8=F321))</f>
        <v/>
      </c>
      <c r="B321" s="109">
        <f>IF(A321,B320+1,B320)</f>
        <v/>
      </c>
      <c r="C321" s="109" t="n">
        <v>39</v>
      </c>
      <c r="D321" s="109" t="inlineStr">
        <is>
          <t>SSS4</t>
        </is>
      </c>
      <c r="E321" s="109" t="inlineStr">
        <is>
          <t>CA</t>
        </is>
      </c>
      <c r="F321" s="109" t="inlineStr">
        <is>
          <t>Satin</t>
        </is>
      </c>
      <c r="G321" s="109" t="inlineStr">
        <is>
          <t>BEDELITE</t>
        </is>
      </c>
      <c r="H321" s="109" t="inlineStr">
        <is>
          <t>Untiered</t>
        </is>
      </c>
      <c r="I321" s="109" t="inlineStr">
        <is>
          <t>BEDELITE Satin Sheets Queen Size Bed Set, Black, 4 Pieces</t>
        </is>
      </c>
      <c r="J321" s="109" t="inlineStr">
        <is>
          <t>https://m.media-amazon.com/images/I/71ujt2CgaQL.jpg</t>
        </is>
      </c>
      <c r="K321" s="109" t="inlineStr">
        <is>
          <t>B0HHQTDM9B</t>
        </is>
      </c>
      <c r="L321" s="109" t="inlineStr">
        <is>
          <t>B0CSFTRP2X</t>
        </is>
      </c>
      <c r="M321" s="109" t="n">
        <v>100</v>
      </c>
      <c r="N321" s="109" t="n">
        <v>44.96</v>
      </c>
      <c r="O321" s="109" t="n"/>
      <c r="P321" s="109">
        <f>IF(AND(ISNUMBER(O321),ISNUMBER(N321),N(N321)&gt;0),O321/N321-1,"")</f>
        <v/>
      </c>
      <c r="Q321" s="109" t="n">
        <v>46.95</v>
      </c>
      <c r="R321" s="109">
        <f>IF(AND(ISNUMBER(N321),ISNUMBER(Q321),N(Q321)&gt;0),N321/Q321-1,"")</f>
        <v/>
      </c>
      <c r="S321" s="109" t="n">
        <v>128960</v>
      </c>
      <c r="T321" s="109" t="n"/>
      <c r="U321" s="109" t="n">
        <v>4.4</v>
      </c>
      <c r="V321" s="109" t="n">
        <v>5584</v>
      </c>
      <c r="W321" s="109" t="n"/>
      <c r="X321" s="109" t="n"/>
      <c r="Y321" s="109" t="n"/>
      <c r="Z321" s="109" t="n"/>
      <c r="AA321" s="109" t="n"/>
      <c r="AB321" s="109" t="n"/>
      <c r="AC321" s="109" t="inlineStr">
        <is>
          <t>CA SSS4</t>
        </is>
      </c>
      <c r="AD321" s="109">
        <f>'CA SSS4'!BC160</f>
        <v/>
      </c>
      <c r="AE321" s="109">
        <f>'CA SSS4'!BF160</f>
        <v/>
      </c>
      <c r="AF321" s="109" t="inlineStr">
        <is>
          <t>Queen</t>
        </is>
      </c>
      <c r="AG321" s="109" t="inlineStr">
        <is>
          <t>Black</t>
        </is>
      </c>
    </row>
    <row r="322">
      <c r="A322" s="109">
        <f>AND(OR(Dashboard!$C$4="All",Dashboard!$C$4=D322),OR(Dashboard!$C$5="All",Dashboard!$C$5=E322),OR(Dashboard!$C$6="All",Dashboard!$C$6=G322),OR(Dashboard!$C$7="All",Dashboard!$C$7=H322),OR(Dashboard!$C$8="All",Dashboard!$C$8=F322))</f>
        <v/>
      </c>
      <c r="B322" s="109">
        <f>IF(A322,B321+1,B321)</f>
        <v/>
      </c>
      <c r="C322" s="109" t="n">
        <v>39</v>
      </c>
      <c r="D322" s="109" t="inlineStr">
        <is>
          <t>SSS4</t>
        </is>
      </c>
      <c r="E322" s="109" t="inlineStr">
        <is>
          <t>CA</t>
        </is>
      </c>
      <c r="F322" s="109" t="inlineStr">
        <is>
          <t>Satin</t>
        </is>
      </c>
      <c r="G322" s="109" t="inlineStr">
        <is>
          <t>Pure Bedding</t>
        </is>
      </c>
      <c r="H322" s="109" t="inlineStr">
        <is>
          <t>Untiered</t>
        </is>
      </c>
      <c r="I322" s="109" t="inlineStr">
        <is>
          <t>Pure Bedding Satin Sheets Queen [4-Piece, Black] Hotel Luxury Silky Bed Sheets - Extra Soft 1800 Microfiber Sheet Set, Wrinkle, Fade, Deep Pocket Fitted Sheet, Flat Sheet, Pillow Cases</t>
        </is>
      </c>
      <c r="J322" s="109" t="inlineStr">
        <is>
          <t>https://m.media-amazon.com/images/I/81zLU1W0e8L.jpg</t>
        </is>
      </c>
      <c r="K322" s="109" t="inlineStr">
        <is>
          <t>B07N6326HL</t>
        </is>
      </c>
      <c r="L322" s="109" t="inlineStr">
        <is>
          <t>B083G81VSH</t>
        </is>
      </c>
      <c r="M322" s="109" t="n">
        <v>83</v>
      </c>
      <c r="N322" s="109" t="n">
        <v>49.91</v>
      </c>
      <c r="O322" s="109" t="n"/>
      <c r="P322" s="109">
        <f>IF(AND(ISNUMBER(O322),ISNUMBER(N322),N(N322)&gt;0),O322/N322-1,"")</f>
        <v/>
      </c>
      <c r="Q322" s="109" t="n">
        <v>46.95</v>
      </c>
      <c r="R322" s="109">
        <f>IF(AND(ISNUMBER(N322),ISNUMBER(Q322),N(Q322)&gt;0),N322/Q322-1,"")</f>
        <v/>
      </c>
      <c r="S322" s="109" t="n">
        <v>188067</v>
      </c>
      <c r="T322" s="109" t="n"/>
      <c r="U322" s="109" t="n">
        <v>4.2</v>
      </c>
      <c r="V322" s="109" t="n">
        <v>12410</v>
      </c>
      <c r="W322" s="109" t="n"/>
      <c r="X322" s="109" t="n"/>
      <c r="Y322" s="109" t="n"/>
      <c r="Z322" s="109" t="n"/>
      <c r="AA322" s="109" t="n"/>
      <c r="AB322" s="109" t="n"/>
      <c r="AC322" s="109" t="inlineStr">
        <is>
          <t>CA SSS4</t>
        </is>
      </c>
      <c r="AD322" s="109">
        <f>'CA SSS4'!BC161</f>
        <v/>
      </c>
      <c r="AE322" s="109">
        <f>'CA SSS4'!BF161</f>
        <v/>
      </c>
      <c r="AF322" s="109" t="inlineStr">
        <is>
          <t>Queen</t>
        </is>
      </c>
      <c r="AG322" s="109" t="inlineStr">
        <is>
          <t>Black</t>
        </is>
      </c>
    </row>
    <row r="323">
      <c r="A323" s="109">
        <f>AND(OR(Dashboard!$C$4="All",Dashboard!$C$4=D323),OR(Dashboard!$C$5="All",Dashboard!$C$5=E323),OR(Dashboard!$C$6="All",Dashboard!$C$6=G323),OR(Dashboard!$C$7="All",Dashboard!$C$7=H323),OR(Dashboard!$C$8="All",Dashboard!$C$8=F323))</f>
        <v/>
      </c>
      <c r="B323" s="109">
        <f>IF(A323,B322+1,B322)</f>
        <v/>
      </c>
      <c r="C323" s="109" t="n">
        <v>39</v>
      </c>
      <c r="D323" s="109" t="inlineStr">
        <is>
          <t>SSS4</t>
        </is>
      </c>
      <c r="E323" s="109" t="inlineStr">
        <is>
          <t>CA</t>
        </is>
      </c>
      <c r="F323" s="109" t="inlineStr">
        <is>
          <t>Satin</t>
        </is>
      </c>
      <c r="G323" s="109" t="inlineStr">
        <is>
          <t>LIFCOM</t>
        </is>
      </c>
      <c r="H323" s="109" t="inlineStr">
        <is>
          <t>Untiered</t>
        </is>
      </c>
      <c r="I323" s="109" t="inlineStr">
        <is>
          <t>Satin Sheets Queen Size Bed Set,Similar to Silk Sheets,4Pcs Luxury Satin Sheet Set with 15 Inches Deep Pocket (Queen, Dark Grey)</t>
        </is>
      </c>
      <c r="J323" s="109" t="inlineStr">
        <is>
          <t>https://m.media-amazon.com/images/I/71tkklWokTL.jpg</t>
        </is>
      </c>
      <c r="K323" s="109" t="inlineStr">
        <is>
          <t>B0DJXBHN44</t>
        </is>
      </c>
      <c r="L323" s="109" t="inlineStr">
        <is>
          <t>B0DCC37WB3</t>
        </is>
      </c>
      <c r="M323" s="109" t="n">
        <v>70</v>
      </c>
      <c r="N323" s="109" t="n">
        <v>42.74</v>
      </c>
      <c r="O323" s="109" t="n"/>
      <c r="P323" s="109">
        <f>IF(AND(ISNUMBER(O323),ISNUMBER(N323),N(N323)&gt;0),O323/N323-1,"")</f>
        <v/>
      </c>
      <c r="Q323" s="109" t="n">
        <v>46.95</v>
      </c>
      <c r="R323" s="109">
        <f>IF(AND(ISNUMBER(N323),ISNUMBER(Q323),N(Q323)&gt;0),N323/Q323-1,"")</f>
        <v/>
      </c>
      <c r="S323" s="109" t="n">
        <v>72861</v>
      </c>
      <c r="T323" s="109" t="n"/>
      <c r="U323" s="109" t="n">
        <v>4.3</v>
      </c>
      <c r="V323" s="109" t="n">
        <v>351</v>
      </c>
      <c r="W323" s="109" t="n"/>
      <c r="X323" s="109" t="n"/>
      <c r="Y323" s="109" t="n"/>
      <c r="Z323" s="109" t="n"/>
      <c r="AA323" s="109" t="n"/>
      <c r="AB323" s="109" t="n"/>
      <c r="AC323" s="109" t="inlineStr">
        <is>
          <t>CA SSS4</t>
        </is>
      </c>
      <c r="AD323" s="109">
        <f>'CA SSS4'!BC162</f>
        <v/>
      </c>
      <c r="AE323" s="109">
        <f>'CA SSS4'!BF162</f>
        <v/>
      </c>
      <c r="AF323" s="109" t="inlineStr">
        <is>
          <t>Queen</t>
        </is>
      </c>
      <c r="AG323" s="109" t="inlineStr">
        <is>
          <t>Dark Grey</t>
        </is>
      </c>
    </row>
    <row r="324">
      <c r="A324" s="109">
        <f>AND(OR(Dashboard!$C$4="All",Dashboard!$C$4=D324),OR(Dashboard!$C$5="All",Dashboard!$C$5=E324),OR(Dashboard!$C$6="All",Dashboard!$C$6=G324),OR(Dashboard!$C$7="All",Dashboard!$C$7=H324),OR(Dashboard!$C$8="All",Dashboard!$C$8=F324))</f>
        <v/>
      </c>
      <c r="B324" s="109">
        <f>IF(A324,B323+1,B323)</f>
        <v/>
      </c>
      <c r="C324" s="109" t="n">
        <v>39</v>
      </c>
      <c r="D324" s="109" t="inlineStr">
        <is>
          <t>SSS4</t>
        </is>
      </c>
      <c r="E324" s="109" t="inlineStr">
        <is>
          <t>CA</t>
        </is>
      </c>
      <c r="F324" s="109" t="inlineStr">
        <is>
          <t>Satin</t>
        </is>
      </c>
      <c r="G324" s="109" t="inlineStr">
        <is>
          <t>Laura Ashley</t>
        </is>
      </c>
      <c r="H324" s="109" t="inlineStr">
        <is>
          <t>Untiered</t>
        </is>
      </c>
      <c r="I324" s="109" t="inlineStr">
        <is>
          <t>Laura Ashley - Queen Sheet Set, 100% Soft &amp; Silky Smooth Satin Bed Sheets, Deep Pockets, Bedding with Matching Fitted Sheet &amp; Pillowcases (Bliss Pink)</t>
        </is>
      </c>
      <c r="J324" s="109" t="inlineStr">
        <is>
          <t>https://m.media-amazon.com/images/I/51r1auLPSDL.jpg</t>
        </is>
      </c>
      <c r="K324" s="109" t="inlineStr">
        <is>
          <t>B0G3QQZTY9</t>
        </is>
      </c>
      <c r="L324" s="109" t="inlineStr">
        <is>
          <t>B0G3C5G8FR</t>
        </is>
      </c>
      <c r="M324" s="109" t="n">
        <v>8</v>
      </c>
      <c r="N324" s="109" t="n">
        <v>48.67</v>
      </c>
      <c r="O324" s="109" t="n"/>
      <c r="P324" s="109">
        <f>IF(AND(ISNUMBER(O324),ISNUMBER(N324),N(N324)&gt;0),O324/N324-1,"")</f>
        <v/>
      </c>
      <c r="Q324" s="109" t="n">
        <v>46.95</v>
      </c>
      <c r="R324" s="109">
        <f>IF(AND(ISNUMBER(N324),ISNUMBER(Q324),N(Q324)&gt;0),N324/Q324-1,"")</f>
        <v/>
      </c>
      <c r="S324" s="109" t="n">
        <v>329859</v>
      </c>
      <c r="T324" s="109" t="n"/>
      <c r="U324" s="109" t="n">
        <v>4.3</v>
      </c>
      <c r="V324" s="109" t="n">
        <v>13</v>
      </c>
      <c r="W324" s="109" t="n"/>
      <c r="X324" s="109" t="n"/>
      <c r="Y324" s="109" t="n"/>
      <c r="Z324" s="109" t="n"/>
      <c r="AA324" s="109" t="n"/>
      <c r="AB324" s="109" t="n"/>
      <c r="AC324" s="109" t="inlineStr">
        <is>
          <t>CA SSS4</t>
        </is>
      </c>
      <c r="AD324" s="109">
        <f>'CA SSS4'!BC163</f>
        <v/>
      </c>
      <c r="AE324" s="109">
        <f>'CA SSS4'!BF163</f>
        <v/>
      </c>
      <c r="AF324" s="109" t="inlineStr">
        <is>
          <t>Queen</t>
        </is>
      </c>
      <c r="AG324" s="109" t="inlineStr">
        <is>
          <t>Bliss Pink</t>
        </is>
      </c>
    </row>
    <row r="325">
      <c r="A325" s="109">
        <f>AND(OR(Dashboard!$C$4="All",Dashboard!$C$4=D325),OR(Dashboard!$C$5="All",Dashboard!$C$5=E325),OR(Dashboard!$C$6="All",Dashboard!$C$6=G325),OR(Dashboard!$C$7="All",Dashboard!$C$7=H325),OR(Dashboard!$C$8="All",Dashboard!$C$8=F325))</f>
        <v/>
      </c>
      <c r="B325" s="109">
        <f>IF(A325,B324+1,B324)</f>
        <v/>
      </c>
      <c r="C325" s="109" t="n">
        <v>39</v>
      </c>
      <c r="D325" s="109" t="inlineStr">
        <is>
          <t>SSS4</t>
        </is>
      </c>
      <c r="E325" s="109" t="inlineStr">
        <is>
          <t>CA</t>
        </is>
      </c>
      <c r="F325" s="109" t="inlineStr">
        <is>
          <t>Satin</t>
        </is>
      </c>
      <c r="G325" s="109" t="inlineStr">
        <is>
          <t>Lanest Housing</t>
        </is>
      </c>
      <c r="H325" s="109" t="inlineStr">
        <is>
          <t>Untiered</t>
        </is>
      </c>
      <c r="I325" s="109" t="inlineStr">
        <is>
          <t>Lanest Housing Silk Satin Sheets, 4-Piece Queen Size Satin Bed Sheet Set with Deep Pockets, Cooling Soft and Hypoallergenic Satin Sheets Queen - Black</t>
        </is>
      </c>
      <c r="J325" s="109" t="inlineStr">
        <is>
          <t>https://m.media-amazon.com/images/I/71Ilt8ijNsL.jpg</t>
        </is>
      </c>
      <c r="K325" s="109" t="inlineStr">
        <is>
          <t>B07WD4MJHW</t>
        </is>
      </c>
      <c r="L325" s="109" t="inlineStr">
        <is>
          <t>B07VWFV7MB</t>
        </is>
      </c>
      <c r="M325" s="109" t="n">
        <v>146</v>
      </c>
      <c r="N325" s="109" t="n">
        <v>43.77</v>
      </c>
      <c r="O325" s="109" t="n"/>
      <c r="P325" s="109">
        <f>IF(AND(ISNUMBER(O325),ISNUMBER(N325),N(N325)&gt;0),O325/N325-1,"")</f>
        <v/>
      </c>
      <c r="Q325" s="109" t="n">
        <v>46.95</v>
      </c>
      <c r="R325" s="109">
        <f>IF(AND(ISNUMBER(N325),ISNUMBER(Q325),N(Q325)&gt;0),N325/Q325-1,"")</f>
        <v/>
      </c>
      <c r="S325" s="109" t="n">
        <v>153252</v>
      </c>
      <c r="T325" s="109" t="n"/>
      <c r="U325" s="109" t="n">
        <v>4.2</v>
      </c>
      <c r="V325" s="109" t="n">
        <v>5574</v>
      </c>
      <c r="W325" s="109" t="n"/>
      <c r="X325" s="109" t="n"/>
      <c r="Y325" s="109" t="n"/>
      <c r="Z325" s="109" t="n"/>
      <c r="AA325" s="109" t="n"/>
      <c r="AB325" s="109" t="n"/>
      <c r="AC325" s="109" t="inlineStr">
        <is>
          <t>CA SSS4</t>
        </is>
      </c>
      <c r="AD325" s="109">
        <f>'CA SSS4'!BC164</f>
        <v/>
      </c>
      <c r="AE325" s="109">
        <f>'CA SSS4'!BF164</f>
        <v/>
      </c>
      <c r="AF325" s="109" t="inlineStr">
        <is>
          <t>Queen</t>
        </is>
      </c>
      <c r="AG325" s="109" t="inlineStr">
        <is>
          <t>Black</t>
        </is>
      </c>
    </row>
    <row r="326">
      <c r="A326" s="109">
        <f>AND(OR(Dashboard!$C$4="All",Dashboard!$C$4=D326),OR(Dashboard!$C$5="All",Dashboard!$C$5=E326),OR(Dashboard!$C$6="All",Dashboard!$C$6=G326),OR(Dashboard!$C$7="All",Dashboard!$C$7=H326),OR(Dashboard!$C$8="All",Dashboard!$C$8=F326))</f>
        <v/>
      </c>
      <c r="B326" s="109">
        <f>IF(A326,B325+1,B325)</f>
        <v/>
      </c>
      <c r="C326" s="109" t="n">
        <v>39</v>
      </c>
      <c r="D326" s="109" t="inlineStr">
        <is>
          <t>SSS4</t>
        </is>
      </c>
      <c r="E326" s="109" t="inlineStr">
        <is>
          <t>CA</t>
        </is>
      </c>
      <c r="F326" s="109" t="inlineStr">
        <is>
          <t>Satin</t>
        </is>
      </c>
      <c r="G326" s="109" t="inlineStr">
        <is>
          <t>Pure Bedding</t>
        </is>
      </c>
      <c r="H326" s="109" t="inlineStr">
        <is>
          <t>Untiered</t>
        </is>
      </c>
      <c r="I326" s="109" t="inlineStr">
        <is>
          <t>Satin Sheets Queen [4-Piece, Black] Hotel Luxury Silky Bed Sheets - Extra Soft 1800 Microfiber Sheet Set, Wrinkle, Fade, Stain Resistant - Deep Pocket Fitted Sheet, Flat Sheet, Pillow Cases</t>
        </is>
      </c>
      <c r="J326" s="109" t="inlineStr">
        <is>
          <t>https://m.media-amazon.com/images/I/81zLU1W0e8L.jpg</t>
        </is>
      </c>
      <c r="K326" s="109" t="inlineStr">
        <is>
          <t>B0FMPR6QQ3</t>
        </is>
      </c>
      <c r="L326" s="109" t="inlineStr">
        <is>
          <t>B0FVJG1KD3</t>
        </is>
      </c>
      <c r="M326" s="109" t="n">
        <v>1</v>
      </c>
      <c r="N326" s="109" t="n">
        <v>32.4</v>
      </c>
      <c r="O326" s="109" t="n"/>
      <c r="P326" s="109">
        <f>IF(AND(ISNUMBER(O326),ISNUMBER(N326),N(N326)&gt;0),O326/N326-1,"")</f>
        <v/>
      </c>
      <c r="Q326" s="109" t="n">
        <v>46.95</v>
      </c>
      <c r="R326" s="109">
        <f>IF(AND(ISNUMBER(N326),ISNUMBER(Q326),N(Q326)&gt;0),N326/Q326-1,"")</f>
        <v/>
      </c>
      <c r="S326" s="109" t="n">
        <v>887952</v>
      </c>
      <c r="T326" s="109" t="n"/>
      <c r="U326" s="109" t="n">
        <v>4.2</v>
      </c>
      <c r="V326" s="109" t="n">
        <v>41</v>
      </c>
      <c r="W326" s="109" t="n"/>
      <c r="X326" s="109" t="n"/>
      <c r="Y326" s="109" t="n"/>
      <c r="Z326" s="109" t="n"/>
      <c r="AA326" s="109" t="n"/>
      <c r="AB326" s="109" t="n"/>
      <c r="AC326" s="109" t="inlineStr">
        <is>
          <t>CA SSS4</t>
        </is>
      </c>
      <c r="AD326" s="109">
        <f>'CA SSS4'!BC165</f>
        <v/>
      </c>
      <c r="AE326" s="109">
        <f>'CA SSS4'!BF165</f>
        <v/>
      </c>
      <c r="AF326" s="109" t="inlineStr">
        <is>
          <t>Queen</t>
        </is>
      </c>
      <c r="AG326" s="109" t="inlineStr">
        <is>
          <t>Black-01</t>
        </is>
      </c>
    </row>
    <row r="327">
      <c r="A327" s="109">
        <f>AND(OR(Dashboard!$C$4="All",Dashboard!$C$4=D327),OR(Dashboard!$C$5="All",Dashboard!$C$5=E327),OR(Dashboard!$C$6="All",Dashboard!$C$6=G327),OR(Dashboard!$C$7="All",Dashboard!$C$7=H327),OR(Dashboard!$C$8="All",Dashboard!$C$8=F327))</f>
        <v/>
      </c>
      <c r="B327" s="109">
        <f>IF(A327,B326+1,B326)</f>
        <v/>
      </c>
      <c r="C327" s="109" t="n">
        <v>39</v>
      </c>
      <c r="D327" s="109" t="inlineStr">
        <is>
          <t>SSS4</t>
        </is>
      </c>
      <c r="E327" s="109" t="inlineStr">
        <is>
          <t>CA</t>
        </is>
      </c>
      <c r="F327" s="109" t="inlineStr">
        <is>
          <t>Satin</t>
        </is>
      </c>
      <c r="G327" s="109" t="inlineStr">
        <is>
          <t>Lirex</t>
        </is>
      </c>
      <c r="H327" s="109" t="inlineStr">
        <is>
          <t>Untiered</t>
        </is>
      </c>
      <c r="I327" s="109" t="inlineStr">
        <is>
          <t>Lirex Satin Sheets Queen Size Bed Set, 4 Piece Sheet Set with 14" Deep Pocket, Luxury Smooth &amp; Soft Microfiber, Includes 1 Fitted Sheet, 1 Flat Sheet and 2 Pillowcases, Blue Daisy</t>
        </is>
      </c>
      <c r="J327" s="109" t="inlineStr">
        <is>
          <t>https://m.media-amazon.com/images/I/81ogMf3izDL.jpg</t>
        </is>
      </c>
      <c r="K327" s="109" t="inlineStr">
        <is>
          <t>B0GWPG1CXG</t>
        </is>
      </c>
      <c r="L327" s="109" t="inlineStr">
        <is>
          <t>B0GWPMHSL9</t>
        </is>
      </c>
      <c r="M327" s="109" t="n">
        <v>14</v>
      </c>
      <c r="N327" s="109" t="n">
        <v>49.99</v>
      </c>
      <c r="O327" s="109" t="n"/>
      <c r="P327" s="109">
        <f>IF(AND(ISNUMBER(O327),ISNUMBER(N327),N(N327)&gt;0),O327/N327-1,"")</f>
        <v/>
      </c>
      <c r="Q327" s="109" t="n">
        <v>46.95</v>
      </c>
      <c r="R327" s="109">
        <f>IF(AND(ISNUMBER(N327),ISNUMBER(Q327),N(Q327)&gt;0),N327/Q327-1,"")</f>
        <v/>
      </c>
      <c r="S327" s="109" t="n">
        <v>96864</v>
      </c>
      <c r="T327" s="109" t="n"/>
      <c r="U327" s="109" t="n">
        <v>4.6</v>
      </c>
      <c r="V327" s="109" t="n">
        <v>4</v>
      </c>
      <c r="W327" s="109" t="n"/>
      <c r="X327" s="109" t="n"/>
      <c r="Y327" s="109" t="n"/>
      <c r="Z327" s="109" t="n"/>
      <c r="AA327" s="109" t="n"/>
      <c r="AB327" s="109" t="n"/>
      <c r="AC327" s="109" t="inlineStr">
        <is>
          <t>CA SSS4</t>
        </is>
      </c>
      <c r="AD327" s="109">
        <f>'CA SSS4'!BC166</f>
        <v/>
      </c>
      <c r="AE327" s="109">
        <f>'CA SSS4'!BF166</f>
        <v/>
      </c>
      <c r="AF327" s="109" t="inlineStr">
        <is>
          <t>Queen</t>
        </is>
      </c>
      <c r="AG327" s="109" t="inlineStr">
        <is>
          <t>Blue Daisy</t>
        </is>
      </c>
    </row>
    <row r="328">
      <c r="A328" s="109">
        <f>AND(OR(Dashboard!$C$4="All",Dashboard!$C$4=D328),OR(Dashboard!$C$5="All",Dashboard!$C$5=E328),OR(Dashboard!$C$6="All",Dashboard!$C$6=G328),OR(Dashboard!$C$7="All",Dashboard!$C$7=H328),OR(Dashboard!$C$8="All",Dashboard!$C$8=F328))</f>
        <v/>
      </c>
      <c r="B328" s="109">
        <f>IF(A328,B327+1,B327)</f>
        <v/>
      </c>
      <c r="C328" s="109" t="n">
        <v>39</v>
      </c>
      <c r="D328" s="109" t="inlineStr">
        <is>
          <t>SSS4</t>
        </is>
      </c>
      <c r="E328" s="109" t="inlineStr">
        <is>
          <t>CA</t>
        </is>
      </c>
      <c r="F328" s="109" t="inlineStr">
        <is>
          <t>Satin</t>
        </is>
      </c>
      <c r="G328" s="109" t="inlineStr">
        <is>
          <t>Bare Home</t>
        </is>
      </c>
      <c r="H328" s="109" t="inlineStr">
        <is>
          <t>Untiered</t>
        </is>
      </c>
      <c r="I328" s="109" t="inlineStr">
        <is>
          <t>Bare Home Poly Satin Sheet Set Similar to Silk (Queen, Blush)</t>
        </is>
      </c>
      <c r="J328" s="109" t="inlineStr">
        <is>
          <t>https://m.media-amazon.com/images/I/61WvjxRfgdL.jpg</t>
        </is>
      </c>
      <c r="K328" s="109" t="inlineStr">
        <is>
          <t>B0DJHFP2WL</t>
        </is>
      </c>
      <c r="L328" s="109" t="inlineStr">
        <is>
          <t>B0DJDXH65M</t>
        </is>
      </c>
      <c r="M328" s="109" t="n">
        <v>37</v>
      </c>
      <c r="N328" s="109" t="n">
        <v>63.99</v>
      </c>
      <c r="O328" s="109" t="n"/>
      <c r="P328" s="109">
        <f>IF(AND(ISNUMBER(O328),ISNUMBER(N328),N(N328)&gt;0),O328/N328-1,"")</f>
        <v/>
      </c>
      <c r="Q328" s="109" t="n">
        <v>46.95</v>
      </c>
      <c r="R328" s="109">
        <f>IF(AND(ISNUMBER(N328),ISNUMBER(Q328),N(Q328)&gt;0),N328/Q328-1,"")</f>
        <v/>
      </c>
      <c r="S328" s="109" t="n">
        <v>55879</v>
      </c>
      <c r="T328" s="109" t="n"/>
      <c r="U328" s="109" t="n">
        <v>3.6</v>
      </c>
      <c r="V328" s="109" t="n">
        <v>114</v>
      </c>
      <c r="W328" s="109" t="n"/>
      <c r="X328" s="109" t="n"/>
      <c r="Y328" s="109" t="n"/>
      <c r="Z328" s="109" t="n"/>
      <c r="AA328" s="109" t="n"/>
      <c r="AB328" s="109" t="n"/>
      <c r="AC328" s="109" t="inlineStr">
        <is>
          <t>CA SSS4</t>
        </is>
      </c>
      <c r="AD328" s="109">
        <f>'CA SSS4'!BC167</f>
        <v/>
      </c>
      <c r="AE328" s="109">
        <f>'CA SSS4'!BF167</f>
        <v/>
      </c>
      <c r="AF328" s="109" t="inlineStr">
        <is>
          <t>Queen</t>
        </is>
      </c>
      <c r="AG328" s="109" t="inlineStr">
        <is>
          <t>05 - Blush</t>
        </is>
      </c>
    </row>
    <row r="329">
      <c r="A329" s="109">
        <f>AND(OR(Dashboard!$C$4="All",Dashboard!$C$4=D329),OR(Dashboard!$C$5="All",Dashboard!$C$5=E329),OR(Dashboard!$C$6="All",Dashboard!$C$6=G329),OR(Dashboard!$C$7="All",Dashboard!$C$7=H329),OR(Dashboard!$C$8="All",Dashboard!$C$8=F329))</f>
        <v/>
      </c>
      <c r="B329" s="109">
        <f>IF(A329,B328+1,B328)</f>
        <v/>
      </c>
      <c r="C329" s="109" t="n">
        <v>39</v>
      </c>
      <c r="D329" s="109" t="inlineStr">
        <is>
          <t>SSS4</t>
        </is>
      </c>
      <c r="E329" s="109" t="inlineStr">
        <is>
          <t>CA</t>
        </is>
      </c>
      <c r="F329" s="109" t="inlineStr">
        <is>
          <t>Satin</t>
        </is>
      </c>
      <c r="G329" s="109" t="inlineStr">
        <is>
          <t>Martex</t>
        </is>
      </c>
      <c r="H329" s="109" t="inlineStr">
        <is>
          <t>Untiered</t>
        </is>
      </c>
      <c r="I329" s="109" t="inlineStr">
        <is>
          <t>4-Piece Martex Elegance Satin Sheets | Queen Size Bed Sheets | Luxury Hotel Quality Bed Sheets Set | Satin Sheets | Silky Soft &amp; Smooth | Great for Hair &amp; Skin | Leopard Print Sheets | Leopard</t>
        </is>
      </c>
      <c r="J329" s="109" t="inlineStr">
        <is>
          <t>https://m.media-amazon.com/images/I/8192od9R6kL.jpg</t>
        </is>
      </c>
      <c r="K329" s="109" t="inlineStr">
        <is>
          <t>B07XTX3G7J</t>
        </is>
      </c>
      <c r="L329" s="109" t="inlineStr">
        <is>
          <t>B07X5DPMJ9</t>
        </is>
      </c>
      <c r="M329" s="109" t="n">
        <v>28</v>
      </c>
      <c r="N329" s="109" t="n">
        <v>46.45</v>
      </c>
      <c r="O329" s="109" t="n"/>
      <c r="P329" s="109">
        <f>IF(AND(ISNUMBER(O329),ISNUMBER(N329),N(N329)&gt;0),O329/N329-1,"")</f>
        <v/>
      </c>
      <c r="Q329" s="109" t="n">
        <v>46.95</v>
      </c>
      <c r="R329" s="109">
        <f>IF(AND(ISNUMBER(N329),ISNUMBER(Q329),N(Q329)&gt;0),N329/Q329-1,"")</f>
        <v/>
      </c>
      <c r="S329" s="109" t="n">
        <v>56349</v>
      </c>
      <c r="T329" s="109" t="n"/>
      <c r="U329" s="109" t="n">
        <v>4.2</v>
      </c>
      <c r="V329" s="109" t="n">
        <v>1078</v>
      </c>
      <c r="W329" s="109" t="n"/>
      <c r="X329" s="109" t="n"/>
      <c r="Y329" s="109" t="n"/>
      <c r="Z329" s="109" t="n"/>
      <c r="AA329" s="109" t="n"/>
      <c r="AB329" s="109" t="n"/>
      <c r="AC329" s="109" t="inlineStr">
        <is>
          <t>CA SSS4</t>
        </is>
      </c>
      <c r="AD329" s="109">
        <f>'CA SSS4'!BC168</f>
        <v/>
      </c>
      <c r="AE329" s="109">
        <f>'CA SSS4'!BF168</f>
        <v/>
      </c>
      <c r="AF329" s="109" t="inlineStr">
        <is>
          <t>Queen</t>
        </is>
      </c>
      <c r="AG329" s="109" t="inlineStr">
        <is>
          <t>Brown</t>
        </is>
      </c>
    </row>
    <row r="330">
      <c r="A330" s="109">
        <f>AND(OR(Dashboard!$C$4="All",Dashboard!$C$4=D330),OR(Dashboard!$C$5="All",Dashboard!$C$5=E330),OR(Dashboard!$C$6="All",Dashboard!$C$6=G330),OR(Dashboard!$C$7="All",Dashboard!$C$7=H330),OR(Dashboard!$C$8="All",Dashboard!$C$8=F330))</f>
        <v/>
      </c>
      <c r="B330" s="109">
        <f>IF(A330,B329+1,B329)</f>
        <v/>
      </c>
      <c r="C330" s="109" t="n">
        <v>39</v>
      </c>
      <c r="D330" s="109" t="inlineStr">
        <is>
          <t>SSS4</t>
        </is>
      </c>
      <c r="E330" s="109" t="inlineStr">
        <is>
          <t>CA</t>
        </is>
      </c>
      <c r="F330" s="109" t="inlineStr">
        <is>
          <t>Satin</t>
        </is>
      </c>
      <c r="G330" s="109" t="inlineStr">
        <is>
          <t>Beatrice Home Fashions</t>
        </is>
      </c>
      <c r="H330" s="109" t="inlineStr">
        <is>
          <t>Untiered</t>
        </is>
      </c>
      <c r="I330" s="109" t="inlineStr">
        <is>
          <t>Elite Home Products 100% Luxury Satin Polyester Solid Sheet Set, Queen, Leopard</t>
        </is>
      </c>
      <c r="J330" s="109" t="inlineStr">
        <is>
          <t>https://m.media-amazon.com/images/I/71jFV5g+prL.jpg</t>
        </is>
      </c>
      <c r="K330" s="109" t="inlineStr">
        <is>
          <t>B077NL4NZK</t>
        </is>
      </c>
      <c r="L330" s="109" t="inlineStr">
        <is>
          <t>B0721C4SD3</t>
        </is>
      </c>
      <c r="M330" s="109" t="n">
        <v>9</v>
      </c>
      <c r="N330" s="109" t="n">
        <v>42.49</v>
      </c>
      <c r="O330" s="109" t="n"/>
      <c r="P330" s="109">
        <f>IF(AND(ISNUMBER(O330),ISNUMBER(N330),N(N330)&gt;0),O330/N330-1,"")</f>
        <v/>
      </c>
      <c r="Q330" s="109" t="n">
        <v>46.95</v>
      </c>
      <c r="R330" s="109">
        <f>IF(AND(ISNUMBER(N330),ISNUMBER(Q330),N(Q330)&gt;0),N330/Q330-1,"")</f>
        <v/>
      </c>
      <c r="S330" s="109" t="n">
        <v>387847</v>
      </c>
      <c r="T330" s="109" t="n"/>
      <c r="U330" s="109" t="n">
        <v>4</v>
      </c>
      <c r="V330" s="109" t="n">
        <v>996</v>
      </c>
      <c r="W330" s="109" t="n"/>
      <c r="X330" s="109" t="n"/>
      <c r="Y330" s="109" t="n"/>
      <c r="Z330" s="109" t="n"/>
      <c r="AA330" s="109" t="n"/>
      <c r="AB330" s="109" t="n"/>
      <c r="AC330" s="109" t="inlineStr">
        <is>
          <t>CA SSS4</t>
        </is>
      </c>
      <c r="AD330" s="109">
        <f>'CA SSS4'!BC169</f>
        <v/>
      </c>
      <c r="AE330" s="109">
        <f>'CA SSS4'!BF169</f>
        <v/>
      </c>
      <c r="AF330" s="109" t="inlineStr">
        <is>
          <t>Queen</t>
        </is>
      </c>
      <c r="AG330" s="109" t="inlineStr">
        <is>
          <t>Leopard</t>
        </is>
      </c>
    </row>
    <row r="331">
      <c r="A331" s="109">
        <f>AND(OR(Dashboard!$C$4="All",Dashboard!$C$4=D331),OR(Dashboard!$C$5="All",Dashboard!$C$5=E331),OR(Dashboard!$C$6="All",Dashboard!$C$6=G331),OR(Dashboard!$C$7="All",Dashboard!$C$7=H331),OR(Dashboard!$C$8="All",Dashboard!$C$8=F331))</f>
        <v/>
      </c>
      <c r="B331" s="109">
        <f>IF(A331,B330+1,B330)</f>
        <v/>
      </c>
      <c r="C331" s="109" t="n">
        <v>74</v>
      </c>
      <c r="D331" s="109" t="inlineStr">
        <is>
          <t>SL Satin 6pc</t>
        </is>
      </c>
      <c r="E331" s="109" t="inlineStr">
        <is>
          <t>US</t>
        </is>
      </c>
      <c r="F331" s="109" t="inlineStr">
        <is>
          <t>Satin</t>
        </is>
      </c>
      <c r="G331" s="109" t="inlineStr">
        <is>
          <t>BEDELITE</t>
        </is>
      </c>
      <c r="H331" s="109" t="inlineStr">
        <is>
          <t>Untiered</t>
        </is>
      </c>
      <c r="I331" s="109" t="inlineStr">
        <is>
          <t>BEDELITE Satin Sheets Queen Size Bed Set, Black, 4 Pieces</t>
        </is>
      </c>
      <c r="J331" s="109" t="inlineStr">
        <is>
          <t>https://images-na.ssl-images-amazon.com/images/I/71ujt2CgaQL.jpg</t>
        </is>
      </c>
      <c r="K331" s="109" t="inlineStr">
        <is>
          <t>B0FNMNMZ9T</t>
        </is>
      </c>
      <c r="L331" s="109" t="inlineStr">
        <is>
          <t>B0CSFTRP2X</t>
        </is>
      </c>
      <c r="M331" s="109" t="n">
        <v>141</v>
      </c>
      <c r="N331" s="109" t="n">
        <v>17.99</v>
      </c>
      <c r="O331" s="109" t="n"/>
      <c r="P331" s="109">
        <f>IF(AND(ISNUMBER(O331),ISNUMBER(N331),N(N331)&gt;0),O331/N331-1,"")</f>
        <v/>
      </c>
      <c r="Q331" s="109" t="n"/>
      <c r="R331" s="109">
        <f>IF(AND(ISNUMBER(N331),ISNUMBER(Q331),N(Q331)&gt;0),N331/Q331-1,"")</f>
        <v/>
      </c>
      <c r="S331" s="109" t="n">
        <v>497</v>
      </c>
      <c r="T331" s="109" t="n">
        <v>1963</v>
      </c>
      <c r="U331" s="109" t="n">
        <v>4.3</v>
      </c>
      <c r="V331" s="109" t="n">
        <v>6297</v>
      </c>
      <c r="W331" s="109" t="n">
        <v>997443</v>
      </c>
      <c r="X331" s="109" t="n">
        <v>0.8161266415223724</v>
      </c>
      <c r="Y331" s="109" t="n"/>
      <c r="Z331" s="109" t="n"/>
      <c r="AA331" s="109" t="n"/>
      <c r="AB331" s="109" t="n">
        <v>1.114785561378903</v>
      </c>
      <c r="AC331" s="109" t="inlineStr">
        <is>
          <t>US SL Satin 6pc</t>
        </is>
      </c>
      <c r="AD331" s="109">
        <f>'US SL Satin 6pc'!BC147</f>
        <v/>
      </c>
      <c r="AE331" s="109">
        <f>'US SL Satin 6pc'!BF147</f>
        <v/>
      </c>
      <c r="AF331" s="109" t="inlineStr">
        <is>
          <t>Queen</t>
        </is>
      </c>
      <c r="AG331" s="109" t="inlineStr">
        <is>
          <t>Black</t>
        </is>
      </c>
    </row>
    <row r="332">
      <c r="A332" s="109">
        <f>AND(OR(Dashboard!$C$4="All",Dashboard!$C$4=D332),OR(Dashboard!$C$5="All",Dashboard!$C$5=E332),OR(Dashboard!$C$6="All",Dashboard!$C$6=G332),OR(Dashboard!$C$7="All",Dashboard!$C$7=H332),OR(Dashboard!$C$8="All",Dashboard!$C$8=F332))</f>
        <v/>
      </c>
      <c r="B332" s="109">
        <f>IF(A332,B331+1,B331)</f>
        <v/>
      </c>
      <c r="C332" s="109" t="n">
        <v>74</v>
      </c>
      <c r="D332" s="109" t="inlineStr">
        <is>
          <t>SL Satin 6pc</t>
        </is>
      </c>
      <c r="E332" s="109" t="inlineStr">
        <is>
          <t>US</t>
        </is>
      </c>
      <c r="F332" s="109" t="inlineStr">
        <is>
          <t>Satin</t>
        </is>
      </c>
      <c r="G332" s="109" t="inlineStr">
        <is>
          <t>Love's cabin</t>
        </is>
      </c>
      <c r="H332" s="109" t="inlineStr">
        <is>
          <t>Untiered</t>
        </is>
      </c>
      <c r="I332" s="109" t="inlineStr">
        <is>
          <t>Love's cabin Satin Queen Sheets Set, 4 Pieces, Pink, 15" Deep Pocket</t>
        </is>
      </c>
      <c r="J332" s="109" t="inlineStr">
        <is>
          <t>https://images-na.ssl-images-amazon.com/images/I/81C-fXI71XL.jpg</t>
        </is>
      </c>
      <c r="K332" s="109" t="inlineStr">
        <is>
          <t>B08DHTB63X</t>
        </is>
      </c>
      <c r="L332" s="109" t="inlineStr">
        <is>
          <t>B0BNMC5G8R</t>
        </is>
      </c>
      <c r="M332" s="109" t="n">
        <v>128</v>
      </c>
      <c r="N332" s="109" t="n">
        <v>16.13</v>
      </c>
      <c r="O332" s="109" t="n">
        <v>19.99</v>
      </c>
      <c r="P332" s="109">
        <f>IF(AND(ISNUMBER(O332),ISNUMBER(N332),N(N332)&gt;0),O332/N332-1,"")</f>
        <v/>
      </c>
      <c r="Q332" s="109" t="n"/>
      <c r="R332" s="109">
        <f>IF(AND(ISNUMBER(N332),ISNUMBER(Q332),N(Q332)&gt;0),N332/Q332-1,"")</f>
        <v/>
      </c>
      <c r="S332" s="109" t="n">
        <v>949</v>
      </c>
      <c r="T332" s="109" t="n">
        <v>809</v>
      </c>
      <c r="U332" s="109" t="n">
        <v>4.5</v>
      </c>
      <c r="V332" s="109" t="n">
        <v>5747</v>
      </c>
      <c r="W332" s="109" t="n">
        <v>385363</v>
      </c>
      <c r="X332" s="109" t="n">
        <v>0.8181775938530695</v>
      </c>
      <c r="Y332" s="109" t="n"/>
      <c r="Z332" s="109" t="n"/>
      <c r="AA332" s="109" t="n"/>
      <c r="AB332" s="109" t="n">
        <v>1.036399938565504</v>
      </c>
      <c r="AC332" s="109" t="inlineStr">
        <is>
          <t>US SL Satin 6pc</t>
        </is>
      </c>
      <c r="AD332" s="109">
        <f>'US SL Satin 6pc'!BC148</f>
        <v/>
      </c>
      <c r="AE332" s="109">
        <f>'US SL Satin 6pc'!BF148</f>
        <v/>
      </c>
      <c r="AF332" s="109" t="inlineStr">
        <is>
          <t>Queen</t>
        </is>
      </c>
      <c r="AG332" s="109" t="inlineStr">
        <is>
          <t>Pink</t>
        </is>
      </c>
    </row>
    <row r="333">
      <c r="A333" s="109">
        <f>AND(OR(Dashboard!$C$4="All",Dashboard!$C$4=D333),OR(Dashboard!$C$5="All",Dashboard!$C$5=E333),OR(Dashboard!$C$6="All",Dashboard!$C$6=G333),OR(Dashboard!$C$7="All",Dashboard!$C$7=H333),OR(Dashboard!$C$8="All",Dashboard!$C$8=F333))</f>
        <v/>
      </c>
      <c r="B333" s="109">
        <f>IF(A333,B332+1,B332)</f>
        <v/>
      </c>
      <c r="C333" s="109" t="n">
        <v>74</v>
      </c>
      <c r="D333" s="109" t="inlineStr">
        <is>
          <t>SL Satin 6pc</t>
        </is>
      </c>
      <c r="E333" s="109" t="inlineStr">
        <is>
          <t>US</t>
        </is>
      </c>
      <c r="F333" s="109" t="inlineStr">
        <is>
          <t>Satin</t>
        </is>
      </c>
      <c r="G333" s="109" t="inlineStr">
        <is>
          <t>MR&amp;HM</t>
        </is>
      </c>
      <c r="H333" s="109" t="inlineStr">
        <is>
          <t>Untiered</t>
        </is>
      </c>
      <c r="I333" s="109" t="inlineStr">
        <is>
          <t>MR&amp;HM Satin Sheets Queen Size with Elastic Corner Straps, Black</t>
        </is>
      </c>
      <c r="J333" s="109" t="inlineStr">
        <is>
          <t>https://images-na.ssl-images-amazon.com/images/I/71zGuoeuSrL.jpg</t>
        </is>
      </c>
      <c r="K333" s="109" t="inlineStr">
        <is>
          <t>B08NQ3W7PG</t>
        </is>
      </c>
      <c r="L333" s="109" t="inlineStr">
        <is>
          <t>B08HM6WT6X</t>
        </is>
      </c>
      <c r="M333" s="109" t="n">
        <v>183</v>
      </c>
      <c r="N333" s="109" t="n">
        <v>19.99</v>
      </c>
      <c r="O333" s="109" t="n"/>
      <c r="P333" s="109">
        <f>IF(AND(ISNUMBER(O333),ISNUMBER(N333),N(N333)&gt;0),O333/N333-1,"")</f>
        <v/>
      </c>
      <c r="Q333" s="109" t="n"/>
      <c r="R333" s="109">
        <f>IF(AND(ISNUMBER(N333),ISNUMBER(Q333),N(Q333)&gt;0),N333/Q333-1,"")</f>
        <v/>
      </c>
      <c r="S333" s="109" t="n">
        <v>2025</v>
      </c>
      <c r="T333" s="109" t="n">
        <v>809</v>
      </c>
      <c r="U333" s="109" t="n">
        <v>4.4</v>
      </c>
      <c r="V333" s="109" t="n">
        <v>17886</v>
      </c>
      <c r="W333" s="109" t="n">
        <v>356457</v>
      </c>
      <c r="X333" s="109" t="n">
        <v>0.7964633734223203</v>
      </c>
      <c r="Y333" s="109" t="n"/>
      <c r="Z333" s="109" t="n"/>
      <c r="AA333" s="109" t="n"/>
      <c r="AB333" s="109" t="n">
        <v>0.9844138242602214</v>
      </c>
      <c r="AC333" s="109" t="inlineStr">
        <is>
          <t>US SL Satin 6pc</t>
        </is>
      </c>
      <c r="AD333" s="109">
        <f>'US SL Satin 6pc'!BC149</f>
        <v/>
      </c>
      <c r="AE333" s="109">
        <f>'US SL Satin 6pc'!BF149</f>
        <v/>
      </c>
      <c r="AF333" s="109" t="inlineStr">
        <is>
          <t>Queen</t>
        </is>
      </c>
      <c r="AG333" s="109" t="inlineStr">
        <is>
          <t>Black</t>
        </is>
      </c>
    </row>
    <row r="334">
      <c r="A334" s="109">
        <f>AND(OR(Dashboard!$C$4="All",Dashboard!$C$4=D334),OR(Dashboard!$C$5="All",Dashboard!$C$5=E334),OR(Dashboard!$C$6="All",Dashboard!$C$6=G334),OR(Dashboard!$C$7="All",Dashboard!$C$7=H334),OR(Dashboard!$C$8="All",Dashboard!$C$8=F334))</f>
        <v/>
      </c>
      <c r="B334" s="109">
        <f>IF(A334,B333+1,B333)</f>
        <v/>
      </c>
      <c r="C334" s="109" t="n">
        <v>74</v>
      </c>
      <c r="D334" s="109" t="inlineStr">
        <is>
          <t>SL Satin 6pc</t>
        </is>
      </c>
      <c r="E334" s="109" t="inlineStr">
        <is>
          <t>US</t>
        </is>
      </c>
      <c r="F334" s="109" t="inlineStr">
        <is>
          <t>Satin</t>
        </is>
      </c>
      <c r="G334" s="109" t="inlineStr">
        <is>
          <t>CozyLux</t>
        </is>
      </c>
      <c r="H334" s="109" t="inlineStr">
        <is>
          <t>Untiered</t>
        </is>
      </c>
      <c r="I334" s="109" t="inlineStr">
        <is>
          <t>CozyLux Satin Sheets Queen, 4-Piece 14-Inch Deep Pocket Sheet Set</t>
        </is>
      </c>
      <c r="J334" s="109" t="inlineStr">
        <is>
          <t>https://images-na.ssl-images-amazon.com/images/I/71QlFwpmpcL.jpg</t>
        </is>
      </c>
      <c r="K334" s="109" t="inlineStr">
        <is>
          <t>B08CQKS3KP</t>
        </is>
      </c>
      <c r="L334" s="109" t="inlineStr">
        <is>
          <t>B08P16XLP2</t>
        </is>
      </c>
      <c r="M334" s="109" t="n">
        <v>115</v>
      </c>
      <c r="N334" s="109" t="n">
        <v>13.99</v>
      </c>
      <c r="O334" s="109" t="n">
        <v>18.99</v>
      </c>
      <c r="P334" s="109">
        <f>IF(AND(ISNUMBER(O334),ISNUMBER(N334),N(N334)&gt;0),O334/N334-1,"")</f>
        <v/>
      </c>
      <c r="Q334" s="109" t="n"/>
      <c r="R334" s="109">
        <f>IF(AND(ISNUMBER(N334),ISNUMBER(Q334),N(Q334)&gt;0),N334/Q334-1,"")</f>
        <v/>
      </c>
      <c r="S334" s="109" t="n">
        <v>3102</v>
      </c>
      <c r="T334" s="109" t="n">
        <v>347</v>
      </c>
      <c r="U334" s="109" t="n">
        <v>4.3</v>
      </c>
      <c r="V334" s="109" t="n">
        <v>7075</v>
      </c>
      <c r="W334" s="109" t="n">
        <v>164434</v>
      </c>
      <c r="X334" s="109" t="n">
        <v>0.724298132381382</v>
      </c>
      <c r="Y334" s="109" t="n"/>
      <c r="Z334" s="109" t="n"/>
      <c r="AA334" s="109" t="n"/>
      <c r="AB334" s="109" t="n">
        <v>0.8168981481481481</v>
      </c>
      <c r="AC334" s="109" t="inlineStr">
        <is>
          <t>US SL Satin 6pc</t>
        </is>
      </c>
      <c r="AD334" s="109">
        <f>'US SL Satin 6pc'!BC150</f>
        <v/>
      </c>
      <c r="AE334" s="109">
        <f>'US SL Satin 6pc'!BF150</f>
        <v/>
      </c>
      <c r="AF334" s="109" t="inlineStr">
        <is>
          <t>Queen</t>
        </is>
      </c>
      <c r="AG334" s="109" t="n"/>
    </row>
    <row r="335">
      <c r="A335" s="109">
        <f>AND(OR(Dashboard!$C$4="All",Dashboard!$C$4=D335),OR(Dashboard!$C$5="All",Dashboard!$C$5=E335),OR(Dashboard!$C$6="All",Dashboard!$C$6=G335),OR(Dashboard!$C$7="All",Dashboard!$C$7=H335),OR(Dashboard!$C$8="All",Dashboard!$C$8=F335))</f>
        <v/>
      </c>
      <c r="B335" s="109">
        <f>IF(A335,B334+1,B334)</f>
        <v/>
      </c>
      <c r="C335" s="109" t="n">
        <v>74</v>
      </c>
      <c r="D335" s="109" t="inlineStr">
        <is>
          <t>SL Satin 6pc</t>
        </is>
      </c>
      <c r="E335" s="109" t="inlineStr">
        <is>
          <t>US</t>
        </is>
      </c>
      <c r="F335" s="109" t="inlineStr">
        <is>
          <t>Satin</t>
        </is>
      </c>
      <c r="G335" s="109" t="inlineStr">
        <is>
          <t>BEDELITE</t>
        </is>
      </c>
      <c r="H335" s="109" t="inlineStr">
        <is>
          <t>Untiered</t>
        </is>
      </c>
      <c r="I335" s="109" t="inlineStr">
        <is>
          <t>BEDELITE Satin Queen Fitted Sheet &amp; Pillowcases Set, Black, 3 Pieces</t>
        </is>
      </c>
      <c r="J335" s="109" t="inlineStr">
        <is>
          <t>https://images-na.ssl-images-amazon.com/images/I/71Jlvkv3rfL.jpg</t>
        </is>
      </c>
      <c r="K335" s="109" t="inlineStr">
        <is>
          <t>B0FPCM7DL3</t>
        </is>
      </c>
      <c r="L335" s="109" t="inlineStr">
        <is>
          <t>B0CSFV4FXW</t>
        </is>
      </c>
      <c r="M335" s="109" t="n">
        <v>107</v>
      </c>
      <c r="N335" s="109" t="n">
        <v>15.98</v>
      </c>
      <c r="O335" s="109" t="n">
        <v>19.99</v>
      </c>
      <c r="P335" s="109">
        <f>IF(AND(ISNUMBER(O335),ISNUMBER(N335),N(N335)&gt;0),O335/N335-1,"")</f>
        <v/>
      </c>
      <c r="Q335" s="109" t="n"/>
      <c r="R335" s="109">
        <f>IF(AND(ISNUMBER(N335),ISNUMBER(Q335),N(Q335)&gt;0),N335/Q335-1,"")</f>
        <v/>
      </c>
      <c r="S335" s="109" t="n">
        <v>4306</v>
      </c>
      <c r="T335" s="109" t="n">
        <v>208</v>
      </c>
      <c r="U335" s="109" t="n">
        <v>4.4</v>
      </c>
      <c r="V335" s="109" t="n">
        <v>1858</v>
      </c>
      <c r="W335" s="109" t="n">
        <v>179643</v>
      </c>
      <c r="X335" s="109" t="n">
        <v>0.4557323781054652</v>
      </c>
      <c r="Y335" s="109" t="n"/>
      <c r="Z335" s="109" t="n"/>
      <c r="AA335" s="109" t="n"/>
      <c r="AB335" s="109" t="n">
        <v>1.118721461187214</v>
      </c>
      <c r="AC335" s="109" t="inlineStr">
        <is>
          <t>US SL Satin 6pc</t>
        </is>
      </c>
      <c r="AD335" s="109">
        <f>'US SL Satin 6pc'!BC151</f>
        <v/>
      </c>
      <c r="AE335" s="109">
        <f>'US SL Satin 6pc'!BF151</f>
        <v/>
      </c>
      <c r="AF335" s="109" t="inlineStr">
        <is>
          <t>Queen</t>
        </is>
      </c>
      <c r="AG335" s="109" t="inlineStr">
        <is>
          <t>Black</t>
        </is>
      </c>
    </row>
    <row r="336">
      <c r="A336" s="109">
        <f>AND(OR(Dashboard!$C$4="All",Dashboard!$C$4=D336),OR(Dashboard!$C$5="All",Dashboard!$C$5=E336),OR(Dashboard!$C$6="All",Dashboard!$C$6=G336),OR(Dashboard!$C$7="All",Dashboard!$C$7=H336),OR(Dashboard!$C$8="All",Dashboard!$C$8=F336))</f>
        <v/>
      </c>
      <c r="B336" s="109">
        <f>IF(A336,B335+1,B335)</f>
        <v/>
      </c>
      <c r="C336" s="109" t="n">
        <v>74</v>
      </c>
      <c r="D336" s="109" t="inlineStr">
        <is>
          <t>SL Satin 6pc</t>
        </is>
      </c>
      <c r="E336" s="109" t="inlineStr">
        <is>
          <t>US</t>
        </is>
      </c>
      <c r="F336" s="109" t="inlineStr">
        <is>
          <t>Satin</t>
        </is>
      </c>
      <c r="G336" s="109" t="inlineStr">
        <is>
          <t>Lanest Housing</t>
        </is>
      </c>
      <c r="H336" s="109" t="inlineStr">
        <is>
          <t>Untiered</t>
        </is>
      </c>
      <c r="I336" s="109" t="inlineStr">
        <is>
          <t>Lanest Housing Silk Satin Sheets, Queen Size Satin Bed Sheet Set with Deep Pockets, Cooling Soft and Hypoallergenic Satin Sheets Queen - Light Gray</t>
        </is>
      </c>
      <c r="J336" s="109" t="inlineStr">
        <is>
          <t>https://images-na.ssl-images-amazon.com/images/I/71PMIXXTc0L.jpg</t>
        </is>
      </c>
      <c r="K336" s="109" t="inlineStr">
        <is>
          <t>B0DC3MX1DP</t>
        </is>
      </c>
      <c r="L336" s="109" t="inlineStr">
        <is>
          <t>B082B5CY3D</t>
        </is>
      </c>
      <c r="M336" s="109" t="n">
        <v>154</v>
      </c>
      <c r="N336" s="109" t="n">
        <v>22.99</v>
      </c>
      <c r="O336" s="109" t="n"/>
      <c r="P336" s="109">
        <f>IF(AND(ISNUMBER(O336),ISNUMBER(N336),N(N336)&gt;0),O336/N336-1,"")</f>
        <v/>
      </c>
      <c r="Q336" s="109" t="n"/>
      <c r="R336" s="109">
        <f>IF(AND(ISNUMBER(N336),ISNUMBER(Q336),N(Q336)&gt;0),N336/Q336-1,"")</f>
        <v/>
      </c>
      <c r="S336" s="109" t="n">
        <v>4671</v>
      </c>
      <c r="T336" s="109" t="n">
        <v>208</v>
      </c>
      <c r="U336" s="109" t="n">
        <v>4.3</v>
      </c>
      <c r="V336" s="109" t="n">
        <v>5837</v>
      </c>
      <c r="W336" s="109" t="n">
        <v>163454</v>
      </c>
      <c r="X336" s="109" t="n">
        <v>0.511816095659941</v>
      </c>
      <c r="Y336" s="109" t="n"/>
      <c r="Z336" s="109" t="n"/>
      <c r="AA336" s="109" t="n"/>
      <c r="AB336" s="109" t="n">
        <v>0.4183908045977011</v>
      </c>
      <c r="AC336" s="109" t="inlineStr">
        <is>
          <t>US SL Satin 6pc</t>
        </is>
      </c>
      <c r="AD336" s="109">
        <f>'US SL Satin 6pc'!BC152</f>
        <v/>
      </c>
      <c r="AE336" s="109">
        <f>'US SL Satin 6pc'!BF152</f>
        <v/>
      </c>
      <c r="AF336" s="109" t="inlineStr">
        <is>
          <t>Queen</t>
        </is>
      </c>
      <c r="AG336" s="109" t="inlineStr">
        <is>
          <t>Gray</t>
        </is>
      </c>
    </row>
    <row r="337">
      <c r="A337" s="109">
        <f>AND(OR(Dashboard!$C$4="All",Dashboard!$C$4=D337),OR(Dashboard!$C$5="All",Dashboard!$C$5=E337),OR(Dashboard!$C$6="All",Dashboard!$C$6=G337),OR(Dashboard!$C$7="All",Dashboard!$C$7=H337),OR(Dashboard!$C$8="All",Dashboard!$C$8=F337))</f>
        <v/>
      </c>
      <c r="B337" s="109">
        <f>IF(A337,B336+1,B336)</f>
        <v/>
      </c>
      <c r="C337" s="109" t="n">
        <v>74</v>
      </c>
      <c r="D337" s="109" t="inlineStr">
        <is>
          <t>SL Satin 6pc</t>
        </is>
      </c>
      <c r="E337" s="109" t="inlineStr">
        <is>
          <t>US</t>
        </is>
      </c>
      <c r="F337" s="109" t="inlineStr">
        <is>
          <t>Satin</t>
        </is>
      </c>
      <c r="G337" s="109" t="inlineStr">
        <is>
          <t>FreshCulture</t>
        </is>
      </c>
      <c r="H337" s="109" t="inlineStr">
        <is>
          <t>Untiered</t>
        </is>
      </c>
      <c r="I337" s="109" t="inlineStr">
        <is>
          <t>Satin Sheets</t>
        </is>
      </c>
      <c r="J337" s="109" t="inlineStr">
        <is>
          <t>https://images-na.ssl-images-amazon.com/images/I/810d6GzTlfL.jpg</t>
        </is>
      </c>
      <c r="K337" s="109" t="inlineStr">
        <is>
          <t>B0D9B18P6N</t>
        </is>
      </c>
      <c r="L337" s="109" t="inlineStr">
        <is>
          <t>B0D9BD63QH</t>
        </is>
      </c>
      <c r="M337" s="109" t="n">
        <v>54</v>
      </c>
      <c r="N337" s="109" t="n">
        <v>23.99</v>
      </c>
      <c r="O337" s="109" t="n"/>
      <c r="P337" s="109">
        <f>IF(AND(ISNUMBER(O337),ISNUMBER(N337),N(N337)&gt;0),O337/N337-1,"")</f>
        <v/>
      </c>
      <c r="Q337" s="109" t="n"/>
      <c r="R337" s="109">
        <f>IF(AND(ISNUMBER(N337),ISNUMBER(Q337),N(Q337)&gt;0),N337/Q337-1,"")</f>
        <v/>
      </c>
      <c r="S337" s="109" t="n">
        <v>17918</v>
      </c>
      <c r="T337" s="109" t="n">
        <v>104</v>
      </c>
      <c r="U337" s="109" t="n">
        <v>4.4</v>
      </c>
      <c r="V337" s="109" t="n">
        <v>780</v>
      </c>
      <c r="W337" s="109" t="n">
        <v>99046</v>
      </c>
      <c r="X337" s="109" t="n">
        <v>0.9634387880378817</v>
      </c>
      <c r="Y337" s="109" t="n"/>
      <c r="Z337" s="109" t="n"/>
      <c r="AA337" s="109" t="n"/>
      <c r="AB337" s="109" t="n"/>
      <c r="AC337" s="109" t="inlineStr">
        <is>
          <t>US SL Satin 6pc</t>
        </is>
      </c>
      <c r="AD337" s="109">
        <f>'US SL Satin 6pc'!BC153</f>
        <v/>
      </c>
      <c r="AE337" s="109">
        <f>'US SL Satin 6pc'!BF153</f>
        <v/>
      </c>
      <c r="AF337" s="109" t="n"/>
      <c r="AG337" s="109" t="n"/>
    </row>
    <row r="338">
      <c r="A338" s="109">
        <f>AND(OR(Dashboard!$C$4="All",Dashboard!$C$4=D338),OR(Dashboard!$C$5="All",Dashboard!$C$5=E338),OR(Dashboard!$C$6="All",Dashboard!$C$6=G338),OR(Dashboard!$C$7="All",Dashboard!$C$7=H338),OR(Dashboard!$C$8="All",Dashboard!$C$8=F338))</f>
        <v/>
      </c>
      <c r="B338" s="109">
        <f>IF(A338,B337+1,B337)</f>
        <v/>
      </c>
      <c r="C338" s="109" t="n">
        <v>74</v>
      </c>
      <c r="D338" s="109" t="inlineStr">
        <is>
          <t>SL Satin 6pc</t>
        </is>
      </c>
      <c r="E338" s="109" t="inlineStr">
        <is>
          <t>US</t>
        </is>
      </c>
      <c r="F338" s="109" t="inlineStr">
        <is>
          <t>Satin</t>
        </is>
      </c>
      <c r="G338" s="109" t="inlineStr">
        <is>
          <t>P Pothuiny</t>
        </is>
      </c>
      <c r="H338" s="109" t="inlineStr">
        <is>
          <t>Untiered</t>
        </is>
      </c>
      <c r="I338" s="109" t="inlineStr">
        <is>
          <t>P Pothuiny 6-Piece Queen Satin Sheet Set Burgundy Silky Sheets</t>
        </is>
      </c>
      <c r="J338" s="109" t="inlineStr">
        <is>
          <t>https://images-na.ssl-images-amazon.com/images/I/71TbH0l5XfL.jpg</t>
        </is>
      </c>
      <c r="K338" s="109" t="inlineStr">
        <is>
          <t>B096P2MYZQ</t>
        </is>
      </c>
      <c r="L338" s="109" t="inlineStr">
        <is>
          <t>B08QMF6D5W</t>
        </is>
      </c>
      <c r="M338" s="109" t="n">
        <v>47</v>
      </c>
      <c r="N338" s="109" t="n">
        <v>26.99</v>
      </c>
      <c r="O338" s="109" t="n"/>
      <c r="P338" s="109">
        <f>IF(AND(ISNUMBER(O338),ISNUMBER(N338),N(N338)&gt;0),O338/N338-1,"")</f>
        <v/>
      </c>
      <c r="Q338" s="109" t="n"/>
      <c r="R338" s="109">
        <f>IF(AND(ISNUMBER(N338),ISNUMBER(Q338),N(Q338)&gt;0),N338/Q338-1,"")</f>
        <v/>
      </c>
      <c r="S338" s="109" t="n">
        <v>20031</v>
      </c>
      <c r="T338" s="109" t="n">
        <v>104</v>
      </c>
      <c r="U338" s="109" t="n">
        <v>4.4</v>
      </c>
      <c r="V338" s="109" t="n">
        <v>4031</v>
      </c>
      <c r="W338" s="109" t="n">
        <v>66544</v>
      </c>
      <c r="X338" s="109" t="n">
        <v>0.9166959214955518</v>
      </c>
      <c r="Y338" s="109" t="n"/>
      <c r="Z338" s="109" t="n"/>
      <c r="AA338" s="109" t="n"/>
      <c r="AB338" s="109" t="n">
        <v>1.171497584541063</v>
      </c>
      <c r="AC338" s="109" t="inlineStr">
        <is>
          <t>US SL Satin 6pc</t>
        </is>
      </c>
      <c r="AD338" s="109">
        <f>'US SL Satin 6pc'!BC154</f>
        <v/>
      </c>
      <c r="AE338" s="109">
        <f>'US SL Satin 6pc'!BF154</f>
        <v/>
      </c>
      <c r="AF338" s="109" t="inlineStr">
        <is>
          <t>Queen</t>
        </is>
      </c>
      <c r="AG338" s="109" t="inlineStr">
        <is>
          <t>Burgundy</t>
        </is>
      </c>
    </row>
    <row r="339">
      <c r="A339" s="109">
        <f>AND(OR(Dashboard!$C$4="All",Dashboard!$C$4=D339),OR(Dashboard!$C$5="All",Dashboard!$C$5=E339),OR(Dashboard!$C$6="All",Dashboard!$C$6=G339),OR(Dashboard!$C$7="All",Dashboard!$C$7=H339),OR(Dashboard!$C$8="All",Dashboard!$C$8=F339))</f>
        <v/>
      </c>
      <c r="B339" s="109">
        <f>IF(A339,B338+1,B338)</f>
        <v/>
      </c>
      <c r="C339" s="109" t="n">
        <v>74</v>
      </c>
      <c r="D339" s="109" t="inlineStr">
        <is>
          <t>SL Satin 6pc</t>
        </is>
      </c>
      <c r="E339" s="109" t="inlineStr">
        <is>
          <t>US</t>
        </is>
      </c>
      <c r="F339" s="109" t="inlineStr">
        <is>
          <t>Satin</t>
        </is>
      </c>
      <c r="G339" s="109" t="inlineStr">
        <is>
          <t>Bedsure</t>
        </is>
      </c>
      <c r="H339" s="109" t="inlineStr">
        <is>
          <t>Untiered</t>
        </is>
      </c>
      <c r="I339" s="109" t="inlineStr">
        <is>
          <t>Satin Sheets</t>
        </is>
      </c>
      <c r="J339" s="109" t="inlineStr">
        <is>
          <t>https://images-na.ssl-images-amazon.com/images/I/81zMSoUAMJL.jpg</t>
        </is>
      </c>
      <c r="K339" s="109" t="inlineStr">
        <is>
          <t>B0DCZYNBYS</t>
        </is>
      </c>
      <c r="L339" s="109" t="inlineStr">
        <is>
          <t>B0CJ8RYNTS</t>
        </is>
      </c>
      <c r="M339" s="109" t="n">
        <v>32</v>
      </c>
      <c r="N339" s="109" t="n">
        <v>19.99</v>
      </c>
      <c r="O339" s="109" t="n"/>
      <c r="P339" s="109">
        <f>IF(AND(ISNUMBER(O339),ISNUMBER(N339),N(N339)&gt;0),O339/N339-1,"")</f>
        <v/>
      </c>
      <c r="Q339" s="109" t="n"/>
      <c r="R339" s="109">
        <f>IF(AND(ISNUMBER(N339),ISNUMBER(Q339),N(Q339)&gt;0),N339/Q339-1,"")</f>
        <v/>
      </c>
      <c r="S339" s="109" t="n">
        <v>22342</v>
      </c>
      <c r="T339" s="109" t="n">
        <v>92</v>
      </c>
      <c r="U339" s="109" t="n">
        <v>4.3</v>
      </c>
      <c r="V339" s="109" t="n">
        <v>2745</v>
      </c>
      <c r="W339" s="109" t="n">
        <v>89691</v>
      </c>
      <c r="X339" s="109" t="n">
        <v>0.6850140036347012</v>
      </c>
      <c r="Y339" s="109" t="n"/>
      <c r="Z339" s="109" t="n"/>
      <c r="AA339" s="109" t="n"/>
      <c r="AB339" s="109" t="n">
        <v>1.528846153846154</v>
      </c>
      <c r="AC339" s="109" t="inlineStr">
        <is>
          <t>US SL Satin 6pc</t>
        </is>
      </c>
      <c r="AD339" s="109">
        <f>'US SL Satin 6pc'!BC155</f>
        <v/>
      </c>
      <c r="AE339" s="109">
        <f>'US SL Satin 6pc'!BF155</f>
        <v/>
      </c>
      <c r="AF339" s="109" t="n"/>
      <c r="AG339" s="109" t="n"/>
    </row>
    <row r="340">
      <c r="A340" s="109">
        <f>AND(OR(Dashboard!$C$4="All",Dashboard!$C$4=D340),OR(Dashboard!$C$5="All",Dashboard!$C$5=E340),OR(Dashboard!$C$6="All",Dashboard!$C$6=G340),OR(Dashboard!$C$7="All",Dashboard!$C$7=H340),OR(Dashboard!$C$8="All",Dashboard!$C$8=F340))</f>
        <v/>
      </c>
      <c r="B340" s="109">
        <f>IF(A340,B339+1,B339)</f>
        <v/>
      </c>
      <c r="C340" s="109" t="n">
        <v>74</v>
      </c>
      <c r="D340" s="109" t="inlineStr">
        <is>
          <t>SL Satin 6pc</t>
        </is>
      </c>
      <c r="E340" s="109" t="inlineStr">
        <is>
          <t>US</t>
        </is>
      </c>
      <c r="F340" s="109" t="inlineStr">
        <is>
          <t>Satin</t>
        </is>
      </c>
      <c r="G340" s="109" t="inlineStr">
        <is>
          <t>Pure Bedding</t>
        </is>
      </c>
      <c r="H340" s="109" t="inlineStr">
        <is>
          <t>Untiered</t>
        </is>
      </c>
      <c r="I340" s="109" t="inlineStr">
        <is>
          <t>Pure Bedding Satin Sheets Queen [4-Piece, Black] Hotel Luxury Silky Bed Sheets - Extra Soft 1800 Microfiber Sheet Set, Wrinkle, Fade, Deep Pocket Fitted Sheet, Flat Sheet, Pillow Cases</t>
        </is>
      </c>
      <c r="J340" s="109" t="inlineStr">
        <is>
          <t>https://images-na.ssl-images-amazon.com/images/I/81zLU1W0e8L.jpg</t>
        </is>
      </c>
      <c r="K340" s="109" t="inlineStr">
        <is>
          <t>B0FMPQYB2J</t>
        </is>
      </c>
      <c r="L340" s="109" t="inlineStr">
        <is>
          <t>B083G81VSH</t>
        </is>
      </c>
      <c r="M340" s="109" t="n">
        <v>146</v>
      </c>
      <c r="N340" s="109" t="n">
        <v>20.99</v>
      </c>
      <c r="O340" s="109" t="n"/>
      <c r="P340" s="109">
        <f>IF(AND(ISNUMBER(O340),ISNUMBER(N340),N(N340)&gt;0),O340/N340-1,"")</f>
        <v/>
      </c>
      <c r="Q340" s="109" t="n"/>
      <c r="R340" s="109">
        <f>IF(AND(ISNUMBER(N340),ISNUMBER(Q340),N(Q340)&gt;0),N340/Q340-1,"")</f>
        <v/>
      </c>
      <c r="S340" s="109" t="n">
        <v>30991</v>
      </c>
      <c r="T340" s="109" t="n">
        <v>92</v>
      </c>
      <c r="U340" s="109" t="n">
        <v>4.4</v>
      </c>
      <c r="V340" s="109" t="n">
        <v>9828</v>
      </c>
      <c r="W340" s="109" t="n">
        <v>119531</v>
      </c>
      <c r="X340" s="109" t="n">
        <v>0.6204180681162206</v>
      </c>
      <c r="Y340" s="109" t="n"/>
      <c r="Z340" s="109" t="n"/>
      <c r="AA340" s="109" t="n"/>
      <c r="AB340" s="109" t="n">
        <v>0.7574960547080484</v>
      </c>
      <c r="AC340" s="109" t="inlineStr">
        <is>
          <t>US SL Satin 6pc</t>
        </is>
      </c>
      <c r="AD340" s="109">
        <f>'US SL Satin 6pc'!BC156</f>
        <v/>
      </c>
      <c r="AE340" s="109">
        <f>'US SL Satin 6pc'!BF156</f>
        <v/>
      </c>
      <c r="AF340" s="109" t="inlineStr">
        <is>
          <t>Queen</t>
        </is>
      </c>
      <c r="AG340" s="109" t="inlineStr">
        <is>
          <t>Black</t>
        </is>
      </c>
    </row>
    <row r="341">
      <c r="A341" s="109">
        <f>AND(OR(Dashboard!$C$4="All",Dashboard!$C$4=D341),OR(Dashboard!$C$5="All",Dashboard!$C$5=E341),OR(Dashboard!$C$6="All",Dashboard!$C$6=G341),OR(Dashboard!$C$7="All",Dashboard!$C$7=H341),OR(Dashboard!$C$8="All",Dashboard!$C$8=F341))</f>
        <v/>
      </c>
      <c r="B341" s="109">
        <f>IF(A341,B340+1,B340)</f>
        <v/>
      </c>
      <c r="C341" s="109" t="n">
        <v>74</v>
      </c>
      <c r="D341" s="109" t="inlineStr">
        <is>
          <t>SL Satin 6pc</t>
        </is>
      </c>
      <c r="E341" s="109" t="inlineStr">
        <is>
          <t>US</t>
        </is>
      </c>
      <c r="F341" s="109" t="inlineStr">
        <is>
          <t>Satin</t>
        </is>
      </c>
      <c r="G341" s="109" t="inlineStr">
        <is>
          <t>SiinvdaBZX</t>
        </is>
      </c>
      <c r="H341" s="109" t="inlineStr">
        <is>
          <t>Untiered</t>
        </is>
      </c>
      <c r="I341" s="109" t="inlineStr">
        <is>
          <t>SiinvdaBZX 4Pcs Satin Sheet Set Queen Size 15-Inch Deep Pocket, Beige</t>
        </is>
      </c>
      <c r="J341" s="109" t="inlineStr">
        <is>
          <t>https://images-na.ssl-images-amazon.com/images/I/71ZrkfMtWLL.jpg</t>
        </is>
      </c>
      <c r="K341" s="109" t="inlineStr">
        <is>
          <t>B0DD37S32L</t>
        </is>
      </c>
      <c r="L341" s="109" t="inlineStr">
        <is>
          <t>B08JP9DG5Z</t>
        </is>
      </c>
      <c r="M341" s="109" t="n">
        <v>96</v>
      </c>
      <c r="N341" s="109" t="n">
        <v>22.99</v>
      </c>
      <c r="O341" s="109" t="n"/>
      <c r="P341" s="109">
        <f>IF(AND(ISNUMBER(O341),ISNUMBER(N341),N(N341)&gt;0),O341/N341-1,"")</f>
        <v/>
      </c>
      <c r="Q341" s="109" t="n"/>
      <c r="R341" s="109">
        <f>IF(AND(ISNUMBER(N341),ISNUMBER(Q341),N(Q341)&gt;0),N341/Q341-1,"")</f>
        <v/>
      </c>
      <c r="S341" s="109" t="n">
        <v>23154</v>
      </c>
      <c r="T341" s="109" t="n">
        <v>92</v>
      </c>
      <c r="U341" s="109" t="n">
        <v>4.4</v>
      </c>
      <c r="V341" s="109" t="n">
        <v>6981</v>
      </c>
      <c r="W341" s="109" t="n">
        <v>47722</v>
      </c>
      <c r="X341" s="109" t="n">
        <v>0.8752176061355349</v>
      </c>
      <c r="Y341" s="109" t="n"/>
      <c r="Z341" s="109" t="n"/>
      <c r="AA341" s="109" t="n"/>
      <c r="AB341" s="109" t="n">
        <v>1.035928143712575</v>
      </c>
      <c r="AC341" s="109" t="inlineStr">
        <is>
          <t>US SL Satin 6pc</t>
        </is>
      </c>
      <c r="AD341" s="109">
        <f>'US SL Satin 6pc'!BC157</f>
        <v/>
      </c>
      <c r="AE341" s="109">
        <f>'US SL Satin 6pc'!BF157</f>
        <v/>
      </c>
      <c r="AF341" s="109" t="inlineStr">
        <is>
          <t>Queen</t>
        </is>
      </c>
      <c r="AG341" s="109" t="inlineStr">
        <is>
          <t>Beige</t>
        </is>
      </c>
    </row>
    <row r="342">
      <c r="A342" s="109">
        <f>AND(OR(Dashboard!$C$4="All",Dashboard!$C$4=D342),OR(Dashboard!$C$5="All",Dashboard!$C$5=E342),OR(Dashboard!$C$6="All",Dashboard!$C$6=G342),OR(Dashboard!$C$7="All",Dashboard!$C$7=H342),OR(Dashboard!$C$8="All",Dashboard!$C$8=F342))</f>
        <v/>
      </c>
      <c r="B342" s="109">
        <f>IF(A342,B341+1,B341)</f>
        <v/>
      </c>
      <c r="C342" s="109" t="n">
        <v>74</v>
      </c>
      <c r="D342" s="109" t="inlineStr">
        <is>
          <t>SL Satin 6pc</t>
        </is>
      </c>
      <c r="E342" s="109" t="inlineStr">
        <is>
          <t>US</t>
        </is>
      </c>
      <c r="F342" s="109" t="inlineStr">
        <is>
          <t>Satin</t>
        </is>
      </c>
      <c r="G342" s="109" t="inlineStr">
        <is>
          <t>VACVELT</t>
        </is>
      </c>
      <c r="H342" s="109" t="inlineStr">
        <is>
          <t>Untiered</t>
        </is>
      </c>
      <c r="I342" s="109" t="inlineStr">
        <is>
          <t>VACVELT 3pcs Queen Black Extra Deep Pocket Satin Fitted Sheet Set</t>
        </is>
      </c>
      <c r="J342" s="109" t="inlineStr">
        <is>
          <t>https://images-na.ssl-images-amazon.com/images/I/71d2-R2XfJL.jpg</t>
        </is>
      </c>
      <c r="K342" s="109" t="inlineStr">
        <is>
          <t>B0BWJ4PYLN</t>
        </is>
      </c>
      <c r="L342" s="109" t="inlineStr">
        <is>
          <t>B0BWJ4MLLZ</t>
        </is>
      </c>
      <c r="M342" s="109" t="n">
        <v>40</v>
      </c>
      <c r="N342" s="109" t="n">
        <v>18.99</v>
      </c>
      <c r="O342" s="109" t="n"/>
      <c r="P342" s="109">
        <f>IF(AND(ISNUMBER(O342),ISNUMBER(N342),N(N342)&gt;0),O342/N342-1,"")</f>
        <v/>
      </c>
      <c r="Q342" s="109" t="n"/>
      <c r="R342" s="109">
        <f>IF(AND(ISNUMBER(N342),ISNUMBER(Q342),N(Q342)&gt;0),N342/Q342-1,"")</f>
        <v/>
      </c>
      <c r="S342" s="109" t="n">
        <v>49291</v>
      </c>
      <c r="T342" s="109" t="n">
        <v>92</v>
      </c>
      <c r="U342" s="109" t="n">
        <v>4.2</v>
      </c>
      <c r="V342" s="109" t="n">
        <v>747</v>
      </c>
      <c r="W342" s="109" t="n">
        <v>25451</v>
      </c>
      <c r="X342" s="109" t="n">
        <v>0.9999606773800636</v>
      </c>
      <c r="Y342" s="109" t="n"/>
      <c r="Z342" s="109" t="n"/>
      <c r="AA342" s="109" t="n"/>
      <c r="AB342" s="109" t="n">
        <v>1.145341614906832</v>
      </c>
      <c r="AC342" s="109" t="inlineStr">
        <is>
          <t>US SL Satin 6pc</t>
        </is>
      </c>
      <c r="AD342" s="109">
        <f>'US SL Satin 6pc'!BC158</f>
        <v/>
      </c>
      <c r="AE342" s="109">
        <f>'US SL Satin 6pc'!BF158</f>
        <v/>
      </c>
      <c r="AF342" s="109" t="inlineStr">
        <is>
          <t>Queen</t>
        </is>
      </c>
      <c r="AG342" s="109" t="inlineStr">
        <is>
          <t>Black</t>
        </is>
      </c>
    </row>
    <row r="343">
      <c r="A343" s="109">
        <f>AND(OR(Dashboard!$C$4="All",Dashboard!$C$4=D343),OR(Dashboard!$C$5="All",Dashboard!$C$5=E343),OR(Dashboard!$C$6="All",Dashboard!$C$6=G343),OR(Dashboard!$C$7="All",Dashboard!$C$7=H343),OR(Dashboard!$C$8="All",Dashboard!$C$8=F343))</f>
        <v/>
      </c>
      <c r="B343" s="109">
        <f>IF(A343,B342+1,B342)</f>
        <v/>
      </c>
      <c r="C343" s="109" t="n">
        <v>74</v>
      </c>
      <c r="D343" s="109" t="inlineStr">
        <is>
          <t>SL Satin 6pc</t>
        </is>
      </c>
      <c r="E343" s="109" t="inlineStr">
        <is>
          <t>US</t>
        </is>
      </c>
      <c r="F343" s="109" t="inlineStr">
        <is>
          <t>Satin</t>
        </is>
      </c>
      <c r="G343" s="109" t="inlineStr">
        <is>
          <t>GOLAL</t>
        </is>
      </c>
      <c r="H343" s="109" t="inlineStr">
        <is>
          <t>Untiered</t>
        </is>
      </c>
      <c r="I343" s="109" t="inlineStr">
        <is>
          <t>GOLAL Satin Sheets Full Size - 4 Pieces Luxury Silky Soft Bed Sheets, Wrinkle-Free Black Satin Silk Sheet Set with 1 Deep Pocket Fitted Sheet, 1 Flat Sheet, 2 Pillow Cases</t>
        </is>
      </c>
      <c r="J343" s="109" t="inlineStr">
        <is>
          <t>https://images-na.ssl-images-amazon.com/images/I/71r48b+Sh9L.jpg</t>
        </is>
      </c>
      <c r="K343" s="109" t="inlineStr">
        <is>
          <t>B0B1Q2JG5X</t>
        </is>
      </c>
      <c r="L343" s="109" t="inlineStr">
        <is>
          <t>B09G17SQXF</t>
        </is>
      </c>
      <c r="M343" s="109" t="n">
        <v>94</v>
      </c>
      <c r="N343" s="109" t="n">
        <v>21.99</v>
      </c>
      <c r="O343" s="109" t="n"/>
      <c r="P343" s="109">
        <f>IF(AND(ISNUMBER(O343),ISNUMBER(N343),N(N343)&gt;0),O343/N343-1,"")</f>
        <v/>
      </c>
      <c r="Q343" s="109" t="n"/>
      <c r="R343" s="109">
        <f>IF(AND(ISNUMBER(N343),ISNUMBER(Q343),N(Q343)&gt;0),N343/Q343-1,"")</f>
        <v/>
      </c>
      <c r="S343" s="109" t="n">
        <v>132024</v>
      </c>
      <c r="T343" s="109" t="n">
        <v>81</v>
      </c>
      <c r="U343" s="109" t="n">
        <v>4.4</v>
      </c>
      <c r="V343" s="109" t="n">
        <v>3943</v>
      </c>
      <c r="W343" s="109" t="n">
        <v>48561</v>
      </c>
      <c r="X343" s="109" t="n">
        <v>0.6641788183933609</v>
      </c>
      <c r="Y343" s="109" t="n"/>
      <c r="Z343" s="109" t="n"/>
      <c r="AA343" s="109" t="n"/>
      <c r="AB343" s="109" t="n">
        <v>0.8779220779220779</v>
      </c>
      <c r="AC343" s="109" t="inlineStr">
        <is>
          <t>US SL Satin 6pc</t>
        </is>
      </c>
      <c r="AD343" s="109">
        <f>'US SL Satin 6pc'!BC159</f>
        <v/>
      </c>
      <c r="AE343" s="109">
        <f>'US SL Satin 6pc'!BF159</f>
        <v/>
      </c>
      <c r="AF343" s="109" t="inlineStr">
        <is>
          <t>Full</t>
        </is>
      </c>
      <c r="AG343" s="109" t="inlineStr">
        <is>
          <t>Black</t>
        </is>
      </c>
    </row>
    <row r="344">
      <c r="A344" s="109">
        <f>AND(OR(Dashboard!$C$4="All",Dashboard!$C$4=D344),OR(Dashboard!$C$5="All",Dashboard!$C$5=E344),OR(Dashboard!$C$6="All",Dashboard!$C$6=G344),OR(Dashboard!$C$7="All",Dashboard!$C$7=H344),OR(Dashboard!$C$8="All",Dashboard!$C$8=F344))</f>
        <v/>
      </c>
      <c r="B344" s="109">
        <f>IF(A344,B343+1,B343)</f>
        <v/>
      </c>
      <c r="C344" s="109" t="n">
        <v>74</v>
      </c>
      <c r="D344" s="109" t="inlineStr">
        <is>
          <t>SL Satin 6pc</t>
        </is>
      </c>
      <c r="E344" s="109" t="inlineStr">
        <is>
          <t>US</t>
        </is>
      </c>
      <c r="F344" s="109" t="inlineStr">
        <is>
          <t>Satin</t>
        </is>
      </c>
      <c r="G344" s="109" t="inlineStr">
        <is>
          <t>Cobedzy</t>
        </is>
      </c>
      <c r="H344" s="109" t="inlineStr">
        <is>
          <t>Untiered</t>
        </is>
      </c>
      <c r="I344" s="109" t="inlineStr">
        <is>
          <t>Satin Sheets</t>
        </is>
      </c>
      <c r="J344" s="109" t="inlineStr">
        <is>
          <t>https://images-na.ssl-images-amazon.com/images/I/61QL2B3WPsL.jpg</t>
        </is>
      </c>
      <c r="K344" s="109" t="inlineStr">
        <is>
          <t>B099PPQ7T3</t>
        </is>
      </c>
      <c r="L344" s="109" t="inlineStr">
        <is>
          <t>B087CSRQQ4</t>
        </is>
      </c>
      <c r="M344" s="109" t="n">
        <v>18</v>
      </c>
      <c r="N344" s="109" t="n">
        <v>27.99</v>
      </c>
      <c r="O344" s="109" t="n"/>
      <c r="P344" s="109">
        <f>IF(AND(ISNUMBER(O344),ISNUMBER(N344),N(N344)&gt;0),O344/N344-1,"")</f>
        <v/>
      </c>
      <c r="Q344" s="109" t="n"/>
      <c r="R344" s="109">
        <f>IF(AND(ISNUMBER(N344),ISNUMBER(Q344),N(Q344)&gt;0),N344/Q344-1,"")</f>
        <v/>
      </c>
      <c r="S344" s="109" t="n">
        <v>68667</v>
      </c>
      <c r="T344" s="109" t="n">
        <v>35</v>
      </c>
      <c r="U344" s="109" t="n">
        <v>4.4</v>
      </c>
      <c r="V344" s="109" t="n">
        <v>2838</v>
      </c>
      <c r="W344" s="109" t="n">
        <v>21925</v>
      </c>
      <c r="X344" s="109" t="n">
        <v>0.9295306681870016</v>
      </c>
      <c r="Y344" s="109" t="n"/>
      <c r="Z344" s="109" t="n"/>
      <c r="AA344" s="109" t="n"/>
      <c r="AB344" s="109" t="n">
        <v>0.8934169278996865</v>
      </c>
      <c r="AC344" s="109" t="inlineStr">
        <is>
          <t>US SL Satin 6pc</t>
        </is>
      </c>
      <c r="AD344" s="109">
        <f>'US SL Satin 6pc'!BC160</f>
        <v/>
      </c>
      <c r="AE344" s="109">
        <f>'US SL Satin 6pc'!BF160</f>
        <v/>
      </c>
      <c r="AF344" s="109" t="n"/>
      <c r="AG344" s="109" t="n"/>
    </row>
    <row r="345">
      <c r="A345" s="109">
        <f>AND(OR(Dashboard!$C$4="All",Dashboard!$C$4=D345),OR(Dashboard!$C$5="All",Dashboard!$C$5=E345),OR(Dashboard!$C$6="All",Dashboard!$C$6=G345),OR(Dashboard!$C$7="All",Dashboard!$C$7=H345),OR(Dashboard!$C$8="All",Dashboard!$C$8=F345))</f>
        <v/>
      </c>
      <c r="B345" s="109">
        <f>IF(A345,B344+1,B344)</f>
        <v/>
      </c>
      <c r="C345" s="109" t="n">
        <v>74</v>
      </c>
      <c r="D345" s="109" t="inlineStr">
        <is>
          <t>SL Satin 6pc</t>
        </is>
      </c>
      <c r="E345" s="109" t="inlineStr">
        <is>
          <t>US</t>
        </is>
      </c>
      <c r="F345" s="109" t="inlineStr">
        <is>
          <t>Satin</t>
        </is>
      </c>
      <c r="G345" s="109" t="inlineStr">
        <is>
          <t>Horbaunal</t>
        </is>
      </c>
      <c r="H345" s="109" t="inlineStr">
        <is>
          <t>Untiered</t>
        </is>
      </c>
      <c r="I345" s="109" t="inlineStr">
        <is>
          <t>Horbaunal 6 Piece Satin Sheet Set Queen, Emerald Green Queen Bed Sheets</t>
        </is>
      </c>
      <c r="J345" s="109" t="inlineStr">
        <is>
          <t>https://images-na.ssl-images-amazon.com/images/I/813TGJ9FKjL.jpg</t>
        </is>
      </c>
      <c r="K345" s="109" t="inlineStr">
        <is>
          <t>B0B4MQCT87</t>
        </is>
      </c>
      <c r="L345" s="109" t="inlineStr">
        <is>
          <t>B0B4MQ1PP1</t>
        </is>
      </c>
      <c r="M345" s="109" t="n">
        <v>23</v>
      </c>
      <c r="N345" s="109" t="n">
        <v>28.99</v>
      </c>
      <c r="O345" s="109" t="n"/>
      <c r="P345" s="109">
        <f>IF(AND(ISNUMBER(O345),ISNUMBER(N345),N(N345)&gt;0),O345/N345-1,"")</f>
        <v/>
      </c>
      <c r="Q345" s="109" t="n"/>
      <c r="R345" s="109">
        <f>IF(AND(ISNUMBER(N345),ISNUMBER(Q345),N(Q345)&gt;0),N345/Q345-1,"")</f>
        <v/>
      </c>
      <c r="S345" s="109" t="n">
        <v>110638</v>
      </c>
      <c r="T345" s="109" t="n">
        <v>35</v>
      </c>
      <c r="U345" s="109" t="n">
        <v>4.4</v>
      </c>
      <c r="V345" s="109" t="n">
        <v>772</v>
      </c>
      <c r="W345" s="109" t="n"/>
      <c r="X345" s="109" t="n"/>
      <c r="Y345" s="109" t="n"/>
      <c r="Z345" s="109" t="n"/>
      <c r="AA345" s="109" t="n"/>
      <c r="AB345" s="109" t="n"/>
      <c r="AC345" s="109" t="inlineStr">
        <is>
          <t>US SL Satin 6pc</t>
        </is>
      </c>
      <c r="AD345" s="109">
        <f>'US SL Satin 6pc'!BC161</f>
        <v/>
      </c>
      <c r="AE345" s="109">
        <f>'US SL Satin 6pc'!BF161</f>
        <v/>
      </c>
      <c r="AF345" s="109" t="inlineStr">
        <is>
          <t>Queen</t>
        </is>
      </c>
      <c r="AG345" s="109" t="inlineStr">
        <is>
          <t>Green</t>
        </is>
      </c>
    </row>
    <row r="346">
      <c r="A346" s="109">
        <f>AND(OR(Dashboard!$C$4="All",Dashboard!$C$4=D346),OR(Dashboard!$C$5="All",Dashboard!$C$5=E346),OR(Dashboard!$C$6="All",Dashboard!$C$6=G346),OR(Dashboard!$C$7="All",Dashboard!$C$7=H346),OR(Dashboard!$C$8="All",Dashboard!$C$8=F346))</f>
        <v/>
      </c>
      <c r="B346" s="109">
        <f>IF(A346,B345+1,B345)</f>
        <v/>
      </c>
      <c r="C346" s="109" t="n">
        <v>74</v>
      </c>
      <c r="D346" s="109" t="inlineStr">
        <is>
          <t>SL Satin 6pc</t>
        </is>
      </c>
      <c r="E346" s="109" t="inlineStr">
        <is>
          <t>US</t>
        </is>
      </c>
      <c r="F346" s="109" t="inlineStr">
        <is>
          <t>Satin</t>
        </is>
      </c>
      <c r="G346" s="109" t="inlineStr">
        <is>
          <t>Sasttie</t>
        </is>
      </c>
      <c r="H346" s="109" t="inlineStr">
        <is>
          <t>Untiered</t>
        </is>
      </c>
      <c r="I346" s="109" t="inlineStr">
        <is>
          <t>Sasttie Satin Sheets Queen Size - 4 Pieces Luxury Soft Black Silky Bed Sheets Set with Pillowcases - Smooth Silk-Like Satin Fabric, Reinforced 14 Inches Pocket, Oeko-Tex Certified</t>
        </is>
      </c>
      <c r="J346" s="109" t="inlineStr">
        <is>
          <t>https://images-na.ssl-images-amazon.com/images/I/71MADUOjsFL.jpg</t>
        </is>
      </c>
      <c r="K346" s="109" t="inlineStr">
        <is>
          <t>B0F2H9HX69</t>
        </is>
      </c>
      <c r="L346" s="109" t="inlineStr">
        <is>
          <t>B0F2H8LPB3</t>
        </is>
      </c>
      <c r="M346" s="109" t="n">
        <v>47</v>
      </c>
      <c r="N346" s="109" t="n">
        <v>15.99</v>
      </c>
      <c r="O346" s="109" t="n"/>
      <c r="P346" s="109">
        <f>IF(AND(ISNUMBER(O346),ISNUMBER(N346),N(N346)&gt;0),O346/N346-1,"")</f>
        <v/>
      </c>
      <c r="Q346" s="109" t="n"/>
      <c r="R346" s="109">
        <f>IF(AND(ISNUMBER(N346),ISNUMBER(Q346),N(Q346)&gt;0),N346/Q346-1,"")</f>
        <v/>
      </c>
      <c r="S346" s="109" t="n">
        <v>58723</v>
      </c>
      <c r="T346" s="109" t="n">
        <v>35</v>
      </c>
      <c r="U346" s="109" t="n">
        <v>4.5</v>
      </c>
      <c r="V346" s="109" t="n">
        <v>968</v>
      </c>
      <c r="W346" s="109" t="n">
        <v>26952</v>
      </c>
      <c r="X346" s="109" t="n">
        <v>0.9879767104482041</v>
      </c>
      <c r="Y346" s="109" t="n"/>
      <c r="Z346" s="109" t="n"/>
      <c r="AA346" s="109" t="n"/>
      <c r="AB346" s="109" t="n">
        <v>1.063356164383562</v>
      </c>
      <c r="AC346" s="109" t="inlineStr">
        <is>
          <t>US SL Satin 6pc</t>
        </is>
      </c>
      <c r="AD346" s="109">
        <f>'US SL Satin 6pc'!BC162</f>
        <v/>
      </c>
      <c r="AE346" s="109">
        <f>'US SL Satin 6pc'!BF162</f>
        <v/>
      </c>
      <c r="AF346" s="109" t="inlineStr">
        <is>
          <t>Queen</t>
        </is>
      </c>
      <c r="AG346" s="109" t="inlineStr">
        <is>
          <t>Black</t>
        </is>
      </c>
    </row>
    <row r="347">
      <c r="A347" s="109">
        <f>AND(OR(Dashboard!$C$4="All",Dashboard!$C$4=D347),OR(Dashboard!$C$5="All",Dashboard!$C$5=E347),OR(Dashboard!$C$6="All",Dashboard!$C$6=G347),OR(Dashboard!$C$7="All",Dashboard!$C$7=H347),OR(Dashboard!$C$8="All",Dashboard!$C$8=F347))</f>
        <v/>
      </c>
      <c r="B347" s="109">
        <f>IF(A347,B346+1,B346)</f>
        <v/>
      </c>
      <c r="C347" s="109" t="n">
        <v>74</v>
      </c>
      <c r="D347" s="109" t="inlineStr">
        <is>
          <t>SL Satin 6pc</t>
        </is>
      </c>
      <c r="E347" s="109" t="inlineStr">
        <is>
          <t>US</t>
        </is>
      </c>
      <c r="F347" s="109" t="inlineStr">
        <is>
          <t>Satin</t>
        </is>
      </c>
      <c r="G347" s="109" t="inlineStr">
        <is>
          <t>VACVELT</t>
        </is>
      </c>
      <c r="H347" s="109" t="inlineStr">
        <is>
          <t>Untiered</t>
        </is>
      </c>
      <c r="I347" s="109" t="inlineStr">
        <is>
          <t>Satin Sheets</t>
        </is>
      </c>
      <c r="J347" s="109" t="n"/>
      <c r="K347" s="109" t="inlineStr">
        <is>
          <t>B0C9T1VY8J</t>
        </is>
      </c>
      <c r="L347" s="109" t="inlineStr">
        <is>
          <t>B0C1GJZB6F</t>
        </is>
      </c>
      <c r="M347" s="109" t="n">
        <v>35</v>
      </c>
      <c r="N347" s="109" t="n">
        <v>21.99</v>
      </c>
      <c r="O347" s="109" t="n"/>
      <c r="P347" s="109">
        <f>IF(AND(ISNUMBER(O347),ISNUMBER(N347),N(N347)&gt;0),O347/N347-1,"")</f>
        <v/>
      </c>
      <c r="Q347" s="109" t="n"/>
      <c r="R347" s="109">
        <f>IF(AND(ISNUMBER(N347),ISNUMBER(Q347),N(Q347)&gt;0),N347/Q347-1,"")</f>
        <v/>
      </c>
      <c r="S347" s="109" t="n">
        <v>57010</v>
      </c>
      <c r="T347" s="109" t="n">
        <v>35</v>
      </c>
      <c r="U347" s="109" t="n">
        <v>4.5</v>
      </c>
      <c r="V347" s="109" t="n">
        <v>1017</v>
      </c>
      <c r="W347" s="109" t="n">
        <v>23621</v>
      </c>
      <c r="X347" s="109" t="n">
        <v>0.9628617755387157</v>
      </c>
      <c r="Y347" s="109" t="n"/>
      <c r="Z347" s="109" t="n"/>
      <c r="AA347" s="109" t="n"/>
      <c r="AB347" s="109" t="n">
        <v>1</v>
      </c>
      <c r="AC347" s="109" t="inlineStr">
        <is>
          <t>US SL Satin 6pc</t>
        </is>
      </c>
      <c r="AD347" s="109">
        <f>'US SL Satin 6pc'!BC163</f>
        <v/>
      </c>
      <c r="AE347" s="109">
        <f>'US SL Satin 6pc'!BF163</f>
        <v/>
      </c>
      <c r="AF347" s="109" t="n"/>
      <c r="AG347" s="109" t="n"/>
    </row>
    <row r="348">
      <c r="A348" s="109">
        <f>AND(OR(Dashboard!$C$4="All",Dashboard!$C$4=D348),OR(Dashboard!$C$5="All",Dashboard!$C$5=E348),OR(Dashboard!$C$6="All",Dashboard!$C$6=G348),OR(Dashboard!$C$7="All",Dashboard!$C$7=H348),OR(Dashboard!$C$8="All",Dashboard!$C$8=F348))</f>
        <v/>
      </c>
      <c r="B348" s="109">
        <f>IF(A348,B347+1,B347)</f>
        <v/>
      </c>
      <c r="C348" s="109" t="n">
        <v>74</v>
      </c>
      <c r="D348" s="109" t="inlineStr">
        <is>
          <t>SL Satin 6pc</t>
        </is>
      </c>
      <c r="E348" s="109" t="inlineStr">
        <is>
          <t>US</t>
        </is>
      </c>
      <c r="F348" s="109" t="inlineStr">
        <is>
          <t>Satin</t>
        </is>
      </c>
      <c r="G348" s="109" t="inlineStr">
        <is>
          <t>Vonty</t>
        </is>
      </c>
      <c r="H348" s="109" t="inlineStr">
        <is>
          <t>Untiered</t>
        </is>
      </c>
      <c r="I348" s="109" t="inlineStr">
        <is>
          <t>Satin Sheets</t>
        </is>
      </c>
      <c r="J348" s="109" t="n"/>
      <c r="K348" s="109" t="inlineStr">
        <is>
          <t>B0BDDJM9RW</t>
        </is>
      </c>
      <c r="L348" s="109" t="inlineStr">
        <is>
          <t>B0BDDGJ38X</t>
        </is>
      </c>
      <c r="M348" s="109" t="n">
        <v>22</v>
      </c>
      <c r="N348" s="109" t="n">
        <v>30.99</v>
      </c>
      <c r="O348" s="109" t="n"/>
      <c r="P348" s="109">
        <f>IF(AND(ISNUMBER(O348),ISNUMBER(N348),N(N348)&gt;0),O348/N348-1,"")</f>
        <v/>
      </c>
      <c r="Q348" s="109" t="n"/>
      <c r="R348" s="109">
        <f>IF(AND(ISNUMBER(N348),ISNUMBER(Q348),N(Q348)&gt;0),N348/Q348-1,"")</f>
        <v/>
      </c>
      <c r="S348" s="109" t="n">
        <v>83620</v>
      </c>
      <c r="T348" s="109" t="n">
        <v>35</v>
      </c>
      <c r="U348" s="109" t="n">
        <v>4.2</v>
      </c>
      <c r="V348" s="109" t="n">
        <v>909</v>
      </c>
      <c r="W348" s="109" t="n">
        <v>11441</v>
      </c>
      <c r="X348" s="109" t="n">
        <v>0.9484301110042829</v>
      </c>
      <c r="Y348" s="109" t="n"/>
      <c r="Z348" s="109" t="n"/>
      <c r="AA348" s="109" t="n"/>
      <c r="AB348" s="109" t="n">
        <v>0.9861111111111112</v>
      </c>
      <c r="AC348" s="109" t="inlineStr">
        <is>
          <t>US SL Satin 6pc</t>
        </is>
      </c>
      <c r="AD348" s="109">
        <f>'US SL Satin 6pc'!BC164</f>
        <v/>
      </c>
      <c r="AE348" s="109">
        <f>'US SL Satin 6pc'!BF164</f>
        <v/>
      </c>
      <c r="AF348" s="109" t="n"/>
      <c r="AG348" s="109" t="n"/>
    </row>
    <row r="349">
      <c r="A349" s="109">
        <f>AND(OR(Dashboard!$C$4="All",Dashboard!$C$4=D349),OR(Dashboard!$C$5="All",Dashboard!$C$5=E349),OR(Dashboard!$C$6="All",Dashboard!$C$6=G349),OR(Dashboard!$C$7="All",Dashboard!$C$7=H349),OR(Dashboard!$C$8="All",Dashboard!$C$8=F349))</f>
        <v/>
      </c>
      <c r="B349" s="109">
        <f>IF(A349,B348+1,B348)</f>
        <v/>
      </c>
      <c r="C349" s="109" t="n">
        <v>74</v>
      </c>
      <c r="D349" s="109" t="inlineStr">
        <is>
          <t>SL Satin 6pc</t>
        </is>
      </c>
      <c r="E349" s="109" t="inlineStr">
        <is>
          <t>US</t>
        </is>
      </c>
      <c r="F349" s="109" t="inlineStr">
        <is>
          <t>Satin</t>
        </is>
      </c>
      <c r="G349" s="109" t="inlineStr">
        <is>
          <t>Homiest</t>
        </is>
      </c>
      <c r="H349" s="109" t="inlineStr">
        <is>
          <t>Untiered</t>
        </is>
      </c>
      <c r="I349" s="109" t="inlineStr">
        <is>
          <t>Satin Sheets</t>
        </is>
      </c>
      <c r="J349" s="109" t="n"/>
      <c r="K349" s="109" t="inlineStr">
        <is>
          <t>B0DYJKM99H</t>
        </is>
      </c>
      <c r="L349" s="109" t="inlineStr">
        <is>
          <t>B0DYJHHJQL</t>
        </is>
      </c>
      <c r="M349" s="109" t="n"/>
      <c r="N349" s="109" t="n">
        <v>27.99</v>
      </c>
      <c r="O349" s="109" t="n"/>
      <c r="P349" s="109">
        <f>IF(AND(ISNUMBER(O349),ISNUMBER(N349),N(N349)&gt;0),O349/N349-1,"")</f>
        <v/>
      </c>
      <c r="Q349" s="109" t="n"/>
      <c r="R349" s="109">
        <f>IF(AND(ISNUMBER(N349),ISNUMBER(Q349),N(Q349)&gt;0),N349/Q349-1,"")</f>
        <v/>
      </c>
      <c r="S349" s="109" t="n">
        <v>89437</v>
      </c>
      <c r="T349" s="109" t="n">
        <v>18</v>
      </c>
      <c r="U349" s="109" t="n">
        <v>4.5</v>
      </c>
      <c r="V349" s="109" t="n">
        <v>205</v>
      </c>
      <c r="W349" s="109" t="n"/>
      <c r="X349" s="109" t="n"/>
      <c r="Y349" s="109" t="n"/>
      <c r="Z349" s="109" t="n"/>
      <c r="AA349" s="109" t="n"/>
      <c r="AB349" s="109" t="n"/>
      <c r="AC349" s="109" t="inlineStr">
        <is>
          <t>US SL Satin 6pc</t>
        </is>
      </c>
      <c r="AD349" s="109">
        <f>'US SL Satin 6pc'!BC165</f>
        <v/>
      </c>
      <c r="AE349" s="109">
        <f>'US SL Satin 6pc'!BF165</f>
        <v/>
      </c>
      <c r="AF349" s="109" t="n"/>
      <c r="AG349" s="109" t="n"/>
    </row>
    <row r="350">
      <c r="A350" s="109">
        <f>AND(OR(Dashboard!$C$4="All",Dashboard!$C$4=D350),OR(Dashboard!$C$5="All",Dashboard!$C$5=E350),OR(Dashboard!$C$6="All",Dashboard!$C$6=G350),OR(Dashboard!$C$7="All",Dashboard!$C$7=H350),OR(Dashboard!$C$8="All",Dashboard!$C$8=F350))</f>
        <v/>
      </c>
      <c r="B350" s="109">
        <f>IF(A350,B349+1,B349)</f>
        <v/>
      </c>
      <c r="C350" s="109" t="n">
        <v>74</v>
      </c>
      <c r="D350" s="109" t="inlineStr">
        <is>
          <t>SL Satin 6pc</t>
        </is>
      </c>
      <c r="E350" s="109" t="inlineStr">
        <is>
          <t>US</t>
        </is>
      </c>
      <c r="F350" s="109" t="inlineStr">
        <is>
          <t>Satin</t>
        </is>
      </c>
      <c r="G350" s="109" t="inlineStr">
        <is>
          <t>HommxJF</t>
        </is>
      </c>
      <c r="H350" s="109" t="inlineStr">
        <is>
          <t>Untiered</t>
        </is>
      </c>
      <c r="I350" s="109" t="inlineStr">
        <is>
          <t>Satin Sheets</t>
        </is>
      </c>
      <c r="J350" s="109" t="n"/>
      <c r="K350" s="109" t="inlineStr">
        <is>
          <t>B0BJZT93SL</t>
        </is>
      </c>
      <c r="L350" s="109" t="inlineStr">
        <is>
          <t>B09V52BVJB</t>
        </is>
      </c>
      <c r="M350" s="109" t="n">
        <v>32</v>
      </c>
      <c r="N350" s="109" t="n">
        <v>24.99</v>
      </c>
      <c r="O350" s="109" t="n"/>
      <c r="P350" s="109">
        <f>IF(AND(ISNUMBER(O350),ISNUMBER(N350),N(N350)&gt;0),O350/N350-1,"")</f>
        <v/>
      </c>
      <c r="Q350" s="109" t="n"/>
      <c r="R350" s="109">
        <f>IF(AND(ISNUMBER(N350),ISNUMBER(Q350),N(Q350)&gt;0),N350/Q350-1,"")</f>
        <v/>
      </c>
      <c r="S350" s="109" t="n">
        <v>180867</v>
      </c>
      <c r="T350" s="109" t="n">
        <v>18</v>
      </c>
      <c r="U350" s="109" t="n">
        <v>4.3</v>
      </c>
      <c r="V350" s="109" t="n">
        <v>1032</v>
      </c>
      <c r="W350" s="109" t="n">
        <v>16567</v>
      </c>
      <c r="X350" s="109" t="n">
        <v>0.8554338745699279</v>
      </c>
      <c r="Y350" s="109" t="n"/>
      <c r="Z350" s="109" t="n"/>
      <c r="AA350" s="109" t="n"/>
      <c r="AB350" s="109" t="n">
        <v>1.017857142857143</v>
      </c>
      <c r="AC350" s="109" t="inlineStr">
        <is>
          <t>US SL Satin 6pc</t>
        </is>
      </c>
      <c r="AD350" s="109">
        <f>'US SL Satin 6pc'!BC166</f>
        <v/>
      </c>
      <c r="AE350" s="109">
        <f>'US SL Satin 6pc'!BF166</f>
        <v/>
      </c>
      <c r="AF350" s="109" t="n"/>
      <c r="AG350" s="109" t="n"/>
    </row>
    <row r="351">
      <c r="A351" s="109">
        <f>AND(OR(Dashboard!$C$4="All",Dashboard!$C$4=D351),OR(Dashboard!$C$5="All",Dashboard!$C$5=E351),OR(Dashboard!$C$6="All",Dashboard!$C$6=G351),OR(Dashboard!$C$7="All",Dashboard!$C$7=H351),OR(Dashboard!$C$8="All",Dashboard!$C$8=F351))</f>
        <v/>
      </c>
      <c r="B351" s="109">
        <f>IF(A351,B350+1,B350)</f>
        <v/>
      </c>
      <c r="C351" s="109" t="n">
        <v>74</v>
      </c>
      <c r="D351" s="109" t="inlineStr">
        <is>
          <t>SL Satin 6pc</t>
        </is>
      </c>
      <c r="E351" s="109" t="inlineStr">
        <is>
          <t>US</t>
        </is>
      </c>
      <c r="F351" s="109" t="inlineStr">
        <is>
          <t>Satin</t>
        </is>
      </c>
      <c r="G351" s="109" t="inlineStr">
        <is>
          <t>Madison Park</t>
        </is>
      </c>
      <c r="H351" s="109" t="inlineStr">
        <is>
          <t>Untiered</t>
        </is>
      </c>
      <c r="I351" s="109" t="inlineStr">
        <is>
          <t>Satin Sheets</t>
        </is>
      </c>
      <c r="J351" s="109" t="inlineStr">
        <is>
          <t>https://images-na.ssl-images-amazon.com/images/I/81HS7e6wrTL.jpg</t>
        </is>
      </c>
      <c r="K351" s="109" t="inlineStr">
        <is>
          <t>B0DJ2HJ9M4</t>
        </is>
      </c>
      <c r="L351" s="109" t="inlineStr">
        <is>
          <t>B09HVCPNLX</t>
        </is>
      </c>
      <c r="M351" s="109" t="n">
        <v>44</v>
      </c>
      <c r="N351" s="109" t="n">
        <v>26.99</v>
      </c>
      <c r="O351" s="109" t="n"/>
      <c r="P351" s="109">
        <f>IF(AND(ISNUMBER(O351),ISNUMBER(N351),N(N351)&gt;0),O351/N351-1,"")</f>
        <v/>
      </c>
      <c r="Q351" s="109" t="n"/>
      <c r="R351" s="109">
        <f>IF(AND(ISNUMBER(N351),ISNUMBER(Q351),N(Q351)&gt;0),N351/Q351-1,"")</f>
        <v/>
      </c>
      <c r="S351" s="109" t="n">
        <v>76753</v>
      </c>
      <c r="T351" s="109" t="n">
        <v>18</v>
      </c>
      <c r="U351" s="109" t="n">
        <v>4.5</v>
      </c>
      <c r="V351" s="109" t="n">
        <v>127</v>
      </c>
      <c r="W351" s="109" t="n">
        <v>35631</v>
      </c>
      <c r="X351" s="109" t="n">
        <v>0.9497345738261626</v>
      </c>
      <c r="Y351" s="109" t="n"/>
      <c r="Z351" s="109" t="n"/>
      <c r="AA351" s="109" t="n"/>
      <c r="AB351" s="109" t="n">
        <v>0.6901408450704226</v>
      </c>
      <c r="AC351" s="109" t="inlineStr">
        <is>
          <t>US SL Satin 6pc</t>
        </is>
      </c>
      <c r="AD351" s="109">
        <f>'US SL Satin 6pc'!BC167</f>
        <v/>
      </c>
      <c r="AE351" s="109">
        <f>'US SL Satin 6pc'!BF167</f>
        <v/>
      </c>
      <c r="AF351" s="109" t="n"/>
      <c r="AG351" s="109" t="n"/>
    </row>
    <row r="352">
      <c r="A352" s="109">
        <f>AND(OR(Dashboard!$C$4="All",Dashboard!$C$4=D352),OR(Dashboard!$C$5="All",Dashboard!$C$5=E352),OR(Dashboard!$C$6="All",Dashboard!$C$6=G352),OR(Dashboard!$C$7="All",Dashboard!$C$7=H352),OR(Dashboard!$C$8="All",Dashboard!$C$8=F352))</f>
        <v/>
      </c>
      <c r="B352" s="109">
        <f>IF(A352,B351+1,B351)</f>
        <v/>
      </c>
      <c r="C352" s="109" t="n">
        <v>74</v>
      </c>
      <c r="D352" s="109" t="inlineStr">
        <is>
          <t>SL Satin 6pc</t>
        </is>
      </c>
      <c r="E352" s="109" t="inlineStr">
        <is>
          <t>US</t>
        </is>
      </c>
      <c r="F352" s="109" t="inlineStr">
        <is>
          <t>Satin</t>
        </is>
      </c>
      <c r="G352" s="109" t="inlineStr">
        <is>
          <t>MK Home</t>
        </is>
      </c>
      <c r="H352" s="109" t="inlineStr">
        <is>
          <t>Untiered</t>
        </is>
      </c>
      <c r="I352" s="109" t="inlineStr">
        <is>
          <t>Satin Sheets</t>
        </is>
      </c>
      <c r="J352" s="109" t="n"/>
      <c r="K352" s="109" t="inlineStr">
        <is>
          <t>B07H522QXD</t>
        </is>
      </c>
      <c r="L352" s="109" t="inlineStr">
        <is>
          <t>B07FGFRZ94</t>
        </is>
      </c>
      <c r="M352" s="109" t="n"/>
      <c r="N352" s="109" t="n">
        <v>18.99</v>
      </c>
      <c r="O352" s="109" t="n"/>
      <c r="P352" s="109">
        <f>IF(AND(ISNUMBER(O352),ISNUMBER(N352),N(N352)&gt;0),O352/N352-1,"")</f>
        <v/>
      </c>
      <c r="Q352" s="109" t="n"/>
      <c r="R352" s="109">
        <f>IF(AND(ISNUMBER(N352),ISNUMBER(Q352),N(Q352)&gt;0),N352/Q352-1,"")</f>
        <v/>
      </c>
      <c r="S352" s="109" t="n">
        <v>59039</v>
      </c>
      <c r="T352" s="109" t="n">
        <v>18</v>
      </c>
      <c r="U352" s="109" t="n">
        <v>4.3</v>
      </c>
      <c r="V352" s="109" t="n">
        <v>10761</v>
      </c>
      <c r="W352" s="109" t="n"/>
      <c r="X352" s="109" t="n"/>
      <c r="Y352" s="109" t="n"/>
      <c r="Z352" s="109" t="n"/>
      <c r="AA352" s="109" t="n"/>
      <c r="AB352" s="109" t="n"/>
      <c r="AC352" s="109" t="inlineStr">
        <is>
          <t>US SL Satin 6pc</t>
        </is>
      </c>
      <c r="AD352" s="109">
        <f>'US SL Satin 6pc'!BC168</f>
        <v/>
      </c>
      <c r="AE352" s="109">
        <f>'US SL Satin 6pc'!BF168</f>
        <v/>
      </c>
      <c r="AF352" s="109" t="n"/>
      <c r="AG352" s="109" t="n"/>
    </row>
    <row r="353">
      <c r="A353" s="109">
        <f>AND(OR(Dashboard!$C$4="All",Dashboard!$C$4=D353),OR(Dashboard!$C$5="All",Dashboard!$C$5=E353),OR(Dashboard!$C$6="All",Dashboard!$C$6=G353),OR(Dashboard!$C$7="All",Dashboard!$C$7=H353),OR(Dashboard!$C$8="All",Dashboard!$C$8=F353))</f>
        <v/>
      </c>
      <c r="B353" s="109">
        <f>IF(A353,B352+1,B352)</f>
        <v/>
      </c>
      <c r="C353" s="109" t="n">
        <v>74</v>
      </c>
      <c r="D353" s="109" t="inlineStr">
        <is>
          <t>SL Satin 6pc</t>
        </is>
      </c>
      <c r="E353" s="109" t="inlineStr">
        <is>
          <t>US</t>
        </is>
      </c>
      <c r="F353" s="109" t="inlineStr">
        <is>
          <t>Satin</t>
        </is>
      </c>
      <c r="G353" s="109" t="inlineStr">
        <is>
          <t>VACVELT</t>
        </is>
      </c>
      <c r="H353" s="109" t="inlineStr">
        <is>
          <t>Untiered</t>
        </is>
      </c>
      <c r="I353" s="109" t="inlineStr">
        <is>
          <t>Satin Sheets</t>
        </is>
      </c>
      <c r="J353" s="109" t="n"/>
      <c r="K353" s="109" t="inlineStr">
        <is>
          <t>B0F7XQDVJY</t>
        </is>
      </c>
      <c r="L353" s="109" t="inlineStr">
        <is>
          <t>B0F7XRNKQY</t>
        </is>
      </c>
      <c r="M353" s="109" t="n">
        <v>31</v>
      </c>
      <c r="N353" s="109" t="n">
        <v>17.99</v>
      </c>
      <c r="O353" s="109" t="n"/>
      <c r="P353" s="109">
        <f>IF(AND(ISNUMBER(O353),ISNUMBER(N353),N(N353)&gt;0),O353/N353-1,"")</f>
        <v/>
      </c>
      <c r="Q353" s="109" t="n"/>
      <c r="R353" s="109">
        <f>IF(AND(ISNUMBER(N353),ISNUMBER(Q353),N(Q353)&gt;0),N353/Q353-1,"")</f>
        <v/>
      </c>
      <c r="S353" s="109" t="n">
        <v>79028</v>
      </c>
      <c r="T353" s="109" t="n">
        <v>18</v>
      </c>
      <c r="U353" s="109" t="n">
        <v>4.4</v>
      </c>
      <c r="V353" s="109" t="n">
        <v>209</v>
      </c>
      <c r="W353" s="109" t="n">
        <v>21912</v>
      </c>
      <c r="X353" s="109" t="n">
        <v>0.9845742834976268</v>
      </c>
      <c r="Y353" s="109" t="n"/>
      <c r="Z353" s="109" t="n"/>
      <c r="AA353" s="109" t="n"/>
      <c r="AB353" s="109" t="n">
        <v>1.707818930041152</v>
      </c>
      <c r="AC353" s="109" t="inlineStr">
        <is>
          <t>US SL Satin 6pc</t>
        </is>
      </c>
      <c r="AD353" s="109">
        <f>'US SL Satin 6pc'!BC169</f>
        <v/>
      </c>
      <c r="AE353" s="109">
        <f>'US SL Satin 6pc'!BF169</f>
        <v/>
      </c>
      <c r="AF353" s="109" t="n"/>
      <c r="AG353" s="109" t="n"/>
    </row>
    <row r="354">
      <c r="A354" s="109">
        <f>AND(OR(Dashboard!$C$4="All",Dashboard!$C$4=D354),OR(Dashboard!$C$5="All",Dashboard!$C$5=E354),OR(Dashboard!$C$6="All",Dashboard!$C$6=G354),OR(Dashboard!$C$7="All",Dashboard!$C$7=H354),OR(Dashboard!$C$8="All",Dashboard!$C$8=F354))</f>
        <v/>
      </c>
      <c r="B354" s="109">
        <f>IF(A354,B353+1,B353)</f>
        <v/>
      </c>
      <c r="C354" s="109" t="n">
        <v>74</v>
      </c>
      <c r="D354" s="109" t="inlineStr">
        <is>
          <t>SL Satin 6pc</t>
        </is>
      </c>
      <c r="E354" s="109" t="inlineStr">
        <is>
          <t>US</t>
        </is>
      </c>
      <c r="F354" s="109" t="inlineStr">
        <is>
          <t>Satin</t>
        </is>
      </c>
      <c r="G354" s="109" t="inlineStr">
        <is>
          <t>Candoury</t>
        </is>
      </c>
      <c r="H354" s="109" t="inlineStr">
        <is>
          <t>Untiered</t>
        </is>
      </c>
      <c r="I354" s="109" t="inlineStr">
        <is>
          <t>Satin Sheets</t>
        </is>
      </c>
      <c r="J354" s="109" t="n"/>
      <c r="K354" s="109" t="inlineStr">
        <is>
          <t>B08RHZ9TMQ</t>
        </is>
      </c>
      <c r="L354" s="109" t="inlineStr">
        <is>
          <t>B08JKWGXZ9</t>
        </is>
      </c>
      <c r="M354" s="109" t="n"/>
      <c r="N354" s="109" t="n">
        <v>15.99</v>
      </c>
      <c r="O354" s="109" t="n"/>
      <c r="P354" s="109">
        <f>IF(AND(ISNUMBER(O354),ISNUMBER(N354),N(N354)&gt;0),O354/N354-1,"")</f>
        <v/>
      </c>
      <c r="Q354" s="109" t="n"/>
      <c r="R354" s="109">
        <f>IF(AND(ISNUMBER(N354),ISNUMBER(Q354),N(Q354)&gt;0),N354/Q354-1,"")</f>
        <v/>
      </c>
      <c r="S354" s="109" t="n">
        <v>420044</v>
      </c>
      <c r="T354" s="109" t="n">
        <v>5</v>
      </c>
      <c r="U354" s="109" t="n">
        <v>4.3</v>
      </c>
      <c r="V354" s="109" t="n">
        <v>5277</v>
      </c>
      <c r="W354" s="109" t="n"/>
      <c r="X354" s="109" t="n"/>
      <c r="Y354" s="109" t="n"/>
      <c r="Z354" s="109" t="n"/>
      <c r="AA354" s="109" t="n"/>
      <c r="AB354" s="109" t="n"/>
      <c r="AC354" s="109" t="inlineStr">
        <is>
          <t>US SL Satin 6pc</t>
        </is>
      </c>
      <c r="AD354" s="109">
        <f>'US SL Satin 6pc'!BC170</f>
        <v/>
      </c>
      <c r="AE354" s="109">
        <f>'US SL Satin 6pc'!BF170</f>
        <v/>
      </c>
      <c r="AF354" s="109" t="n"/>
      <c r="AG354" s="109" t="n"/>
    </row>
    <row r="355">
      <c r="A355" s="109">
        <f>AND(OR(Dashboard!$C$4="All",Dashboard!$C$4=D355),OR(Dashboard!$C$5="All",Dashboard!$C$5=E355),OR(Dashboard!$C$6="All",Dashboard!$C$6=G355),OR(Dashboard!$C$7="All",Dashboard!$C$7=H355),OR(Dashboard!$C$8="All",Dashboard!$C$8=F355))</f>
        <v/>
      </c>
      <c r="B355" s="109">
        <f>IF(A355,B354+1,B354)</f>
        <v/>
      </c>
      <c r="C355" s="109" t="n">
        <v>74</v>
      </c>
      <c r="D355" s="109" t="inlineStr">
        <is>
          <t>SL Satin 6pc</t>
        </is>
      </c>
      <c r="E355" s="109" t="inlineStr">
        <is>
          <t>US</t>
        </is>
      </c>
      <c r="F355" s="109" t="inlineStr">
        <is>
          <t>Satin</t>
        </is>
      </c>
      <c r="G355" s="109" t="inlineStr">
        <is>
          <t>Homiest</t>
        </is>
      </c>
      <c r="H355" s="109" t="inlineStr">
        <is>
          <t>Untiered</t>
        </is>
      </c>
      <c r="I355" s="109" t="inlineStr">
        <is>
          <t>Satin Sheets</t>
        </is>
      </c>
      <c r="J355" s="109" t="inlineStr">
        <is>
          <t>https://images-na.ssl-images-amazon.com/images/I/71Upo7a638S.jpg</t>
        </is>
      </c>
      <c r="K355" s="109" t="inlineStr">
        <is>
          <t>B07XBR22W1</t>
        </is>
      </c>
      <c r="L355" s="109" t="inlineStr">
        <is>
          <t>B0B5Z2B9NN</t>
        </is>
      </c>
      <c r="M355" s="109" t="n">
        <v>70</v>
      </c>
      <c r="N355" s="109" t="n">
        <v>21.99</v>
      </c>
      <c r="O355" s="109" t="n">
        <v>25.99</v>
      </c>
      <c r="P355" s="109">
        <f>IF(AND(ISNUMBER(O355),ISNUMBER(N355),N(N355)&gt;0),O355/N355-1,"")</f>
        <v/>
      </c>
      <c r="Q355" s="109" t="n"/>
      <c r="R355" s="109">
        <f>IF(AND(ISNUMBER(N355),ISNUMBER(Q355),N(Q355)&gt;0),N355/Q355-1,"")</f>
        <v/>
      </c>
      <c r="S355" s="109" t="n">
        <v>28165</v>
      </c>
      <c r="T355" s="109" t="n">
        <v>5</v>
      </c>
      <c r="U355" s="109" t="n">
        <v>4.4</v>
      </c>
      <c r="V355" s="109" t="n">
        <v>12125</v>
      </c>
      <c r="W355" s="109" t="n">
        <v>20002</v>
      </c>
      <c r="X355" s="109" t="n">
        <v>1</v>
      </c>
      <c r="Y355" s="109" t="n"/>
      <c r="Z355" s="109" t="n"/>
      <c r="AA355" s="109" t="n"/>
      <c r="AB355" s="109" t="n"/>
      <c r="AC355" s="109" t="inlineStr">
        <is>
          <t>US SL Satin 6pc</t>
        </is>
      </c>
      <c r="AD355" s="109">
        <f>'US SL Satin 6pc'!BC171</f>
        <v/>
      </c>
      <c r="AE355" s="109">
        <f>'US SL Satin 6pc'!BF171</f>
        <v/>
      </c>
      <c r="AF355" s="109" t="n"/>
      <c r="AG355" s="109" t="n"/>
    </row>
    <row r="356">
      <c r="A356" s="109">
        <f>AND(OR(Dashboard!$C$4="All",Dashboard!$C$4=D356),OR(Dashboard!$C$5="All",Dashboard!$C$5=E356),OR(Dashboard!$C$6="All",Dashboard!$C$6=G356),OR(Dashboard!$C$7="All",Dashboard!$C$7=H356),OR(Dashboard!$C$8="All",Dashboard!$C$8=F356))</f>
        <v/>
      </c>
      <c r="B356" s="109">
        <f>IF(A356,B355+1,B355)</f>
        <v/>
      </c>
      <c r="C356" s="109" t="n">
        <v>74</v>
      </c>
      <c r="D356" s="109" t="inlineStr">
        <is>
          <t>SL Satin 6pc</t>
        </is>
      </c>
      <c r="E356" s="109" t="inlineStr">
        <is>
          <t>US</t>
        </is>
      </c>
      <c r="F356" s="109" t="inlineStr">
        <is>
          <t>Satin</t>
        </is>
      </c>
      <c r="G356" s="109" t="inlineStr">
        <is>
          <t>Manyshofu</t>
        </is>
      </c>
      <c r="H356" s="109" t="inlineStr">
        <is>
          <t>Untiered</t>
        </is>
      </c>
      <c r="I356" s="109" t="inlineStr">
        <is>
          <t>Satin Sheets</t>
        </is>
      </c>
      <c r="J356" s="109" t="n"/>
      <c r="K356" s="109" t="inlineStr">
        <is>
          <t>B09YQW7HBK</t>
        </is>
      </c>
      <c r="L356" s="109" t="inlineStr">
        <is>
          <t>B09S5RNLN9</t>
        </is>
      </c>
      <c r="M356" s="109" t="n"/>
      <c r="N356" s="109" t="n">
        <v>28.99</v>
      </c>
      <c r="O356" s="109" t="n"/>
      <c r="P356" s="109">
        <f>IF(AND(ISNUMBER(O356),ISNUMBER(N356),N(N356)&gt;0),O356/N356-1,"")</f>
        <v/>
      </c>
      <c r="Q356" s="109" t="n"/>
      <c r="R356" s="109">
        <f>IF(AND(ISNUMBER(N356),ISNUMBER(Q356),N(Q356)&gt;0),N356/Q356-1,"")</f>
        <v/>
      </c>
      <c r="S356" s="109" t="n">
        <v>300374</v>
      </c>
      <c r="T356" s="109" t="n">
        <v>5</v>
      </c>
      <c r="U356" s="109" t="n">
        <v>4.3</v>
      </c>
      <c r="V356" s="109" t="n">
        <v>907</v>
      </c>
      <c r="W356" s="109" t="n"/>
      <c r="X356" s="109" t="n"/>
      <c r="Y356" s="109" t="n"/>
      <c r="Z356" s="109" t="n"/>
      <c r="AA356" s="109" t="n"/>
      <c r="AB356" s="109" t="n"/>
      <c r="AC356" s="109" t="inlineStr">
        <is>
          <t>US SL Satin 6pc</t>
        </is>
      </c>
      <c r="AD356" s="109">
        <f>'US SL Satin 6pc'!BC172</f>
        <v/>
      </c>
      <c r="AE356" s="109">
        <f>'US SL Satin 6pc'!BF172</f>
        <v/>
      </c>
      <c r="AF356" s="109" t="n"/>
      <c r="AG356" s="109" t="n"/>
    </row>
    <row r="357">
      <c r="A357" s="109">
        <f>AND(OR(Dashboard!$C$4="All",Dashboard!$C$4=D357),OR(Dashboard!$C$5="All",Dashboard!$C$5=E357),OR(Dashboard!$C$6="All",Dashboard!$C$6=G357),OR(Dashboard!$C$7="All",Dashboard!$C$7=H357),OR(Dashboard!$C$8="All",Dashboard!$C$8=F357))</f>
        <v/>
      </c>
      <c r="B357" s="109">
        <f>IF(A357,B356+1,B356)</f>
        <v/>
      </c>
      <c r="C357" s="109" t="n">
        <v>74</v>
      </c>
      <c r="D357" s="109" t="inlineStr">
        <is>
          <t>SL Satin 6pc</t>
        </is>
      </c>
      <c r="E357" s="109" t="inlineStr">
        <is>
          <t>US</t>
        </is>
      </c>
      <c r="F357" s="109" t="inlineStr">
        <is>
          <t>Satin</t>
        </is>
      </c>
      <c r="G357" s="109" t="inlineStr">
        <is>
          <t>Martex</t>
        </is>
      </c>
      <c r="H357" s="109" t="inlineStr">
        <is>
          <t>Untiered</t>
        </is>
      </c>
      <c r="I357" s="109" t="inlineStr">
        <is>
          <t>Satin Sheets</t>
        </is>
      </c>
      <c r="J357" s="109" t="n"/>
      <c r="K357" s="109" t="inlineStr">
        <is>
          <t>B0DLGX8P9D</t>
        </is>
      </c>
      <c r="L357" s="109" t="inlineStr">
        <is>
          <t>B07X49LFDC</t>
        </is>
      </c>
      <c r="M357" s="109" t="n"/>
      <c r="N357" s="109" t="n">
        <v>25.99</v>
      </c>
      <c r="O357" s="109" t="n"/>
      <c r="P357" s="109">
        <f>IF(AND(ISNUMBER(O357),ISNUMBER(N357),N(N357)&gt;0),O357/N357-1,"")</f>
        <v/>
      </c>
      <c r="Q357" s="109" t="n"/>
      <c r="R357" s="109">
        <f>IF(AND(ISNUMBER(N357),ISNUMBER(Q357),N(Q357)&gt;0),N357/Q357-1,"")</f>
        <v/>
      </c>
      <c r="S357" s="109" t="n">
        <v>52458</v>
      </c>
      <c r="T357" s="109" t="n">
        <v>5</v>
      </c>
      <c r="U357" s="109" t="n">
        <v>4.3</v>
      </c>
      <c r="V357" s="109" t="n">
        <v>2260</v>
      </c>
      <c r="W357" s="109" t="n"/>
      <c r="X357" s="109" t="n"/>
      <c r="Y357" s="109" t="n"/>
      <c r="Z357" s="109" t="n"/>
      <c r="AA357" s="109" t="n"/>
      <c r="AB357" s="109" t="n"/>
      <c r="AC357" s="109" t="inlineStr">
        <is>
          <t>US SL Satin 6pc</t>
        </is>
      </c>
      <c r="AD357" s="109">
        <f>'US SL Satin 6pc'!BC173</f>
        <v/>
      </c>
      <c r="AE357" s="109">
        <f>'US SL Satin 6pc'!BF173</f>
        <v/>
      </c>
      <c r="AF357" s="109" t="n"/>
      <c r="AG357" s="109" t="n"/>
    </row>
    <row r="358">
      <c r="A358" s="109">
        <f>AND(OR(Dashboard!$C$4="All",Dashboard!$C$4=D358),OR(Dashboard!$C$5="All",Dashboard!$C$5=E358),OR(Dashboard!$C$6="All",Dashboard!$C$6=G358),OR(Dashboard!$C$7="All",Dashboard!$C$7=H358),OR(Dashboard!$C$8="All",Dashboard!$C$8=F358))</f>
        <v/>
      </c>
      <c r="B358" s="109">
        <f>IF(A358,B357+1,B357)</f>
        <v/>
      </c>
      <c r="C358" s="109" t="n">
        <v>38</v>
      </c>
      <c r="D358" s="109" t="inlineStr">
        <is>
          <t>DC Satin Fitted</t>
        </is>
      </c>
      <c r="E358" s="109" t="inlineStr">
        <is>
          <t>US</t>
        </is>
      </c>
      <c r="F358" s="109" t="inlineStr">
        <is>
          <t>Satin</t>
        </is>
      </c>
      <c r="G358" s="109" t="inlineStr">
        <is>
          <t>BEDELITE</t>
        </is>
      </c>
      <c r="H358" s="109" t="inlineStr">
        <is>
          <t>Beatable</t>
        </is>
      </c>
      <c r="I358" s="109" t="inlineStr">
        <is>
          <t>Satin Fitted Sheet</t>
        </is>
      </c>
      <c r="J358" s="109" t="n"/>
      <c r="K358" s="109" t="inlineStr">
        <is>
          <t>B0FNMFHHW7</t>
        </is>
      </c>
      <c r="L358" s="109" t="inlineStr">
        <is>
          <t>B0FL2BK9CR</t>
        </is>
      </c>
      <c r="M358" s="109" t="n">
        <v>30</v>
      </c>
      <c r="N358" s="109" t="n">
        <v>13.99</v>
      </c>
      <c r="O358" s="109" t="n"/>
      <c r="P358" s="109">
        <f>IF(AND(ISNUMBER(O358),ISNUMBER(N358),N(N358)&gt;0),O358/N358-1,"")</f>
        <v/>
      </c>
      <c r="Q358" s="109" t="n">
        <v>21.95</v>
      </c>
      <c r="R358" s="109">
        <f>IF(AND(ISNUMBER(N358),ISNUMBER(Q358),N(Q358)&gt;0),N358/Q358-1,"")</f>
        <v/>
      </c>
      <c r="S358" s="109" t="n">
        <v>11489</v>
      </c>
      <c r="T358" s="109" t="n">
        <v>208</v>
      </c>
      <c r="U358" s="109" t="n">
        <v>4.4</v>
      </c>
      <c r="V358" s="109" t="n">
        <v>528</v>
      </c>
      <c r="W358" s="109" t="n">
        <v>91747</v>
      </c>
      <c r="X358" s="109" t="n">
        <v>0.6396661122434514</v>
      </c>
      <c r="Y358" s="109" t="n">
        <v>171</v>
      </c>
      <c r="Z358" s="109" t="n">
        <v>219</v>
      </c>
      <c r="AA358" s="109" t="n">
        <v>93</v>
      </c>
      <c r="AB358" s="109" t="n">
        <v>1.227166276346604</v>
      </c>
      <c r="AC358" s="109" t="inlineStr">
        <is>
          <t>US DC Satin Fitted</t>
        </is>
      </c>
      <c r="AD358" s="109">
        <f>'US DC Satin Fitted'!BC106</f>
        <v/>
      </c>
      <c r="AE358" s="109">
        <f>'US DC Satin Fitted'!BF106</f>
        <v/>
      </c>
      <c r="AF358" s="109" t="n"/>
      <c r="AG358" s="109" t="n"/>
    </row>
    <row r="359">
      <c r="A359" s="109">
        <f>AND(OR(Dashboard!$C$4="All",Dashboard!$C$4=D359),OR(Dashboard!$C$5="All",Dashboard!$C$5=E359),OR(Dashboard!$C$6="All",Dashboard!$C$6=G359),OR(Dashboard!$C$7="All",Dashboard!$C$7=H359),OR(Dashboard!$C$8="All",Dashboard!$C$8=F359))</f>
        <v/>
      </c>
      <c r="B359" s="109">
        <f>IF(A359,B358+1,B358)</f>
        <v/>
      </c>
      <c r="C359" s="109" t="n">
        <v>38</v>
      </c>
      <c r="D359" s="109" t="inlineStr">
        <is>
          <t>DC Satin Fitted</t>
        </is>
      </c>
      <c r="E359" s="109" t="inlineStr">
        <is>
          <t>US</t>
        </is>
      </c>
      <c r="F359" s="109" t="inlineStr">
        <is>
          <t>Satin</t>
        </is>
      </c>
      <c r="G359" s="109" t="inlineStr">
        <is>
          <t>BEDELITE</t>
        </is>
      </c>
      <c r="H359" s="109" t="inlineStr">
        <is>
          <t>Beatable</t>
        </is>
      </c>
      <c r="I359" s="109" t="inlineStr">
        <is>
          <t>BEDELITE Satin Queen Fitted Sheet &amp; Pillowcases Set, Black, 3 Pieces</t>
        </is>
      </c>
      <c r="J359" s="109" t="inlineStr">
        <is>
          <t>https://images-na.ssl-images-amazon.com/images/I/71Jlvkv3rfL.jpg</t>
        </is>
      </c>
      <c r="K359" s="109" t="inlineStr">
        <is>
          <t>B0FPCM7DL3</t>
        </is>
      </c>
      <c r="L359" s="109" t="inlineStr">
        <is>
          <t>B0CSFV4FXW</t>
        </is>
      </c>
      <c r="M359" s="109" t="n">
        <v>107</v>
      </c>
      <c r="N359" s="109" t="n">
        <v>15.98</v>
      </c>
      <c r="O359" s="109" t="n">
        <v>19.99</v>
      </c>
      <c r="P359" s="109">
        <f>IF(AND(ISNUMBER(O359),ISNUMBER(N359),N(N359)&gt;0),O359/N359-1,"")</f>
        <v/>
      </c>
      <c r="Q359" s="109" t="n">
        <v>21.95</v>
      </c>
      <c r="R359" s="109">
        <f>IF(AND(ISNUMBER(N359),ISNUMBER(Q359),N(Q359)&gt;0),N359/Q359-1,"")</f>
        <v/>
      </c>
      <c r="S359" s="109" t="n">
        <v>4306</v>
      </c>
      <c r="T359" s="109" t="n">
        <v>208</v>
      </c>
      <c r="U359" s="109" t="n">
        <v>4.4</v>
      </c>
      <c r="V359" s="109" t="n">
        <v>1858</v>
      </c>
      <c r="W359" s="109" t="n">
        <v>179643</v>
      </c>
      <c r="X359" s="109" t="n">
        <v>0.4557323781054652</v>
      </c>
      <c r="Y359" s="109" t="n">
        <v>197</v>
      </c>
      <c r="Z359" s="109" t="n">
        <v>259</v>
      </c>
      <c r="AA359" s="109" t="n">
        <v>499</v>
      </c>
      <c r="AB359" s="109" t="n">
        <v>1.118721461187214</v>
      </c>
      <c r="AC359" s="109" t="inlineStr">
        <is>
          <t>US DC Satin Fitted</t>
        </is>
      </c>
      <c r="AD359" s="109">
        <f>'US DC Satin Fitted'!BC107</f>
        <v/>
      </c>
      <c r="AE359" s="109">
        <f>'US DC Satin Fitted'!BF107</f>
        <v/>
      </c>
      <c r="AF359" s="109" t="inlineStr">
        <is>
          <t>Queen</t>
        </is>
      </c>
      <c r="AG359" s="109" t="inlineStr">
        <is>
          <t>Black</t>
        </is>
      </c>
    </row>
    <row r="360">
      <c r="A360" s="109">
        <f>AND(OR(Dashboard!$C$4="All",Dashboard!$C$4=D360),OR(Dashboard!$C$5="All",Dashboard!$C$5=E360),OR(Dashboard!$C$6="All",Dashboard!$C$6=G360),OR(Dashboard!$C$7="All",Dashboard!$C$7=H360),OR(Dashboard!$C$8="All",Dashboard!$C$8=F360))</f>
        <v/>
      </c>
      <c r="B360" s="109">
        <f>IF(A360,B359+1,B359)</f>
        <v/>
      </c>
      <c r="C360" s="109" t="n">
        <v>38</v>
      </c>
      <c r="D360" s="109" t="inlineStr">
        <is>
          <t>DC Satin Fitted</t>
        </is>
      </c>
      <c r="E360" s="109" t="inlineStr">
        <is>
          <t>US</t>
        </is>
      </c>
      <c r="F360" s="109" t="inlineStr">
        <is>
          <t>Satin</t>
        </is>
      </c>
      <c r="G360" s="109" t="inlineStr">
        <is>
          <t>VACVELT</t>
        </is>
      </c>
      <c r="H360" s="109" t="inlineStr">
        <is>
          <t>Beatable</t>
        </is>
      </c>
      <c r="I360" s="109" t="inlineStr">
        <is>
          <t>VACVELT 3pcs Queen Black Extra Deep Pocket Satin Fitted Sheet Set</t>
        </is>
      </c>
      <c r="J360" s="109" t="inlineStr">
        <is>
          <t>https://images-na.ssl-images-amazon.com/images/I/71d2-R2XfJL.jpg</t>
        </is>
      </c>
      <c r="K360" s="109" t="inlineStr">
        <is>
          <t>B0BWJ4PYLN</t>
        </is>
      </c>
      <c r="L360" s="109" t="inlineStr">
        <is>
          <t>B0BWJ4MLLZ</t>
        </is>
      </c>
      <c r="M360" s="109" t="n">
        <v>40</v>
      </c>
      <c r="N360" s="109" t="n">
        <v>18.99</v>
      </c>
      <c r="O360" s="109" t="n"/>
      <c r="P360" s="109">
        <f>IF(AND(ISNUMBER(O360),ISNUMBER(N360),N(N360)&gt;0),O360/N360-1,"")</f>
        <v/>
      </c>
      <c r="Q360" s="109" t="n">
        <v>21.95</v>
      </c>
      <c r="R360" s="109">
        <f>IF(AND(ISNUMBER(N360),ISNUMBER(Q360),N(Q360)&gt;0),N360/Q360-1,"")</f>
        <v/>
      </c>
      <c r="S360" s="109" t="n">
        <v>49291</v>
      </c>
      <c r="T360" s="109" t="n">
        <v>92</v>
      </c>
      <c r="U360" s="109" t="n">
        <v>4.2</v>
      </c>
      <c r="V360" s="109" t="n">
        <v>747</v>
      </c>
      <c r="W360" s="109" t="n">
        <v>25451</v>
      </c>
      <c r="X360" s="109" t="n">
        <v>0.9999606773800636</v>
      </c>
      <c r="Y360" s="109" t="n">
        <v>180</v>
      </c>
      <c r="Z360" s="109" t="n">
        <v>69</v>
      </c>
      <c r="AA360" s="109" t="n">
        <v>1</v>
      </c>
      <c r="AB360" s="109" t="n">
        <v>1.145341614906832</v>
      </c>
      <c r="AC360" s="109" t="inlineStr">
        <is>
          <t>US DC Satin Fitted</t>
        </is>
      </c>
      <c r="AD360" s="109">
        <f>'US DC Satin Fitted'!BC108</f>
        <v/>
      </c>
      <c r="AE360" s="109">
        <f>'US DC Satin Fitted'!BF108</f>
        <v/>
      </c>
      <c r="AF360" s="109" t="inlineStr">
        <is>
          <t>Queen</t>
        </is>
      </c>
      <c r="AG360" s="109" t="inlineStr">
        <is>
          <t>Black</t>
        </is>
      </c>
    </row>
    <row r="361">
      <c r="A361" s="109">
        <f>AND(OR(Dashboard!$C$4="All",Dashboard!$C$4=D361),OR(Dashboard!$C$5="All",Dashboard!$C$5=E361),OR(Dashboard!$C$6="All",Dashboard!$C$6=G361),OR(Dashboard!$C$7="All",Dashboard!$C$7=H361),OR(Dashboard!$C$8="All",Dashboard!$C$8=F361))</f>
        <v/>
      </c>
      <c r="B361" s="109">
        <f>IF(A361,B360+1,B360)</f>
        <v/>
      </c>
      <c r="C361" s="109" t="n">
        <v>38</v>
      </c>
      <c r="D361" s="109" t="inlineStr">
        <is>
          <t>DC Satin Fitted</t>
        </is>
      </c>
      <c r="E361" s="109" t="inlineStr">
        <is>
          <t>US</t>
        </is>
      </c>
      <c r="F361" s="109" t="inlineStr">
        <is>
          <t>Satin</t>
        </is>
      </c>
      <c r="G361" s="109" t="inlineStr">
        <is>
          <t>Homiest</t>
        </is>
      </c>
      <c r="H361" s="109" t="inlineStr">
        <is>
          <t>Beatable</t>
        </is>
      </c>
      <c r="I361" s="109" t="inlineStr">
        <is>
          <t>Satin Fitted Sheet</t>
        </is>
      </c>
      <c r="J361" s="109" t="inlineStr">
        <is>
          <t>https://images-na.ssl-images-amazon.com/images/I/81MYmoOAtUL.jpg</t>
        </is>
      </c>
      <c r="K361" s="109" t="inlineStr">
        <is>
          <t>B09WGRB6MD</t>
        </is>
      </c>
      <c r="L361" s="109" t="inlineStr">
        <is>
          <t>B09WHDR231</t>
        </is>
      </c>
      <c r="M361" s="109" t="n">
        <v>55</v>
      </c>
      <c r="N361" s="109" t="n">
        <v>12.99</v>
      </c>
      <c r="O361" s="109" t="n"/>
      <c r="P361" s="109">
        <f>IF(AND(ISNUMBER(O361),ISNUMBER(N361),N(N361)&gt;0),O361/N361-1,"")</f>
        <v/>
      </c>
      <c r="Q361" s="109" t="n">
        <v>21.95</v>
      </c>
      <c r="R361" s="109">
        <f>IF(AND(ISNUMBER(N361),ISNUMBER(Q361),N(Q361)&gt;0),N361/Q361-1,"")</f>
        <v/>
      </c>
      <c r="S361" s="109" t="n">
        <v>18176</v>
      </c>
      <c r="T361" s="109" t="n">
        <v>35</v>
      </c>
      <c r="U361" s="109" t="n">
        <v>4.7</v>
      </c>
      <c r="V361" s="109" t="n">
        <v>357</v>
      </c>
      <c r="W361" s="109" t="n">
        <v>41522</v>
      </c>
      <c r="X361" s="109" t="n">
        <v>0.9561438081017288</v>
      </c>
      <c r="Y361" s="109" t="n">
        <v>221</v>
      </c>
      <c r="Z361" s="109" t="n">
        <v>157</v>
      </c>
      <c r="AA361" s="109" t="n">
        <v>23</v>
      </c>
      <c r="AB361" s="109" t="n">
        <v>0.960591133004926</v>
      </c>
      <c r="AC361" s="109" t="inlineStr">
        <is>
          <t>US DC Satin Fitted</t>
        </is>
      </c>
      <c r="AD361" s="109">
        <f>'US DC Satin Fitted'!BC109</f>
        <v/>
      </c>
      <c r="AE361" s="109">
        <f>'US DC Satin Fitted'!BF109</f>
        <v/>
      </c>
      <c r="AF361" s="109" t="n"/>
      <c r="AG361" s="109" t="n"/>
    </row>
    <row r="362">
      <c r="A362" s="109">
        <f>AND(OR(Dashboard!$C$4="All",Dashboard!$C$4=D362),OR(Dashboard!$C$5="All",Dashboard!$C$5=E362),OR(Dashboard!$C$6="All",Dashboard!$C$6=G362),OR(Dashboard!$C$7="All",Dashboard!$C$7=H362),OR(Dashboard!$C$8="All",Dashboard!$C$8=F362))</f>
        <v/>
      </c>
      <c r="B362" s="109">
        <f>IF(A362,B361+1,B361)</f>
        <v/>
      </c>
      <c r="C362" s="109" t="n">
        <v>38</v>
      </c>
      <c r="D362" s="109" t="inlineStr">
        <is>
          <t>DC Satin Fitted</t>
        </is>
      </c>
      <c r="E362" s="109" t="inlineStr">
        <is>
          <t>US</t>
        </is>
      </c>
      <c r="F362" s="109" t="inlineStr">
        <is>
          <t>Satin</t>
        </is>
      </c>
      <c r="G362" s="109" t="inlineStr">
        <is>
          <t>VACVELT</t>
        </is>
      </c>
      <c r="H362" s="109" t="inlineStr">
        <is>
          <t>Beatable</t>
        </is>
      </c>
      <c r="I362" s="109" t="inlineStr">
        <is>
          <t>Satin Sheets</t>
        </is>
      </c>
      <c r="J362" s="109" t="n"/>
      <c r="K362" s="109" t="inlineStr">
        <is>
          <t>B0F7XQDVJY</t>
        </is>
      </c>
      <c r="L362" s="109" t="inlineStr">
        <is>
          <t>B0F7XRNKQY</t>
        </is>
      </c>
      <c r="M362" s="109" t="n">
        <v>31</v>
      </c>
      <c r="N362" s="109" t="n">
        <v>17.99</v>
      </c>
      <c r="O362" s="109" t="n"/>
      <c r="P362" s="109">
        <f>IF(AND(ISNUMBER(O362),ISNUMBER(N362),N(N362)&gt;0),O362/N362-1,"")</f>
        <v/>
      </c>
      <c r="Q362" s="109" t="n">
        <v>21.95</v>
      </c>
      <c r="R362" s="109">
        <f>IF(AND(ISNUMBER(N362),ISNUMBER(Q362),N(Q362)&gt;0),N362/Q362-1,"")</f>
        <v/>
      </c>
      <c r="S362" s="109" t="n">
        <v>79028</v>
      </c>
      <c r="T362" s="109" t="n">
        <v>18</v>
      </c>
      <c r="U362" s="109" t="n">
        <v>4.4</v>
      </c>
      <c r="V362" s="109" t="n">
        <v>209</v>
      </c>
      <c r="W362" s="109" t="n">
        <v>21912</v>
      </c>
      <c r="X362" s="109" t="n">
        <v>0.9845742834976268</v>
      </c>
      <c r="Y362" s="109" t="n">
        <v>231</v>
      </c>
      <c r="Z362" s="109" t="n">
        <v>85</v>
      </c>
      <c r="AA362" s="109" t="n">
        <v>9</v>
      </c>
      <c r="AB362" s="109" t="n">
        <v>1.707818930041152</v>
      </c>
      <c r="AC362" s="109" t="inlineStr">
        <is>
          <t>US DC Satin Fitted</t>
        </is>
      </c>
      <c r="AD362" s="109">
        <f>'US DC Satin Fitted'!BC110</f>
        <v/>
      </c>
      <c r="AE362" s="109">
        <f>'US DC Satin Fitted'!BF110</f>
        <v/>
      </c>
      <c r="AF362" s="109" t="n"/>
      <c r="AG362" s="109" t="n"/>
    </row>
    <row r="363">
      <c r="A363" s="109">
        <f>AND(OR(Dashboard!$C$4="All",Dashboard!$C$4=D363),OR(Dashboard!$C$5="All",Dashboard!$C$5=E363),OR(Dashboard!$C$6="All",Dashboard!$C$6=G363),OR(Dashboard!$C$7="All",Dashboard!$C$7=H363),OR(Dashboard!$C$8="All",Dashboard!$C$8=F363))</f>
        <v/>
      </c>
      <c r="B363" s="109">
        <f>IF(A363,B362+1,B362)</f>
        <v/>
      </c>
      <c r="C363" s="109" t="n">
        <v>38</v>
      </c>
      <c r="D363" s="109" t="inlineStr">
        <is>
          <t>DC Satin Fitted</t>
        </is>
      </c>
      <c r="E363" s="109" t="inlineStr">
        <is>
          <t>US</t>
        </is>
      </c>
      <c r="F363" s="109" t="inlineStr">
        <is>
          <t>Satin</t>
        </is>
      </c>
      <c r="G363" s="109" t="inlineStr">
        <is>
          <t>NSGZ</t>
        </is>
      </c>
      <c r="H363" s="109" t="inlineStr">
        <is>
          <t>Poor</t>
        </is>
      </c>
      <c r="I363" s="109" t="inlineStr">
        <is>
          <t>Satin Fitted Sheet</t>
        </is>
      </c>
      <c r="J363" s="109" t="n"/>
      <c r="K363" s="109" t="inlineStr">
        <is>
          <t>B0BV1JFXC4</t>
        </is>
      </c>
      <c r="L363" s="109" t="inlineStr">
        <is>
          <t>B0BV1HW54C</t>
        </is>
      </c>
      <c r="M363" s="109" t="n"/>
      <c r="N363" s="109" t="n">
        <v>13.49</v>
      </c>
      <c r="O363" s="109" t="n"/>
      <c r="P363" s="109">
        <f>IF(AND(ISNUMBER(O363),ISNUMBER(N363),N(N363)&gt;0),O363/N363-1,"")</f>
        <v/>
      </c>
      <c r="Q363" s="109" t="n">
        <v>21.95</v>
      </c>
      <c r="R363" s="109">
        <f>IF(AND(ISNUMBER(N363),ISNUMBER(Q363),N(Q363)&gt;0),N363/Q363-1,"")</f>
        <v/>
      </c>
      <c r="S363" s="109" t="n">
        <v>49470</v>
      </c>
      <c r="T363" s="109" t="n">
        <v>81</v>
      </c>
      <c r="U363" s="109" t="n">
        <v>4.4</v>
      </c>
      <c r="V363" s="109" t="n">
        <v>601</v>
      </c>
      <c r="W363" s="109" t="n"/>
      <c r="X363" s="109" t="n"/>
      <c r="Y363" s="109" t="n"/>
      <c r="Z363" s="109" t="n"/>
      <c r="AA363" s="109" t="n"/>
      <c r="AB363" s="109" t="n"/>
      <c r="AC363" s="109" t="inlineStr">
        <is>
          <t>US DC Satin Fitted</t>
        </is>
      </c>
      <c r="AD363" s="109">
        <f>'US DC Satin Fitted'!BC111</f>
        <v/>
      </c>
      <c r="AE363" s="109">
        <f>'US DC Satin Fitted'!BF111</f>
        <v/>
      </c>
      <c r="AF363" s="109" t="n"/>
      <c r="AG363" s="109" t="n"/>
    </row>
    <row r="364">
      <c r="A364" s="109">
        <f>AND(OR(Dashboard!$C$4="All",Dashboard!$C$4=D364),OR(Dashboard!$C$5="All",Dashboard!$C$5=E364),OR(Dashboard!$C$6="All",Dashboard!$C$6=G364),OR(Dashboard!$C$7="All",Dashboard!$C$7=H364),OR(Dashboard!$C$8="All",Dashboard!$C$8=F364))</f>
        <v/>
      </c>
      <c r="B364" s="109">
        <f>IF(A364,B363+1,B363)</f>
        <v/>
      </c>
      <c r="C364" s="109" t="n">
        <v>38</v>
      </c>
      <c r="D364" s="109" t="inlineStr">
        <is>
          <t>DC Satin Fitted</t>
        </is>
      </c>
      <c r="E364" s="109" t="inlineStr">
        <is>
          <t>US</t>
        </is>
      </c>
      <c r="F364" s="109" t="inlineStr">
        <is>
          <t>Satin</t>
        </is>
      </c>
      <c r="G364" s="109" t="inlineStr">
        <is>
          <t>Bedsure</t>
        </is>
      </c>
      <c r="H364" s="109" t="inlineStr">
        <is>
          <t>Poor</t>
        </is>
      </c>
      <c r="I364" s="109" t="inlineStr">
        <is>
          <t>Satin Fitted Sheet</t>
        </is>
      </c>
      <c r="J364" s="109" t="n"/>
      <c r="K364" s="109" t="inlineStr">
        <is>
          <t>B0DG238XCM</t>
        </is>
      </c>
      <c r="L364" s="109" t="inlineStr">
        <is>
          <t>B0DG2HRZKK</t>
        </is>
      </c>
      <c r="M364" s="109" t="n"/>
      <c r="N364" s="109" t="n">
        <v>21.95</v>
      </c>
      <c r="O364" s="109" t="n"/>
      <c r="P364" s="109">
        <f>IF(AND(ISNUMBER(O364),ISNUMBER(N364),N(N364)&gt;0),O364/N364-1,"")</f>
        <v/>
      </c>
      <c r="Q364" s="109" t="n">
        <v>21.95</v>
      </c>
      <c r="R364" s="109">
        <f>IF(AND(ISNUMBER(N364),ISNUMBER(Q364),N(Q364)&gt;0),N364/Q364-1,"")</f>
        <v/>
      </c>
      <c r="S364" s="109" t="n">
        <v>732930</v>
      </c>
      <c r="T364" s="109" t="n">
        <v>5</v>
      </c>
      <c r="U364" s="109" t="n">
        <v>4.5</v>
      </c>
      <c r="V364" s="109" t="n">
        <v>223</v>
      </c>
      <c r="W364" s="109" t="n"/>
      <c r="X364" s="109" t="n"/>
      <c r="Y364" s="109" t="n"/>
      <c r="Z364" s="109" t="n"/>
      <c r="AA364" s="109" t="n"/>
      <c r="AB364" s="109" t="n"/>
      <c r="AC364" s="109" t="inlineStr">
        <is>
          <t>US DC Satin Fitted</t>
        </is>
      </c>
      <c r="AD364" s="109">
        <f>'US DC Satin Fitted'!BC112</f>
        <v/>
      </c>
      <c r="AE364" s="109">
        <f>'US DC Satin Fitted'!BF112</f>
        <v/>
      </c>
      <c r="AF364" s="109" t="n"/>
      <c r="AG364" s="109" t="n"/>
    </row>
    <row r="365">
      <c r="A365" s="109">
        <f>AND(OR(Dashboard!$C$4="All",Dashboard!$C$4=D365),OR(Dashboard!$C$5="All",Dashboard!$C$5=E365),OR(Dashboard!$C$6="All",Dashboard!$C$6=G365),OR(Dashboard!$C$7="All",Dashboard!$C$7=H365),OR(Dashboard!$C$8="All",Dashboard!$C$8=F365))</f>
        <v/>
      </c>
      <c r="B365" s="109">
        <f>IF(A365,B364+1,B364)</f>
        <v/>
      </c>
      <c r="C365" s="109" t="n">
        <v>38</v>
      </c>
      <c r="D365" s="109" t="inlineStr">
        <is>
          <t>DC Satin Fitted</t>
        </is>
      </c>
      <c r="E365" s="109" t="inlineStr">
        <is>
          <t>US</t>
        </is>
      </c>
      <c r="F365" s="109" t="inlineStr">
        <is>
          <t>Satin</t>
        </is>
      </c>
      <c r="G365" s="109" t="inlineStr">
        <is>
          <t>Lirex</t>
        </is>
      </c>
      <c r="H365" s="109" t="inlineStr">
        <is>
          <t>Poor</t>
        </is>
      </c>
      <c r="I365" s="109" t="inlineStr">
        <is>
          <t>Satin Fitted Sheet</t>
        </is>
      </c>
      <c r="J365" s="109" t="n"/>
      <c r="K365" s="109" t="inlineStr">
        <is>
          <t>B0D62YKYKZ</t>
        </is>
      </c>
      <c r="L365" s="109" t="inlineStr">
        <is>
          <t>B0D62TQYPX</t>
        </is>
      </c>
      <c r="M365" s="109" t="n"/>
      <c r="N365" s="109" t="n">
        <v>12.99</v>
      </c>
      <c r="O365" s="109" t="n"/>
      <c r="P365" s="109">
        <f>IF(AND(ISNUMBER(O365),ISNUMBER(N365),N(N365)&gt;0),O365/N365-1,"")</f>
        <v/>
      </c>
      <c r="Q365" s="109" t="n">
        <v>21.95</v>
      </c>
      <c r="R365" s="109">
        <f>IF(AND(ISNUMBER(N365),ISNUMBER(Q365),N(Q365)&gt;0),N365/Q365-1,"")</f>
        <v/>
      </c>
      <c r="S365" s="109" t="n">
        <v>308243</v>
      </c>
      <c r="T365" s="109" t="n">
        <v>5</v>
      </c>
      <c r="U365" s="109" t="n">
        <v>4.5</v>
      </c>
      <c r="V365" s="109" t="n">
        <v>733</v>
      </c>
      <c r="W365" s="109" t="n"/>
      <c r="X365" s="109" t="n"/>
      <c r="Y365" s="109" t="n"/>
      <c r="Z365" s="109" t="n"/>
      <c r="AA365" s="109" t="n"/>
      <c r="AB365" s="109" t="n"/>
      <c r="AC365" s="109" t="inlineStr">
        <is>
          <t>US DC Satin Fitted</t>
        </is>
      </c>
      <c r="AD365" s="109">
        <f>'US DC Satin Fitted'!BC113</f>
        <v/>
      </c>
      <c r="AE365" s="109">
        <f>'US DC Satin Fitted'!BF113</f>
        <v/>
      </c>
      <c r="AF365" s="109" t="n"/>
      <c r="AG365" s="109" t="n"/>
    </row>
    <row r="366">
      <c r="A366" s="109">
        <f>AND(OR(Dashboard!$C$4="All",Dashboard!$C$4=D366),OR(Dashboard!$C$5="All",Dashboard!$C$5=E366),OR(Dashboard!$C$6="All",Dashboard!$C$6=G366),OR(Dashboard!$C$7="All",Dashboard!$C$7=H366),OR(Dashboard!$C$8="All",Dashboard!$C$8=F366))</f>
        <v/>
      </c>
      <c r="B366" s="109">
        <f>IF(A366,B365+1,B365)</f>
        <v/>
      </c>
      <c r="C366" s="109" t="n">
        <v>38</v>
      </c>
      <c r="D366" s="109" t="inlineStr">
        <is>
          <t>DC Satin Fitted</t>
        </is>
      </c>
      <c r="E366" s="109" t="inlineStr">
        <is>
          <t>US</t>
        </is>
      </c>
      <c r="F366" s="109" t="inlineStr">
        <is>
          <t>Satin</t>
        </is>
      </c>
      <c r="G366" s="109" t="inlineStr">
        <is>
          <t>Love's cabin</t>
        </is>
      </c>
      <c r="H366" s="109" t="inlineStr">
        <is>
          <t>Poor</t>
        </is>
      </c>
      <c r="I366" s="109" t="inlineStr">
        <is>
          <t>Satin Fitted Sheet</t>
        </is>
      </c>
      <c r="J366" s="109" t="n"/>
      <c r="K366" s="109" t="inlineStr">
        <is>
          <t>B0DWSHT8CF</t>
        </is>
      </c>
      <c r="L366" s="109" t="inlineStr">
        <is>
          <t>B0DWSK45RC</t>
        </is>
      </c>
      <c r="M366" s="109" t="n"/>
      <c r="N366" s="109" t="n">
        <v>18.38</v>
      </c>
      <c r="O366" s="109" t="n"/>
      <c r="P366" s="109">
        <f>IF(AND(ISNUMBER(O366),ISNUMBER(N366),N(N366)&gt;0),O366/N366-1,"")</f>
        <v/>
      </c>
      <c r="Q366" s="109" t="n">
        <v>21.95</v>
      </c>
      <c r="R366" s="109">
        <f>IF(AND(ISNUMBER(N366),ISNUMBER(Q366),N(Q366)&gt;0),N366/Q366-1,"")</f>
        <v/>
      </c>
      <c r="S366" s="109" t="n">
        <v>1112453</v>
      </c>
      <c r="T366" s="109" t="n">
        <v>5</v>
      </c>
      <c r="U366" s="109" t="n">
        <v>4.3</v>
      </c>
      <c r="V366" s="109" t="n">
        <v>81</v>
      </c>
      <c r="W366" s="109" t="n"/>
      <c r="X366" s="109" t="n"/>
      <c r="Y366" s="109" t="n"/>
      <c r="Z366" s="109" t="n"/>
      <c r="AA366" s="109" t="n"/>
      <c r="AB366" s="109" t="n"/>
      <c r="AC366" s="109" t="inlineStr">
        <is>
          <t>US DC Satin Fitted</t>
        </is>
      </c>
      <c r="AD366" s="109">
        <f>'US DC Satin Fitted'!BC114</f>
        <v/>
      </c>
      <c r="AE366" s="109">
        <f>'US DC Satin Fitted'!BF114</f>
        <v/>
      </c>
      <c r="AF366" s="109" t="n"/>
      <c r="AG366" s="109" t="n"/>
    </row>
    <row r="367">
      <c r="A367" s="109">
        <f>AND(OR(Dashboard!$C$4="All",Dashboard!$C$4=D367),OR(Dashboard!$C$5="All",Dashboard!$C$5=E367),OR(Dashboard!$C$6="All",Dashboard!$C$6=G367),OR(Dashboard!$C$7="All",Dashboard!$C$7=H367),OR(Dashboard!$C$8="All",Dashboard!$C$8=F367))</f>
        <v/>
      </c>
      <c r="B367" s="109">
        <f>IF(A367,B366+1,B366)</f>
        <v/>
      </c>
      <c r="C367" s="109" t="n">
        <v>38</v>
      </c>
      <c r="D367" s="109" t="inlineStr">
        <is>
          <t>DC Satin Fitted</t>
        </is>
      </c>
      <c r="E367" s="109" t="inlineStr">
        <is>
          <t>US</t>
        </is>
      </c>
      <c r="F367" s="109" t="inlineStr">
        <is>
          <t>Satin</t>
        </is>
      </c>
      <c r="G367" s="109" t="inlineStr">
        <is>
          <t>P Pothuiny</t>
        </is>
      </c>
      <c r="H367" s="109" t="inlineStr">
        <is>
          <t>Poor</t>
        </is>
      </c>
      <c r="I367" s="109" t="inlineStr">
        <is>
          <t>Satin Fitted Sheet</t>
        </is>
      </c>
      <c r="J367" s="109" t="n"/>
      <c r="K367" s="109" t="inlineStr">
        <is>
          <t>B0BFB5DFVB</t>
        </is>
      </c>
      <c r="L367" s="109" t="inlineStr">
        <is>
          <t>B09W5W7VCC</t>
        </is>
      </c>
      <c r="M367" s="109" t="n"/>
      <c r="N367" s="109" t="n">
        <v>12.99</v>
      </c>
      <c r="O367" s="109" t="n"/>
      <c r="P367" s="109">
        <f>IF(AND(ISNUMBER(O367),ISNUMBER(N367),N(N367)&gt;0),O367/N367-1,"")</f>
        <v/>
      </c>
      <c r="Q367" s="109" t="n">
        <v>21.95</v>
      </c>
      <c r="R367" s="109">
        <f>IF(AND(ISNUMBER(N367),ISNUMBER(Q367),N(Q367)&gt;0),N367/Q367-1,"")</f>
        <v/>
      </c>
      <c r="S367" s="109" t="n"/>
      <c r="T367" s="109" t="n">
        <v>5</v>
      </c>
      <c r="U367" s="109" t="n">
        <v>4.4</v>
      </c>
      <c r="V367" s="109" t="n">
        <v>8</v>
      </c>
      <c r="W367" s="109" t="n"/>
      <c r="X367" s="109" t="n"/>
      <c r="Y367" s="109" t="n"/>
      <c r="Z367" s="109" t="n"/>
      <c r="AA367" s="109" t="n"/>
      <c r="AB367" s="109" t="n"/>
      <c r="AC367" s="109" t="inlineStr">
        <is>
          <t>US DC Satin Fitted</t>
        </is>
      </c>
      <c r="AD367" s="109">
        <f>'US DC Satin Fitted'!BC115</f>
        <v/>
      </c>
      <c r="AE367" s="109">
        <f>'US DC Satin Fitted'!BF115</f>
        <v/>
      </c>
      <c r="AF367" s="109" t="n"/>
      <c r="AG367" s="109" t="n"/>
    </row>
    <row r="368">
      <c r="A368" s="109">
        <f>AND(OR(Dashboard!$C$4="All",Dashboard!$C$4=D368),OR(Dashboard!$C$5="All",Dashboard!$C$5=E368),OR(Dashboard!$C$6="All",Dashboard!$C$6=G368),OR(Dashboard!$C$7="All",Dashboard!$C$7=H368),OR(Dashboard!$C$8="All",Dashboard!$C$8=F368))</f>
        <v/>
      </c>
      <c r="B368" s="109">
        <f>IF(A368,B367+1,B367)</f>
        <v/>
      </c>
      <c r="C368" s="109" t="n">
        <v>38</v>
      </c>
      <c r="D368" s="109" t="inlineStr">
        <is>
          <t>DC Satin Fitted</t>
        </is>
      </c>
      <c r="E368" s="109" t="inlineStr">
        <is>
          <t>US</t>
        </is>
      </c>
      <c r="F368" s="109" t="inlineStr">
        <is>
          <t>Satin</t>
        </is>
      </c>
      <c r="G368" s="109" t="inlineStr">
        <is>
          <t>BEDELITE</t>
        </is>
      </c>
      <c r="H368" s="109" t="inlineStr">
        <is>
          <t>Untiered</t>
        </is>
      </c>
      <c r="I368" s="109" t="inlineStr">
        <is>
          <t>BEDELITE Satin Sheets Queen Size Bed Set, Black, 4 Pieces</t>
        </is>
      </c>
      <c r="J368" s="109" t="inlineStr">
        <is>
          <t>https://images-na.ssl-images-amazon.com/images/I/71ujt2CgaQL.jpg</t>
        </is>
      </c>
      <c r="K368" s="109" t="inlineStr">
        <is>
          <t>B0FNMNMZ9T</t>
        </is>
      </c>
      <c r="L368" s="109" t="inlineStr">
        <is>
          <t>B0CSFTRP2X</t>
        </is>
      </c>
      <c r="M368" s="109" t="n">
        <v>141</v>
      </c>
      <c r="N368" s="109" t="n">
        <v>17.99</v>
      </c>
      <c r="O368" s="109" t="n"/>
      <c r="P368" s="109">
        <f>IF(AND(ISNUMBER(O368),ISNUMBER(N368),N(N368)&gt;0),O368/N368-1,"")</f>
        <v/>
      </c>
      <c r="Q368" s="109" t="n">
        <v>21.95</v>
      </c>
      <c r="R368" s="109">
        <f>IF(AND(ISNUMBER(N368),ISNUMBER(Q368),N(Q368)&gt;0),N368/Q368-1,"")</f>
        <v/>
      </c>
      <c r="S368" s="109" t="n">
        <v>497</v>
      </c>
      <c r="T368" s="109" t="n">
        <v>1963</v>
      </c>
      <c r="U368" s="109" t="n">
        <v>4.3</v>
      </c>
      <c r="V368" s="109" t="n">
        <v>6297</v>
      </c>
      <c r="W368" s="109" t="n">
        <v>997443</v>
      </c>
      <c r="X368" s="109" t="n">
        <v>0.8161266415223724</v>
      </c>
      <c r="Y368" s="109" t="n">
        <v>120</v>
      </c>
      <c r="Z368" s="109" t="n">
        <v>367</v>
      </c>
      <c r="AA368" s="109" t="n">
        <v>308</v>
      </c>
      <c r="AB368" s="109" t="n">
        <v>1.114785561378903</v>
      </c>
      <c r="AC368" s="109" t="inlineStr">
        <is>
          <t>US DC Satin Fitted</t>
        </is>
      </c>
      <c r="AD368" s="109">
        <f>'US DC Satin Fitted'!BC116</f>
        <v/>
      </c>
      <c r="AE368" s="109">
        <f>'US DC Satin Fitted'!BF116</f>
        <v/>
      </c>
      <c r="AF368" s="109" t="inlineStr">
        <is>
          <t>Queen</t>
        </is>
      </c>
      <c r="AG368" s="109" t="inlineStr">
        <is>
          <t>Black</t>
        </is>
      </c>
    </row>
    <row r="369">
      <c r="A369" s="109">
        <f>AND(OR(Dashboard!$C$4="All",Dashboard!$C$4=D369),OR(Dashboard!$C$5="All",Dashboard!$C$5=E369),OR(Dashboard!$C$6="All",Dashboard!$C$6=G369),OR(Dashboard!$C$7="All",Dashboard!$C$7=H369),OR(Dashboard!$C$8="All",Dashboard!$C$8=F369))</f>
        <v/>
      </c>
      <c r="B369" s="109">
        <f>IF(A369,B368+1,B368)</f>
        <v/>
      </c>
      <c r="C369" s="109" t="n">
        <v>38</v>
      </c>
      <c r="D369" s="109" t="inlineStr">
        <is>
          <t>DC Satin Fitted</t>
        </is>
      </c>
      <c r="E369" s="109" t="inlineStr">
        <is>
          <t>US</t>
        </is>
      </c>
      <c r="F369" s="109" t="inlineStr">
        <is>
          <t>Satin</t>
        </is>
      </c>
      <c r="G369" s="109" t="inlineStr">
        <is>
          <t>Love's cabin</t>
        </is>
      </c>
      <c r="H369" s="109" t="inlineStr">
        <is>
          <t>Untiered</t>
        </is>
      </c>
      <c r="I369" s="109" t="inlineStr">
        <is>
          <t>Love's cabin Satin Queen Sheets Set, 4 Pieces, Pink, 15" Deep Pocket</t>
        </is>
      </c>
      <c r="J369" s="109" t="inlineStr">
        <is>
          <t>https://images-na.ssl-images-amazon.com/images/I/81C-fXI71XL.jpg</t>
        </is>
      </c>
      <c r="K369" s="109" t="inlineStr">
        <is>
          <t>B08DHTB63X</t>
        </is>
      </c>
      <c r="L369" s="109" t="inlineStr">
        <is>
          <t>B0BNMC5G8R</t>
        </is>
      </c>
      <c r="M369" s="109" t="n">
        <v>128</v>
      </c>
      <c r="N369" s="109" t="n">
        <v>16.13</v>
      </c>
      <c r="O369" s="109" t="n">
        <v>19.99</v>
      </c>
      <c r="P369" s="109">
        <f>IF(AND(ISNUMBER(O369),ISNUMBER(N369),N(N369)&gt;0),O369/N369-1,"")</f>
        <v/>
      </c>
      <c r="Q369" s="109" t="n">
        <v>21.95</v>
      </c>
      <c r="R369" s="109">
        <f>IF(AND(ISNUMBER(N369),ISNUMBER(Q369),N(Q369)&gt;0),N369/Q369-1,"")</f>
        <v/>
      </c>
      <c r="S369" s="109" t="n">
        <v>949</v>
      </c>
      <c r="T369" s="109" t="n">
        <v>809</v>
      </c>
      <c r="U369" s="109" t="n">
        <v>4.5</v>
      </c>
      <c r="V369" s="109" t="n">
        <v>5747</v>
      </c>
      <c r="W369" s="109" t="n">
        <v>385363</v>
      </c>
      <c r="X369" s="109" t="n">
        <v>0.8181775938530695</v>
      </c>
      <c r="Y369" s="109" t="n">
        <v>126</v>
      </c>
      <c r="Z369" s="109" t="n">
        <v>335</v>
      </c>
      <c r="AA369" s="109" t="n">
        <v>375</v>
      </c>
      <c r="AB369" s="109" t="n">
        <v>1.036399938565504</v>
      </c>
      <c r="AC369" s="109" t="inlineStr">
        <is>
          <t>US DC Satin Fitted</t>
        </is>
      </c>
      <c r="AD369" s="109">
        <f>'US DC Satin Fitted'!BC117</f>
        <v/>
      </c>
      <c r="AE369" s="109">
        <f>'US DC Satin Fitted'!BF117</f>
        <v/>
      </c>
      <c r="AF369" s="109" t="inlineStr">
        <is>
          <t>Queen</t>
        </is>
      </c>
      <c r="AG369" s="109" t="inlineStr">
        <is>
          <t>Pink</t>
        </is>
      </c>
    </row>
    <row r="370">
      <c r="A370" s="109">
        <f>AND(OR(Dashboard!$C$4="All",Dashboard!$C$4=D370),OR(Dashboard!$C$5="All",Dashboard!$C$5=E370),OR(Dashboard!$C$6="All",Dashboard!$C$6=G370),OR(Dashboard!$C$7="All",Dashboard!$C$7=H370),OR(Dashboard!$C$8="All",Dashboard!$C$8=F370))</f>
        <v/>
      </c>
      <c r="B370" s="109">
        <f>IF(A370,B369+1,B369)</f>
        <v/>
      </c>
      <c r="C370" s="109" t="n">
        <v>38</v>
      </c>
      <c r="D370" s="109" t="inlineStr">
        <is>
          <t>DC Satin Fitted</t>
        </is>
      </c>
      <c r="E370" s="109" t="inlineStr">
        <is>
          <t>US</t>
        </is>
      </c>
      <c r="F370" s="109" t="inlineStr">
        <is>
          <t>Satin</t>
        </is>
      </c>
      <c r="G370" s="109" t="inlineStr">
        <is>
          <t>MR&amp;HM</t>
        </is>
      </c>
      <c r="H370" s="109" t="inlineStr">
        <is>
          <t>Untiered</t>
        </is>
      </c>
      <c r="I370" s="109" t="inlineStr">
        <is>
          <t>MR&amp;HM Satin Sheets Queen Size with Elastic Corner Straps, Black</t>
        </is>
      </c>
      <c r="J370" s="109" t="inlineStr">
        <is>
          <t>https://images-na.ssl-images-amazon.com/images/I/71zGuoeuSrL.jpg</t>
        </is>
      </c>
      <c r="K370" s="109" t="inlineStr">
        <is>
          <t>B08NQ3W7PG</t>
        </is>
      </c>
      <c r="L370" s="109" t="inlineStr">
        <is>
          <t>B08HM6WT6X</t>
        </is>
      </c>
      <c r="M370" s="109" t="n">
        <v>183</v>
      </c>
      <c r="N370" s="109" t="n">
        <v>19.99</v>
      </c>
      <c r="O370" s="109" t="n"/>
      <c r="P370" s="109">
        <f>IF(AND(ISNUMBER(O370),ISNUMBER(N370),N(N370)&gt;0),O370/N370-1,"")</f>
        <v/>
      </c>
      <c r="Q370" s="109" t="n">
        <v>21.95</v>
      </c>
      <c r="R370" s="109">
        <f>IF(AND(ISNUMBER(N370),ISNUMBER(Q370),N(Q370)&gt;0),N370/Q370-1,"")</f>
        <v/>
      </c>
      <c r="S370" s="109" t="n">
        <v>2025</v>
      </c>
      <c r="T370" s="109" t="n">
        <v>809</v>
      </c>
      <c r="U370" s="109" t="n">
        <v>4.4</v>
      </c>
      <c r="V370" s="109" t="n">
        <v>17886</v>
      </c>
      <c r="W370" s="109" t="n">
        <v>356457</v>
      </c>
      <c r="X370" s="109" t="n">
        <v>0.7964633734223203</v>
      </c>
      <c r="Y370" s="109" t="n">
        <v>147</v>
      </c>
      <c r="Z370" s="109" t="n">
        <v>333</v>
      </c>
      <c r="AA370" s="109" t="n">
        <v>329</v>
      </c>
      <c r="AB370" s="109" t="n">
        <v>0.9844138242602214</v>
      </c>
      <c r="AC370" s="109" t="inlineStr">
        <is>
          <t>US DC Satin Fitted</t>
        </is>
      </c>
      <c r="AD370" s="109">
        <f>'US DC Satin Fitted'!BC118</f>
        <v/>
      </c>
      <c r="AE370" s="109">
        <f>'US DC Satin Fitted'!BF118</f>
        <v/>
      </c>
      <c r="AF370" s="109" t="inlineStr">
        <is>
          <t>Queen</t>
        </is>
      </c>
      <c r="AG370" s="109" t="inlineStr">
        <is>
          <t>Black</t>
        </is>
      </c>
    </row>
    <row r="371">
      <c r="A371" s="109">
        <f>AND(OR(Dashboard!$C$4="All",Dashboard!$C$4=D371),OR(Dashboard!$C$5="All",Dashboard!$C$5=E371),OR(Dashboard!$C$6="All",Dashboard!$C$6=G371),OR(Dashboard!$C$7="All",Dashboard!$C$7=H371),OR(Dashboard!$C$8="All",Dashboard!$C$8=F371))</f>
        <v/>
      </c>
      <c r="B371" s="109">
        <f>IF(A371,B370+1,B370)</f>
        <v/>
      </c>
      <c r="C371" s="109" t="n">
        <v>38</v>
      </c>
      <c r="D371" s="109" t="inlineStr">
        <is>
          <t>DC Satin Fitted</t>
        </is>
      </c>
      <c r="E371" s="109" t="inlineStr">
        <is>
          <t>US</t>
        </is>
      </c>
      <c r="F371" s="109" t="inlineStr">
        <is>
          <t>Satin</t>
        </is>
      </c>
      <c r="G371" s="109" t="inlineStr">
        <is>
          <t>JUWENIN</t>
        </is>
      </c>
      <c r="H371" s="109" t="inlineStr">
        <is>
          <t>Untiered</t>
        </is>
      </c>
      <c r="I371" s="109" t="inlineStr">
        <is>
          <t>Satin Fitted Sheet</t>
        </is>
      </c>
      <c r="J371" s="109" t="n"/>
      <c r="K371" s="109" t="inlineStr">
        <is>
          <t>B0B1DX9FRV</t>
        </is>
      </c>
      <c r="L371" s="109" t="inlineStr">
        <is>
          <t>B0B1DVKHSJ</t>
        </is>
      </c>
      <c r="M371" s="109" t="n">
        <v>19</v>
      </c>
      <c r="N371" s="109" t="n">
        <v>9.99</v>
      </c>
      <c r="O371" s="109" t="n"/>
      <c r="P371" s="109">
        <f>IF(AND(ISNUMBER(O371),ISNUMBER(N371),N(N371)&gt;0),O371/N371-1,"")</f>
        <v/>
      </c>
      <c r="Q371" s="109" t="n">
        <v>21.95</v>
      </c>
      <c r="R371" s="109">
        <f>IF(AND(ISNUMBER(N371),ISNUMBER(Q371),N(Q371)&gt;0),N371/Q371-1,"")</f>
        <v/>
      </c>
      <c r="S371" s="109" t="n">
        <v>251642</v>
      </c>
      <c r="T371" s="109" t="n">
        <v>5</v>
      </c>
      <c r="U371" s="109" t="n">
        <v>4.4</v>
      </c>
      <c r="V371" s="109" t="n">
        <v>256</v>
      </c>
      <c r="W371" s="109" t="n">
        <v>2799</v>
      </c>
      <c r="X371" s="109" t="n">
        <v>0.9278307967131119</v>
      </c>
      <c r="Y371" s="109" t="n">
        <v>119</v>
      </c>
      <c r="Z371" s="109" t="n">
        <v>19</v>
      </c>
      <c r="AA371" s="109" t="n">
        <v>2</v>
      </c>
      <c r="AB371" s="109" t="n"/>
      <c r="AC371" s="109" t="inlineStr">
        <is>
          <t>US DC Satin Fitted</t>
        </is>
      </c>
      <c r="AD371" s="109">
        <f>'US DC Satin Fitted'!BC119</f>
        <v/>
      </c>
      <c r="AE371" s="109">
        <f>'US DC Satin Fitted'!BF119</f>
        <v/>
      </c>
      <c r="AF371" s="109" t="n"/>
      <c r="AG371" s="109" t="n"/>
    </row>
    <row r="372">
      <c r="A372" s="109">
        <f>AND(OR(Dashboard!$C$4="All",Dashboard!$C$4=D372),OR(Dashboard!$C$5="All",Dashboard!$C$5=E372),OR(Dashboard!$C$6="All",Dashboard!$C$6=G372),OR(Dashboard!$C$7="All",Dashboard!$C$7=H372),OR(Dashboard!$C$8="All",Dashboard!$C$8=F372))</f>
        <v/>
      </c>
      <c r="B372" s="109">
        <f>IF(A372,B371+1,B371)</f>
        <v/>
      </c>
      <c r="C372" s="109" t="n">
        <v>38</v>
      </c>
      <c r="D372" s="109" t="inlineStr">
        <is>
          <t>DC Satin Fitted</t>
        </is>
      </c>
      <c r="E372" s="109" t="inlineStr">
        <is>
          <t>CA</t>
        </is>
      </c>
      <c r="F372" s="109" t="inlineStr">
        <is>
          <t>Satin</t>
        </is>
      </c>
      <c r="G372" s="109" t="inlineStr">
        <is>
          <t>MR&amp;HM</t>
        </is>
      </c>
      <c r="H372" s="109" t="inlineStr">
        <is>
          <t>Untiered</t>
        </is>
      </c>
      <c r="I372" s="109" t="inlineStr">
        <is>
          <t>MR&amp;HM Satin Fitted Sheet Queen Size with Elastic Corner Straps, Black</t>
        </is>
      </c>
      <c r="J372" s="109" t="inlineStr">
        <is>
          <t>https://m.media-amazon.com/images/I/71HGO27j0uL.jpg</t>
        </is>
      </c>
      <c r="K372" s="109" t="inlineStr">
        <is>
          <t>B099M1HTWC</t>
        </is>
      </c>
      <c r="L372" s="109" t="inlineStr">
        <is>
          <t>B095PBLXD1</t>
        </is>
      </c>
      <c r="M372" s="109" t="n">
        <v>132</v>
      </c>
      <c r="N372" s="109" t="n">
        <v>21.59</v>
      </c>
      <c r="O372" s="109" t="n"/>
      <c r="P372" s="109">
        <f>IF(AND(ISNUMBER(O372),ISNUMBER(N372),N(N372)&gt;0),O372/N372-1,"")</f>
        <v/>
      </c>
      <c r="Q372" s="109" t="n">
        <v>26.4575</v>
      </c>
      <c r="R372" s="109">
        <f>IF(AND(ISNUMBER(N372),ISNUMBER(Q372),N(Q372)&gt;0),N372/Q372-1,"")</f>
        <v/>
      </c>
      <c r="S372" s="109" t="n">
        <v>1676</v>
      </c>
      <c r="T372" s="109" t="n"/>
      <c r="U372" s="109" t="n">
        <v>3.9</v>
      </c>
      <c r="V372" s="109" t="n">
        <v>648</v>
      </c>
      <c r="W372" s="109" t="n"/>
      <c r="X372" s="109" t="n"/>
      <c r="Y372" s="109" t="n"/>
      <c r="Z372" s="109" t="n"/>
      <c r="AA372" s="109" t="n"/>
      <c r="AB372" s="109" t="n"/>
      <c r="AC372" s="109" t="inlineStr">
        <is>
          <t>CA DC Satin Fitted</t>
        </is>
      </c>
      <c r="AD372" s="109">
        <f>'CA DC Satin Fitted'!BC107</f>
        <v/>
      </c>
      <c r="AE372" s="109">
        <f>'CA DC Satin Fitted'!BF107</f>
        <v/>
      </c>
      <c r="AF372" s="109" t="inlineStr">
        <is>
          <t>Queen</t>
        </is>
      </c>
      <c r="AG372" s="109" t="inlineStr">
        <is>
          <t>01 - Black</t>
        </is>
      </c>
    </row>
    <row r="373">
      <c r="A373" s="109">
        <f>AND(OR(Dashboard!$C$4="All",Dashboard!$C$4=D373),OR(Dashboard!$C$5="All",Dashboard!$C$5=E373),OR(Dashboard!$C$6="All",Dashboard!$C$6=G373),OR(Dashboard!$C$7="All",Dashboard!$C$7=H373),OR(Dashboard!$C$8="All",Dashboard!$C$8=F373))</f>
        <v/>
      </c>
      <c r="B373" s="109">
        <f>IF(A373,B372+1,B372)</f>
        <v/>
      </c>
      <c r="C373" s="109" t="n">
        <v>38</v>
      </c>
      <c r="D373" s="109" t="inlineStr">
        <is>
          <t>DC Satin Fitted</t>
        </is>
      </c>
      <c r="E373" s="109" t="inlineStr">
        <is>
          <t>CA</t>
        </is>
      </c>
      <c r="F373" s="109" t="inlineStr">
        <is>
          <t>Satin</t>
        </is>
      </c>
      <c r="G373" s="109" t="inlineStr">
        <is>
          <t>FLCA</t>
        </is>
      </c>
      <c r="H373" s="109" t="inlineStr">
        <is>
          <t>Untiered</t>
        </is>
      </c>
      <c r="I373" s="109" t="inlineStr">
        <is>
          <t>Solid Fitted Sheet - Deep Pocket Satin Bed Sheet, Breathable Soft and Comfortable - Wrinkle, Fade, Stain and Abrasion Resistant (White, Queen)</t>
        </is>
      </c>
      <c r="J373" s="109" t="inlineStr">
        <is>
          <t>https://m.media-amazon.com/images/I/515KUtM8t+L.jpg</t>
        </is>
      </c>
      <c r="K373" s="109" t="inlineStr">
        <is>
          <t>B07Q7QZC68</t>
        </is>
      </c>
      <c r="L373" s="109" t="inlineStr">
        <is>
          <t>B07Q7PR1MD</t>
        </is>
      </c>
      <c r="M373" s="109" t="n">
        <v>18</v>
      </c>
      <c r="N373" s="109" t="n">
        <v>17.99</v>
      </c>
      <c r="O373" s="109" t="n"/>
      <c r="P373" s="109">
        <f>IF(AND(ISNUMBER(O373),ISNUMBER(N373),N(N373)&gt;0),O373/N373-1,"")</f>
        <v/>
      </c>
      <c r="Q373" s="109" t="n">
        <v>26.4575</v>
      </c>
      <c r="R373" s="109">
        <f>IF(AND(ISNUMBER(N373),ISNUMBER(Q373),N(Q373)&gt;0),N373/Q373-1,"")</f>
        <v/>
      </c>
      <c r="S373" s="109" t="n">
        <v>25714</v>
      </c>
      <c r="T373" s="109" t="n"/>
      <c r="U373" s="109" t="n">
        <v>3.8</v>
      </c>
      <c r="V373" s="109" t="n">
        <v>242</v>
      </c>
      <c r="W373" s="109" t="n"/>
      <c r="X373" s="109" t="n"/>
      <c r="Y373" s="109" t="n"/>
      <c r="Z373" s="109" t="n"/>
      <c r="AA373" s="109" t="n"/>
      <c r="AB373" s="109" t="n"/>
      <c r="AC373" s="109" t="inlineStr">
        <is>
          <t>CA DC Satin Fitted</t>
        </is>
      </c>
      <c r="AD373" s="109">
        <f>'CA DC Satin Fitted'!BC108</f>
        <v/>
      </c>
      <c r="AE373" s="109">
        <f>'CA DC Satin Fitted'!BF108</f>
        <v/>
      </c>
      <c r="AF373" s="109" t="inlineStr">
        <is>
          <t>Queen</t>
        </is>
      </c>
      <c r="AG373" s="109" t="inlineStr">
        <is>
          <t>White</t>
        </is>
      </c>
    </row>
    <row r="374">
      <c r="A374" s="109">
        <f>AND(OR(Dashboard!$C$4="All",Dashboard!$C$4=D374),OR(Dashboard!$C$5="All",Dashboard!$C$5=E374),OR(Dashboard!$C$6="All",Dashboard!$C$6=G374),OR(Dashboard!$C$7="All",Dashboard!$C$7=H374),OR(Dashboard!$C$8="All",Dashboard!$C$8=F374))</f>
        <v/>
      </c>
      <c r="B374" s="109">
        <f>IF(A374,B373+1,B373)</f>
        <v/>
      </c>
      <c r="C374" s="109" t="n">
        <v>38</v>
      </c>
      <c r="D374" s="109" t="inlineStr">
        <is>
          <t>DC Satin Fitted</t>
        </is>
      </c>
      <c r="E374" s="109" t="inlineStr">
        <is>
          <t>CA</t>
        </is>
      </c>
      <c r="F374" s="109" t="inlineStr">
        <is>
          <t>Satin</t>
        </is>
      </c>
      <c r="G374" s="109" t="inlineStr">
        <is>
          <t>JUWENIN</t>
        </is>
      </c>
      <c r="H374" s="109" t="inlineStr">
        <is>
          <t>Untiered</t>
        </is>
      </c>
      <c r="I374" s="109" t="inlineStr">
        <is>
          <t>Fitted Sheet - Luxury Silky Soft Satin Bottom Sheet - Deep Pockets, Shrinkage and Fade Resistant - Easy Care - 1 Fitted Sheet Only (Navy, Queen)</t>
        </is>
      </c>
      <c r="J374" s="109" t="inlineStr">
        <is>
          <t>https://m.media-amazon.com/images/I/61NzrVgRCaL.jpg</t>
        </is>
      </c>
      <c r="K374" s="109" t="inlineStr">
        <is>
          <t>B0B1P3PGQD</t>
        </is>
      </c>
      <c r="L374" s="109" t="inlineStr">
        <is>
          <t>B0B1NWTYMT</t>
        </is>
      </c>
      <c r="M374" s="109" t="n">
        <v>19</v>
      </c>
      <c r="N374" s="109" t="n">
        <v>19.99</v>
      </c>
      <c r="O374" s="109" t="n"/>
      <c r="P374" s="109">
        <f>IF(AND(ISNUMBER(O374),ISNUMBER(N374),N(N374)&gt;0),O374/N374-1,"")</f>
        <v/>
      </c>
      <c r="Q374" s="109" t="n">
        <v>26.4575</v>
      </c>
      <c r="R374" s="109">
        <f>IF(AND(ISNUMBER(N374),ISNUMBER(Q374),N(Q374)&gt;0),N374/Q374-1,"")</f>
        <v/>
      </c>
      <c r="S374" s="109" t="n">
        <v>53472</v>
      </c>
      <c r="T374" s="109" t="n"/>
      <c r="U374" s="109" t="n">
        <v>4.2</v>
      </c>
      <c r="V374" s="109" t="n">
        <v>125</v>
      </c>
      <c r="W374" s="109" t="n"/>
      <c r="X374" s="109" t="n"/>
      <c r="Y374" s="109" t="n"/>
      <c r="Z374" s="109" t="n"/>
      <c r="AA374" s="109" t="n"/>
      <c r="AB374" s="109" t="n"/>
      <c r="AC374" s="109" t="inlineStr">
        <is>
          <t>CA DC Satin Fitted</t>
        </is>
      </c>
      <c r="AD374" s="109">
        <f>'CA DC Satin Fitted'!BC109</f>
        <v/>
      </c>
      <c r="AE374" s="109">
        <f>'CA DC Satin Fitted'!BF109</f>
        <v/>
      </c>
      <c r="AF374" s="109" t="inlineStr">
        <is>
          <t>Queen</t>
        </is>
      </c>
      <c r="AG374" s="109" t="inlineStr">
        <is>
          <t>Navy</t>
        </is>
      </c>
    </row>
    <row r="375">
      <c r="A375" s="109">
        <f>AND(OR(Dashboard!$C$4="All",Dashboard!$C$4=D375),OR(Dashboard!$C$5="All",Dashboard!$C$5=E375),OR(Dashboard!$C$6="All",Dashboard!$C$6=G375),OR(Dashboard!$C$7="All",Dashboard!$C$7=H375),OR(Dashboard!$C$8="All",Dashboard!$C$8=F375))</f>
        <v/>
      </c>
      <c r="B375" s="109">
        <f>IF(A375,B374+1,B374)</f>
        <v/>
      </c>
      <c r="C375" s="109" t="n">
        <v>38</v>
      </c>
      <c r="D375" s="109" t="inlineStr">
        <is>
          <t>DC Satin Fitted</t>
        </is>
      </c>
      <c r="E375" s="109" t="inlineStr">
        <is>
          <t>CA</t>
        </is>
      </c>
      <c r="F375" s="109" t="inlineStr">
        <is>
          <t>Satin</t>
        </is>
      </c>
      <c r="G375" s="109" t="inlineStr">
        <is>
          <t>Lirex</t>
        </is>
      </c>
      <c r="H375" s="109" t="inlineStr">
        <is>
          <t>Untiered</t>
        </is>
      </c>
      <c r="I375" s="109" t="inlineStr">
        <is>
          <t>Lirex Satin Fitted Sheet, Luxurious Silky Smooth Polyester Bedding Soft Deep Pocket Bed Sheets Mattress Cover, Queen, Black</t>
        </is>
      </c>
      <c r="J375" s="109" t="inlineStr">
        <is>
          <t>https://m.media-amazon.com/images/I/61YaWaN38uL.jpg</t>
        </is>
      </c>
      <c r="K375" s="109" t="inlineStr">
        <is>
          <t>B0D62TXWHW</t>
        </is>
      </c>
      <c r="L375" s="109" t="inlineStr">
        <is>
          <t>B0D62VPSSW</t>
        </is>
      </c>
      <c r="M375" s="109" t="n">
        <v>63</v>
      </c>
      <c r="N375" s="109" t="n">
        <v>36.29</v>
      </c>
      <c r="O375" s="109" t="n"/>
      <c r="P375" s="109">
        <f>IF(AND(ISNUMBER(O375),ISNUMBER(N375),N(N375)&gt;0),O375/N375-1,"")</f>
        <v/>
      </c>
      <c r="Q375" s="109" t="n">
        <v>26.4575</v>
      </c>
      <c r="R375" s="109">
        <f>IF(AND(ISNUMBER(N375),ISNUMBER(Q375),N(Q375)&gt;0),N375/Q375-1,"")</f>
        <v/>
      </c>
      <c r="S375" s="109" t="n">
        <v>35710</v>
      </c>
      <c r="T375" s="109" t="n"/>
      <c r="U375" s="109" t="n">
        <v>4.4</v>
      </c>
      <c r="V375" s="109" t="n">
        <v>430</v>
      </c>
      <c r="W375" s="109" t="n"/>
      <c r="X375" s="109" t="n"/>
      <c r="Y375" s="109" t="n"/>
      <c r="Z375" s="109" t="n"/>
      <c r="AA375" s="109" t="n"/>
      <c r="AB375" s="109" t="n"/>
      <c r="AC375" s="109" t="inlineStr">
        <is>
          <t>CA DC Satin Fitted</t>
        </is>
      </c>
      <c r="AD375" s="109">
        <f>'CA DC Satin Fitted'!BC110</f>
        <v/>
      </c>
      <c r="AE375" s="109">
        <f>'CA DC Satin Fitted'!BF110</f>
        <v/>
      </c>
      <c r="AF375" s="109" t="inlineStr">
        <is>
          <t>Queen</t>
        </is>
      </c>
      <c r="AG375" s="109" t="inlineStr">
        <is>
          <t>Black</t>
        </is>
      </c>
    </row>
    <row r="376">
      <c r="A376" s="109">
        <f>AND(OR(Dashboard!$C$4="All",Dashboard!$C$4=D376),OR(Dashboard!$C$5="All",Dashboard!$C$5=E376),OR(Dashboard!$C$6="All",Dashboard!$C$6=G376),OR(Dashboard!$C$7="All",Dashboard!$C$7=H376),OR(Dashboard!$C$8="All",Dashboard!$C$8=F376))</f>
        <v/>
      </c>
      <c r="B376" s="109">
        <f>IF(A376,B375+1,B375)</f>
        <v/>
      </c>
      <c r="C376" s="109" t="n">
        <v>38</v>
      </c>
      <c r="D376" s="109" t="inlineStr">
        <is>
          <t>DC Satin Fitted</t>
        </is>
      </c>
      <c r="E376" s="109" t="inlineStr">
        <is>
          <t>CA</t>
        </is>
      </c>
      <c r="F376" s="109" t="inlineStr">
        <is>
          <t>Satin</t>
        </is>
      </c>
      <c r="G376" s="109" t="inlineStr">
        <is>
          <t>FLCA</t>
        </is>
      </c>
      <c r="H376" s="109" t="inlineStr">
        <is>
          <t>Untiered</t>
        </is>
      </c>
      <c r="I376" s="109" t="inlineStr">
        <is>
          <t>1 Piece Satin Fitted Sheet Only Classic Luxury Silky Soft Bed Sheets Solid Color (Grey, Fitted Sheet(Queen))</t>
        </is>
      </c>
      <c r="J376" s="109" t="inlineStr">
        <is>
          <t>https://m.media-amazon.com/images/I/61vzu4mSjhL.jpg</t>
        </is>
      </c>
      <c r="K376" s="109" t="inlineStr">
        <is>
          <t>B08KHV3CR8</t>
        </is>
      </c>
      <c r="L376" s="109" t="inlineStr">
        <is>
          <t>B08FCC1QFF</t>
        </is>
      </c>
      <c r="M376" s="109" t="n">
        <v>26</v>
      </c>
      <c r="N376" s="109" t="n">
        <v>27.55</v>
      </c>
      <c r="O376" s="109" t="n"/>
      <c r="P376" s="109">
        <f>IF(AND(ISNUMBER(O376),ISNUMBER(N376),N(N376)&gt;0),O376/N376-1,"")</f>
        <v/>
      </c>
      <c r="Q376" s="109" t="n">
        <v>26.4575</v>
      </c>
      <c r="R376" s="109">
        <f>IF(AND(ISNUMBER(N376),ISNUMBER(Q376),N(Q376)&gt;0),N376/Q376-1,"")</f>
        <v/>
      </c>
      <c r="S376" s="109" t="n">
        <v>188692</v>
      </c>
      <c r="T376" s="109" t="n"/>
      <c r="U376" s="109" t="n">
        <v>4.3</v>
      </c>
      <c r="V376" s="109" t="n">
        <v>312</v>
      </c>
      <c r="W376" s="109" t="n"/>
      <c r="X376" s="109" t="n"/>
      <c r="Y376" s="109" t="n"/>
      <c r="Z376" s="109" t="n"/>
      <c r="AA376" s="109" t="n"/>
      <c r="AB376" s="109" t="n"/>
      <c r="AC376" s="109" t="inlineStr">
        <is>
          <t>CA DC Satin Fitted</t>
        </is>
      </c>
      <c r="AD376" s="109">
        <f>'CA DC Satin Fitted'!BC111</f>
        <v/>
      </c>
      <c r="AE376" s="109">
        <f>'CA DC Satin Fitted'!BF111</f>
        <v/>
      </c>
      <c r="AF376" s="109" t="inlineStr">
        <is>
          <t>Queen</t>
        </is>
      </c>
      <c r="AG376" s="109" t="inlineStr">
        <is>
          <t>Grey</t>
        </is>
      </c>
    </row>
    <row r="377">
      <c r="A377" s="109">
        <f>AND(OR(Dashboard!$C$4="All",Dashboard!$C$4=D377),OR(Dashboard!$C$5="All",Dashboard!$C$5=E377),OR(Dashboard!$C$6="All",Dashboard!$C$6=G377),OR(Dashboard!$C$7="All",Dashboard!$C$7=H377),OR(Dashboard!$C$8="All",Dashboard!$C$8=F377))</f>
        <v/>
      </c>
      <c r="B377" s="109">
        <f>IF(A377,B376+1,B376)</f>
        <v/>
      </c>
      <c r="C377" s="109" t="n">
        <v>38</v>
      </c>
      <c r="D377" s="109" t="inlineStr">
        <is>
          <t>DC Satin Fitted</t>
        </is>
      </c>
      <c r="E377" s="109" t="inlineStr">
        <is>
          <t>CA</t>
        </is>
      </c>
      <c r="F377" s="109" t="inlineStr">
        <is>
          <t>Satin</t>
        </is>
      </c>
      <c r="G377" s="109" t="inlineStr">
        <is>
          <t>YASMENG</t>
        </is>
      </c>
      <c r="H377" s="109" t="inlineStr">
        <is>
          <t>Untiered</t>
        </is>
      </c>
      <c r="I377" s="109" t="inlineStr">
        <is>
          <t>Wine Red Queen Satin Fitted Sheets Only with 14" Elastic Deep Pocket</t>
        </is>
      </c>
      <c r="J377" s="109" t="inlineStr">
        <is>
          <t>https://m.media-amazon.com/images/I/71gp4XZlwCL.jpg</t>
        </is>
      </c>
      <c r="K377" s="109" t="inlineStr">
        <is>
          <t>B0CPRZL17M</t>
        </is>
      </c>
      <c r="L377" s="109" t="inlineStr">
        <is>
          <t>B0CPSG8X6G</t>
        </is>
      </c>
      <c r="M377" s="109" t="n">
        <v>32</v>
      </c>
      <c r="N377" s="109" t="n">
        <v>29.99</v>
      </c>
      <c r="O377" s="109" t="n"/>
      <c r="P377" s="109">
        <f>IF(AND(ISNUMBER(O377),ISNUMBER(N377),N(N377)&gt;0),O377/N377-1,"")</f>
        <v/>
      </c>
      <c r="Q377" s="109" t="n">
        <v>26.4575</v>
      </c>
      <c r="R377" s="109">
        <f>IF(AND(ISNUMBER(N377),ISNUMBER(Q377),N(Q377)&gt;0),N377/Q377-1,"")</f>
        <v/>
      </c>
      <c r="S377" s="109" t="n">
        <v>18907</v>
      </c>
      <c r="T377" s="109" t="n"/>
      <c r="U377" s="109" t="n">
        <v>4.1</v>
      </c>
      <c r="V377" s="109" t="n">
        <v>153</v>
      </c>
      <c r="W377" s="109" t="n"/>
      <c r="X377" s="109" t="n"/>
      <c r="Y377" s="109" t="n"/>
      <c r="Z377" s="109" t="n"/>
      <c r="AA377" s="109" t="n"/>
      <c r="AB377" s="109" t="n"/>
      <c r="AC377" s="109" t="inlineStr">
        <is>
          <t>CA DC Satin Fitted</t>
        </is>
      </c>
      <c r="AD377" s="109">
        <f>'CA DC Satin Fitted'!BC112</f>
        <v/>
      </c>
      <c r="AE377" s="109">
        <f>'CA DC Satin Fitted'!BF112</f>
        <v/>
      </c>
      <c r="AF377" s="109" t="inlineStr">
        <is>
          <t>Queen</t>
        </is>
      </c>
      <c r="AG377" s="109" t="inlineStr">
        <is>
          <t>Burgundy</t>
        </is>
      </c>
    </row>
    <row r="378">
      <c r="A378" s="109">
        <f>AND(OR(Dashboard!$C$4="All",Dashboard!$C$4=D378),OR(Dashboard!$C$5="All",Dashboard!$C$5=E378),OR(Dashboard!$C$6="All",Dashboard!$C$6=G378),OR(Dashboard!$C$7="All",Dashboard!$C$7=H378),OR(Dashboard!$C$8="All",Dashboard!$C$8=F378))</f>
        <v/>
      </c>
      <c r="B378" s="109">
        <f>IF(A378,B377+1,B377)</f>
        <v/>
      </c>
      <c r="C378" s="109" t="n">
        <v>38</v>
      </c>
      <c r="D378" s="109" t="inlineStr">
        <is>
          <t>DC Satin Fitted</t>
        </is>
      </c>
      <c r="E378" s="109" t="inlineStr">
        <is>
          <t>CA</t>
        </is>
      </c>
      <c r="F378" s="109" t="inlineStr">
        <is>
          <t>Satin</t>
        </is>
      </c>
      <c r="G378" s="109" t="inlineStr">
        <is>
          <t>Lirex</t>
        </is>
      </c>
      <c r="H378" s="109" t="inlineStr">
        <is>
          <t>Untiered</t>
        </is>
      </c>
      <c r="I378" s="109" t="inlineStr">
        <is>
          <t>Lirex Satin Fitted Sheet, Silky &amp; Soft Polyester Satin Weave Bed Sheets, 14"/36 cm Deep Pocket with Elastic Corner Straps, Queen, Navy Blue Stripes</t>
        </is>
      </c>
      <c r="J378" s="109" t="inlineStr">
        <is>
          <t>https://m.media-amazon.com/images/I/71rymABpYeL.jpg</t>
        </is>
      </c>
      <c r="K378" s="109" t="inlineStr">
        <is>
          <t>B0F7R3DZ72</t>
        </is>
      </c>
      <c r="L378" s="109" t="inlineStr">
        <is>
          <t>B0F7R36H12</t>
        </is>
      </c>
      <c r="M378" s="109" t="n">
        <v>57</v>
      </c>
      <c r="N378" s="109" t="n">
        <v>26.21</v>
      </c>
      <c r="O378" s="109" t="n"/>
      <c r="P378" s="109">
        <f>IF(AND(ISNUMBER(O378),ISNUMBER(N378),N(N378)&gt;0),O378/N378-1,"")</f>
        <v/>
      </c>
      <c r="Q378" s="109" t="n">
        <v>26.4575</v>
      </c>
      <c r="R378" s="109">
        <f>IF(AND(ISNUMBER(N378),ISNUMBER(Q378),N(Q378)&gt;0),N378/Q378-1,"")</f>
        <v/>
      </c>
      <c r="S378" s="109" t="n">
        <v>38918</v>
      </c>
      <c r="T378" s="109" t="n"/>
      <c r="U378" s="109" t="n">
        <v>4.1</v>
      </c>
      <c r="V378" s="109" t="n">
        <v>39</v>
      </c>
      <c r="W378" s="109" t="n"/>
      <c r="X378" s="109" t="n"/>
      <c r="Y378" s="109" t="n"/>
      <c r="Z378" s="109" t="n"/>
      <c r="AA378" s="109" t="n"/>
      <c r="AB378" s="109" t="n"/>
      <c r="AC378" s="109" t="inlineStr">
        <is>
          <t>CA DC Satin Fitted</t>
        </is>
      </c>
      <c r="AD378" s="109">
        <f>'CA DC Satin Fitted'!BC113</f>
        <v/>
      </c>
      <c r="AE378" s="109">
        <f>'CA DC Satin Fitted'!BF113</f>
        <v/>
      </c>
      <c r="AF378" s="109" t="inlineStr">
        <is>
          <t>Queen</t>
        </is>
      </c>
      <c r="AG378" s="109" t="inlineStr">
        <is>
          <t>Navy Blue Stripes</t>
        </is>
      </c>
    </row>
    <row r="379">
      <c r="A379" s="109">
        <f>AND(OR(Dashboard!$C$4="All",Dashboard!$C$4=D379),OR(Dashboard!$C$5="All",Dashboard!$C$5=E379),OR(Dashboard!$C$6="All",Dashboard!$C$6=G379),OR(Dashboard!$C$7="All",Dashboard!$C$7=H379),OR(Dashboard!$C$8="All",Dashboard!$C$8=F379))</f>
        <v/>
      </c>
      <c r="B379" s="109">
        <f>IF(A379,B378+1,B378)</f>
        <v/>
      </c>
      <c r="C379" s="109" t="n">
        <v>38</v>
      </c>
      <c r="D379" s="109" t="inlineStr">
        <is>
          <t>DC Satin Fitted</t>
        </is>
      </c>
      <c r="E379" s="109" t="inlineStr">
        <is>
          <t>CA</t>
        </is>
      </c>
      <c r="F379" s="109" t="inlineStr">
        <is>
          <t>Satin</t>
        </is>
      </c>
      <c r="G379" s="109" t="inlineStr">
        <is>
          <t>JUWENIN</t>
        </is>
      </c>
      <c r="H379" s="109" t="inlineStr">
        <is>
          <t>Untiered</t>
        </is>
      </c>
      <c r="I379" s="109" t="inlineStr">
        <is>
          <t>Fitted Sheet - Luxury Silky Soft Satin Bottom Sheet - Deep Pockets, Shrinkage and Fade Resistant - Easy Care - 1 Fitted Sheet Only (Grey, Queen)</t>
        </is>
      </c>
      <c r="J379" s="109" t="inlineStr">
        <is>
          <t>https://m.media-amazon.com/images/I/61BFwnmnIIL.jpg</t>
        </is>
      </c>
      <c r="K379" s="109" t="inlineStr">
        <is>
          <t>B0B5MSKV3D</t>
        </is>
      </c>
      <c r="L379" s="109" t="inlineStr">
        <is>
          <t>B0B1DVR7MV</t>
        </is>
      </c>
      <c r="M379" s="109" t="n">
        <v>9</v>
      </c>
      <c r="N379" s="109" t="n">
        <v>18.99</v>
      </c>
      <c r="O379" s="109" t="n"/>
      <c r="P379" s="109">
        <f>IF(AND(ISNUMBER(O379),ISNUMBER(N379),N(N379)&gt;0),O379/N379-1,"")</f>
        <v/>
      </c>
      <c r="Q379" s="109" t="n">
        <v>26.4575</v>
      </c>
      <c r="R379" s="109">
        <f>IF(AND(ISNUMBER(N379),ISNUMBER(Q379),N(Q379)&gt;0),N379/Q379-1,"")</f>
        <v/>
      </c>
      <c r="S379" s="109" t="n">
        <v>190992</v>
      </c>
      <c r="T379" s="109" t="n"/>
      <c r="U379" s="109" t="n">
        <v>3.7</v>
      </c>
      <c r="V379" s="109" t="n">
        <v>26</v>
      </c>
      <c r="W379" s="109" t="n"/>
      <c r="X379" s="109" t="n"/>
      <c r="Y379" s="109" t="n"/>
      <c r="Z379" s="109" t="n"/>
      <c r="AA379" s="109" t="n"/>
      <c r="AB379" s="109" t="n"/>
      <c r="AC379" s="109" t="inlineStr">
        <is>
          <t>CA DC Satin Fitted</t>
        </is>
      </c>
      <c r="AD379" s="109">
        <f>'CA DC Satin Fitted'!BC114</f>
        <v/>
      </c>
      <c r="AE379" s="109">
        <f>'CA DC Satin Fitted'!BF114</f>
        <v/>
      </c>
      <c r="AF379" s="109" t="inlineStr">
        <is>
          <t>Queen</t>
        </is>
      </c>
      <c r="AG379" s="109" t="inlineStr">
        <is>
          <t>Grey</t>
        </is>
      </c>
    </row>
    <row r="380">
      <c r="A380" s="109">
        <f>AND(OR(Dashboard!$C$4="All",Dashboard!$C$4=D380),OR(Dashboard!$C$5="All",Dashboard!$C$5=E380),OR(Dashboard!$C$6="All",Dashboard!$C$6=G380),OR(Dashboard!$C$7="All",Dashboard!$C$7=H380),OR(Dashboard!$C$8="All",Dashboard!$C$8=F380))</f>
        <v/>
      </c>
      <c r="B380" s="109">
        <f>IF(A380,B379+1,B379)</f>
        <v/>
      </c>
      <c r="C380" s="109" t="n">
        <v>38</v>
      </c>
      <c r="D380" s="109" t="inlineStr">
        <is>
          <t>DC Satin Fitted</t>
        </is>
      </c>
      <c r="E380" s="109" t="inlineStr">
        <is>
          <t>CA</t>
        </is>
      </c>
      <c r="F380" s="109" t="inlineStr">
        <is>
          <t>Satin</t>
        </is>
      </c>
      <c r="G380" s="109" t="inlineStr">
        <is>
          <t>Lanest Housing</t>
        </is>
      </c>
      <c r="H380" s="109" t="inlineStr">
        <is>
          <t>Untiered</t>
        </is>
      </c>
      <c r="I380" s="109" t="inlineStr">
        <is>
          <t>Queen Silk Satin Fitted Sheet, Soft Deep Pocket Single Bottom Bed Sheets Sold Separately, Wrinkle Free, Non- Fading, Breathable, Fully Elasticized(Queen Size, Dark Grey)</t>
        </is>
      </c>
      <c r="J380" s="109" t="inlineStr">
        <is>
          <t>https://m.media-amazon.com/images/I/71E6gxishcL.jpg</t>
        </is>
      </c>
      <c r="K380" s="109" t="inlineStr">
        <is>
          <t>B09HQK4K21</t>
        </is>
      </c>
      <c r="L380" s="109" t="inlineStr">
        <is>
          <t>B09CL6BLJC</t>
        </is>
      </c>
      <c r="M380" s="109" t="n">
        <v>82</v>
      </c>
      <c r="N380" s="109" t="n">
        <v>41.44</v>
      </c>
      <c r="O380" s="109" t="n"/>
      <c r="P380" s="109">
        <f>IF(AND(ISNUMBER(O380),ISNUMBER(N380),N(N380)&gt;0),O380/N380-1,"")</f>
        <v/>
      </c>
      <c r="Q380" s="109" t="n">
        <v>26.4575</v>
      </c>
      <c r="R380" s="109">
        <f>IF(AND(ISNUMBER(N380),ISNUMBER(Q380),N(Q380)&gt;0),N380/Q380-1,"")</f>
        <v/>
      </c>
      <c r="S380" s="109" t="n">
        <v>277266</v>
      </c>
      <c r="T380" s="109" t="n"/>
      <c r="U380" s="109" t="n">
        <v>4</v>
      </c>
      <c r="V380" s="109" t="n">
        <v>4038</v>
      </c>
      <c r="W380" s="109" t="n"/>
      <c r="X380" s="109" t="n"/>
      <c r="Y380" s="109" t="n"/>
      <c r="Z380" s="109" t="n"/>
      <c r="AA380" s="109" t="n"/>
      <c r="AB380" s="109" t="n"/>
      <c r="AC380" s="109" t="inlineStr">
        <is>
          <t>CA DC Satin Fitted</t>
        </is>
      </c>
      <c r="AD380" s="109">
        <f>'CA DC Satin Fitted'!BC115</f>
        <v/>
      </c>
      <c r="AE380" s="109">
        <f>'CA DC Satin Fitted'!BF115</f>
        <v/>
      </c>
      <c r="AF380" s="109" t="inlineStr">
        <is>
          <t>Queen</t>
        </is>
      </c>
      <c r="AG380" s="109" t="inlineStr">
        <is>
          <t>Grey</t>
        </is>
      </c>
    </row>
    <row r="381">
      <c r="A381" s="109">
        <f>AND(OR(Dashboard!$C$4="All",Dashboard!$C$4=D381),OR(Dashboard!$C$5="All",Dashboard!$C$5=E381),OR(Dashboard!$C$6="All",Dashboard!$C$6=G381),OR(Dashboard!$C$7="All",Dashboard!$C$7=H381),OR(Dashboard!$C$8="All",Dashboard!$C$8=F381))</f>
        <v/>
      </c>
      <c r="B381" s="109">
        <f>IF(A381,B380+1,B380)</f>
        <v/>
      </c>
      <c r="C381" s="109" t="n">
        <v>38</v>
      </c>
      <c r="D381" s="109" t="inlineStr">
        <is>
          <t>DC Satin Fitted</t>
        </is>
      </c>
      <c r="E381" s="109" t="inlineStr">
        <is>
          <t>CA</t>
        </is>
      </c>
      <c r="F381" s="109" t="inlineStr">
        <is>
          <t>Satin</t>
        </is>
      </c>
      <c r="G381" s="109" t="inlineStr">
        <is>
          <t>uxcell</t>
        </is>
      </c>
      <c r="H381" s="109" t="inlineStr">
        <is>
          <t>Untiered</t>
        </is>
      </c>
      <c r="I381" s="109" t="inlineStr">
        <is>
          <t>uxcell Satin Fitted Sheet Queen Size, Solid Silky 12" Deep Pocket for Bed Sheet, Soft Breathable Bed Fitted Sheet 79"x60" Gloden Tone</t>
        </is>
      </c>
      <c r="J381" s="109" t="inlineStr">
        <is>
          <t>https://m.media-amazon.com/images/I/51KSNCJ2dvL.jpg</t>
        </is>
      </c>
      <c r="K381" s="109" t="n"/>
      <c r="L381" s="109" t="inlineStr">
        <is>
          <t>B07JVFGW71</t>
        </is>
      </c>
      <c r="M381" s="109" t="n"/>
      <c r="N381" s="109" t="n">
        <v>13.49</v>
      </c>
      <c r="O381" s="109" t="n"/>
      <c r="P381" s="109">
        <f>IF(AND(ISNUMBER(O381),ISNUMBER(N381),N(N381)&gt;0),O381/N381-1,"")</f>
        <v/>
      </c>
      <c r="Q381" s="109" t="n">
        <v>26.4575</v>
      </c>
      <c r="R381" s="109">
        <f>IF(AND(ISNUMBER(N381),ISNUMBER(Q381),N(Q381)&gt;0),N381/Q381-1,"")</f>
        <v/>
      </c>
      <c r="S381" s="109" t="n"/>
      <c r="T381" s="109" t="n"/>
      <c r="U381" s="109" t="n">
        <v>3.6</v>
      </c>
      <c r="V381" s="109" t="n">
        <v>7</v>
      </c>
      <c r="W381" s="109" t="n"/>
      <c r="X381" s="109" t="n"/>
      <c r="Y381" s="109" t="n"/>
      <c r="Z381" s="109" t="n"/>
      <c r="AA381" s="109" t="n"/>
      <c r="AB381" s="109" t="n"/>
      <c r="AC381" s="109" t="inlineStr">
        <is>
          <t>CA DC Satin Fitted</t>
        </is>
      </c>
      <c r="AD381" s="109">
        <f>'CA DC Satin Fitted'!BC116</f>
        <v/>
      </c>
      <c r="AE381" s="109">
        <f>'CA DC Satin Fitted'!BF116</f>
        <v/>
      </c>
      <c r="AF381" s="109" t="inlineStr">
        <is>
          <t>Queen</t>
        </is>
      </c>
      <c r="AG381" s="109" t="inlineStr">
        <is>
          <t>White</t>
        </is>
      </c>
    </row>
    <row r="382">
      <c r="A382" s="109">
        <f>AND(OR(Dashboard!$C$4="All",Dashboard!$C$4=D382),OR(Dashboard!$C$5="All",Dashboard!$C$5=E382),OR(Dashboard!$C$6="All",Dashboard!$C$6=G382),OR(Dashboard!$C$7="All",Dashboard!$C$7=H382),OR(Dashboard!$C$8="All",Dashboard!$C$8=F382))</f>
        <v/>
      </c>
      <c r="B382" s="109">
        <f>IF(A382,B381+1,B381)</f>
        <v/>
      </c>
      <c r="C382" s="109" t="n">
        <v>38</v>
      </c>
      <c r="D382" s="109" t="inlineStr">
        <is>
          <t>DC Satin Fitted</t>
        </is>
      </c>
      <c r="E382" s="109" t="inlineStr">
        <is>
          <t>CA</t>
        </is>
      </c>
      <c r="F382" s="109" t="inlineStr">
        <is>
          <t>Satin</t>
        </is>
      </c>
      <c r="G382" s="109" t="inlineStr">
        <is>
          <t>P Pothuiny</t>
        </is>
      </c>
      <c r="H382" s="109" t="inlineStr">
        <is>
          <t>Untiered</t>
        </is>
      </c>
      <c r="I382" s="109" t="inlineStr">
        <is>
          <t>P Pothuiny Satin Fitted Sheet Queen Black Single Mattress Cover Only</t>
        </is>
      </c>
      <c r="J382" s="109" t="inlineStr">
        <is>
          <t>https://m.media-amazon.com/images/I/71iEmNjDaLL.jpg</t>
        </is>
      </c>
      <c r="K382" s="109" t="inlineStr">
        <is>
          <t>B09Z6L6RC7</t>
        </is>
      </c>
      <c r="L382" s="109" t="inlineStr">
        <is>
          <t>B09W5X43TM</t>
        </is>
      </c>
      <c r="M382" s="109" t="n">
        <v>16</v>
      </c>
      <c r="N382" s="109" t="n">
        <v>33.48</v>
      </c>
      <c r="O382" s="109" t="n"/>
      <c r="P382" s="109">
        <f>IF(AND(ISNUMBER(O382),ISNUMBER(N382),N(N382)&gt;0),O382/N382-1,"")</f>
        <v/>
      </c>
      <c r="Q382" s="109" t="n">
        <v>26.4575</v>
      </c>
      <c r="R382" s="109">
        <f>IF(AND(ISNUMBER(N382),ISNUMBER(Q382),N(Q382)&gt;0),N382/Q382-1,"")</f>
        <v/>
      </c>
      <c r="S382" s="109" t="n">
        <v>641725</v>
      </c>
      <c r="T382" s="109" t="n"/>
      <c r="U382" s="109" t="n">
        <v>4.4</v>
      </c>
      <c r="V382" s="109" t="n">
        <v>534</v>
      </c>
      <c r="W382" s="109" t="n"/>
      <c r="X382" s="109" t="n"/>
      <c r="Y382" s="109" t="n"/>
      <c r="Z382" s="109" t="n"/>
      <c r="AA382" s="109" t="n"/>
      <c r="AB382" s="109" t="n"/>
      <c r="AC382" s="109" t="inlineStr">
        <is>
          <t>CA DC Satin Fitted</t>
        </is>
      </c>
      <c r="AD382" s="109">
        <f>'CA DC Satin Fitted'!BC117</f>
        <v/>
      </c>
      <c r="AE382" s="109">
        <f>'CA DC Satin Fitted'!BF117</f>
        <v/>
      </c>
      <c r="AF382" s="109" t="inlineStr">
        <is>
          <t>Queen</t>
        </is>
      </c>
      <c r="AG382" s="109" t="inlineStr">
        <is>
          <t>Black</t>
        </is>
      </c>
    </row>
    <row r="383">
      <c r="A383" s="109">
        <f>AND(OR(Dashboard!$C$4="All",Dashboard!$C$4=D383),OR(Dashboard!$C$5="All",Dashboard!$C$5=E383),OR(Dashboard!$C$6="All",Dashboard!$C$6=G383),OR(Dashboard!$C$7="All",Dashboard!$C$7=H383),OR(Dashboard!$C$8="All",Dashboard!$C$8=F383))</f>
        <v/>
      </c>
      <c r="B383" s="109">
        <f>IF(A383,B382+1,B382)</f>
        <v/>
      </c>
      <c r="C383" s="109" t="n">
        <v>38</v>
      </c>
      <c r="D383" s="109" t="inlineStr">
        <is>
          <t>DC Satin Fitted</t>
        </is>
      </c>
      <c r="E383" s="109" t="inlineStr">
        <is>
          <t>CA</t>
        </is>
      </c>
      <c r="F383" s="109" t="inlineStr">
        <is>
          <t>Satin</t>
        </is>
      </c>
      <c r="G383" s="109" t="inlineStr">
        <is>
          <t>Homiest</t>
        </is>
      </c>
      <c r="H383" s="109" t="inlineStr">
        <is>
          <t>Untiered</t>
        </is>
      </c>
      <c r="I383" s="109" t="inlineStr">
        <is>
          <t>Homiest Black Satin Fitted Sheet Queen Size Deep Pocket Luxury Ultra Soft Bedding</t>
        </is>
      </c>
      <c r="J383" s="109" t="inlineStr">
        <is>
          <t>https://m.media-amazon.com/images/I/81MYmoOAtUL.jpg</t>
        </is>
      </c>
      <c r="K383" s="109" t="inlineStr">
        <is>
          <t>B0B15DCTV8</t>
        </is>
      </c>
      <c r="L383" s="109" t="inlineStr">
        <is>
          <t>B09WH4B2BD</t>
        </is>
      </c>
      <c r="M383" s="109" t="n">
        <v>98</v>
      </c>
      <c r="N383" s="109" t="n">
        <v>34.53</v>
      </c>
      <c r="O383" s="109" t="n"/>
      <c r="P383" s="109">
        <f>IF(AND(ISNUMBER(O383),ISNUMBER(N383),N(N383)&gt;0),O383/N383-1,"")</f>
        <v/>
      </c>
      <c r="Q383" s="109" t="n">
        <v>26.4575</v>
      </c>
      <c r="R383" s="109">
        <f>IF(AND(ISNUMBER(N383),ISNUMBER(Q383),N(Q383)&gt;0),N383/Q383-1,"")</f>
        <v/>
      </c>
      <c r="S383" s="109" t="n">
        <v>114075</v>
      </c>
      <c r="T383" s="109" t="n"/>
      <c r="U383" s="109" t="n">
        <v>4.5</v>
      </c>
      <c r="V383" s="109" t="n">
        <v>484</v>
      </c>
      <c r="W383" s="109" t="n"/>
      <c r="X383" s="109" t="n"/>
      <c r="Y383" s="109" t="n"/>
      <c r="Z383" s="109" t="n"/>
      <c r="AA383" s="109" t="n"/>
      <c r="AB383" s="109" t="n"/>
      <c r="AC383" s="109" t="inlineStr">
        <is>
          <t>CA DC Satin Fitted</t>
        </is>
      </c>
      <c r="AD383" s="109">
        <f>'CA DC Satin Fitted'!BC118</f>
        <v/>
      </c>
      <c r="AE383" s="109">
        <f>'CA DC Satin Fitted'!BF118</f>
        <v/>
      </c>
      <c r="AF383" s="109" t="inlineStr">
        <is>
          <t>Queen</t>
        </is>
      </c>
      <c r="AG383" s="109" t="inlineStr">
        <is>
          <t>Brown</t>
        </is>
      </c>
    </row>
    <row r="384">
      <c r="A384" s="109">
        <f>AND(OR(Dashboard!$C$4="All",Dashboard!$C$4=D384),OR(Dashboard!$C$5="All",Dashboard!$C$5=E384),OR(Dashboard!$C$6="All",Dashboard!$C$6=G384),OR(Dashboard!$C$7="All",Dashboard!$C$7=H384),OR(Dashboard!$C$8="All",Dashboard!$C$8=F384))</f>
        <v/>
      </c>
      <c r="B384" s="109">
        <f>IF(A384,B383+1,B383)</f>
        <v/>
      </c>
      <c r="C384" s="109" t="n">
        <v>38</v>
      </c>
      <c r="D384" s="109" t="inlineStr">
        <is>
          <t>DC Satin Fitted</t>
        </is>
      </c>
      <c r="E384" s="109" t="inlineStr">
        <is>
          <t>CA</t>
        </is>
      </c>
      <c r="F384" s="109" t="inlineStr">
        <is>
          <t>Satin</t>
        </is>
      </c>
      <c r="G384" s="109" t="inlineStr">
        <is>
          <t>Luxbedding</t>
        </is>
      </c>
      <c r="H384" s="109" t="inlineStr">
        <is>
          <t>Untiered</t>
        </is>
      </c>
      <c r="I384" s="109" t="inlineStr">
        <is>
          <t>LuxBedding Satin Fitted Bed Sheet Only, Soft as Silk, Queue, Burgundy</t>
        </is>
      </c>
      <c r="J384" s="109" t="inlineStr">
        <is>
          <t>https://m.media-amazon.com/images/I/71V4-nmuDoS.jpg</t>
        </is>
      </c>
      <c r="K384" s="109" t="inlineStr">
        <is>
          <t>B093WZY75P</t>
        </is>
      </c>
      <c r="L384" s="109" t="inlineStr">
        <is>
          <t>B08QF4WDWL</t>
        </is>
      </c>
      <c r="M384" s="109" t="n">
        <v>45</v>
      </c>
      <c r="N384" s="109" t="n">
        <v>46.69</v>
      </c>
      <c r="O384" s="109" t="n"/>
      <c r="P384" s="109">
        <f>IF(AND(ISNUMBER(O384),ISNUMBER(N384),N(N384)&gt;0),O384/N384-1,"")</f>
        <v/>
      </c>
      <c r="Q384" s="109" t="n">
        <v>26.4575</v>
      </c>
      <c r="R384" s="109">
        <f>IF(AND(ISNUMBER(N384),ISNUMBER(Q384),N(Q384)&gt;0),N384/Q384-1,"")</f>
        <v/>
      </c>
      <c r="S384" s="109" t="n">
        <v>210282</v>
      </c>
      <c r="T384" s="109" t="n"/>
      <c r="U384" s="109" t="n">
        <v>4.3</v>
      </c>
      <c r="V384" s="109" t="n">
        <v>1600</v>
      </c>
      <c r="W384" s="109" t="n"/>
      <c r="X384" s="109" t="n"/>
      <c r="Y384" s="109" t="n"/>
      <c r="Z384" s="109" t="n"/>
      <c r="AA384" s="109" t="n"/>
      <c r="AB384" s="109" t="n"/>
      <c r="AC384" s="109" t="inlineStr">
        <is>
          <t>CA DC Satin Fitted</t>
        </is>
      </c>
      <c r="AD384" s="109">
        <f>'CA DC Satin Fitted'!BC119</f>
        <v/>
      </c>
      <c r="AE384" s="109">
        <f>'CA DC Satin Fitted'!BF119</f>
        <v/>
      </c>
      <c r="AF384" s="109" t="inlineStr">
        <is>
          <t>Queen</t>
        </is>
      </c>
      <c r="AG384" s="109" t="inlineStr">
        <is>
          <t>Red</t>
        </is>
      </c>
    </row>
    <row r="385">
      <c r="A385" s="109">
        <f>AND(OR(Dashboard!$C$4="All",Dashboard!$C$4=D385),OR(Dashboard!$C$5="All",Dashboard!$C$5=E385),OR(Dashboard!$C$6="All",Dashboard!$C$6=G385),OR(Dashboard!$C$7="All",Dashboard!$C$7=H385),OR(Dashboard!$C$8="All",Dashboard!$C$8=F385))</f>
        <v/>
      </c>
      <c r="B385" s="109">
        <f>IF(A385,B384+1,B384)</f>
        <v/>
      </c>
      <c r="C385" s="109" t="n">
        <v>38</v>
      </c>
      <c r="D385" s="109" t="inlineStr">
        <is>
          <t>DC Satin Fitted</t>
        </is>
      </c>
      <c r="E385" s="109" t="inlineStr">
        <is>
          <t>CA</t>
        </is>
      </c>
      <c r="F385" s="109" t="inlineStr">
        <is>
          <t>Satin</t>
        </is>
      </c>
      <c r="G385" s="109" t="inlineStr">
        <is>
          <t>BEDELITE</t>
        </is>
      </c>
      <c r="H385" s="109" t="inlineStr">
        <is>
          <t>Untiered</t>
        </is>
      </c>
      <c r="I385" s="109" t="inlineStr">
        <is>
          <t>BEDELITE Satin Fitted Sheet Queen Size for Hair &amp; Skin, Luxury Soft Silk-Like Bed Sheet with Elastic Corner Straps, 1 Deep Pocket Fitted Sheet Only Fits 15" Mattress, Fade &amp; Wrinkle Resistant, Ivory</t>
        </is>
      </c>
      <c r="J385" s="109" t="inlineStr">
        <is>
          <t>https://m.media-amazon.com/images/I/61KHLNuBD4L.jpg</t>
        </is>
      </c>
      <c r="K385" s="109" t="inlineStr">
        <is>
          <t>B0FSN6J3TP</t>
        </is>
      </c>
      <c r="L385" s="109" t="inlineStr">
        <is>
          <t>B0FL2BKPPN</t>
        </is>
      </c>
      <c r="M385" s="109" t="n">
        <v>42</v>
      </c>
      <c r="N385" s="109" t="n">
        <v>45.6</v>
      </c>
      <c r="O385" s="109" t="n"/>
      <c r="P385" s="109">
        <f>IF(AND(ISNUMBER(O385),ISNUMBER(N385),N(N385)&gt;0),O385/N385-1,"")</f>
        <v/>
      </c>
      <c r="Q385" s="109" t="n">
        <v>26.4575</v>
      </c>
      <c r="R385" s="109">
        <f>IF(AND(ISNUMBER(N385),ISNUMBER(Q385),N(Q385)&gt;0),N385/Q385-1,"")</f>
        <v/>
      </c>
      <c r="S385" s="109" t="n">
        <v>282249</v>
      </c>
      <c r="T385" s="109" t="n"/>
      <c r="U385" s="109" t="n">
        <v>4.5</v>
      </c>
      <c r="V385" s="109" t="n">
        <v>490</v>
      </c>
      <c r="W385" s="109" t="n"/>
      <c r="X385" s="109" t="n"/>
      <c r="Y385" s="109" t="n"/>
      <c r="Z385" s="109" t="n"/>
      <c r="AA385" s="109" t="n"/>
      <c r="AB385" s="109" t="n"/>
      <c r="AC385" s="109" t="inlineStr">
        <is>
          <t>CA DC Satin Fitted</t>
        </is>
      </c>
      <c r="AD385" s="109">
        <f>'CA DC Satin Fitted'!BC120</f>
        <v/>
      </c>
      <c r="AE385" s="109">
        <f>'CA DC Satin Fitted'!BF120</f>
        <v/>
      </c>
      <c r="AF385" s="109" t="inlineStr">
        <is>
          <t>Queen</t>
        </is>
      </c>
      <c r="AG385" s="109" t="inlineStr">
        <is>
          <t>Ivory</t>
        </is>
      </c>
    </row>
    <row r="386">
      <c r="A386" s="109">
        <f>AND(OR(Dashboard!$C$4="All",Dashboard!$C$4=D386),OR(Dashboard!$C$5="All",Dashboard!$C$5=E386),OR(Dashboard!$C$6="All",Dashboard!$C$6=G386),OR(Dashboard!$C$7="All",Dashboard!$C$7=H386),OR(Dashboard!$C$8="All",Dashboard!$C$8=F386))</f>
        <v/>
      </c>
      <c r="B386" s="109">
        <f>IF(A386,B385+1,B385)</f>
        <v/>
      </c>
      <c r="C386" s="109" t="n">
        <v>38</v>
      </c>
      <c r="D386" s="109" t="inlineStr">
        <is>
          <t>DC Satin Fitted</t>
        </is>
      </c>
      <c r="E386" s="109" t="inlineStr">
        <is>
          <t>CA</t>
        </is>
      </c>
      <c r="F386" s="109" t="inlineStr">
        <is>
          <t>Satin</t>
        </is>
      </c>
      <c r="G386" s="109" t="inlineStr">
        <is>
          <t>uxcell</t>
        </is>
      </c>
      <c r="H386" s="109" t="inlineStr">
        <is>
          <t>Untiered</t>
        </is>
      </c>
      <c r="I386" s="109" t="inlineStr">
        <is>
          <t>uxcell Satin Fitted Sheet Queen Size, Solid Silky 12" Deep Pocket for Bed Sheet, Soft Breathable Bed Fitted Sheet 79"x60" Gray</t>
        </is>
      </c>
      <c r="J386" s="109" t="inlineStr">
        <is>
          <t>https://m.media-amazon.com/images/I/51u7qE48BAL.jpg</t>
        </is>
      </c>
      <c r="K386" s="109" t="n"/>
      <c r="L386" s="109" t="inlineStr">
        <is>
          <t>B07LFCM1J3</t>
        </is>
      </c>
      <c r="M386" s="109" t="n"/>
      <c r="N386" s="109" t="n">
        <v>26.99</v>
      </c>
      <c r="O386" s="109" t="n"/>
      <c r="P386" s="109">
        <f>IF(AND(ISNUMBER(O386),ISNUMBER(N386),N(N386)&gt;0),O386/N386-1,"")</f>
        <v/>
      </c>
      <c r="Q386" s="109" t="n">
        <v>26.4575</v>
      </c>
      <c r="R386" s="109">
        <f>IF(AND(ISNUMBER(N386),ISNUMBER(Q386),N(Q386)&gt;0),N386/Q386-1,"")</f>
        <v/>
      </c>
      <c r="S386" s="109" t="n"/>
      <c r="T386" s="109" t="n"/>
      <c r="U386" s="109" t="n">
        <v>3.8</v>
      </c>
      <c r="V386" s="109" t="n">
        <v>22</v>
      </c>
      <c r="W386" s="109" t="n"/>
      <c r="X386" s="109" t="n"/>
      <c r="Y386" s="109" t="n"/>
      <c r="Z386" s="109" t="n"/>
      <c r="AA386" s="109" t="n"/>
      <c r="AB386" s="109" t="n"/>
      <c r="AC386" s="109" t="inlineStr">
        <is>
          <t>CA DC Satin Fitted</t>
        </is>
      </c>
      <c r="AD386" s="109">
        <f>'CA DC Satin Fitted'!BC121</f>
        <v/>
      </c>
      <c r="AE386" s="109">
        <f>'CA DC Satin Fitted'!BF121</f>
        <v/>
      </c>
      <c r="AF386" s="109" t="inlineStr">
        <is>
          <t>Queen</t>
        </is>
      </c>
      <c r="AG386" s="109" t="inlineStr">
        <is>
          <t>White</t>
        </is>
      </c>
    </row>
    <row r="387">
      <c r="A387" s="109">
        <f>AND(OR(Dashboard!$C$4="All",Dashboard!$C$4=D387),OR(Dashboard!$C$5="All",Dashboard!$C$5=E387),OR(Dashboard!$C$6="All",Dashboard!$C$6=G387),OR(Dashboard!$C$7="All",Dashboard!$C$7=H387),OR(Dashboard!$C$8="All",Dashboard!$C$8=F387))</f>
        <v/>
      </c>
      <c r="B387" s="109">
        <f>IF(A387,B386+1,B386)</f>
        <v/>
      </c>
      <c r="C387" s="109" t="n">
        <v>55</v>
      </c>
      <c r="D387" s="109" t="inlineStr">
        <is>
          <t>DC Silk Pillowcase</t>
        </is>
      </c>
      <c r="E387" s="109" t="inlineStr">
        <is>
          <t>US</t>
        </is>
      </c>
      <c r="F387" s="109" t="inlineStr">
        <is>
          <t>Silk</t>
        </is>
      </c>
      <c r="G387" s="109" t="inlineStr">
        <is>
          <t>INFIIXSO</t>
        </is>
      </c>
      <c r="H387" s="109" t="inlineStr">
        <is>
          <t>Aspirational</t>
        </is>
      </c>
      <c r="I387" s="109" t="inlineStr">
        <is>
          <t>Blissy Silk Pillowcase - 100% Pure Mulberry Silk - 22 Momme 6A High-Grade Fibers - Silk Pillow Cover for Hair &amp; Skin - Regular, Queen &amp; King (Blissy White, Standard)</t>
        </is>
      </c>
      <c r="J387" s="109" t="inlineStr">
        <is>
          <t>https://images-na.ssl-images-amazon.com/images/I/51Tn3ZSyhlL.jpg</t>
        </is>
      </c>
      <c r="K387" s="109" t="inlineStr">
        <is>
          <t>B0D9FCH7Q5</t>
        </is>
      </c>
      <c r="L387" s="109" t="inlineStr">
        <is>
          <t>B0BBSSRNHM</t>
        </is>
      </c>
      <c r="M387" s="109" t="n">
        <v>67</v>
      </c>
      <c r="N387" s="109" t="n">
        <v>57.98</v>
      </c>
      <c r="O387" s="109" t="n"/>
      <c r="P387" s="109">
        <f>IF(AND(ISNUMBER(O387),ISNUMBER(N387),N(N387)&gt;0),O387/N387-1,"")</f>
        <v/>
      </c>
      <c r="Q387" s="109" t="n">
        <v>49.95</v>
      </c>
      <c r="R387" s="109">
        <f>IF(AND(ISNUMBER(N387),ISNUMBER(Q387),N(Q387)&gt;0),N387/Q387-1,"")</f>
        <v/>
      </c>
      <c r="S387" s="109" t="n">
        <v>346</v>
      </c>
      <c r="T387" s="109" t="n">
        <v>1732</v>
      </c>
      <c r="U387" s="109" t="n">
        <v>4.5</v>
      </c>
      <c r="V387" s="109" t="n">
        <v>10441</v>
      </c>
      <c r="W387" s="109" t="n">
        <v>772937</v>
      </c>
      <c r="X387" s="109" t="n">
        <v>0.5177595494846295</v>
      </c>
      <c r="Y387" s="109" t="n">
        <v>11</v>
      </c>
      <c r="Z387" s="109" t="n">
        <v>243</v>
      </c>
      <c r="AA387" s="109" t="n">
        <v>682</v>
      </c>
      <c r="AB387" s="109" t="n">
        <v>1.447018931901667</v>
      </c>
      <c r="AC387" s="109" t="inlineStr">
        <is>
          <t>US DC Silk Pillowcase</t>
        </is>
      </c>
      <c r="AD387" s="109">
        <f>'US DC Silk Pillowcase'!BC56</f>
        <v/>
      </c>
      <c r="AE387" s="109">
        <f>'US DC Silk Pillowcase'!BF56</f>
        <v/>
      </c>
      <c r="AF387" s="109" t="inlineStr">
        <is>
          <t>Queen</t>
        </is>
      </c>
      <c r="AG387" s="109" t="inlineStr">
        <is>
          <t>Blissy White</t>
        </is>
      </c>
    </row>
    <row r="388">
      <c r="A388" s="109">
        <f>AND(OR(Dashboard!$C$4="All",Dashboard!$C$4=D388),OR(Dashboard!$C$5="All",Dashboard!$C$5=E388),OR(Dashboard!$C$6="All",Dashboard!$C$6=G388),OR(Dashboard!$C$7="All",Dashboard!$C$7=H388),OR(Dashboard!$C$8="All",Dashboard!$C$8=F388))</f>
        <v/>
      </c>
      <c r="B388" s="109">
        <f>IF(A388,B387+1,B387)</f>
        <v/>
      </c>
      <c r="C388" s="109" t="n">
        <v>55</v>
      </c>
      <c r="D388" s="109" t="inlineStr">
        <is>
          <t>DC Silk Pillowcase</t>
        </is>
      </c>
      <c r="E388" s="109" t="inlineStr">
        <is>
          <t>US</t>
        </is>
      </c>
      <c r="F388" s="109" t="inlineStr">
        <is>
          <t>Silk</t>
        </is>
      </c>
      <c r="G388" s="109" t="inlineStr">
        <is>
          <t>ZIMASILK</t>
        </is>
      </c>
      <c r="H388" s="109" t="inlineStr">
        <is>
          <t>Aspirational</t>
        </is>
      </c>
      <c r="I388" s="109" t="inlineStr">
        <is>
          <t>ZIMASILK 100% Pure Mulberry Silk Pillow Cases for Hair and Skin, Soft, Hypoallergenic &amp; Smooth, Both Sides Grade 6A Silk, with Hidden Zipper, Gift for Women Men, 1pc (Queen 20''x30'', Taupe)</t>
        </is>
      </c>
      <c r="J388" s="109" t="inlineStr">
        <is>
          <t>https://images-na.ssl-images-amazon.com/images/I/61h02IUI3OL.jpg</t>
        </is>
      </c>
      <c r="K388" s="109" t="inlineStr">
        <is>
          <t>B01LVZC25I</t>
        </is>
      </c>
      <c r="L388" s="109" t="inlineStr">
        <is>
          <t>B01LVU7THF</t>
        </is>
      </c>
      <c r="M388" s="109" t="n">
        <v>115</v>
      </c>
      <c r="N388" s="109" t="n">
        <v>23.91</v>
      </c>
      <c r="O388" s="109" t="n">
        <v>25.99</v>
      </c>
      <c r="P388" s="109">
        <f>IF(AND(ISNUMBER(O388),ISNUMBER(N388),N(N388)&gt;0),O388/N388-1,"")</f>
        <v/>
      </c>
      <c r="Q388" s="109" t="n">
        <v>49.95</v>
      </c>
      <c r="R388" s="109">
        <f>IF(AND(ISNUMBER(N388),ISNUMBER(Q388),N(Q388)&gt;0),N388/Q388-1,"")</f>
        <v/>
      </c>
      <c r="S388" s="109" t="n">
        <v>532</v>
      </c>
      <c r="T388" s="109" t="n">
        <v>809</v>
      </c>
      <c r="U388" s="109" t="n">
        <v>4.6</v>
      </c>
      <c r="V388" s="109" t="n">
        <v>52198</v>
      </c>
      <c r="W388" s="109" t="n">
        <v>576174</v>
      </c>
      <c r="X388" s="109" t="n">
        <v>0.6856568015911867</v>
      </c>
      <c r="Y388" s="109" t="n">
        <v>12</v>
      </c>
      <c r="Z388" s="109" t="n">
        <v>245</v>
      </c>
      <c r="AA388" s="109" t="n">
        <v>504</v>
      </c>
      <c r="AB388" s="109" t="n">
        <v>0.9883495145631068</v>
      </c>
      <c r="AC388" s="109" t="inlineStr">
        <is>
          <t>US DC Silk Pillowcase</t>
        </is>
      </c>
      <c r="AD388" s="109">
        <f>'US DC Silk Pillowcase'!BC57</f>
        <v/>
      </c>
      <c r="AE388" s="109">
        <f>'US DC Silk Pillowcase'!BF57</f>
        <v/>
      </c>
      <c r="AF388" s="109" t="inlineStr">
        <is>
          <t>Queen</t>
        </is>
      </c>
      <c r="AG388" s="109" t="inlineStr">
        <is>
          <t>Taupe</t>
        </is>
      </c>
    </row>
    <row r="389">
      <c r="A389" s="109">
        <f>AND(OR(Dashboard!$C$4="All",Dashboard!$C$4=D389),OR(Dashboard!$C$5="All",Dashboard!$C$5=E389),OR(Dashboard!$C$6="All",Dashboard!$C$6=G389),OR(Dashboard!$C$7="All",Dashboard!$C$7=H389),OR(Dashboard!$C$8="All",Dashboard!$C$8=F389))</f>
        <v/>
      </c>
      <c r="B389" s="109">
        <f>IF(A389,B388+1,B388)</f>
        <v/>
      </c>
      <c r="C389" s="109" t="n">
        <v>55</v>
      </c>
      <c r="D389" s="109" t="inlineStr">
        <is>
          <t>DC Silk Pillowcase</t>
        </is>
      </c>
      <c r="E389" s="109" t="inlineStr">
        <is>
          <t>US</t>
        </is>
      </c>
      <c r="F389" s="109" t="inlineStr">
        <is>
          <t>Silk</t>
        </is>
      </c>
      <c r="G389" s="109" t="inlineStr">
        <is>
          <t>PROMEED</t>
        </is>
      </c>
      <c r="H389" s="109" t="inlineStr">
        <is>
          <t>Aspirational</t>
        </is>
      </c>
      <c r="I389" s="109" t="inlineStr">
        <is>
          <t>Silk Pillowcase</t>
        </is>
      </c>
      <c r="J389" s="109" t="n"/>
      <c r="K389" s="109" t="inlineStr">
        <is>
          <t>B0HCMWNG9W</t>
        </is>
      </c>
      <c r="L389" s="109" t="inlineStr">
        <is>
          <t>B0B4RH938T</t>
        </is>
      </c>
      <c r="M389" s="109" t="n">
        <v>27</v>
      </c>
      <c r="N389" s="109" t="n">
        <v>24</v>
      </c>
      <c r="O389" s="109" t="n"/>
      <c r="P389" s="109">
        <f>IF(AND(ISNUMBER(O389),ISNUMBER(N389),N(N389)&gt;0),O389/N389-1,"")</f>
        <v/>
      </c>
      <c r="Q389" s="109" t="n">
        <v>49.95</v>
      </c>
      <c r="R389" s="109">
        <f>IF(AND(ISNUMBER(N389),ISNUMBER(Q389),N(Q389)&gt;0),N389/Q389-1,"")</f>
        <v/>
      </c>
      <c r="S389" s="109" t="n">
        <v>9074</v>
      </c>
      <c r="T389" s="109" t="n">
        <v>173</v>
      </c>
      <c r="U389" s="109" t="n">
        <v>4.5</v>
      </c>
      <c r="V389" s="109" t="n">
        <v>1973</v>
      </c>
      <c r="W389" s="109" t="n">
        <v>122186</v>
      </c>
      <c r="X389" s="109" t="n">
        <v>0.8164780989638751</v>
      </c>
      <c r="Y389" s="109" t="n">
        <v>30</v>
      </c>
      <c r="Z389" s="109" t="n">
        <v>191</v>
      </c>
      <c r="AA389" s="109" t="n">
        <v>163</v>
      </c>
      <c r="AB389" s="109" t="n">
        <v>1.176358798935766</v>
      </c>
      <c r="AC389" s="109" t="inlineStr">
        <is>
          <t>US DC Silk Pillowcase</t>
        </is>
      </c>
      <c r="AD389" s="109">
        <f>'US DC Silk Pillowcase'!BC58</f>
        <v/>
      </c>
      <c r="AE389" s="109">
        <f>'US DC Silk Pillowcase'!BF58</f>
        <v/>
      </c>
      <c r="AF389" s="109" t="n"/>
      <c r="AG389" s="109" t="n"/>
    </row>
    <row r="390">
      <c r="A390" s="109">
        <f>AND(OR(Dashboard!$C$4="All",Dashboard!$C$4=D390),OR(Dashboard!$C$5="All",Dashboard!$C$5=E390),OR(Dashboard!$C$6="All",Dashboard!$C$6=G390),OR(Dashboard!$C$7="All",Dashboard!$C$7=H390),OR(Dashboard!$C$8="All",Dashboard!$C$8=F390))</f>
        <v/>
      </c>
      <c r="B390" s="109">
        <f>IF(A390,B389+1,B389)</f>
        <v/>
      </c>
      <c r="C390" s="109" t="n">
        <v>55</v>
      </c>
      <c r="D390" s="109" t="inlineStr">
        <is>
          <t>DC Silk Pillowcase</t>
        </is>
      </c>
      <c r="E390" s="109" t="inlineStr">
        <is>
          <t>US</t>
        </is>
      </c>
      <c r="F390" s="109" t="inlineStr">
        <is>
          <t>Silk</t>
        </is>
      </c>
      <c r="G390" s="109" t="inlineStr">
        <is>
          <t>ALASKA BEAR</t>
        </is>
      </c>
      <c r="H390" s="109" t="inlineStr">
        <is>
          <t>Aspirational</t>
        </is>
      </c>
      <c r="I390" s="109" t="inlineStr">
        <is>
          <t>Silk Pillowcase</t>
        </is>
      </c>
      <c r="J390" s="109" t="n"/>
      <c r="K390" s="109" t="inlineStr">
        <is>
          <t>B01KFPFUAE</t>
        </is>
      </c>
      <c r="L390" s="109" t="inlineStr">
        <is>
          <t>B00KDL108M</t>
        </is>
      </c>
      <c r="M390" s="109" t="n">
        <v>34</v>
      </c>
      <c r="N390" s="109" t="n">
        <v>25.99</v>
      </c>
      <c r="O390" s="109" t="n"/>
      <c r="P390" s="109">
        <f>IF(AND(ISNUMBER(O390),ISNUMBER(N390),N(N390)&gt;0),O390/N390-1,"")</f>
        <v/>
      </c>
      <c r="Q390" s="109" t="n">
        <v>49.95</v>
      </c>
      <c r="R390" s="109">
        <f>IF(AND(ISNUMBER(N390),ISNUMBER(Q390),N(Q390)&gt;0),N390/Q390-1,"")</f>
        <v/>
      </c>
      <c r="S390" s="109" t="n">
        <v>22910</v>
      </c>
      <c r="T390" s="109" t="n">
        <v>92</v>
      </c>
      <c r="U390" s="109" t="n">
        <v>4.5</v>
      </c>
      <c r="V390" s="109" t="n">
        <v>25340</v>
      </c>
      <c r="W390" s="109" t="n">
        <v>209497</v>
      </c>
      <c r="X390" s="109" t="n">
        <v>0.5683664338868817</v>
      </c>
      <c r="Y390" s="109" t="n">
        <v>27</v>
      </c>
      <c r="Z390" s="109" t="n">
        <v>207</v>
      </c>
      <c r="AA390" s="109" t="n">
        <v>388</v>
      </c>
      <c r="AB390" s="109" t="n">
        <v>0.3642691415313225</v>
      </c>
      <c r="AC390" s="109" t="inlineStr">
        <is>
          <t>US DC Silk Pillowcase</t>
        </is>
      </c>
      <c r="AD390" s="109">
        <f>'US DC Silk Pillowcase'!BC59</f>
        <v/>
      </c>
      <c r="AE390" s="109">
        <f>'US DC Silk Pillowcase'!BF59</f>
        <v/>
      </c>
      <c r="AF390" s="109" t="n"/>
      <c r="AG390" s="109" t="n"/>
    </row>
    <row r="391">
      <c r="A391" s="109">
        <f>AND(OR(Dashboard!$C$4="All",Dashboard!$C$4=D391),OR(Dashboard!$C$5="All",Dashboard!$C$5=E391),OR(Dashboard!$C$6="All",Dashboard!$C$6=G391),OR(Dashboard!$C$7="All",Dashboard!$C$7=H391),OR(Dashboard!$C$8="All",Dashboard!$C$8=F391))</f>
        <v/>
      </c>
      <c r="B391" s="109">
        <f>IF(A391,B390+1,B390)</f>
        <v/>
      </c>
      <c r="C391" s="109" t="n">
        <v>55</v>
      </c>
      <c r="D391" s="109" t="inlineStr">
        <is>
          <t>DC Silk Pillowcase</t>
        </is>
      </c>
      <c r="E391" s="109" t="inlineStr">
        <is>
          <t>US</t>
        </is>
      </c>
      <c r="F391" s="109" t="inlineStr">
        <is>
          <t>Silk</t>
        </is>
      </c>
      <c r="G391" s="109" t="inlineStr">
        <is>
          <t>Fishers Finery</t>
        </is>
      </c>
      <c r="H391" s="109" t="inlineStr">
        <is>
          <t>Aspirational</t>
        </is>
      </c>
      <c r="I391" s="109" t="inlineStr">
        <is>
          <t>Silk Pillowcase</t>
        </is>
      </c>
      <c r="J391" s="109" t="n"/>
      <c r="K391" s="109" t="inlineStr">
        <is>
          <t>B0FKC1MD24</t>
        </is>
      </c>
      <c r="L391" s="109" t="inlineStr">
        <is>
          <t>B00FWZW55Q</t>
        </is>
      </c>
      <c r="M391" s="109" t="n">
        <v>38</v>
      </c>
      <c r="N391" s="109" t="n">
        <v>59.99</v>
      </c>
      <c r="O391" s="109" t="n"/>
      <c r="P391" s="109">
        <f>IF(AND(ISNUMBER(O391),ISNUMBER(N391),N(N391)&gt;0),O391/N391-1,"")</f>
        <v/>
      </c>
      <c r="Q391" s="109" t="n">
        <v>49.95</v>
      </c>
      <c r="R391" s="109">
        <f>IF(AND(ISNUMBER(N391),ISNUMBER(Q391),N(Q391)&gt;0),N391/Q391-1,"")</f>
        <v/>
      </c>
      <c r="S391" s="109" t="n">
        <v>11579</v>
      </c>
      <c r="T391" s="109" t="n">
        <v>92</v>
      </c>
      <c r="U391" s="109" t="n">
        <v>4.6</v>
      </c>
      <c r="V391" s="109" t="n">
        <v>9036</v>
      </c>
      <c r="W391" s="109" t="n">
        <v>220584</v>
      </c>
      <c r="X391" s="109" t="n">
        <v>0.4810484871976213</v>
      </c>
      <c r="Y391" s="109" t="n">
        <v>29</v>
      </c>
      <c r="Z391" s="109" t="n">
        <v>220</v>
      </c>
      <c r="AA391" s="109" t="n">
        <v>505</v>
      </c>
      <c r="AB391" s="109" t="n">
        <v>1.226145038167939</v>
      </c>
      <c r="AC391" s="109" t="inlineStr">
        <is>
          <t>US DC Silk Pillowcase</t>
        </is>
      </c>
      <c r="AD391" s="109">
        <f>'US DC Silk Pillowcase'!BC60</f>
        <v/>
      </c>
      <c r="AE391" s="109">
        <f>'US DC Silk Pillowcase'!BF60</f>
        <v/>
      </c>
      <c r="AF391" s="109" t="n"/>
      <c r="AG391" s="109" t="n"/>
    </row>
    <row r="392">
      <c r="A392" s="109">
        <f>AND(OR(Dashboard!$C$4="All",Dashboard!$C$4=D392),OR(Dashboard!$C$5="All",Dashboard!$C$5=E392),OR(Dashboard!$C$6="All",Dashboard!$C$6=G392),OR(Dashboard!$C$7="All",Dashboard!$C$7=H392),OR(Dashboard!$C$8="All",Dashboard!$C$8=F392))</f>
        <v/>
      </c>
      <c r="B392" s="109">
        <f>IF(A392,B391+1,B391)</f>
        <v/>
      </c>
      <c r="C392" s="109" t="n">
        <v>55</v>
      </c>
      <c r="D392" s="109" t="inlineStr">
        <is>
          <t>DC Silk Pillowcase</t>
        </is>
      </c>
      <c r="E392" s="109" t="inlineStr">
        <is>
          <t>US</t>
        </is>
      </c>
      <c r="F392" s="109" t="inlineStr">
        <is>
          <t>Silk</t>
        </is>
      </c>
      <c r="G392" s="109" t="inlineStr">
        <is>
          <t>ZIMASILK</t>
        </is>
      </c>
      <c r="H392" s="109" t="inlineStr">
        <is>
          <t>Beatable</t>
        </is>
      </c>
      <c r="I392" s="109" t="inlineStr">
        <is>
          <t>Silk Pillowcase</t>
        </is>
      </c>
      <c r="J392" s="109" t="n"/>
      <c r="K392" s="109" t="inlineStr">
        <is>
          <t>B0GXDFM5TS</t>
        </is>
      </c>
      <c r="L392" s="109" t="inlineStr">
        <is>
          <t>B094XT94FC</t>
        </is>
      </c>
      <c r="M392" s="109" t="n">
        <v>15</v>
      </c>
      <c r="N392" s="109" t="n">
        <v>37.99</v>
      </c>
      <c r="O392" s="109" t="n"/>
      <c r="P392" s="109">
        <f>IF(AND(ISNUMBER(O392),ISNUMBER(N392),N(N392)&gt;0),O392/N392-1,"")</f>
        <v/>
      </c>
      <c r="Q392" s="109" t="n">
        <v>49.95</v>
      </c>
      <c r="R392" s="109">
        <f>IF(AND(ISNUMBER(N392),ISNUMBER(Q392),N(Q392)&gt;0),N392/Q392-1,"")</f>
        <v/>
      </c>
      <c r="S392" s="109" t="n">
        <v>44854</v>
      </c>
      <c r="T392" s="109" t="n">
        <v>81</v>
      </c>
      <c r="U392" s="109" t="n">
        <v>4.5</v>
      </c>
      <c r="V392" s="109" t="n">
        <v>672</v>
      </c>
      <c r="W392" s="109" t="n">
        <v>108891</v>
      </c>
      <c r="X392" s="109" t="n">
        <v>0.2928209181658722</v>
      </c>
      <c r="Y392" s="109" t="n">
        <v>28</v>
      </c>
      <c r="Z392" s="109" t="n">
        <v>200</v>
      </c>
      <c r="AA392" s="109" t="n">
        <v>222</v>
      </c>
      <c r="AB392" s="109" t="n">
        <v>1.234425176621708</v>
      </c>
      <c r="AC392" s="109" t="inlineStr">
        <is>
          <t>US DC Silk Pillowcase</t>
        </is>
      </c>
      <c r="AD392" s="109">
        <f>'US DC Silk Pillowcase'!BC61</f>
        <v/>
      </c>
      <c r="AE392" s="109">
        <f>'US DC Silk Pillowcase'!BF61</f>
        <v/>
      </c>
      <c r="AF392" s="109" t="n"/>
      <c r="AG392" s="109" t="n"/>
    </row>
    <row r="393">
      <c r="A393" s="109">
        <f>AND(OR(Dashboard!$C$4="All",Dashboard!$C$4=D393),OR(Dashboard!$C$5="All",Dashboard!$C$5=E393),OR(Dashboard!$C$6="All",Dashboard!$C$6=G393),OR(Dashboard!$C$7="All",Dashboard!$C$7=H393),OR(Dashboard!$C$8="All",Dashboard!$C$8=F393))</f>
        <v/>
      </c>
      <c r="B393" s="109">
        <f>IF(A393,B392+1,B392)</f>
        <v/>
      </c>
      <c r="C393" s="109" t="n">
        <v>55</v>
      </c>
      <c r="D393" s="109" t="inlineStr">
        <is>
          <t>DC Silk Pillowcase</t>
        </is>
      </c>
      <c r="E393" s="109" t="inlineStr">
        <is>
          <t>US</t>
        </is>
      </c>
      <c r="F393" s="109" t="inlineStr">
        <is>
          <t>Silk</t>
        </is>
      </c>
      <c r="G393" s="109" t="inlineStr">
        <is>
          <t>ZIMASILK</t>
        </is>
      </c>
      <c r="H393" s="109" t="inlineStr">
        <is>
          <t>Beatable</t>
        </is>
      </c>
      <c r="I393" s="109" t="inlineStr">
        <is>
          <t>Silk Pillowcase</t>
        </is>
      </c>
      <c r="J393" s="109" t="n"/>
      <c r="K393" s="109" t="inlineStr">
        <is>
          <t>B09ZRJBNY5</t>
        </is>
      </c>
      <c r="L393" s="109" t="inlineStr">
        <is>
          <t>B09NVRZBDJ</t>
        </is>
      </c>
      <c r="M393" s="109" t="n">
        <v>18</v>
      </c>
      <c r="N393" s="109" t="n">
        <v>23.39</v>
      </c>
      <c r="O393" s="109" t="n">
        <v>24.69</v>
      </c>
      <c r="P393" s="109">
        <f>IF(AND(ISNUMBER(O393),ISNUMBER(N393),N(N393)&gt;0),O393/N393-1,"")</f>
        <v/>
      </c>
      <c r="Q393" s="109" t="n">
        <v>49.95</v>
      </c>
      <c r="R393" s="109">
        <f>IF(AND(ISNUMBER(N393),ISNUMBER(Q393),N(Q393)&gt;0),N393/Q393-1,"")</f>
        <v/>
      </c>
      <c r="S393" s="109" t="n">
        <v>62692</v>
      </c>
      <c r="T393" s="109" t="n">
        <v>81</v>
      </c>
      <c r="U393" s="109" t="n">
        <v>4.5</v>
      </c>
      <c r="V393" s="109" t="n">
        <v>1208</v>
      </c>
      <c r="W393" s="109" t="n">
        <v>66424</v>
      </c>
      <c r="X393" s="109" t="n">
        <v>0.920330772010117</v>
      </c>
      <c r="Y393" s="109" t="n">
        <v>75</v>
      </c>
      <c r="Z393" s="109" t="n">
        <v>144</v>
      </c>
      <c r="AA393" s="109" t="n">
        <v>106</v>
      </c>
      <c r="AB393" s="109" t="n">
        <v>0.9147217235188509</v>
      </c>
      <c r="AC393" s="109" t="inlineStr">
        <is>
          <t>US DC Silk Pillowcase</t>
        </is>
      </c>
      <c r="AD393" s="109">
        <f>'US DC Silk Pillowcase'!BC62</f>
        <v/>
      </c>
      <c r="AE393" s="109">
        <f>'US DC Silk Pillowcase'!BF62</f>
        <v/>
      </c>
      <c r="AF393" s="109" t="n"/>
      <c r="AG393" s="109" t="n"/>
    </row>
    <row r="394">
      <c r="A394" s="109">
        <f>AND(OR(Dashboard!$C$4="All",Dashboard!$C$4=D394),OR(Dashboard!$C$5="All",Dashboard!$C$5=E394),OR(Dashboard!$C$6="All",Dashboard!$C$6=G394),OR(Dashboard!$C$7="All",Dashboard!$C$7=H394),OR(Dashboard!$C$8="All",Dashboard!$C$8=F394))</f>
        <v/>
      </c>
      <c r="B394" s="109">
        <f>IF(A394,B393+1,B393)</f>
        <v/>
      </c>
      <c r="C394" s="109" t="n">
        <v>55</v>
      </c>
      <c r="D394" s="109" t="inlineStr">
        <is>
          <t>DC Silk Pillowcase</t>
        </is>
      </c>
      <c r="E394" s="109" t="inlineStr">
        <is>
          <t>US</t>
        </is>
      </c>
      <c r="F394" s="109" t="inlineStr">
        <is>
          <t>Silk</t>
        </is>
      </c>
      <c r="G394" s="109" t="inlineStr">
        <is>
          <t>Colorado Home Co</t>
        </is>
      </c>
      <c r="H394" s="109" t="inlineStr">
        <is>
          <t>Beatable</t>
        </is>
      </c>
      <c r="I394" s="109" t="inlineStr">
        <is>
          <t>Silk Pillowcase</t>
        </is>
      </c>
      <c r="J394" s="109" t="n"/>
      <c r="K394" s="109" t="inlineStr">
        <is>
          <t>B0CTCZGGHP</t>
        </is>
      </c>
      <c r="L394" s="109" t="inlineStr">
        <is>
          <t>B081CTM1T8</t>
        </is>
      </c>
      <c r="M394" s="109" t="n">
        <v>32</v>
      </c>
      <c r="N394" s="109" t="n">
        <v>45.99</v>
      </c>
      <c r="O394" s="109" t="n"/>
      <c r="P394" s="109">
        <f>IF(AND(ISNUMBER(O394),ISNUMBER(N394),N(N394)&gt;0),O394/N394-1,"")</f>
        <v/>
      </c>
      <c r="Q394" s="109" t="n">
        <v>49.95</v>
      </c>
      <c r="R394" s="109">
        <f>IF(AND(ISNUMBER(N394),ISNUMBER(Q394),N(Q394)&gt;0),N394/Q394-1,"")</f>
        <v/>
      </c>
      <c r="S394" s="109" t="n">
        <v>55124</v>
      </c>
      <c r="T394" s="109" t="n">
        <v>18</v>
      </c>
      <c r="U394" s="109" t="n">
        <v>4.6</v>
      </c>
      <c r="V394" s="109" t="n">
        <v>1971</v>
      </c>
      <c r="W394" s="109" t="n">
        <v>119892</v>
      </c>
      <c r="X394" s="109" t="n">
        <v>0.4231184574450338</v>
      </c>
      <c r="Y394" s="109" t="n">
        <v>45</v>
      </c>
      <c r="Z394" s="109" t="n">
        <v>160</v>
      </c>
      <c r="AA394" s="109" t="n">
        <v>88</v>
      </c>
      <c r="AB394" s="109" t="n"/>
      <c r="AC394" s="109" t="inlineStr">
        <is>
          <t>US DC Silk Pillowcase</t>
        </is>
      </c>
      <c r="AD394" s="109">
        <f>'US DC Silk Pillowcase'!BC63</f>
        <v/>
      </c>
      <c r="AE394" s="109">
        <f>'US DC Silk Pillowcase'!BF63</f>
        <v/>
      </c>
      <c r="AF394" s="109" t="n"/>
      <c r="AG394" s="109" t="n"/>
    </row>
    <row r="395">
      <c r="A395" s="109">
        <f>AND(OR(Dashboard!$C$4="All",Dashboard!$C$4=D395),OR(Dashboard!$C$5="All",Dashboard!$C$5=E395),OR(Dashboard!$C$6="All",Dashboard!$C$6=G395),OR(Dashboard!$C$7="All",Dashboard!$C$7=H395),OR(Dashboard!$C$8="All",Dashboard!$C$8=F395))</f>
        <v/>
      </c>
      <c r="B395" s="109">
        <f>IF(A395,B394+1,B394)</f>
        <v/>
      </c>
      <c r="C395" s="109" t="n">
        <v>55</v>
      </c>
      <c r="D395" s="109" t="inlineStr">
        <is>
          <t>DC Silk Pillowcase</t>
        </is>
      </c>
      <c r="E395" s="109" t="inlineStr">
        <is>
          <t>US</t>
        </is>
      </c>
      <c r="F395" s="109" t="inlineStr">
        <is>
          <t>Silk</t>
        </is>
      </c>
      <c r="G395" s="109" t="inlineStr">
        <is>
          <t>Fishers Finery</t>
        </is>
      </c>
      <c r="H395" s="109" t="inlineStr">
        <is>
          <t>Beatable</t>
        </is>
      </c>
      <c r="I395" s="109" t="inlineStr">
        <is>
          <t>Silk Pillowcase</t>
        </is>
      </c>
      <c r="J395" s="109" t="n"/>
      <c r="K395" s="109" t="inlineStr">
        <is>
          <t>B01MQIYMW3</t>
        </is>
      </c>
      <c r="L395" s="109" t="inlineStr">
        <is>
          <t>B01M1CKVJU</t>
        </is>
      </c>
      <c r="M395" s="109" t="n">
        <v>20</v>
      </c>
      <c r="N395" s="109" t="n">
        <v>81.98999999999999</v>
      </c>
      <c r="O395" s="109" t="n"/>
      <c r="P395" s="109">
        <f>IF(AND(ISNUMBER(O395),ISNUMBER(N395),N(N395)&gt;0),O395/N395-1,"")</f>
        <v/>
      </c>
      <c r="Q395" s="109" t="n">
        <v>49.95</v>
      </c>
      <c r="R395" s="109">
        <f>IF(AND(ISNUMBER(N395),ISNUMBER(Q395),N(Q395)&gt;0),N395/Q395-1,"")</f>
        <v/>
      </c>
      <c r="S395" s="109" t="n">
        <v>55705</v>
      </c>
      <c r="T395" s="109" t="n">
        <v>18</v>
      </c>
      <c r="U395" s="109" t="n">
        <v>4.6</v>
      </c>
      <c r="V395" s="109" t="n">
        <v>2700</v>
      </c>
      <c r="W395" s="109" t="n">
        <v>102684</v>
      </c>
      <c r="X395" s="109" t="n">
        <v>0.6705437400179186</v>
      </c>
      <c r="Y395" s="109" t="n">
        <v>55</v>
      </c>
      <c r="Z395" s="109" t="n">
        <v>178</v>
      </c>
      <c r="AA395" s="109" t="n">
        <v>325</v>
      </c>
      <c r="AB395" s="109" t="n"/>
      <c r="AC395" s="109" t="inlineStr">
        <is>
          <t>US DC Silk Pillowcase</t>
        </is>
      </c>
      <c r="AD395" s="109">
        <f>'US DC Silk Pillowcase'!BC64</f>
        <v/>
      </c>
      <c r="AE395" s="109">
        <f>'US DC Silk Pillowcase'!BF64</f>
        <v/>
      </c>
      <c r="AF395" s="109" t="n"/>
      <c r="AG395" s="109" t="n"/>
    </row>
    <row r="396">
      <c r="A396" s="109">
        <f>AND(OR(Dashboard!$C$4="All",Dashboard!$C$4=D396),OR(Dashboard!$C$5="All",Dashboard!$C$5=E396),OR(Dashboard!$C$6="All",Dashboard!$C$6=G396),OR(Dashboard!$C$7="All",Dashboard!$C$7=H396),OR(Dashboard!$C$8="All",Dashboard!$C$8=F396))</f>
        <v/>
      </c>
      <c r="B396" s="109">
        <f>IF(A396,B395+1,B395)</f>
        <v/>
      </c>
      <c r="C396" s="109" t="n">
        <v>55</v>
      </c>
      <c r="D396" s="109" t="inlineStr">
        <is>
          <t>DC Silk Pillowcase</t>
        </is>
      </c>
      <c r="E396" s="109" t="inlineStr">
        <is>
          <t>US</t>
        </is>
      </c>
      <c r="F396" s="109" t="inlineStr">
        <is>
          <t>Silk</t>
        </is>
      </c>
      <c r="G396" s="109" t="inlineStr">
        <is>
          <t>ROSEWARD</t>
        </is>
      </c>
      <c r="H396" s="109" t="inlineStr">
        <is>
          <t>Beatable</t>
        </is>
      </c>
      <c r="I396" s="109" t="inlineStr">
        <is>
          <t>Silk Pillowcase</t>
        </is>
      </c>
      <c r="J396" s="109" t="n"/>
      <c r="K396" s="109" t="inlineStr">
        <is>
          <t>B0BXBPNMVW</t>
        </is>
      </c>
      <c r="L396" s="109" t="inlineStr">
        <is>
          <t>B0BXBN7JMP</t>
        </is>
      </c>
      <c r="M396" s="109" t="n">
        <v>26</v>
      </c>
      <c r="N396" s="109" t="n">
        <v>39.99</v>
      </c>
      <c r="O396" s="109" t="n"/>
      <c r="P396" s="109">
        <f>IF(AND(ISNUMBER(O396),ISNUMBER(N396),N(N396)&gt;0),O396/N396-1,"")</f>
        <v/>
      </c>
      <c r="Q396" s="109" t="n">
        <v>49.95</v>
      </c>
      <c r="R396" s="109">
        <f>IF(AND(ISNUMBER(N396),ISNUMBER(Q396),N(Q396)&gt;0),N396/Q396-1,"")</f>
        <v/>
      </c>
      <c r="S396" s="109" t="n">
        <v>28579</v>
      </c>
      <c r="T396" s="109" t="n">
        <v>18</v>
      </c>
      <c r="U396" s="109" t="n">
        <v>4.4</v>
      </c>
      <c r="V396" s="109" t="n">
        <v>1035</v>
      </c>
      <c r="W396" s="109" t="n">
        <v>58241</v>
      </c>
      <c r="X396" s="109" t="n">
        <v>0.3698189849075394</v>
      </c>
      <c r="Y396" s="109" t="n">
        <v>71</v>
      </c>
      <c r="Z396" s="109" t="n">
        <v>128</v>
      </c>
      <c r="AA396" s="109" t="n">
        <v>100</v>
      </c>
      <c r="AB396" s="109" t="n">
        <v>1.153762268266085</v>
      </c>
      <c r="AC396" s="109" t="inlineStr">
        <is>
          <t>US DC Silk Pillowcase</t>
        </is>
      </c>
      <c r="AD396" s="109">
        <f>'US DC Silk Pillowcase'!BC65</f>
        <v/>
      </c>
      <c r="AE396" s="109">
        <f>'US DC Silk Pillowcase'!BF65</f>
        <v/>
      </c>
      <c r="AF396" s="109" t="n"/>
      <c r="AG396" s="109" t="n"/>
    </row>
    <row r="397">
      <c r="A397" s="109">
        <f>AND(OR(Dashboard!$C$4="All",Dashboard!$C$4=D397),OR(Dashboard!$C$5="All",Dashboard!$C$5=E397),OR(Dashboard!$C$6="All",Dashboard!$C$6=G397),OR(Dashboard!$C$7="All",Dashboard!$C$7=H397),OR(Dashboard!$C$8="All",Dashboard!$C$8=F397))</f>
        <v/>
      </c>
      <c r="B397" s="109">
        <f>IF(A397,B396+1,B396)</f>
        <v/>
      </c>
      <c r="C397" s="109" t="n">
        <v>55</v>
      </c>
      <c r="D397" s="109" t="inlineStr">
        <is>
          <t>DC Silk Pillowcase</t>
        </is>
      </c>
      <c r="E397" s="109" t="inlineStr">
        <is>
          <t>US</t>
        </is>
      </c>
      <c r="F397" s="109" t="inlineStr">
        <is>
          <t>Silk</t>
        </is>
      </c>
      <c r="G397" s="109" t="inlineStr">
        <is>
          <t>RENESSY</t>
        </is>
      </c>
      <c r="H397" s="109" t="inlineStr">
        <is>
          <t>Beatable</t>
        </is>
      </c>
      <c r="I397" s="109" t="inlineStr">
        <is>
          <t>Silk Pillowcase</t>
        </is>
      </c>
      <c r="J397" s="109" t="n"/>
      <c r="K397" s="109" t="inlineStr">
        <is>
          <t>B09G8P3X6L</t>
        </is>
      </c>
      <c r="L397" s="109" t="inlineStr">
        <is>
          <t>B09G8P3X6L</t>
        </is>
      </c>
      <c r="M397" s="109" t="n">
        <v>0</v>
      </c>
      <c r="N397" s="109" t="n">
        <v>49.9</v>
      </c>
      <c r="O397" s="109" t="n"/>
      <c r="P397" s="109">
        <f>IF(AND(ISNUMBER(O397),ISNUMBER(N397),N(N397)&gt;0),O397/N397-1,"")</f>
        <v/>
      </c>
      <c r="Q397" s="109" t="n">
        <v>49.95</v>
      </c>
      <c r="R397" s="109">
        <f>IF(AND(ISNUMBER(N397),ISNUMBER(Q397),N(Q397)&gt;0),N397/Q397-1,"")</f>
        <v/>
      </c>
      <c r="S397" s="109" t="n">
        <v>61645</v>
      </c>
      <c r="T397" s="109" t="n"/>
      <c r="U397" s="109" t="n">
        <v>4.6</v>
      </c>
      <c r="V397" s="109" t="n">
        <v>2510</v>
      </c>
      <c r="W397" s="109" t="n">
        <v>0</v>
      </c>
      <c r="X397" s="109" t="n"/>
      <c r="Y397" s="109" t="n">
        <v>59</v>
      </c>
      <c r="Z397" s="109" t="n">
        <v>0</v>
      </c>
      <c r="AA397" s="109" t="n">
        <v>0</v>
      </c>
      <c r="AB397" s="109" t="n"/>
      <c r="AC397" s="109" t="inlineStr">
        <is>
          <t>US DC Silk Pillowcase</t>
        </is>
      </c>
      <c r="AD397" s="109">
        <f>'US DC Silk Pillowcase'!BC66</f>
        <v/>
      </c>
      <c r="AE397" s="109">
        <f>'US DC Silk Pillowcase'!BF66</f>
        <v/>
      </c>
      <c r="AF397" s="109" t="n"/>
      <c r="AG397" s="109" t="n"/>
    </row>
    <row r="398">
      <c r="A398" s="109">
        <f>AND(OR(Dashboard!$C$4="All",Dashboard!$C$4=D398),OR(Dashboard!$C$5="All",Dashboard!$C$5=E398),OR(Dashboard!$C$6="All",Dashboard!$C$6=G398),OR(Dashboard!$C$7="All",Dashboard!$C$7=H398),OR(Dashboard!$C$8="All",Dashboard!$C$8=F398))</f>
        <v/>
      </c>
      <c r="B398" s="109">
        <f>IF(A398,B397+1,B397)</f>
        <v/>
      </c>
      <c r="C398" s="109" t="n">
        <v>55</v>
      </c>
      <c r="D398" s="109" t="inlineStr">
        <is>
          <t>DC Silk Pillowcase</t>
        </is>
      </c>
      <c r="E398" s="109" t="inlineStr">
        <is>
          <t>US</t>
        </is>
      </c>
      <c r="F398" s="109" t="inlineStr">
        <is>
          <t>Silk</t>
        </is>
      </c>
      <c r="G398" s="109" t="inlineStr">
        <is>
          <t>Brooklinen</t>
        </is>
      </c>
      <c r="H398" s="109" t="inlineStr">
        <is>
          <t>Poor</t>
        </is>
      </c>
      <c r="I398" s="109" t="inlineStr">
        <is>
          <t>Silk Pillowcase</t>
        </is>
      </c>
      <c r="J398" s="109" t="n"/>
      <c r="K398" s="109" t="inlineStr">
        <is>
          <t>B0DVCCDL65</t>
        </is>
      </c>
      <c r="L398" s="109" t="inlineStr">
        <is>
          <t>B09NP72NNZ</t>
        </is>
      </c>
      <c r="M398" s="109" t="n"/>
      <c r="N398" s="109" t="n">
        <v>74</v>
      </c>
      <c r="O398" s="109" t="n"/>
      <c r="P398" s="109">
        <f>IF(AND(ISNUMBER(O398),ISNUMBER(N398),N(N398)&gt;0),O398/N398-1,"")</f>
        <v/>
      </c>
      <c r="Q398" s="109" t="n">
        <v>49.95</v>
      </c>
      <c r="R398" s="109">
        <f>IF(AND(ISNUMBER(N398),ISNUMBER(Q398),N(Q398)&gt;0),N398/Q398-1,"")</f>
        <v/>
      </c>
      <c r="S398" s="109" t="n">
        <v>350123</v>
      </c>
      <c r="T398" s="109" t="n">
        <v>5</v>
      </c>
      <c r="U398" s="109" t="n">
        <v>4.4</v>
      </c>
      <c r="V398" s="109" t="n">
        <v>147</v>
      </c>
      <c r="W398" s="109" t="n"/>
      <c r="X398" s="109" t="n"/>
      <c r="Y398" s="109" t="n"/>
      <c r="Z398" s="109" t="n"/>
      <c r="AA398" s="109" t="n"/>
      <c r="AB398" s="109" t="n"/>
      <c r="AC398" s="109" t="inlineStr">
        <is>
          <t>US DC Silk Pillowcase</t>
        </is>
      </c>
      <c r="AD398" s="109">
        <f>'US DC Silk Pillowcase'!BC67</f>
        <v/>
      </c>
      <c r="AE398" s="109">
        <f>'US DC Silk Pillowcase'!BF67</f>
        <v/>
      </c>
      <c r="AF398" s="109" t="n"/>
      <c r="AG398" s="109" t="n"/>
    </row>
    <row r="399">
      <c r="A399" s="109">
        <f>AND(OR(Dashboard!$C$4="All",Dashboard!$C$4=D399),OR(Dashboard!$C$5="All",Dashboard!$C$5=E399),OR(Dashboard!$C$6="All",Dashboard!$C$6=G399),OR(Dashboard!$C$7="All",Dashboard!$C$7=H399),OR(Dashboard!$C$8="All",Dashboard!$C$8=F399))</f>
        <v/>
      </c>
      <c r="B399" s="109">
        <f>IF(A399,B398+1,B398)</f>
        <v/>
      </c>
      <c r="C399" s="109" t="n">
        <v>55</v>
      </c>
      <c r="D399" s="109" t="inlineStr">
        <is>
          <t>DC Silk Pillowcase</t>
        </is>
      </c>
      <c r="E399" s="109" t="inlineStr">
        <is>
          <t>US</t>
        </is>
      </c>
      <c r="F399" s="109" t="inlineStr">
        <is>
          <t>Silk</t>
        </is>
      </c>
      <c r="G399" s="109" t="inlineStr">
        <is>
          <t>Gabire</t>
        </is>
      </c>
      <c r="H399" s="109" t="inlineStr">
        <is>
          <t>Untiered</t>
        </is>
      </c>
      <c r="I399" s="109" t="inlineStr">
        <is>
          <t>Silk Pillow Cases</t>
        </is>
      </c>
      <c r="J399" s="109" t="n"/>
      <c r="K399" s="109" t="inlineStr">
        <is>
          <t>B0CKPNR7DW</t>
        </is>
      </c>
      <c r="L399" s="109" t="inlineStr">
        <is>
          <t>B0CKPKG71N</t>
        </is>
      </c>
      <c r="M399" s="109" t="n"/>
      <c r="N399" s="109" t="n">
        <v>19.99</v>
      </c>
      <c r="O399" s="109" t="n"/>
      <c r="P399" s="109">
        <f>IF(AND(ISNUMBER(O399),ISNUMBER(N399),N(N399)&gt;0),O399/N399-1,"")</f>
        <v/>
      </c>
      <c r="Q399" s="109" t="n">
        <v>49.95</v>
      </c>
      <c r="R399" s="109">
        <f>IF(AND(ISNUMBER(N399),ISNUMBER(Q399),N(Q399)&gt;0),N399/Q399-1,"")</f>
        <v/>
      </c>
      <c r="S399" s="109" t="n">
        <v>357</v>
      </c>
      <c r="T399" s="109" t="n">
        <v>1732</v>
      </c>
      <c r="U399" s="109" t="n">
        <v>4.6</v>
      </c>
      <c r="V399" s="109" t="n">
        <v>3189</v>
      </c>
      <c r="W399" s="109" t="n"/>
      <c r="X399" s="109" t="n"/>
      <c r="Y399" s="109" t="n"/>
      <c r="Z399" s="109" t="n"/>
      <c r="AA399" s="109" t="n"/>
      <c r="AB399" s="109" t="n"/>
      <c r="AC399" s="109" t="inlineStr">
        <is>
          <t>US DC Silk Pillowcase</t>
        </is>
      </c>
      <c r="AD399" s="109">
        <f>'US DC Silk Pillowcase'!BC68</f>
        <v/>
      </c>
      <c r="AE399" s="109">
        <f>'US DC Silk Pillowcase'!BF68</f>
        <v/>
      </c>
      <c r="AF399" s="109" t="n"/>
      <c r="AG399" s="109" t="n"/>
    </row>
    <row r="400">
      <c r="A400" s="109">
        <f>AND(OR(Dashboard!$C$4="All",Dashboard!$C$4=D400),OR(Dashboard!$C$5="All",Dashboard!$C$5=E400),OR(Dashboard!$C$6="All",Dashboard!$C$6=G400),OR(Dashboard!$C$7="All",Dashboard!$C$7=H400),OR(Dashboard!$C$8="All",Dashboard!$C$8=F400))</f>
        <v/>
      </c>
      <c r="B400" s="109">
        <f>IF(A400,B399+1,B399)</f>
        <v/>
      </c>
      <c r="C400" s="109" t="n">
        <v>55</v>
      </c>
      <c r="D400" s="109" t="inlineStr">
        <is>
          <t>DC Silk Pillowcase</t>
        </is>
      </c>
      <c r="E400" s="109" t="inlineStr">
        <is>
          <t>US</t>
        </is>
      </c>
      <c r="F400" s="109" t="inlineStr">
        <is>
          <t>Silk</t>
        </is>
      </c>
      <c r="G400" s="109" t="inlineStr">
        <is>
          <t>INFIIXSO</t>
        </is>
      </c>
      <c r="H400" s="109" t="inlineStr">
        <is>
          <t>Untiered</t>
        </is>
      </c>
      <c r="I400" s="109" t="inlineStr">
        <is>
          <t>INFIIXSO Mulberry Silk Pillowcase for Hair and Skin, Silk Pillow Cases Standard Size with Hidden Zipper 20x26 Inches, Ultra Smooth and Soft Cooling Pillow Cases for Hot Sleepers(Light Grey, 1 Pack)</t>
        </is>
      </c>
      <c r="J400" s="109" t="inlineStr">
        <is>
          <t>https://images-na.ssl-images-amazon.com/images/I/61OwDvEP02L.jpg</t>
        </is>
      </c>
      <c r="K400" s="109" t="inlineStr">
        <is>
          <t>B0DK5G1ZJP</t>
        </is>
      </c>
      <c r="L400" s="109" t="inlineStr">
        <is>
          <t>B0CGLG8CDW</t>
        </is>
      </c>
      <c r="M400" s="109" t="n">
        <v>187</v>
      </c>
      <c r="N400" s="109" t="n">
        <v>7.99</v>
      </c>
      <c r="O400" s="109" t="n"/>
      <c r="P400" s="109">
        <f>IF(AND(ISNUMBER(O400),ISNUMBER(N400),N(N400)&gt;0),O400/N400-1,"")</f>
        <v/>
      </c>
      <c r="Q400" s="109" t="n">
        <v>44.95</v>
      </c>
      <c r="R400" s="109">
        <f>IF(AND(ISNUMBER(N400),ISNUMBER(Q400),N(Q400)&gt;0),N400/Q400-1,"")</f>
        <v/>
      </c>
      <c r="S400" s="109" t="n">
        <v>429</v>
      </c>
      <c r="T400" s="109" t="n">
        <v>1732</v>
      </c>
      <c r="U400" s="109" t="n">
        <v>4.5</v>
      </c>
      <c r="V400" s="109" t="n">
        <v>6271</v>
      </c>
      <c r="W400" s="109" t="n"/>
      <c r="X400" s="109" t="n"/>
      <c r="Y400" s="109" t="n"/>
      <c r="Z400" s="109" t="n"/>
      <c r="AA400" s="109" t="n"/>
      <c r="AB400" s="109" t="n"/>
      <c r="AC400" s="109" t="inlineStr">
        <is>
          <t>US DC Silk Pillowcase</t>
        </is>
      </c>
      <c r="AD400" s="109">
        <f>'US DC Silk Pillowcase'!BC69</f>
        <v/>
      </c>
      <c r="AE400" s="109">
        <f>'US DC Silk Pillowcase'!BF69</f>
        <v/>
      </c>
      <c r="AF400" s="109" t="inlineStr">
        <is>
          <t>Standard</t>
        </is>
      </c>
      <c r="AG400" s="109" t="inlineStr">
        <is>
          <t>Light Grey</t>
        </is>
      </c>
    </row>
    <row r="401">
      <c r="A401" s="109">
        <f>AND(OR(Dashboard!$C$4="All",Dashboard!$C$4=D401),OR(Dashboard!$C$5="All",Dashboard!$C$5=E401),OR(Dashboard!$C$6="All",Dashboard!$C$6=G401),OR(Dashboard!$C$7="All",Dashboard!$C$7=H401),OR(Dashboard!$C$8="All",Dashboard!$C$8=F401))</f>
        <v/>
      </c>
      <c r="B401" s="109">
        <f>IF(A401,B400+1,B400)</f>
        <v/>
      </c>
      <c r="C401" s="109" t="n">
        <v>55</v>
      </c>
      <c r="D401" s="109" t="inlineStr">
        <is>
          <t>DC Silk Pillowcase</t>
        </is>
      </c>
      <c r="E401" s="109" t="inlineStr">
        <is>
          <t>US</t>
        </is>
      </c>
      <c r="F401" s="109" t="inlineStr">
        <is>
          <t>Silk</t>
        </is>
      </c>
      <c r="G401" s="109" t="inlineStr">
        <is>
          <t>DKBslik</t>
        </is>
      </c>
      <c r="H401" s="109" t="inlineStr">
        <is>
          <t>Untiered</t>
        </is>
      </c>
      <c r="I401" s="109" t="inlineStr">
        <is>
          <t>Silk Pillowcase</t>
        </is>
      </c>
      <c r="J401" s="109" t="n"/>
      <c r="K401" s="109" t="inlineStr">
        <is>
          <t>B0B5WGXZTH</t>
        </is>
      </c>
      <c r="L401" s="109" t="inlineStr">
        <is>
          <t>B0B8DXN3K2</t>
        </is>
      </c>
      <c r="M401" s="109" t="n"/>
      <c r="N401" s="109" t="n">
        <v>11.95</v>
      </c>
      <c r="O401" s="109" t="n"/>
      <c r="P401" s="109">
        <f>IF(AND(ISNUMBER(O401),ISNUMBER(N401),N(N401)&gt;0),O401/N401-1,"")</f>
        <v/>
      </c>
      <c r="Q401" s="109" t="n">
        <v>49.95</v>
      </c>
      <c r="R401" s="109">
        <f>IF(AND(ISNUMBER(N401),ISNUMBER(Q401),N(Q401)&gt;0),N401/Q401-1,"")</f>
        <v/>
      </c>
      <c r="S401" s="109" t="n">
        <v>198</v>
      </c>
      <c r="T401" s="109" t="n">
        <v>1040</v>
      </c>
      <c r="U401" s="109" t="n">
        <v>4.5</v>
      </c>
      <c r="V401" s="109" t="n">
        <v>21803</v>
      </c>
      <c r="W401" s="109" t="n"/>
      <c r="X401" s="109" t="n"/>
      <c r="Y401" s="109" t="n"/>
      <c r="Z401" s="109" t="n"/>
      <c r="AA401" s="109" t="n"/>
      <c r="AB401" s="109" t="n"/>
      <c r="AC401" s="109" t="inlineStr">
        <is>
          <t>US DC Silk Pillowcase</t>
        </is>
      </c>
      <c r="AD401" s="109">
        <f>'US DC Silk Pillowcase'!BC70</f>
        <v/>
      </c>
      <c r="AE401" s="109">
        <f>'US DC Silk Pillowcase'!BF70</f>
        <v/>
      </c>
      <c r="AF401" s="109" t="n"/>
      <c r="AG401" s="109" t="n"/>
    </row>
    <row r="402">
      <c r="A402" s="109">
        <f>AND(OR(Dashboard!$C$4="All",Dashboard!$C$4=D402),OR(Dashboard!$C$5="All",Dashboard!$C$5=E402),OR(Dashboard!$C$6="All",Dashboard!$C$6=G402),OR(Dashboard!$C$7="All",Dashboard!$C$7=H402),OR(Dashboard!$C$8="All",Dashboard!$C$8=F402))</f>
        <v/>
      </c>
      <c r="B402" s="109">
        <f>IF(A402,B401+1,B401)</f>
        <v/>
      </c>
      <c r="C402" s="109" t="n">
        <v>55</v>
      </c>
      <c r="D402" s="109" t="inlineStr">
        <is>
          <t>DC Silk Pillowcase</t>
        </is>
      </c>
      <c r="E402" s="109" t="inlineStr">
        <is>
          <t>US</t>
        </is>
      </c>
      <c r="F402" s="109" t="inlineStr">
        <is>
          <t>Silk</t>
        </is>
      </c>
      <c r="G402" s="109" t="inlineStr">
        <is>
          <t>Suatien</t>
        </is>
      </c>
      <c r="H402" s="109" t="inlineStr">
        <is>
          <t>Untiered</t>
        </is>
      </c>
      <c r="I402" s="109" t="inlineStr">
        <is>
          <t>Mulberry Silk Pillowcase for Hair and Skin Standard Size 20"X 26" Pillow Case with Hidden Zipper Soft Breathable Smooth Cooling Silk Pillow Covers for Sleeping (Haze Blue,Standard,1Pcs)</t>
        </is>
      </c>
      <c r="J402" s="109" t="inlineStr">
        <is>
          <t>https://images-na.ssl-images-amazon.com/images/I/61aMeMjNdnL.jpg</t>
        </is>
      </c>
      <c r="K402" s="109" t="inlineStr">
        <is>
          <t>B09HZYQK2C</t>
        </is>
      </c>
      <c r="L402" s="109" t="inlineStr">
        <is>
          <t>B09BFQG17F</t>
        </is>
      </c>
      <c r="M402" s="109" t="n">
        <v>143</v>
      </c>
      <c r="N402" s="109" t="n">
        <v>11.99</v>
      </c>
      <c r="O402" s="109" t="n"/>
      <c r="P402" s="109">
        <f>IF(AND(ISNUMBER(O402),ISNUMBER(N402),N(N402)&gt;0),O402/N402-1,"")</f>
        <v/>
      </c>
      <c r="Q402" s="109" t="n">
        <v>44.95</v>
      </c>
      <c r="R402" s="109">
        <f>IF(AND(ISNUMBER(N402),ISNUMBER(Q402),N(Q402)&gt;0),N402/Q402-1,"")</f>
        <v/>
      </c>
      <c r="S402" s="109" t="n">
        <v>499</v>
      </c>
      <c r="T402" s="109" t="n">
        <v>924</v>
      </c>
      <c r="U402" s="109" t="n">
        <v>4.5</v>
      </c>
      <c r="V402" s="109" t="n">
        <v>41661</v>
      </c>
      <c r="W402" s="109" t="n"/>
      <c r="X402" s="109" t="n"/>
      <c r="Y402" s="109" t="n"/>
      <c r="Z402" s="109" t="n"/>
      <c r="AA402" s="109" t="n"/>
      <c r="AB402" s="109" t="n"/>
      <c r="AC402" s="109" t="inlineStr">
        <is>
          <t>US DC Silk Pillowcase</t>
        </is>
      </c>
      <c r="AD402" s="109">
        <f>'US DC Silk Pillowcase'!BC71</f>
        <v/>
      </c>
      <c r="AE402" s="109">
        <f>'US DC Silk Pillowcase'!BF71</f>
        <v/>
      </c>
      <c r="AF402" s="109" t="inlineStr">
        <is>
          <t>Standard</t>
        </is>
      </c>
      <c r="AG402" s="109" t="inlineStr">
        <is>
          <t>Haze Blue</t>
        </is>
      </c>
    </row>
    <row r="403">
      <c r="A403" s="109">
        <f>AND(OR(Dashboard!$C$4="All",Dashboard!$C$4=D403),OR(Dashboard!$C$5="All",Dashboard!$C$5=E403),OR(Dashboard!$C$6="All",Dashboard!$C$6=G403),OR(Dashboard!$C$7="All",Dashboard!$C$7=H403),OR(Dashboard!$C$8="All",Dashboard!$C$8=F403))</f>
        <v/>
      </c>
      <c r="B403" s="109">
        <f>IF(A403,B402+1,B402)</f>
        <v/>
      </c>
      <c r="C403" s="109" t="n">
        <v>55</v>
      </c>
      <c r="D403" s="109" t="inlineStr">
        <is>
          <t>DC Silk Pillowcase</t>
        </is>
      </c>
      <c r="E403" s="109" t="inlineStr">
        <is>
          <t>US</t>
        </is>
      </c>
      <c r="F403" s="109" t="inlineStr">
        <is>
          <t>Silk</t>
        </is>
      </c>
      <c r="G403" s="109" t="inlineStr">
        <is>
          <t>BLISSFORD</t>
        </is>
      </c>
      <c r="H403" s="109" t="inlineStr">
        <is>
          <t>Untiered</t>
        </is>
      </c>
      <c r="I403" s="109" t="inlineStr">
        <is>
          <t>Silk Pillowcase</t>
        </is>
      </c>
      <c r="J403" s="109" t="n"/>
      <c r="K403" s="109" t="inlineStr">
        <is>
          <t>B0FXBTQ86V</t>
        </is>
      </c>
      <c r="L403" s="109" t="inlineStr">
        <is>
          <t>B01N0Z6HVO</t>
        </is>
      </c>
      <c r="M403" s="109" t="n"/>
      <c r="N403" s="109" t="n">
        <v>12.99</v>
      </c>
      <c r="O403" s="109" t="n"/>
      <c r="P403" s="109">
        <f>IF(AND(ISNUMBER(O403),ISNUMBER(N403),N(N403)&gt;0),O403/N403-1,"")</f>
        <v/>
      </c>
      <c r="Q403" s="109" t="n">
        <v>49.95</v>
      </c>
      <c r="R403" s="109">
        <f>IF(AND(ISNUMBER(N403),ISNUMBER(Q403),N(Q403)&gt;0),N403/Q403-1,"")</f>
        <v/>
      </c>
      <c r="S403" s="109" t="n">
        <v>2452</v>
      </c>
      <c r="T403" s="109" t="n">
        <v>220</v>
      </c>
      <c r="U403" s="109" t="n">
        <v>4.6</v>
      </c>
      <c r="V403" s="109" t="n">
        <v>55029</v>
      </c>
      <c r="W403" s="109" t="n"/>
      <c r="X403" s="109" t="n"/>
      <c r="Y403" s="109" t="n"/>
      <c r="Z403" s="109" t="n"/>
      <c r="AA403" s="109" t="n"/>
      <c r="AB403" s="109" t="n"/>
      <c r="AC403" s="109" t="inlineStr">
        <is>
          <t>US DC Silk Pillowcase</t>
        </is>
      </c>
      <c r="AD403" s="109">
        <f>'US DC Silk Pillowcase'!BC72</f>
        <v/>
      </c>
      <c r="AE403" s="109">
        <f>'US DC Silk Pillowcase'!BF72</f>
        <v/>
      </c>
      <c r="AF403" s="109" t="n"/>
      <c r="AG403" s="109" t="n"/>
    </row>
    <row r="404">
      <c r="A404" s="109">
        <f>AND(OR(Dashboard!$C$4="All",Dashboard!$C$4=D404),OR(Dashboard!$C$5="All",Dashboard!$C$5=E404),OR(Dashboard!$C$6="All",Dashboard!$C$6=G404),OR(Dashboard!$C$7="All",Dashboard!$C$7=H404),OR(Dashboard!$C$8="All",Dashboard!$C$8=F404))</f>
        <v/>
      </c>
      <c r="B404" s="109">
        <f>IF(A404,B403+1,B403)</f>
        <v/>
      </c>
      <c r="C404" s="109" t="n">
        <v>55</v>
      </c>
      <c r="D404" s="109" t="inlineStr">
        <is>
          <t>DC Silk Pillowcase</t>
        </is>
      </c>
      <c r="E404" s="109" t="inlineStr">
        <is>
          <t>US</t>
        </is>
      </c>
      <c r="F404" s="109" t="inlineStr">
        <is>
          <t>Silk</t>
        </is>
      </c>
      <c r="G404" s="109" t="inlineStr">
        <is>
          <t>Casbrove</t>
        </is>
      </c>
      <c r="H404" s="109" t="inlineStr">
        <is>
          <t>Untiered</t>
        </is>
      </c>
      <c r="I404" s="109" t="inlineStr">
        <is>
          <t>Silk Pillowcase</t>
        </is>
      </c>
      <c r="J404" s="109" t="n"/>
      <c r="K404" s="109" t="inlineStr">
        <is>
          <t>B09V4R7MMZ</t>
        </is>
      </c>
      <c r="L404" s="109" t="inlineStr">
        <is>
          <t>B0BXP2FQYZ</t>
        </is>
      </c>
      <c r="M404" s="109" t="n"/>
      <c r="N404" s="109" t="n">
        <v>9.99</v>
      </c>
      <c r="O404" s="109" t="n"/>
      <c r="P404" s="109">
        <f>IF(AND(ISNUMBER(O404),ISNUMBER(N404),N(N404)&gt;0),O404/N404-1,"")</f>
        <v/>
      </c>
      <c r="Q404" s="109" t="n">
        <v>49.95</v>
      </c>
      <c r="R404" s="109">
        <f>IF(AND(ISNUMBER(N404),ISNUMBER(Q404),N(Q404)&gt;0),N404/Q404-1,"")</f>
        <v/>
      </c>
      <c r="S404" s="109" t="n">
        <v>9597</v>
      </c>
      <c r="T404" s="109" t="n">
        <v>197</v>
      </c>
      <c r="U404" s="109" t="n">
        <v>4.5</v>
      </c>
      <c r="V404" s="109" t="n">
        <v>3879</v>
      </c>
      <c r="W404" s="109" t="n"/>
      <c r="X404" s="109" t="n"/>
      <c r="Y404" s="109" t="n"/>
      <c r="Z404" s="109" t="n"/>
      <c r="AA404" s="109" t="n"/>
      <c r="AB404" s="109" t="n"/>
      <c r="AC404" s="109" t="inlineStr">
        <is>
          <t>US DC Silk Pillowcase</t>
        </is>
      </c>
      <c r="AD404" s="109">
        <f>'US DC Silk Pillowcase'!BC73</f>
        <v/>
      </c>
      <c r="AE404" s="109">
        <f>'US DC Silk Pillowcase'!BF73</f>
        <v/>
      </c>
      <c r="AF404" s="109" t="n"/>
      <c r="AG404" s="109" t="n"/>
    </row>
    <row r="405">
      <c r="A405" s="109">
        <f>AND(OR(Dashboard!$C$4="All",Dashboard!$C$4=D405),OR(Dashboard!$C$5="All",Dashboard!$C$5=E405),OR(Dashboard!$C$6="All",Dashboard!$C$6=G405),OR(Dashboard!$C$7="All",Dashboard!$C$7=H405),OR(Dashboard!$C$8="All",Dashboard!$C$8=F405))</f>
        <v/>
      </c>
      <c r="B405" s="109">
        <f>IF(A405,B404+1,B404)</f>
        <v/>
      </c>
      <c r="C405" s="109" t="n">
        <v>55</v>
      </c>
      <c r="D405" s="109" t="inlineStr">
        <is>
          <t>DC Silk Pillowcase</t>
        </is>
      </c>
      <c r="E405" s="109" t="inlineStr">
        <is>
          <t>US</t>
        </is>
      </c>
      <c r="F405" s="109" t="inlineStr">
        <is>
          <t>Silk</t>
        </is>
      </c>
      <c r="G405" s="109" t="inlineStr">
        <is>
          <t>Adubor</t>
        </is>
      </c>
      <c r="H405" s="109" t="inlineStr">
        <is>
          <t>Untiered</t>
        </is>
      </c>
      <c r="I405" s="109" t="inlineStr">
        <is>
          <t>Adubor 100% Silk Pillowcase - Mulberry Silk Pillow Cases, 22 Momme 6A Grade Fibers, Silk Pillow Case for Hair and Skin Health, with Hidden Zipper (Standard 20''×26'', Ivory White, 1PC)</t>
        </is>
      </c>
      <c r="J405" s="109" t="inlineStr">
        <is>
          <t>https://images-na.ssl-images-amazon.com/images/I/61dObyBs-kL.jpg</t>
        </is>
      </c>
      <c r="K405" s="109" t="inlineStr">
        <is>
          <t>B07XD9468J</t>
        </is>
      </c>
      <c r="L405" s="109" t="inlineStr">
        <is>
          <t>B07VKRTKRM</t>
        </is>
      </c>
      <c r="M405" s="109" t="n">
        <v>65</v>
      </c>
      <c r="N405" s="109" t="n">
        <v>19.99</v>
      </c>
      <c r="O405" s="109" t="n"/>
      <c r="P405" s="109">
        <f>IF(AND(ISNUMBER(O405),ISNUMBER(N405),N(N405)&gt;0),O405/N405-1,"")</f>
        <v/>
      </c>
      <c r="Q405" s="109" t="n">
        <v>44.95</v>
      </c>
      <c r="R405" s="109">
        <f>IF(AND(ISNUMBER(N405),ISNUMBER(Q405),N(Q405)&gt;0),N405/Q405-1,"")</f>
        <v/>
      </c>
      <c r="S405" s="109" t="n">
        <v>11494</v>
      </c>
      <c r="T405" s="109" t="n">
        <v>185</v>
      </c>
      <c r="U405" s="109" t="n">
        <v>4.4</v>
      </c>
      <c r="V405" s="109" t="n">
        <v>18955</v>
      </c>
      <c r="W405" s="109" t="n"/>
      <c r="X405" s="109" t="n"/>
      <c r="Y405" s="109" t="n"/>
      <c r="Z405" s="109" t="n"/>
      <c r="AA405" s="109" t="n"/>
      <c r="AB405" s="109" t="n"/>
      <c r="AC405" s="109" t="inlineStr">
        <is>
          <t>US DC Silk Pillowcase</t>
        </is>
      </c>
      <c r="AD405" s="109">
        <f>'US DC Silk Pillowcase'!BC74</f>
        <v/>
      </c>
      <c r="AE405" s="109">
        <f>'US DC Silk Pillowcase'!BF74</f>
        <v/>
      </c>
      <c r="AF405" s="109" t="inlineStr">
        <is>
          <t>Standard</t>
        </is>
      </c>
      <c r="AG405" s="109" t="inlineStr">
        <is>
          <t>Ivory White</t>
        </is>
      </c>
    </row>
    <row r="406">
      <c r="A406" s="109">
        <f>AND(OR(Dashboard!$C$4="All",Dashboard!$C$4=D406),OR(Dashboard!$C$5="All",Dashboard!$C$5=E406),OR(Dashboard!$C$6="All",Dashboard!$C$6=G406),OR(Dashboard!$C$7="All",Dashboard!$C$7=H406),OR(Dashboard!$C$8="All",Dashboard!$C$8=F406))</f>
        <v/>
      </c>
      <c r="B406" s="109">
        <f>IF(A406,B405+1,B405)</f>
        <v/>
      </c>
      <c r="C406" s="109" t="n">
        <v>55</v>
      </c>
      <c r="D406" s="109" t="inlineStr">
        <is>
          <t>DC Silk Pillowcase</t>
        </is>
      </c>
      <c r="E406" s="109" t="inlineStr">
        <is>
          <t>US</t>
        </is>
      </c>
      <c r="F406" s="109" t="inlineStr">
        <is>
          <t>Silk</t>
        </is>
      </c>
      <c r="G406" s="109" t="inlineStr">
        <is>
          <t>J JIMOO</t>
        </is>
      </c>
      <c r="H406" s="109" t="inlineStr">
        <is>
          <t>Untiered</t>
        </is>
      </c>
      <c r="I406" s="109" t="inlineStr">
        <is>
          <t>100% Mulberry Silk Pillowcase for Hair and Skin, 22 Momme Pure Natural Silk Pillow Case Both Sided with Zipper, Pillow Cover for Women Mom Men (Silver Grey, Standard 20''×26'', 1 Pack)</t>
        </is>
      </c>
      <c r="J406" s="109" t="inlineStr">
        <is>
          <t>https://images-na.ssl-images-amazon.com/images/I/71B1EXVMIiL.jpg</t>
        </is>
      </c>
      <c r="K406" s="109" t="inlineStr">
        <is>
          <t>B0DS1T8ZR7</t>
        </is>
      </c>
      <c r="L406" s="109" t="inlineStr">
        <is>
          <t>B07RGFS927</t>
        </is>
      </c>
      <c r="M406" s="109" t="n">
        <v>43</v>
      </c>
      <c r="N406" s="109" t="n">
        <v>25.99</v>
      </c>
      <c r="O406" s="109" t="n"/>
      <c r="P406" s="109">
        <f>IF(AND(ISNUMBER(O406),ISNUMBER(N406),N(N406)&gt;0),O406/N406-1,"")</f>
        <v/>
      </c>
      <c r="Q406" s="109" t="n">
        <v>44.95</v>
      </c>
      <c r="R406" s="109">
        <f>IF(AND(ISNUMBER(N406),ISNUMBER(Q406),N(Q406)&gt;0),N406/Q406-1,"")</f>
        <v/>
      </c>
      <c r="S406" s="109" t="n">
        <v>5604</v>
      </c>
      <c r="T406" s="109" t="n">
        <v>173</v>
      </c>
      <c r="U406" s="109" t="n">
        <v>4.5</v>
      </c>
      <c r="V406" s="109" t="n">
        <v>31715</v>
      </c>
      <c r="W406" s="109" t="n"/>
      <c r="X406" s="109" t="n"/>
      <c r="Y406" s="109" t="n"/>
      <c r="Z406" s="109" t="n"/>
      <c r="AA406" s="109" t="n"/>
      <c r="AB406" s="109" t="n"/>
      <c r="AC406" s="109" t="inlineStr">
        <is>
          <t>US DC Silk Pillowcase</t>
        </is>
      </c>
      <c r="AD406" s="109">
        <f>'US DC Silk Pillowcase'!BC75</f>
        <v/>
      </c>
      <c r="AE406" s="109">
        <f>'US DC Silk Pillowcase'!BF75</f>
        <v/>
      </c>
      <c r="AF406" s="109" t="inlineStr">
        <is>
          <t>Standard</t>
        </is>
      </c>
      <c r="AG406" s="109" t="inlineStr">
        <is>
          <t>Silver Grey</t>
        </is>
      </c>
    </row>
    <row r="407">
      <c r="A407" s="109">
        <f>AND(OR(Dashboard!$C$4="All",Dashboard!$C$4=D407),OR(Dashboard!$C$5="All",Dashboard!$C$5=E407),OR(Dashboard!$C$6="All",Dashboard!$C$6=G407),OR(Dashboard!$C$7="All",Dashboard!$C$7=H407),OR(Dashboard!$C$8="All",Dashboard!$C$8=F407))</f>
        <v/>
      </c>
      <c r="B407" s="109">
        <f>IF(A407,B406+1,B406)</f>
        <v/>
      </c>
      <c r="C407" s="109" t="n">
        <v>55</v>
      </c>
      <c r="D407" s="109" t="inlineStr">
        <is>
          <t>DC Silk Pillowcase</t>
        </is>
      </c>
      <c r="E407" s="109" t="inlineStr">
        <is>
          <t>US</t>
        </is>
      </c>
      <c r="F407" s="109" t="inlineStr">
        <is>
          <t>Silk</t>
        </is>
      </c>
      <c r="G407" s="109" t="inlineStr">
        <is>
          <t>Ravmix</t>
        </is>
      </c>
      <c r="H407" s="109" t="inlineStr">
        <is>
          <t>Untiered</t>
        </is>
      </c>
      <c r="I407" s="109" t="inlineStr">
        <is>
          <t>Ravmix 100% Silk Pillow Cases with Zipper, 21 Momme Mulberry Silk Pillowcase for Hair Skin Health, Soft Smooth Breathable Cool Pillow Cover for Beauty Sleep(Standard 20"x26", Ivory White) 1PC</t>
        </is>
      </c>
      <c r="J407" s="109" t="inlineStr">
        <is>
          <t>https://images-na.ssl-images-amazon.com/images/I/51jDXAKxi2L.jpg</t>
        </is>
      </c>
      <c r="K407" s="109" t="inlineStr">
        <is>
          <t>B0H9S9ZNL2</t>
        </is>
      </c>
      <c r="L407" s="109" t="inlineStr">
        <is>
          <t>B07KJYP1VC</t>
        </is>
      </c>
      <c r="M407" s="109" t="n">
        <v>65</v>
      </c>
      <c r="N407" s="109" t="n">
        <v>19.99</v>
      </c>
      <c r="O407" s="109" t="n"/>
      <c r="P407" s="109">
        <f>IF(AND(ISNUMBER(O407),ISNUMBER(N407),N(N407)&gt;0),O407/N407-1,"")</f>
        <v/>
      </c>
      <c r="Q407" s="109" t="n">
        <v>44.95</v>
      </c>
      <c r="R407" s="109">
        <f>IF(AND(ISNUMBER(N407),ISNUMBER(Q407),N(Q407)&gt;0),N407/Q407-1,"")</f>
        <v/>
      </c>
      <c r="S407" s="109" t="n">
        <v>17242</v>
      </c>
      <c r="T407" s="109" t="n">
        <v>104</v>
      </c>
      <c r="U407" s="109" t="n">
        <v>4.5</v>
      </c>
      <c r="V407" s="109" t="n">
        <v>33594</v>
      </c>
      <c r="W407" s="109" t="n"/>
      <c r="X407" s="109" t="n"/>
      <c r="Y407" s="109" t="n"/>
      <c r="Z407" s="109" t="n"/>
      <c r="AA407" s="109" t="n"/>
      <c r="AB407" s="109" t="n"/>
      <c r="AC407" s="109" t="inlineStr">
        <is>
          <t>US DC Silk Pillowcase</t>
        </is>
      </c>
      <c r="AD407" s="109">
        <f>'US DC Silk Pillowcase'!BC76</f>
        <v/>
      </c>
      <c r="AE407" s="109">
        <f>'US DC Silk Pillowcase'!BF76</f>
        <v/>
      </c>
      <c r="AF407" s="109" t="inlineStr">
        <is>
          <t>Standard</t>
        </is>
      </c>
      <c r="AG407" s="109" t="inlineStr">
        <is>
          <t>White</t>
        </is>
      </c>
    </row>
    <row r="408">
      <c r="A408" s="109">
        <f>AND(OR(Dashboard!$C$4="All",Dashboard!$C$4=D408),OR(Dashboard!$C$5="All",Dashboard!$C$5=E408),OR(Dashboard!$C$6="All",Dashboard!$C$6=G408),OR(Dashboard!$C$7="All",Dashboard!$C$7=H408),OR(Dashboard!$C$8="All",Dashboard!$C$8=F408))</f>
        <v/>
      </c>
      <c r="B408" s="109">
        <f>IF(A408,B407+1,B407)</f>
        <v/>
      </c>
      <c r="C408" s="109" t="n">
        <v>55</v>
      </c>
      <c r="D408" s="109" t="inlineStr">
        <is>
          <t>DC Silk Pillowcase</t>
        </is>
      </c>
      <c r="E408" s="109" t="inlineStr">
        <is>
          <t>US</t>
        </is>
      </c>
      <c r="F408" s="109" t="inlineStr">
        <is>
          <t>Silk</t>
        </is>
      </c>
      <c r="G408" s="109" t="inlineStr">
        <is>
          <t>INSSL</t>
        </is>
      </c>
      <c r="H408" s="109" t="inlineStr">
        <is>
          <t>Untiered</t>
        </is>
      </c>
      <c r="I408" s="109" t="inlineStr">
        <is>
          <t>Silk Pillowcase</t>
        </is>
      </c>
      <c r="J408" s="109" t="n"/>
      <c r="K408" s="109" t="inlineStr">
        <is>
          <t>B0BCGZVPCM</t>
        </is>
      </c>
      <c r="L408" s="109" t="inlineStr">
        <is>
          <t>B089SJQP45</t>
        </is>
      </c>
      <c r="M408" s="109" t="n"/>
      <c r="N408" s="109" t="n">
        <v>13.99</v>
      </c>
      <c r="O408" s="109" t="n"/>
      <c r="P408" s="109">
        <f>IF(AND(ISNUMBER(O408),ISNUMBER(N408),N(N408)&gt;0),O408/N408-1,"")</f>
        <v/>
      </c>
      <c r="Q408" s="109" t="n">
        <v>49.95</v>
      </c>
      <c r="R408" s="109">
        <f>IF(AND(ISNUMBER(N408),ISNUMBER(Q408),N(Q408)&gt;0),N408/Q408-1,"")</f>
        <v/>
      </c>
      <c r="S408" s="109" t="n">
        <v>14446</v>
      </c>
      <c r="T408" s="109" t="n">
        <v>92</v>
      </c>
      <c r="U408" s="109" t="n">
        <v>4.5</v>
      </c>
      <c r="V408" s="109" t="n">
        <v>11647</v>
      </c>
      <c r="W408" s="109" t="n"/>
      <c r="X408" s="109" t="n"/>
      <c r="Y408" s="109" t="n"/>
      <c r="Z408" s="109" t="n"/>
      <c r="AA408" s="109" t="n"/>
      <c r="AB408" s="109" t="n"/>
      <c r="AC408" s="109" t="inlineStr">
        <is>
          <t>US DC Silk Pillowcase</t>
        </is>
      </c>
      <c r="AD408" s="109">
        <f>'US DC Silk Pillowcase'!BC77</f>
        <v/>
      </c>
      <c r="AE408" s="109">
        <f>'US DC Silk Pillowcase'!BF77</f>
        <v/>
      </c>
      <c r="AF408" s="109" t="n"/>
      <c r="AG408" s="109" t="n"/>
    </row>
    <row r="409">
      <c r="A409" s="109">
        <f>AND(OR(Dashboard!$C$4="All",Dashboard!$C$4=D409),OR(Dashboard!$C$5="All",Dashboard!$C$5=E409),OR(Dashboard!$C$6="All",Dashboard!$C$6=G409),OR(Dashboard!$C$7="All",Dashboard!$C$7=H409),OR(Dashboard!$C$8="All",Dashboard!$C$8=F409))</f>
        <v/>
      </c>
      <c r="B409" s="109">
        <f>IF(A409,B408+1,B408)</f>
        <v/>
      </c>
      <c r="C409" s="109" t="n">
        <v>55</v>
      </c>
      <c r="D409" s="109" t="inlineStr">
        <is>
          <t>DC Silk Pillowcase</t>
        </is>
      </c>
      <c r="E409" s="109" t="inlineStr">
        <is>
          <t>US</t>
        </is>
      </c>
      <c r="F409" s="109" t="inlineStr">
        <is>
          <t>Silk</t>
        </is>
      </c>
      <c r="G409" s="109" t="inlineStr">
        <is>
          <t>SIYUAN</t>
        </is>
      </c>
      <c r="H409" s="109" t="inlineStr">
        <is>
          <t>Untiered</t>
        </is>
      </c>
      <c r="I409" s="109" t="inlineStr">
        <is>
          <t>Silk Pillowcase</t>
        </is>
      </c>
      <c r="J409" s="109" t="n"/>
      <c r="K409" s="109" t="inlineStr">
        <is>
          <t>B0C395RDGT</t>
        </is>
      </c>
      <c r="L409" s="109" t="inlineStr">
        <is>
          <t>B0BBC1GN6H</t>
        </is>
      </c>
      <c r="M409" s="109" t="n"/>
      <c r="N409" s="109" t="n">
        <v>13.99</v>
      </c>
      <c r="O409" s="109" t="n"/>
      <c r="P409" s="109">
        <f>IF(AND(ISNUMBER(O409),ISNUMBER(N409),N(N409)&gt;0),O409/N409-1,"")</f>
        <v/>
      </c>
      <c r="Q409" s="109" t="n">
        <v>49.95</v>
      </c>
      <c r="R409" s="109">
        <f>IF(AND(ISNUMBER(N409),ISNUMBER(Q409),N(Q409)&gt;0),N409/Q409-1,"")</f>
        <v/>
      </c>
      <c r="S409" s="109" t="n">
        <v>3332</v>
      </c>
      <c r="T409" s="109" t="n">
        <v>81</v>
      </c>
      <c r="U409" s="109" t="n">
        <v>4.5</v>
      </c>
      <c r="V409" s="109" t="n">
        <v>9825</v>
      </c>
      <c r="W409" s="109" t="n"/>
      <c r="X409" s="109" t="n"/>
      <c r="Y409" s="109" t="n"/>
      <c r="Z409" s="109" t="n"/>
      <c r="AA409" s="109" t="n"/>
      <c r="AB409" s="109" t="n"/>
      <c r="AC409" s="109" t="inlineStr">
        <is>
          <t>US DC Silk Pillowcase</t>
        </is>
      </c>
      <c r="AD409" s="109">
        <f>'US DC Silk Pillowcase'!BC78</f>
        <v/>
      </c>
      <c r="AE409" s="109">
        <f>'US DC Silk Pillowcase'!BF78</f>
        <v/>
      </c>
      <c r="AF409" s="109" t="n"/>
      <c r="AG409" s="109" t="n"/>
    </row>
    <row r="410">
      <c r="A410" s="109">
        <f>AND(OR(Dashboard!$C$4="All",Dashboard!$C$4=D410),OR(Dashboard!$C$5="All",Dashboard!$C$5=E410),OR(Dashboard!$C$6="All",Dashboard!$C$6=G410),OR(Dashboard!$C$7="All",Dashboard!$C$7=H410),OR(Dashboard!$C$8="All",Dashboard!$C$8=F410))</f>
        <v/>
      </c>
      <c r="B410" s="109">
        <f>IF(A410,B409+1,B409)</f>
        <v/>
      </c>
      <c r="C410" s="109" t="n">
        <v>55</v>
      </c>
      <c r="D410" s="109" t="inlineStr">
        <is>
          <t>DC Silk Pillowcase</t>
        </is>
      </c>
      <c r="E410" s="109" t="inlineStr">
        <is>
          <t>US</t>
        </is>
      </c>
      <c r="F410" s="109" t="inlineStr">
        <is>
          <t>Silk</t>
        </is>
      </c>
      <c r="G410" s="109" t="inlineStr">
        <is>
          <t>WLOSJ</t>
        </is>
      </c>
      <c r="H410" s="109" t="inlineStr">
        <is>
          <t>Untiered</t>
        </is>
      </c>
      <c r="I410" s="109" t="inlineStr">
        <is>
          <t>Silk Pillow</t>
        </is>
      </c>
      <c r="J410" s="109" t="n"/>
      <c r="K410" s="109" t="inlineStr">
        <is>
          <t>B0CZF5V1W7</t>
        </is>
      </c>
      <c r="L410" s="109" t="inlineStr">
        <is>
          <t>B09T6DV8BB</t>
        </is>
      </c>
      <c r="M410" s="109" t="n"/>
      <c r="N410" s="109" t="n">
        <v>19.99</v>
      </c>
      <c r="O410" s="109" t="n"/>
      <c r="P410" s="109">
        <f>IF(AND(ISNUMBER(O410),ISNUMBER(N410),N(N410)&gt;0),O410/N410-1,"")</f>
        <v/>
      </c>
      <c r="Q410" s="109" t="n">
        <v>49.95</v>
      </c>
      <c r="R410" s="109">
        <f>IF(AND(ISNUMBER(N410),ISNUMBER(Q410),N(Q410)&gt;0),N410/Q410-1,"")</f>
        <v/>
      </c>
      <c r="S410" s="109" t="n">
        <v>19251</v>
      </c>
      <c r="T410" s="109" t="n">
        <v>81</v>
      </c>
      <c r="U410" s="109" t="n">
        <v>4.2</v>
      </c>
      <c r="V410" s="109" t="n">
        <v>1464</v>
      </c>
      <c r="W410" s="109" t="n"/>
      <c r="X410" s="109" t="n"/>
      <c r="Y410" s="109" t="n"/>
      <c r="Z410" s="109" t="n"/>
      <c r="AA410" s="109" t="n"/>
      <c r="AB410" s="109" t="n"/>
      <c r="AC410" s="109" t="inlineStr">
        <is>
          <t>US DC Silk Pillowcase</t>
        </is>
      </c>
      <c r="AD410" s="109">
        <f>'US DC Silk Pillowcase'!BC79</f>
        <v/>
      </c>
      <c r="AE410" s="109">
        <f>'US DC Silk Pillowcase'!BF79</f>
        <v/>
      </c>
      <c r="AF410" s="109" t="n"/>
      <c r="AG410" s="109" t="n"/>
    </row>
    <row r="411">
      <c r="A411" s="109">
        <f>AND(OR(Dashboard!$C$4="All",Dashboard!$C$4=D411),OR(Dashboard!$C$5="All",Dashboard!$C$5=E411),OR(Dashboard!$C$6="All",Dashboard!$C$6=G411),OR(Dashboard!$C$7="All",Dashboard!$C$7=H411),OR(Dashboard!$C$8="All",Dashboard!$C$8=F411))</f>
        <v/>
      </c>
      <c r="B411" s="109">
        <f>IF(A411,B410+1,B410)</f>
        <v/>
      </c>
      <c r="C411" s="109" t="n">
        <v>55</v>
      </c>
      <c r="D411" s="109" t="inlineStr">
        <is>
          <t>DC Silk Pillowcase</t>
        </is>
      </c>
      <c r="E411" s="109" t="inlineStr">
        <is>
          <t>US</t>
        </is>
      </c>
      <c r="F411" s="109" t="inlineStr">
        <is>
          <t>Silk</t>
        </is>
      </c>
      <c r="G411" s="109" t="inlineStr">
        <is>
          <t>Kinself</t>
        </is>
      </c>
      <c r="H411" s="109" t="inlineStr">
        <is>
          <t>Untiered</t>
        </is>
      </c>
      <c r="I411" s="109" t="inlineStr">
        <is>
          <t>Silk Pillowcase</t>
        </is>
      </c>
      <c r="J411" s="109" t="n"/>
      <c r="K411" s="109" t="inlineStr">
        <is>
          <t>B0CM16H4RY</t>
        </is>
      </c>
      <c r="L411" s="109" t="inlineStr">
        <is>
          <t>B0CKLCLQ62</t>
        </is>
      </c>
      <c r="M411" s="109" t="n"/>
      <c r="N411" s="109" t="n">
        <v>20.99</v>
      </c>
      <c r="O411" s="109" t="n"/>
      <c r="P411" s="109">
        <f>IF(AND(ISNUMBER(O411),ISNUMBER(N411),N(N411)&gt;0),O411/N411-1,"")</f>
        <v/>
      </c>
      <c r="Q411" s="109" t="n">
        <v>49.95</v>
      </c>
      <c r="R411" s="109">
        <f>IF(AND(ISNUMBER(N411),ISNUMBER(Q411),N(Q411)&gt;0),N411/Q411-1,"")</f>
        <v/>
      </c>
      <c r="S411" s="109" t="n">
        <v>90616</v>
      </c>
      <c r="T411" s="109" t="n">
        <v>18</v>
      </c>
      <c r="U411" s="109" t="n">
        <v>4.5</v>
      </c>
      <c r="V411" s="109" t="n">
        <v>1457</v>
      </c>
      <c r="W411" s="109" t="n"/>
      <c r="X411" s="109" t="n"/>
      <c r="Y411" s="109" t="n"/>
      <c r="Z411" s="109" t="n"/>
      <c r="AA411" s="109" t="n"/>
      <c r="AB411" s="109" t="n"/>
      <c r="AC411" s="109" t="inlineStr">
        <is>
          <t>US DC Silk Pillowcase</t>
        </is>
      </c>
      <c r="AD411" s="109">
        <f>'US DC Silk Pillowcase'!BC80</f>
        <v/>
      </c>
      <c r="AE411" s="109">
        <f>'US DC Silk Pillowcase'!BF80</f>
        <v/>
      </c>
      <c r="AF411" s="109" t="n"/>
      <c r="AG411" s="109" t="n"/>
    </row>
    <row r="412">
      <c r="A412" s="109">
        <f>AND(OR(Dashboard!$C$4="All",Dashboard!$C$4=D412),OR(Dashboard!$C$5="All",Dashboard!$C$5=E412),OR(Dashboard!$C$6="All",Dashboard!$C$6=G412),OR(Dashboard!$C$7="All",Dashboard!$C$7=H412),OR(Dashboard!$C$8="All",Dashboard!$C$8=F412))</f>
        <v/>
      </c>
      <c r="B412" s="109">
        <f>IF(A412,B411+1,B411)</f>
        <v/>
      </c>
      <c r="C412" s="109" t="n">
        <v>55</v>
      </c>
      <c r="D412" s="109" t="inlineStr">
        <is>
          <t>DC Silk Pillowcase</t>
        </is>
      </c>
      <c r="E412" s="109" t="inlineStr">
        <is>
          <t>US</t>
        </is>
      </c>
      <c r="F412" s="109" t="inlineStr">
        <is>
          <t>Silk</t>
        </is>
      </c>
      <c r="G412" s="109" t="inlineStr">
        <is>
          <t>Jocoku</t>
        </is>
      </c>
      <c r="H412" s="109" t="inlineStr">
        <is>
          <t>Untiered</t>
        </is>
      </c>
      <c r="I412" s="109" t="inlineStr">
        <is>
          <t>Silk Pillowcase</t>
        </is>
      </c>
      <c r="J412" s="109" t="n"/>
      <c r="K412" s="109" t="inlineStr">
        <is>
          <t>B08BFG7CNK</t>
        </is>
      </c>
      <c r="L412" s="109" t="inlineStr">
        <is>
          <t>B07JLLJSK5</t>
        </is>
      </c>
      <c r="M412" s="109" t="n"/>
      <c r="N412" s="109" t="n">
        <v>21.99</v>
      </c>
      <c r="O412" s="109" t="n"/>
      <c r="P412" s="109">
        <f>IF(AND(ISNUMBER(O412),ISNUMBER(N412),N(N412)&gt;0),O412/N412-1,"")</f>
        <v/>
      </c>
      <c r="Q412" s="109" t="n">
        <v>49.95</v>
      </c>
      <c r="R412" s="109">
        <f>IF(AND(ISNUMBER(N412),ISNUMBER(Q412),N(Q412)&gt;0),N412/Q412-1,"")</f>
        <v/>
      </c>
      <c r="S412" s="109" t="n">
        <v>83599</v>
      </c>
      <c r="T412" s="109" t="n">
        <v>5</v>
      </c>
      <c r="U412" s="109" t="n">
        <v>4.4</v>
      </c>
      <c r="V412" s="109" t="n">
        <v>14841</v>
      </c>
      <c r="W412" s="109" t="n"/>
      <c r="X412" s="109" t="n"/>
      <c r="Y412" s="109" t="n"/>
      <c r="Z412" s="109" t="n"/>
      <c r="AA412" s="109" t="n"/>
      <c r="AB412" s="109" t="n"/>
      <c r="AC412" s="109" t="inlineStr">
        <is>
          <t>US DC Silk Pillowcase</t>
        </is>
      </c>
      <c r="AD412" s="109">
        <f>'US DC Silk Pillowcase'!BC81</f>
        <v/>
      </c>
      <c r="AE412" s="109">
        <f>'US DC Silk Pillowcase'!BF81</f>
        <v/>
      </c>
      <c r="AF412" s="109" t="n"/>
      <c r="AG412" s="109" t="n"/>
    </row>
    <row r="413">
      <c r="A413" s="109">
        <f>AND(OR(Dashboard!$C$4="All",Dashboard!$C$4=D413),OR(Dashboard!$C$5="All",Dashboard!$C$5=E413),OR(Dashboard!$C$6="All",Dashboard!$C$6=G413),OR(Dashboard!$C$7="All",Dashboard!$C$7=H413),OR(Dashboard!$C$8="All",Dashboard!$C$8=F413))</f>
        <v/>
      </c>
      <c r="B413" s="109">
        <f>IF(A413,B412+1,B412)</f>
        <v/>
      </c>
      <c r="C413" s="109" t="n">
        <v>55</v>
      </c>
      <c r="D413" s="109" t="inlineStr">
        <is>
          <t>DC Silk Pillowcase</t>
        </is>
      </c>
      <c r="E413" s="109" t="inlineStr">
        <is>
          <t>US</t>
        </is>
      </c>
      <c r="F413" s="109" t="inlineStr">
        <is>
          <t>Silk</t>
        </is>
      </c>
      <c r="G413" s="109" t="inlineStr">
        <is>
          <t>JOGJUE</t>
        </is>
      </c>
      <c r="H413" s="109" t="inlineStr">
        <is>
          <t>Untiered</t>
        </is>
      </c>
      <c r="I413" s="109" t="inlineStr">
        <is>
          <t>Silk Pillowcase</t>
        </is>
      </c>
      <c r="J413" s="109" t="n"/>
      <c r="K413" s="109" t="inlineStr">
        <is>
          <t>B094NS7KFX</t>
        </is>
      </c>
      <c r="L413" s="109" t="inlineStr">
        <is>
          <t>B07S2XV3TG</t>
        </is>
      </c>
      <c r="M413" s="109" t="n"/>
      <c r="N413" s="109" t="n">
        <v>20.99</v>
      </c>
      <c r="O413" s="109" t="n"/>
      <c r="P413" s="109">
        <f>IF(AND(ISNUMBER(O413),ISNUMBER(N413),N(N413)&gt;0),O413/N413-1,"")</f>
        <v/>
      </c>
      <c r="Q413" s="109" t="n">
        <v>49.95</v>
      </c>
      <c r="R413" s="109">
        <f>IF(AND(ISNUMBER(N413),ISNUMBER(Q413),N(Q413)&gt;0),N413/Q413-1,"")</f>
        <v/>
      </c>
      <c r="S413" s="109" t="n">
        <v>135984</v>
      </c>
      <c r="T413" s="109" t="n">
        <v>5</v>
      </c>
      <c r="U413" s="109" t="n">
        <v>4.4</v>
      </c>
      <c r="V413" s="109" t="n">
        <v>8036</v>
      </c>
      <c r="W413" s="109" t="n"/>
      <c r="X413" s="109" t="n"/>
      <c r="Y413" s="109" t="n"/>
      <c r="Z413" s="109" t="n"/>
      <c r="AA413" s="109" t="n"/>
      <c r="AB413" s="109" t="n"/>
      <c r="AC413" s="109" t="inlineStr">
        <is>
          <t>US DC Silk Pillowcase</t>
        </is>
      </c>
      <c r="AD413" s="109">
        <f>'US DC Silk Pillowcase'!BC82</f>
        <v/>
      </c>
      <c r="AE413" s="109">
        <f>'US DC Silk Pillowcase'!BF82</f>
        <v/>
      </c>
      <c r="AF413" s="109" t="n"/>
      <c r="AG413" s="109" t="n"/>
    </row>
    <row r="414">
      <c r="A414" s="109">
        <f>AND(OR(Dashboard!$C$4="All",Dashboard!$C$4=D414),OR(Dashboard!$C$5="All",Dashboard!$C$5=E414),OR(Dashboard!$C$6="All",Dashboard!$C$6=G414),OR(Dashboard!$C$7="All",Dashboard!$C$7=H414),OR(Dashboard!$C$8="All",Dashboard!$C$8=F414))</f>
        <v/>
      </c>
      <c r="B414" s="109">
        <f>IF(A414,B413+1,B413)</f>
        <v/>
      </c>
      <c r="C414" s="109" t="n">
        <v>55</v>
      </c>
      <c r="D414" s="109" t="inlineStr">
        <is>
          <t>DC Silk Pillowcase</t>
        </is>
      </c>
      <c r="E414" s="109" t="inlineStr">
        <is>
          <t>US</t>
        </is>
      </c>
      <c r="F414" s="109" t="inlineStr">
        <is>
          <t>Silk</t>
        </is>
      </c>
      <c r="G414" s="109" t="inlineStr">
        <is>
          <t>SGMSILK</t>
        </is>
      </c>
      <c r="H414" s="109" t="inlineStr">
        <is>
          <t>Untiered</t>
        </is>
      </c>
      <c r="I414" s="109" t="inlineStr">
        <is>
          <t>Silk Pillowcase</t>
        </is>
      </c>
      <c r="J414" s="109" t="n"/>
      <c r="K414" s="109" t="inlineStr">
        <is>
          <t>B0CM9LCN75</t>
        </is>
      </c>
      <c r="L414" s="109" t="inlineStr">
        <is>
          <t>B0CM9N244T</t>
        </is>
      </c>
      <c r="M414" s="109" t="n"/>
      <c r="N414" s="109" t="n">
        <v>20.99</v>
      </c>
      <c r="O414" s="109" t="n"/>
      <c r="P414" s="109">
        <f>IF(AND(ISNUMBER(O414),ISNUMBER(N414),N(N414)&gt;0),O414/N414-1,"")</f>
        <v/>
      </c>
      <c r="Q414" s="109" t="n">
        <v>49.95</v>
      </c>
      <c r="R414" s="109">
        <f>IF(AND(ISNUMBER(N414),ISNUMBER(Q414),N(Q414)&gt;0),N414/Q414-1,"")</f>
        <v/>
      </c>
      <c r="S414" s="109" t="n">
        <v>726721</v>
      </c>
      <c r="T414" s="109" t="n">
        <v>5</v>
      </c>
      <c r="U414" s="109" t="n">
        <v>4.5</v>
      </c>
      <c r="V414" s="109" t="n">
        <v>673</v>
      </c>
      <c r="W414" s="109" t="n"/>
      <c r="X414" s="109" t="n"/>
      <c r="Y414" s="109" t="n"/>
      <c r="Z414" s="109" t="n"/>
      <c r="AA414" s="109" t="n"/>
      <c r="AB414" s="109" t="n"/>
      <c r="AC414" s="109" t="inlineStr">
        <is>
          <t>US DC Silk Pillowcase</t>
        </is>
      </c>
      <c r="AD414" s="109">
        <f>'US DC Silk Pillowcase'!BC83</f>
        <v/>
      </c>
      <c r="AE414" s="109">
        <f>'US DC Silk Pillowcase'!BF83</f>
        <v/>
      </c>
      <c r="AF414" s="109" t="n"/>
      <c r="AG414" s="109" t="n"/>
    </row>
    <row r="415">
      <c r="A415" s="109">
        <f>AND(OR(Dashboard!$C$4="All",Dashboard!$C$4=D415),OR(Dashboard!$C$5="All",Dashboard!$C$5=E415),OR(Dashboard!$C$6="All",Dashboard!$C$6=G415),OR(Dashboard!$C$7="All",Dashboard!$C$7=H415),OR(Dashboard!$C$8="All",Dashboard!$C$8=F415))</f>
        <v/>
      </c>
      <c r="B415" s="109">
        <f>IF(A415,B414+1,B414)</f>
        <v/>
      </c>
      <c r="C415" s="109" t="n">
        <v>55</v>
      </c>
      <c r="D415" s="109" t="inlineStr">
        <is>
          <t>DC Silk Pillowcase</t>
        </is>
      </c>
      <c r="E415" s="109" t="inlineStr">
        <is>
          <t>US</t>
        </is>
      </c>
      <c r="F415" s="109" t="inlineStr">
        <is>
          <t>Silk</t>
        </is>
      </c>
      <c r="G415" s="109" t="inlineStr">
        <is>
          <t>Slpbaby</t>
        </is>
      </c>
      <c r="H415" s="109" t="inlineStr">
        <is>
          <t>Untiered</t>
        </is>
      </c>
      <c r="I415" s="109" t="inlineStr">
        <is>
          <t>Silk Pillowcase</t>
        </is>
      </c>
      <c r="J415" s="109" t="n"/>
      <c r="K415" s="109" t="inlineStr">
        <is>
          <t>B075CNDRFJ</t>
        </is>
      </c>
      <c r="L415" s="109" t="inlineStr">
        <is>
          <t>B07TV3NVNX</t>
        </is>
      </c>
      <c r="M415" s="109" t="n"/>
      <c r="N415" s="109" t="n">
        <v>22.99</v>
      </c>
      <c r="O415" s="109" t="n"/>
      <c r="P415" s="109">
        <f>IF(AND(ISNUMBER(O415),ISNUMBER(N415),N(N415)&gt;0),O415/N415-1,"")</f>
        <v/>
      </c>
      <c r="Q415" s="109" t="n">
        <v>49.95</v>
      </c>
      <c r="R415" s="109">
        <f>IF(AND(ISNUMBER(N415),ISNUMBER(Q415),N(Q415)&gt;0),N415/Q415-1,"")</f>
        <v/>
      </c>
      <c r="S415" s="109" t="n">
        <v>48946</v>
      </c>
      <c r="T415" s="109" t="n">
        <v>5</v>
      </c>
      <c r="U415" s="109" t="n">
        <v>4.7</v>
      </c>
      <c r="V415" s="109" t="n">
        <v>21427</v>
      </c>
      <c r="W415" s="109" t="n"/>
      <c r="X415" s="109" t="n"/>
      <c r="Y415" s="109" t="n"/>
      <c r="Z415" s="109" t="n"/>
      <c r="AA415" s="109" t="n"/>
      <c r="AB415" s="109" t="n"/>
      <c r="AC415" s="109" t="inlineStr">
        <is>
          <t>US DC Silk Pillowcase</t>
        </is>
      </c>
      <c r="AD415" s="109">
        <f>'US DC Silk Pillowcase'!BC84</f>
        <v/>
      </c>
      <c r="AE415" s="109">
        <f>'US DC Silk Pillowcase'!BF84</f>
        <v/>
      </c>
      <c r="AF415" s="109" t="n"/>
      <c r="AG415" s="109" t="n"/>
    </row>
    <row r="416">
      <c r="A416" s="109">
        <f>AND(OR(Dashboard!$C$4="All",Dashboard!$C$4=D416),OR(Dashboard!$C$5="All",Dashboard!$C$5=E416),OR(Dashboard!$C$6="All",Dashboard!$C$6=G416),OR(Dashboard!$C$7="All",Dashboard!$C$7=H416),OR(Dashboard!$C$8="All",Dashboard!$C$8=F416))</f>
        <v/>
      </c>
      <c r="B416" s="109">
        <f>IF(A416,B415+1,B415)</f>
        <v/>
      </c>
      <c r="C416" s="109" t="n">
        <v>56</v>
      </c>
      <c r="D416" s="109" t="inlineStr">
        <is>
          <t>SL Mask Contoured</t>
        </is>
      </c>
      <c r="E416" s="109" t="inlineStr">
        <is>
          <t>US</t>
        </is>
      </c>
      <c r="F416" s="109" t="inlineStr">
        <is>
          <t>Silk</t>
        </is>
      </c>
      <c r="G416" s="109" t="inlineStr">
        <is>
          <t>MZOO</t>
        </is>
      </c>
      <c r="H416" s="109" t="inlineStr">
        <is>
          <t>Aspirational</t>
        </is>
      </c>
      <c r="I416" s="109" t="inlineStr">
        <is>
          <t>SS Silk Sleep Mask - Contoured</t>
        </is>
      </c>
      <c r="J416" s="109" t="n"/>
      <c r="K416" s="109" t="inlineStr">
        <is>
          <t>B0BQD58J7V</t>
        </is>
      </c>
      <c r="L416" s="109" t="inlineStr">
        <is>
          <t>B07KC5DWCC</t>
        </is>
      </c>
      <c r="M416" s="109" t="n"/>
      <c r="N416" s="109" t="n">
        <v>13.99</v>
      </c>
      <c r="O416" s="109" t="n">
        <v>17.99</v>
      </c>
      <c r="P416" s="109">
        <f>IF(AND(ISNUMBER(O416),ISNUMBER(N416),N(N416)&gt;0),O416/N416-1,"")</f>
        <v/>
      </c>
      <c r="Q416" s="109" t="n">
        <v>25.95</v>
      </c>
      <c r="R416" s="109">
        <f>IF(AND(ISNUMBER(N416),ISNUMBER(Q416),N(Q416)&gt;0),N416/Q416-1,"")</f>
        <v/>
      </c>
      <c r="S416" s="109" t="n">
        <v>263</v>
      </c>
      <c r="T416" s="109" t="n">
        <v>13857</v>
      </c>
      <c r="U416" s="109" t="n">
        <v>4.6</v>
      </c>
      <c r="V416" s="109" t="n">
        <v>101412</v>
      </c>
      <c r="W416" s="109" t="n"/>
      <c r="X416" s="109" t="n"/>
      <c r="Y416" s="109" t="n"/>
      <c r="Z416" s="109" t="n"/>
      <c r="AA416" s="109" t="n"/>
      <c r="AB416" s="109" t="n">
        <v>1.060881633249334</v>
      </c>
      <c r="AC416" s="109" t="inlineStr">
        <is>
          <t>US SL Mask Contoured</t>
        </is>
      </c>
      <c r="AD416" s="109">
        <f>'US SL Mask Contoured'!BC41</f>
        <v/>
      </c>
      <c r="AE416" s="109">
        <f>'US SL Mask Contoured'!BF41</f>
        <v/>
      </c>
      <c r="AF416" s="109" t="n"/>
      <c r="AG416" s="109" t="n"/>
    </row>
    <row r="417">
      <c r="A417" s="109">
        <f>AND(OR(Dashboard!$C$4="All",Dashboard!$C$4=D417),OR(Dashboard!$C$5="All",Dashboard!$C$5=E417),OR(Dashboard!$C$6="All",Dashboard!$C$6=G417),OR(Dashboard!$C$7="All",Dashboard!$C$7=H417),OR(Dashboard!$C$8="All",Dashboard!$C$8=F417))</f>
        <v/>
      </c>
      <c r="B417" s="109">
        <f>IF(A417,B416+1,B416)</f>
        <v/>
      </c>
      <c r="C417" s="109" t="n">
        <v>56</v>
      </c>
      <c r="D417" s="109" t="inlineStr">
        <is>
          <t>SL Mask Contoured</t>
        </is>
      </c>
      <c r="E417" s="109" t="inlineStr">
        <is>
          <t>US</t>
        </is>
      </c>
      <c r="F417" s="109" t="inlineStr">
        <is>
          <t>Silk</t>
        </is>
      </c>
      <c r="G417" s="109" t="inlineStr">
        <is>
          <t>LitBear</t>
        </is>
      </c>
      <c r="H417" s="109" t="inlineStr">
        <is>
          <t>Aspirational</t>
        </is>
      </c>
      <c r="I417" s="109" t="inlineStr">
        <is>
          <t>SS Silk Sleep Mask</t>
        </is>
      </c>
      <c r="J417" s="109" t="n"/>
      <c r="K417" s="109" t="inlineStr">
        <is>
          <t>B09YQ2GFGB</t>
        </is>
      </c>
      <c r="L417" s="109" t="inlineStr">
        <is>
          <t>B09H7FZ5JM</t>
        </is>
      </c>
      <c r="M417" s="109" t="n"/>
      <c r="N417" s="109" t="n">
        <v>12.95</v>
      </c>
      <c r="O417" s="109" t="n">
        <v>14.39</v>
      </c>
      <c r="P417" s="109">
        <f>IF(AND(ISNUMBER(O417),ISNUMBER(N417),N(N417)&gt;0),O417/N417-1,"")</f>
        <v/>
      </c>
      <c r="Q417" s="109" t="n">
        <v>25.95</v>
      </c>
      <c r="R417" s="109">
        <f>IF(AND(ISNUMBER(N417),ISNUMBER(Q417),N(Q417)&gt;0),N417/Q417-1,"")</f>
        <v/>
      </c>
      <c r="S417" s="109" t="n">
        <v>1574</v>
      </c>
      <c r="T417" s="109" t="n">
        <v>3464</v>
      </c>
      <c r="U417" s="109" t="n">
        <v>4.7</v>
      </c>
      <c r="V417" s="109" t="n">
        <v>17354</v>
      </c>
      <c r="W417" s="109" t="n"/>
      <c r="X417" s="109" t="n"/>
      <c r="Y417" s="109" t="n"/>
      <c r="Z417" s="109" t="n"/>
      <c r="AA417" s="109" t="n"/>
      <c r="AB417" s="109" t="n">
        <v>0.9930349542112731</v>
      </c>
      <c r="AC417" s="109" t="inlineStr">
        <is>
          <t>US SL Mask Contoured</t>
        </is>
      </c>
      <c r="AD417" s="109">
        <f>'US SL Mask Contoured'!BC42</f>
        <v/>
      </c>
      <c r="AE417" s="109">
        <f>'US SL Mask Contoured'!BF42</f>
        <v/>
      </c>
      <c r="AF417" s="109" t="n"/>
      <c r="AG417" s="109" t="n"/>
    </row>
    <row r="418">
      <c r="A418" s="109">
        <f>AND(OR(Dashboard!$C$4="All",Dashboard!$C$4=D418),OR(Dashboard!$C$5="All",Dashboard!$C$5=E418),OR(Dashboard!$C$6="All",Dashboard!$C$6=G418),OR(Dashboard!$C$7="All",Dashboard!$C$7=H418),OR(Dashboard!$C$8="All",Dashboard!$C$8=F418))</f>
        <v/>
      </c>
      <c r="B418" s="109">
        <f>IF(A418,B417+1,B417)</f>
        <v/>
      </c>
      <c r="C418" s="109" t="n">
        <v>56</v>
      </c>
      <c r="D418" s="109" t="inlineStr">
        <is>
          <t>SL Mask Contoured</t>
        </is>
      </c>
      <c r="E418" s="109" t="inlineStr">
        <is>
          <t>US</t>
        </is>
      </c>
      <c r="F418" s="109" t="inlineStr">
        <is>
          <t>Silk</t>
        </is>
      </c>
      <c r="G418" s="109" t="inlineStr">
        <is>
          <t>Kitsch</t>
        </is>
      </c>
      <c r="H418" s="109" t="inlineStr">
        <is>
          <t>Aspirational</t>
        </is>
      </c>
      <c r="I418" s="109" t="inlineStr">
        <is>
          <t>SS Silk Sleep Mask</t>
        </is>
      </c>
      <c r="J418" s="109" t="n"/>
      <c r="K418" s="109" t="inlineStr">
        <is>
          <t>B0FNPM9ZM4</t>
        </is>
      </c>
      <c r="L418" s="109" t="inlineStr">
        <is>
          <t>B09GYPT47K</t>
        </is>
      </c>
      <c r="M418" s="109" t="n"/>
      <c r="N418" s="109" t="n">
        <v>17.99</v>
      </c>
      <c r="O418" s="109" t="n">
        <v>17.99</v>
      </c>
      <c r="P418" s="109">
        <f>IF(AND(ISNUMBER(O418),ISNUMBER(N418),N(N418)&gt;0),O418/N418-1,"")</f>
        <v/>
      </c>
      <c r="Q418" s="109" t="n">
        <v>25.95</v>
      </c>
      <c r="R418" s="109">
        <f>IF(AND(ISNUMBER(N418),ISNUMBER(Q418),N(Q418)&gt;0),N418/Q418-1,"")</f>
        <v/>
      </c>
      <c r="S418" s="109" t="n">
        <v>1837</v>
      </c>
      <c r="T418" s="109" t="n">
        <v>1848</v>
      </c>
      <c r="U418" s="109" t="n">
        <v>4.3</v>
      </c>
      <c r="V418" s="109" t="n">
        <v>1648</v>
      </c>
      <c r="W418" s="109" t="n"/>
      <c r="X418" s="109" t="n"/>
      <c r="Y418" s="109" t="n"/>
      <c r="Z418" s="109" t="n"/>
      <c r="AA418" s="109" t="n"/>
      <c r="AB418" s="109" t="n"/>
      <c r="AC418" s="109" t="inlineStr">
        <is>
          <t>US SL Mask Contoured</t>
        </is>
      </c>
      <c r="AD418" s="109">
        <f>'US SL Mask Contoured'!BC43</f>
        <v/>
      </c>
      <c r="AE418" s="109">
        <f>'US SL Mask Contoured'!BF43</f>
        <v/>
      </c>
      <c r="AF418" s="109" t="n"/>
      <c r="AG418" s="109" t="n"/>
    </row>
    <row r="419">
      <c r="A419" s="109">
        <f>AND(OR(Dashboard!$C$4="All",Dashboard!$C$4=D419),OR(Dashboard!$C$5="All",Dashboard!$C$5=E419),OR(Dashboard!$C$6="All",Dashboard!$C$6=G419),OR(Dashboard!$C$7="All",Dashboard!$C$7=H419),OR(Dashboard!$C$8="All",Dashboard!$C$8=F419))</f>
        <v/>
      </c>
      <c r="B419" s="109">
        <f>IF(A419,B418+1,B418)</f>
        <v/>
      </c>
      <c r="C419" s="109" t="n">
        <v>56</v>
      </c>
      <c r="D419" s="109" t="inlineStr">
        <is>
          <t>SL Mask Contoured</t>
        </is>
      </c>
      <c r="E419" s="109" t="inlineStr">
        <is>
          <t>US</t>
        </is>
      </c>
      <c r="F419" s="109" t="inlineStr">
        <is>
          <t>Silk</t>
        </is>
      </c>
      <c r="G419" s="109" t="inlineStr">
        <is>
          <t>YFONG</t>
        </is>
      </c>
      <c r="H419" s="109" t="inlineStr">
        <is>
          <t>Aspirational</t>
        </is>
      </c>
      <c r="I419" s="109" t="inlineStr">
        <is>
          <t>SS Silk Sleep Mask - Contoured</t>
        </is>
      </c>
      <c r="J419" s="109" t="n"/>
      <c r="K419" s="109" t="inlineStr">
        <is>
          <t>B0F1MYF2WL</t>
        </is>
      </c>
      <c r="L419" s="109" t="inlineStr">
        <is>
          <t>B09C5PD9VD</t>
        </is>
      </c>
      <c r="M419" s="109" t="n"/>
      <c r="N419" s="109" t="n">
        <v>16.99</v>
      </c>
      <c r="O419" s="109" t="n"/>
      <c r="P419" s="109">
        <f>IF(AND(ISNUMBER(O419),ISNUMBER(N419),N(N419)&gt;0),O419/N419-1,"")</f>
        <v/>
      </c>
      <c r="Q419" s="109" t="n">
        <v>25.95</v>
      </c>
      <c r="R419" s="109">
        <f>IF(AND(ISNUMBER(N419),ISNUMBER(Q419),N(Q419)&gt;0),N419/Q419-1,"")</f>
        <v/>
      </c>
      <c r="S419" s="109" t="n">
        <v>5419</v>
      </c>
      <c r="T419" s="109" t="n">
        <v>1848</v>
      </c>
      <c r="U419" s="109" t="n">
        <v>4.6</v>
      </c>
      <c r="V419" s="109" t="n">
        <v>8046</v>
      </c>
      <c r="W419" s="109" t="n"/>
      <c r="X419" s="109" t="n"/>
      <c r="Y419" s="109" t="n"/>
      <c r="Z419" s="109" t="n"/>
      <c r="AA419" s="109" t="n"/>
      <c r="AB419" s="109" t="n">
        <v>1.063945578231293</v>
      </c>
      <c r="AC419" s="109" t="inlineStr">
        <is>
          <t>US SL Mask Contoured</t>
        </is>
      </c>
      <c r="AD419" s="109">
        <f>'US SL Mask Contoured'!BC44</f>
        <v/>
      </c>
      <c r="AE419" s="109">
        <f>'US SL Mask Contoured'!BF44</f>
        <v/>
      </c>
      <c r="AF419" s="109" t="n"/>
      <c r="AG419" s="109" t="n"/>
    </row>
    <row r="420">
      <c r="A420" s="109">
        <f>AND(OR(Dashboard!$C$4="All",Dashboard!$C$4=D420),OR(Dashboard!$C$5="All",Dashboard!$C$5=E420),OR(Dashboard!$C$6="All",Dashboard!$C$6=G420),OR(Dashboard!$C$7="All",Dashboard!$C$7=H420),OR(Dashboard!$C$8="All",Dashboard!$C$8=F420))</f>
        <v/>
      </c>
      <c r="B420" s="109">
        <f>IF(A420,B419+1,B419)</f>
        <v/>
      </c>
      <c r="C420" s="109" t="n">
        <v>56</v>
      </c>
      <c r="D420" s="109" t="inlineStr">
        <is>
          <t>SL Mask Contoured</t>
        </is>
      </c>
      <c r="E420" s="109" t="inlineStr">
        <is>
          <t>US</t>
        </is>
      </c>
      <c r="F420" s="109" t="inlineStr">
        <is>
          <t>Silk</t>
        </is>
      </c>
      <c r="G420" s="109" t="inlineStr">
        <is>
          <t>FengXinZi Store</t>
        </is>
      </c>
      <c r="H420" s="109" t="inlineStr">
        <is>
          <t>Aspirational</t>
        </is>
      </c>
      <c r="I420" s="109" t="inlineStr">
        <is>
          <t>SS Silk Sleep Mask - Contoured</t>
        </is>
      </c>
      <c r="J420" s="109" t="n"/>
      <c r="K420" s="109" t="inlineStr">
        <is>
          <t>B09YRXKX5Z</t>
        </is>
      </c>
      <c r="L420" s="109" t="inlineStr">
        <is>
          <t>B09YRX2F83</t>
        </is>
      </c>
      <c r="M420" s="109" t="n"/>
      <c r="N420" s="109" t="n">
        <v>9.98</v>
      </c>
      <c r="O420" s="109" t="n"/>
      <c r="P420" s="109">
        <f>IF(AND(ISNUMBER(O420),ISNUMBER(N420),N(N420)&gt;0),O420/N420-1,"")</f>
        <v/>
      </c>
      <c r="Q420" s="109" t="n">
        <v>25.95</v>
      </c>
      <c r="R420" s="109">
        <f>IF(AND(ISNUMBER(N420),ISNUMBER(Q420),N(Q420)&gt;0),N420/Q420-1,"")</f>
        <v/>
      </c>
      <c r="S420" s="109" t="n">
        <v>4808</v>
      </c>
      <c r="T420" s="109" t="n">
        <v>1732</v>
      </c>
      <c r="U420" s="109" t="n">
        <v>4.6</v>
      </c>
      <c r="V420" s="109" t="n">
        <v>3765</v>
      </c>
      <c r="W420" s="109" t="n"/>
      <c r="X420" s="109" t="n"/>
      <c r="Y420" s="109" t="n"/>
      <c r="Z420" s="109" t="n"/>
      <c r="AA420" s="109" t="n"/>
      <c r="AB420" s="109" t="n">
        <v>1.008796041781199</v>
      </c>
      <c r="AC420" s="109" t="inlineStr">
        <is>
          <t>US SL Mask Contoured</t>
        </is>
      </c>
      <c r="AD420" s="109">
        <f>'US SL Mask Contoured'!BC45</f>
        <v/>
      </c>
      <c r="AE420" s="109">
        <f>'US SL Mask Contoured'!BF45</f>
        <v/>
      </c>
      <c r="AF420" s="109" t="n"/>
      <c r="AG420" s="109" t="n"/>
    </row>
    <row r="421">
      <c r="A421" s="109">
        <f>AND(OR(Dashboard!$C$4="All",Dashboard!$C$4=D421),OR(Dashboard!$C$5="All",Dashboard!$C$5=E421),OR(Dashboard!$C$6="All",Dashboard!$C$6=G421),OR(Dashboard!$C$7="All",Dashboard!$C$7=H421),OR(Dashboard!$C$8="All",Dashboard!$C$8=F421))</f>
        <v/>
      </c>
      <c r="B421" s="109">
        <f>IF(A421,B420+1,B420)</f>
        <v/>
      </c>
      <c r="C421" s="109" t="n">
        <v>56</v>
      </c>
      <c r="D421" s="109" t="inlineStr">
        <is>
          <t>SL Mask Contoured</t>
        </is>
      </c>
      <c r="E421" s="109" t="inlineStr">
        <is>
          <t>US</t>
        </is>
      </c>
      <c r="F421" s="109" t="inlineStr">
        <is>
          <t>Silk</t>
        </is>
      </c>
      <c r="G421" s="109" t="inlineStr">
        <is>
          <t>LULUSILK</t>
        </is>
      </c>
      <c r="H421" s="109" t="inlineStr">
        <is>
          <t>Aspirational</t>
        </is>
      </c>
      <c r="I421" s="109" t="inlineStr">
        <is>
          <t>SS Silk Sleep Mask</t>
        </is>
      </c>
      <c r="J421" s="109" t="n"/>
      <c r="K421" s="109" t="inlineStr">
        <is>
          <t>B074TBH52S</t>
        </is>
      </c>
      <c r="L421" s="109" t="inlineStr">
        <is>
          <t>B074TBYWGS</t>
        </is>
      </c>
      <c r="M421" s="109" t="n">
        <v>7</v>
      </c>
      <c r="N421" s="109" t="n">
        <v>9.99</v>
      </c>
      <c r="O421" s="109" t="n"/>
      <c r="P421" s="109">
        <f>IF(AND(ISNUMBER(O421),ISNUMBER(N421),N(N421)&gt;0),O421/N421-1,"")</f>
        <v/>
      </c>
      <c r="Q421" s="109" t="n">
        <v>25.95</v>
      </c>
      <c r="R421" s="109">
        <f>IF(AND(ISNUMBER(N421),ISNUMBER(Q421),N(Q421)&gt;0),N421/Q421-1,"")</f>
        <v/>
      </c>
      <c r="S421" s="109" t="n">
        <v>8556</v>
      </c>
      <c r="T421" s="109" t="n">
        <v>809</v>
      </c>
      <c r="U421" s="109" t="n">
        <v>4.4</v>
      </c>
      <c r="V421" s="109" t="n">
        <v>12325</v>
      </c>
      <c r="W421" s="109" t="n">
        <v>106430</v>
      </c>
      <c r="X421" s="109" t="n">
        <v>0.9607324494973225</v>
      </c>
      <c r="Y421" s="109" t="n">
        <v>2</v>
      </c>
      <c r="Z421" s="109" t="n">
        <v>34</v>
      </c>
      <c r="AA421" s="109" t="n">
        <v>135</v>
      </c>
      <c r="AB421" s="109" t="n">
        <v>1.562836624775583</v>
      </c>
      <c r="AC421" s="109" t="inlineStr">
        <is>
          <t>US SL Mask Contoured</t>
        </is>
      </c>
      <c r="AD421" s="109">
        <f>'US SL Mask Contoured'!BC46</f>
        <v/>
      </c>
      <c r="AE421" s="109">
        <f>'US SL Mask Contoured'!BF46</f>
        <v/>
      </c>
      <c r="AF421" s="109" t="n"/>
      <c r="AG421" s="109" t="n"/>
    </row>
    <row r="422">
      <c r="A422" s="109">
        <f>AND(OR(Dashboard!$C$4="All",Dashboard!$C$4=D422),OR(Dashboard!$C$5="All",Dashboard!$C$5=E422),OR(Dashboard!$C$6="All",Dashboard!$C$6=G422),OR(Dashboard!$C$7="All",Dashboard!$C$7=H422),OR(Dashboard!$C$8="All",Dashboard!$C$8=F422))</f>
        <v/>
      </c>
      <c r="B422" s="109">
        <f>IF(A422,B421+1,B421)</f>
        <v/>
      </c>
      <c r="C422" s="109" t="n">
        <v>56</v>
      </c>
      <c r="D422" s="109" t="inlineStr">
        <is>
          <t>SL Mask Contoured</t>
        </is>
      </c>
      <c r="E422" s="109" t="inlineStr">
        <is>
          <t>US</t>
        </is>
      </c>
      <c r="F422" s="109" t="inlineStr">
        <is>
          <t>Silk</t>
        </is>
      </c>
      <c r="G422" s="109" t="inlineStr">
        <is>
          <t>BLSSNZ</t>
        </is>
      </c>
      <c r="H422" s="109" t="inlineStr">
        <is>
          <t>Aspirational</t>
        </is>
      </c>
      <c r="I422" s="109" t="inlineStr">
        <is>
          <t>SS Silk Sleep Mask - Contoured</t>
        </is>
      </c>
      <c r="J422" s="109" t="n"/>
      <c r="K422" s="109" t="inlineStr">
        <is>
          <t>B0H5JPNHHN</t>
        </is>
      </c>
      <c r="L422" s="109" t="inlineStr">
        <is>
          <t>B0C1YYKVDQ</t>
        </is>
      </c>
      <c r="M422" s="109" t="n"/>
      <c r="N422" s="109" t="n">
        <v>9.99</v>
      </c>
      <c r="O422" s="109" t="n"/>
      <c r="P422" s="109">
        <f>IF(AND(ISNUMBER(O422),ISNUMBER(N422),N(N422)&gt;0),O422/N422-1,"")</f>
        <v/>
      </c>
      <c r="Q422" s="109" t="n">
        <v>25.95</v>
      </c>
      <c r="R422" s="109">
        <f>IF(AND(ISNUMBER(N422),ISNUMBER(Q422),N(Q422)&gt;0),N422/Q422-1,"")</f>
        <v/>
      </c>
      <c r="S422" s="109" t="n">
        <v>11877</v>
      </c>
      <c r="T422" s="109" t="n">
        <v>347</v>
      </c>
      <c r="U422" s="109" t="n">
        <v>4.5</v>
      </c>
      <c r="V422" s="109" t="n">
        <v>1593</v>
      </c>
      <c r="W422" s="109" t="n"/>
      <c r="X422" s="109" t="n"/>
      <c r="Y422" s="109" t="n"/>
      <c r="Z422" s="109" t="n"/>
      <c r="AA422" s="109" t="n"/>
      <c r="AB422" s="109" t="n">
        <v>1.312454479242534</v>
      </c>
      <c r="AC422" s="109" t="inlineStr">
        <is>
          <t>US SL Mask Contoured</t>
        </is>
      </c>
      <c r="AD422" s="109">
        <f>'US SL Mask Contoured'!BC47</f>
        <v/>
      </c>
      <c r="AE422" s="109">
        <f>'US SL Mask Contoured'!BF47</f>
        <v/>
      </c>
      <c r="AF422" s="109" t="n"/>
      <c r="AG422" s="109" t="n"/>
    </row>
    <row r="423">
      <c r="A423" s="109">
        <f>AND(OR(Dashboard!$C$4="All",Dashboard!$C$4=D423),OR(Dashboard!$C$5="All",Dashboard!$C$5=E423),OR(Dashboard!$C$6="All",Dashboard!$C$6=G423),OR(Dashboard!$C$7="All",Dashboard!$C$7=H423),OR(Dashboard!$C$8="All",Dashboard!$C$8=F423))</f>
        <v/>
      </c>
      <c r="B423" s="109">
        <f>IF(A423,B422+1,B422)</f>
        <v/>
      </c>
      <c r="C423" s="109" t="n">
        <v>56</v>
      </c>
      <c r="D423" s="109" t="inlineStr">
        <is>
          <t>SL Mask Contoured</t>
        </is>
      </c>
      <c r="E423" s="109" t="inlineStr">
        <is>
          <t>US</t>
        </is>
      </c>
      <c r="F423" s="109" t="inlineStr">
        <is>
          <t>Silk</t>
        </is>
      </c>
      <c r="G423" s="109" t="inlineStr">
        <is>
          <t>Zenssia</t>
        </is>
      </c>
      <c r="H423" s="109" t="inlineStr">
        <is>
          <t>Aspirational</t>
        </is>
      </c>
      <c r="I423" s="109" t="inlineStr">
        <is>
          <t>Zenssia 100% Mulberry Silk Sleep Mask Eye Mask for Man and Woman with Adjustable Headband, Full Size Large Sleep Mask &amp; Blindfold for Total Blackout for All Night Sleep, Travel &amp; Nap- Light Plum</t>
        </is>
      </c>
      <c r="J423" s="109" t="inlineStr">
        <is>
          <t>https://images-na.ssl-images-amazon.com/images/I/717uHiZRsrL.jpg</t>
        </is>
      </c>
      <c r="K423" s="109" t="inlineStr">
        <is>
          <t>B0B5K41YD7</t>
        </is>
      </c>
      <c r="L423" s="109" t="inlineStr">
        <is>
          <t>B07V5BCQFW</t>
        </is>
      </c>
      <c r="M423" s="109" t="n">
        <v>6</v>
      </c>
      <c r="N423" s="109" t="n">
        <v>19.99</v>
      </c>
      <c r="O423" s="109" t="n"/>
      <c r="P423" s="109">
        <f>IF(AND(ISNUMBER(O423),ISNUMBER(N423),N(N423)&gt;0),O423/N423-1,"")</f>
        <v/>
      </c>
      <c r="Q423" s="109" t="n">
        <v>25.95</v>
      </c>
      <c r="R423" s="109">
        <f>IF(AND(ISNUMBER(N423),ISNUMBER(Q423),N(Q423)&gt;0),N423/Q423-1,"")</f>
        <v/>
      </c>
      <c r="S423" s="109" t="n">
        <v>11617</v>
      </c>
      <c r="T423" s="109" t="n">
        <v>347</v>
      </c>
      <c r="U423" s="109" t="n">
        <v>4.5</v>
      </c>
      <c r="V423" s="109" t="n">
        <v>1571</v>
      </c>
      <c r="W423" s="109" t="n">
        <v>151964</v>
      </c>
      <c r="X423" s="109" t="n">
        <v>0.8624514049380118</v>
      </c>
      <c r="Y423" s="109" t="n">
        <v>1</v>
      </c>
      <c r="Z423" s="109" t="n">
        <v>35</v>
      </c>
      <c r="AA423" s="109" t="n">
        <v>59</v>
      </c>
      <c r="AB423" s="109" t="n"/>
      <c r="AC423" s="109" t="inlineStr">
        <is>
          <t>US SL Mask Contoured</t>
        </is>
      </c>
      <c r="AD423" s="109">
        <f>'US SL Mask Contoured'!BC48</f>
        <v/>
      </c>
      <c r="AE423" s="109">
        <f>'US SL Mask Contoured'!BF48</f>
        <v/>
      </c>
      <c r="AF423" s="109" t="inlineStr">
        <is>
          <t>Full</t>
        </is>
      </c>
      <c r="AG423" s="109" t="n"/>
    </row>
    <row r="424">
      <c r="A424" s="109">
        <f>AND(OR(Dashboard!$C$4="All",Dashboard!$C$4=D424),OR(Dashboard!$C$5="All",Dashboard!$C$5=E424),OR(Dashboard!$C$6="All",Dashboard!$C$6=G424),OR(Dashboard!$C$7="All",Dashboard!$C$7=H424),OR(Dashboard!$C$8="All",Dashboard!$C$8=F424))</f>
        <v/>
      </c>
      <c r="B424" s="109">
        <f>IF(A424,B423+1,B423)</f>
        <v/>
      </c>
      <c r="C424" s="109" t="n">
        <v>56</v>
      </c>
      <c r="D424" s="109" t="inlineStr">
        <is>
          <t>SL Mask Contoured</t>
        </is>
      </c>
      <c r="E424" s="109" t="inlineStr">
        <is>
          <t>US</t>
        </is>
      </c>
      <c r="F424" s="109" t="inlineStr">
        <is>
          <t>Silk</t>
        </is>
      </c>
      <c r="G424" s="109" t="inlineStr">
        <is>
          <t>Jersey Slumber</t>
        </is>
      </c>
      <c r="H424" s="109" t="inlineStr">
        <is>
          <t>Aspirational</t>
        </is>
      </c>
      <c r="I424" s="109" t="inlineStr">
        <is>
          <t>SS Silk Sleep Mask</t>
        </is>
      </c>
      <c r="J424" s="109" t="n"/>
      <c r="K424" s="109" t="inlineStr">
        <is>
          <t>B0D4MHYD6C</t>
        </is>
      </c>
      <c r="L424" s="109" t="inlineStr">
        <is>
          <t>B014VYD7NW</t>
        </is>
      </c>
      <c r="M424" s="109" t="n"/>
      <c r="N424" s="109" t="n">
        <v>8.890000000000001</v>
      </c>
      <c r="O424" s="109" t="n"/>
      <c r="P424" s="109">
        <f>IF(AND(ISNUMBER(O424),ISNUMBER(N424),N(N424)&gt;0),O424/N424-1,"")</f>
        <v/>
      </c>
      <c r="Q424" s="109" t="n">
        <v>25.95</v>
      </c>
      <c r="R424" s="109">
        <f>IF(AND(ISNUMBER(N424),ISNUMBER(Q424),N(Q424)&gt;0),N424/Q424-1,"")</f>
        <v/>
      </c>
      <c r="S424" s="109" t="n">
        <v>25636</v>
      </c>
      <c r="T424" s="109" t="n">
        <v>220</v>
      </c>
      <c r="U424" s="109" t="n">
        <v>4.5</v>
      </c>
      <c r="V424" s="109" t="n">
        <v>28100</v>
      </c>
      <c r="W424" s="109" t="n"/>
      <c r="X424" s="109" t="n"/>
      <c r="Y424" s="109" t="n"/>
      <c r="Z424" s="109" t="n"/>
      <c r="AA424" s="109" t="n"/>
      <c r="AB424" s="109" t="n">
        <v>0.7335907335907336</v>
      </c>
      <c r="AC424" s="109" t="inlineStr">
        <is>
          <t>US SL Mask Contoured</t>
        </is>
      </c>
      <c r="AD424" s="109">
        <f>'US SL Mask Contoured'!BC49</f>
        <v/>
      </c>
      <c r="AE424" s="109">
        <f>'US SL Mask Contoured'!BF49</f>
        <v/>
      </c>
      <c r="AF424" s="109" t="n"/>
      <c r="AG424" s="109" t="n"/>
    </row>
    <row r="425">
      <c r="A425" s="109">
        <f>AND(OR(Dashboard!$C$4="All",Dashboard!$C$4=D425),OR(Dashboard!$C$5="All",Dashboard!$C$5=E425),OR(Dashboard!$C$6="All",Dashboard!$C$6=G425),OR(Dashboard!$C$7="All",Dashboard!$C$7=H425),OR(Dashboard!$C$8="All",Dashboard!$C$8=F425))</f>
        <v/>
      </c>
      <c r="B425" s="109">
        <f>IF(A425,B424+1,B424)</f>
        <v/>
      </c>
      <c r="C425" s="109" t="n">
        <v>56</v>
      </c>
      <c r="D425" s="109" t="inlineStr">
        <is>
          <t>SL Mask Contoured</t>
        </is>
      </c>
      <c r="E425" s="109" t="inlineStr">
        <is>
          <t>US</t>
        </is>
      </c>
      <c r="F425" s="109" t="inlineStr">
        <is>
          <t>Silk</t>
        </is>
      </c>
      <c r="G425" s="109" t="inlineStr">
        <is>
          <t>Umisleep Store</t>
        </is>
      </c>
      <c r="H425" s="109" t="inlineStr">
        <is>
          <t>Aspirational</t>
        </is>
      </c>
      <c r="I425" s="109" t="inlineStr">
        <is>
          <t>SS Silk Sleep Mask</t>
        </is>
      </c>
      <c r="J425" s="109" t="n"/>
      <c r="K425" s="109" t="inlineStr">
        <is>
          <t>B0FBWPMZHX</t>
        </is>
      </c>
      <c r="L425" s="109" t="inlineStr">
        <is>
          <t>B0F7R9NPSW</t>
        </is>
      </c>
      <c r="M425" s="109" t="n">
        <v>3</v>
      </c>
      <c r="N425" s="109" t="n">
        <v>17.99</v>
      </c>
      <c r="O425" s="109" t="n">
        <v>18.99</v>
      </c>
      <c r="P425" s="109">
        <f>IF(AND(ISNUMBER(O425),ISNUMBER(N425),N(N425)&gt;0),O425/N425-1,"")</f>
        <v/>
      </c>
      <c r="Q425" s="109" t="n">
        <v>25.95</v>
      </c>
      <c r="R425" s="109">
        <f>IF(AND(ISNUMBER(N425),ISNUMBER(Q425),N(Q425)&gt;0),N425/Q425-1,"")</f>
        <v/>
      </c>
      <c r="S425" s="109" t="n">
        <v>31138</v>
      </c>
      <c r="T425" s="109" t="n">
        <v>173</v>
      </c>
      <c r="U425" s="109" t="n">
        <v>4.5</v>
      </c>
      <c r="V425" s="109" t="n">
        <v>402</v>
      </c>
      <c r="W425" s="109" t="n">
        <v>66655</v>
      </c>
      <c r="X425" s="109" t="n">
        <v>0.5586979461405747</v>
      </c>
      <c r="Y425" s="109" t="n">
        <v>3</v>
      </c>
      <c r="Z425" s="109" t="n">
        <v>34</v>
      </c>
      <c r="AA425" s="109" t="n">
        <v>178</v>
      </c>
      <c r="AB425" s="109" t="n">
        <v>0.9713988559542381</v>
      </c>
      <c r="AC425" s="109" t="inlineStr">
        <is>
          <t>US SL Mask Contoured</t>
        </is>
      </c>
      <c r="AD425" s="109">
        <f>'US SL Mask Contoured'!BC50</f>
        <v/>
      </c>
      <c r="AE425" s="109">
        <f>'US SL Mask Contoured'!BF50</f>
        <v/>
      </c>
      <c r="AF425" s="109" t="n"/>
      <c r="AG425" s="109" t="n"/>
    </row>
    <row r="426">
      <c r="A426" s="109">
        <f>AND(OR(Dashboard!$C$4="All",Dashboard!$C$4=D426),OR(Dashboard!$C$5="All",Dashboard!$C$5=E426),OR(Dashboard!$C$6="All",Dashboard!$C$6=G426),OR(Dashboard!$C$7="All",Dashboard!$C$7=H426),OR(Dashboard!$C$8="All",Dashboard!$C$8=F426))</f>
        <v/>
      </c>
      <c r="B426" s="109">
        <f>IF(A426,B425+1,B425)</f>
        <v/>
      </c>
      <c r="C426" s="109" t="n">
        <v>56</v>
      </c>
      <c r="D426" s="109" t="inlineStr">
        <is>
          <t>SL Mask Contoured</t>
        </is>
      </c>
      <c r="E426" s="109" t="inlineStr">
        <is>
          <t>US</t>
        </is>
      </c>
      <c r="F426" s="109" t="inlineStr">
        <is>
          <t>Silk</t>
        </is>
      </c>
      <c r="G426" s="109" t="inlineStr">
        <is>
          <t>LitBear</t>
        </is>
      </c>
      <c r="H426" s="109" t="inlineStr">
        <is>
          <t>Beatable</t>
        </is>
      </c>
      <c r="I426" s="109" t="inlineStr">
        <is>
          <t>SS Silk Sleep Mask</t>
        </is>
      </c>
      <c r="J426" s="109" t="n"/>
      <c r="K426" s="109" t="inlineStr">
        <is>
          <t>B0CNX9RTK8</t>
        </is>
      </c>
      <c r="L426" s="109" t="inlineStr">
        <is>
          <t>B0BN559GVG</t>
        </is>
      </c>
      <c r="M426" s="109" t="n">
        <v>4</v>
      </c>
      <c r="N426" s="109" t="n">
        <v>29.99</v>
      </c>
      <c r="O426" s="109" t="n"/>
      <c r="P426" s="109">
        <f>IF(AND(ISNUMBER(O426),ISNUMBER(N426),N(N426)&gt;0),O426/N426-1,"")</f>
        <v/>
      </c>
      <c r="Q426" s="109" t="n">
        <v>25.95</v>
      </c>
      <c r="R426" s="109">
        <f>IF(AND(ISNUMBER(N426),ISNUMBER(Q426),N(Q426)&gt;0),N426/Q426-1,"")</f>
        <v/>
      </c>
      <c r="S426" s="109" t="n">
        <v>9413</v>
      </c>
      <c r="T426" s="109" t="n">
        <v>809</v>
      </c>
      <c r="U426" s="109" t="n">
        <v>4.4</v>
      </c>
      <c r="V426" s="109" t="n">
        <v>2143</v>
      </c>
      <c r="W426" s="109" t="n">
        <v>401761</v>
      </c>
      <c r="X426" s="109" t="n">
        <v>0.7073638471628658</v>
      </c>
      <c r="Y426" s="109" t="n">
        <v>0</v>
      </c>
      <c r="Z426" s="109" t="n">
        <v>41</v>
      </c>
      <c r="AA426" s="109" t="n">
        <v>684</v>
      </c>
      <c r="AB426" s="109" t="n">
        <v>0.8740317977986141</v>
      </c>
      <c r="AC426" s="109" t="inlineStr">
        <is>
          <t>US SL Mask Contoured</t>
        </is>
      </c>
      <c r="AD426" s="109">
        <f>'US SL Mask Contoured'!BC51</f>
        <v/>
      </c>
      <c r="AE426" s="109">
        <f>'US SL Mask Contoured'!BF51</f>
        <v/>
      </c>
      <c r="AF426" s="109" t="n"/>
      <c r="AG426" s="109" t="n"/>
    </row>
    <row r="427">
      <c r="A427" s="109">
        <f>AND(OR(Dashboard!$C$4="All",Dashboard!$C$4=D427),OR(Dashboard!$C$5="All",Dashboard!$C$5=E427),OR(Dashboard!$C$6="All",Dashboard!$C$6=G427),OR(Dashboard!$C$7="All",Dashboard!$C$7=H427),OR(Dashboard!$C$8="All",Dashboard!$C$8=F427))</f>
        <v/>
      </c>
      <c r="B427" s="109">
        <f>IF(A427,B426+1,B426)</f>
        <v/>
      </c>
      <c r="C427" s="109" t="n">
        <v>56</v>
      </c>
      <c r="D427" s="109" t="inlineStr">
        <is>
          <t>SL Mask Contoured</t>
        </is>
      </c>
      <c r="E427" s="109" t="inlineStr">
        <is>
          <t>US</t>
        </is>
      </c>
      <c r="F427" s="109" t="inlineStr">
        <is>
          <t>Silk</t>
        </is>
      </c>
      <c r="G427" s="109" t="inlineStr">
        <is>
          <t>BLISSY</t>
        </is>
      </c>
      <c r="H427" s="109" t="inlineStr">
        <is>
          <t>Beatable</t>
        </is>
      </c>
      <c r="I427" s="109" t="inlineStr">
        <is>
          <t>SS Silk Sleep Mask</t>
        </is>
      </c>
      <c r="J427" s="109" t="n"/>
      <c r="K427" s="109" t="inlineStr">
        <is>
          <t>B0CWRWR64G</t>
        </is>
      </c>
      <c r="L427" s="109" t="inlineStr">
        <is>
          <t>B0BFDGC7CC</t>
        </is>
      </c>
      <c r="M427" s="109" t="n">
        <v>19</v>
      </c>
      <c r="N427" s="109" t="n">
        <v>27.87</v>
      </c>
      <c r="O427" s="109" t="n">
        <v>49.95</v>
      </c>
      <c r="P427" s="109">
        <f>IF(AND(ISNUMBER(O427),ISNUMBER(N427),N(N427)&gt;0),O427/N427-1,"")</f>
        <v/>
      </c>
      <c r="Q427" s="109" t="n">
        <v>25.95</v>
      </c>
      <c r="R427" s="109">
        <f>IF(AND(ISNUMBER(N427),ISNUMBER(Q427),N(Q427)&gt;0),N427/Q427-1,"")</f>
        <v/>
      </c>
      <c r="S427" s="109" t="n">
        <v>9693</v>
      </c>
      <c r="T427" s="109" t="n">
        <v>347</v>
      </c>
      <c r="U427" s="109" t="n">
        <v>4.4</v>
      </c>
      <c r="V427" s="109" t="n">
        <v>1225</v>
      </c>
      <c r="W427" s="109" t="n">
        <v>150410</v>
      </c>
      <c r="X427" s="109" t="n">
        <v>0.7120334106774815</v>
      </c>
      <c r="Y427" s="109" t="n">
        <v>2</v>
      </c>
      <c r="Z427" s="109" t="n">
        <v>39</v>
      </c>
      <c r="AA427" s="109" t="n">
        <v>227</v>
      </c>
      <c r="AB427" s="109" t="n">
        <v>0.8843343432543218</v>
      </c>
      <c r="AC427" s="109" t="inlineStr">
        <is>
          <t>US SL Mask Contoured</t>
        </is>
      </c>
      <c r="AD427" s="109">
        <f>'US SL Mask Contoured'!BC52</f>
        <v/>
      </c>
      <c r="AE427" s="109">
        <f>'US SL Mask Contoured'!BF52</f>
        <v/>
      </c>
      <c r="AF427" s="109" t="n"/>
      <c r="AG427" s="109" t="n"/>
    </row>
    <row r="428">
      <c r="A428" s="109">
        <f>AND(OR(Dashboard!$C$4="All",Dashboard!$C$4=D428),OR(Dashboard!$C$5="All",Dashboard!$C$5=E428),OR(Dashboard!$C$6="All",Dashboard!$C$6=G428),OR(Dashboard!$C$7="All",Dashboard!$C$7=H428),OR(Dashboard!$C$8="All",Dashboard!$C$8=F428))</f>
        <v/>
      </c>
      <c r="B428" s="109">
        <f>IF(A428,B427+1,B427)</f>
        <v/>
      </c>
      <c r="C428" s="109" t="n">
        <v>56</v>
      </c>
      <c r="D428" s="109" t="inlineStr">
        <is>
          <t>SL Mask Contoured</t>
        </is>
      </c>
      <c r="E428" s="109" t="inlineStr">
        <is>
          <t>US</t>
        </is>
      </c>
      <c r="F428" s="109" t="inlineStr">
        <is>
          <t>Silk</t>
        </is>
      </c>
      <c r="G428" s="109" t="inlineStr">
        <is>
          <t>iCooBreeze</t>
        </is>
      </c>
      <c r="H428" s="109" t="inlineStr">
        <is>
          <t>Beatable</t>
        </is>
      </c>
      <c r="I428" s="109" t="inlineStr">
        <is>
          <t>SS Silk Sleep Mask</t>
        </is>
      </c>
      <c r="J428" s="109" t="inlineStr">
        <is>
          <t>https://images-na.ssl-images-amazon.com/images/I/61t7hRnDSTL.jpg</t>
        </is>
      </c>
      <c r="K428" s="109" t="inlineStr">
        <is>
          <t>B0BBN7XTW5</t>
        </is>
      </c>
      <c r="L428" s="109" t="inlineStr">
        <is>
          <t>B0BBN627MK</t>
        </is>
      </c>
      <c r="M428" s="109" t="n">
        <v>4</v>
      </c>
      <c r="N428" s="109" t="n">
        <v>19.99</v>
      </c>
      <c r="O428" s="109" t="n"/>
      <c r="P428" s="109">
        <f>IF(AND(ISNUMBER(O428),ISNUMBER(N428),N(N428)&gt;0),O428/N428-1,"")</f>
        <v/>
      </c>
      <c r="Q428" s="109" t="n">
        <v>25.95</v>
      </c>
      <c r="R428" s="109">
        <f>IF(AND(ISNUMBER(N428),ISNUMBER(Q428),N(Q428)&gt;0),N428/Q428-1,"")</f>
        <v/>
      </c>
      <c r="S428" s="109" t="n">
        <v>12259</v>
      </c>
      <c r="T428" s="109" t="n">
        <v>347</v>
      </c>
      <c r="U428" s="109" t="n">
        <v>4.5</v>
      </c>
      <c r="V428" s="109" t="n">
        <v>2063</v>
      </c>
      <c r="W428" s="109" t="n">
        <v>303791</v>
      </c>
      <c r="X428" s="109" t="n">
        <v>0.556958422402244</v>
      </c>
      <c r="Y428" s="109" t="n">
        <v>3</v>
      </c>
      <c r="Z428" s="109" t="n">
        <v>37</v>
      </c>
      <c r="AA428" s="109" t="n">
        <v>172</v>
      </c>
      <c r="AB428" s="109" t="n">
        <v>0.2928870292887029</v>
      </c>
      <c r="AC428" s="109" t="inlineStr">
        <is>
          <t>US SL Mask Contoured</t>
        </is>
      </c>
      <c r="AD428" s="109">
        <f>'US SL Mask Contoured'!BC53</f>
        <v/>
      </c>
      <c r="AE428" s="109">
        <f>'US SL Mask Contoured'!BF53</f>
        <v/>
      </c>
      <c r="AF428" s="109" t="n"/>
      <c r="AG428" s="109" t="n"/>
    </row>
    <row r="429">
      <c r="A429" s="109">
        <f>AND(OR(Dashboard!$C$4="All",Dashboard!$C$4=D429),OR(Dashboard!$C$5="All",Dashboard!$C$5=E429),OR(Dashboard!$C$6="All",Dashboard!$C$6=G429),OR(Dashboard!$C$7="All",Dashboard!$C$7=H429),OR(Dashboard!$C$8="All",Dashboard!$C$8=F429))</f>
        <v/>
      </c>
      <c r="B429" s="109">
        <f>IF(A429,B428+1,B428)</f>
        <v/>
      </c>
      <c r="C429" s="109" t="n">
        <v>56</v>
      </c>
      <c r="D429" s="109" t="inlineStr">
        <is>
          <t>SL Mask Contoured</t>
        </is>
      </c>
      <c r="E429" s="109" t="inlineStr">
        <is>
          <t>US</t>
        </is>
      </c>
      <c r="F429" s="109" t="inlineStr">
        <is>
          <t>Silk</t>
        </is>
      </c>
      <c r="G429" s="109" t="inlineStr">
        <is>
          <t>SECZIPE</t>
        </is>
      </c>
      <c r="H429" s="109" t="inlineStr">
        <is>
          <t>Beatable</t>
        </is>
      </c>
      <c r="I429" s="109" t="inlineStr">
        <is>
          <t>SECZIPE 100% Mulberry Silk Sleep Mask Eye Mask for Women Man with Adjustable Band, for Side Sleeper Blackout Sleep Mask for Travel Rest and Office Large Size (Taupe)</t>
        </is>
      </c>
      <c r="J429" s="109" t="inlineStr">
        <is>
          <t>https://images-na.ssl-images-amazon.com/images/I/61GwSG1wveL.jpg</t>
        </is>
      </c>
      <c r="K429" s="109" t="inlineStr">
        <is>
          <t>B0C6DZRBWV</t>
        </is>
      </c>
      <c r="L429" s="109" t="inlineStr">
        <is>
          <t>B0C6DYG511</t>
        </is>
      </c>
      <c r="M429" s="109" t="n">
        <v>5</v>
      </c>
      <c r="N429" s="109" t="n">
        <v>22.99</v>
      </c>
      <c r="O429" s="109" t="n"/>
      <c r="P429" s="109">
        <f>IF(AND(ISNUMBER(O429),ISNUMBER(N429),N(N429)&gt;0),O429/N429-1,"")</f>
        <v/>
      </c>
      <c r="Q429" s="109" t="n">
        <v>25.95</v>
      </c>
      <c r="R429" s="109">
        <f>IF(AND(ISNUMBER(N429),ISNUMBER(Q429),N(Q429)&gt;0),N429/Q429-1,"")</f>
        <v/>
      </c>
      <c r="S429" s="109" t="n">
        <v>18076</v>
      </c>
      <c r="T429" s="109" t="n">
        <v>220</v>
      </c>
      <c r="U429" s="109" t="n">
        <v>4.5</v>
      </c>
      <c r="V429" s="109" t="n">
        <v>867</v>
      </c>
      <c r="W429" s="109" t="n">
        <v>190502</v>
      </c>
      <c r="X429" s="109" t="n">
        <v>0.3638504939580689</v>
      </c>
      <c r="Y429" s="109" t="n">
        <v>4</v>
      </c>
      <c r="Z429" s="109" t="n">
        <v>37</v>
      </c>
      <c r="AA429" s="109" t="n">
        <v>417</v>
      </c>
      <c r="AB429" s="109" t="n">
        <v>0.9280217292892712</v>
      </c>
      <c r="AC429" s="109" t="inlineStr">
        <is>
          <t>US SL Mask Contoured</t>
        </is>
      </c>
      <c r="AD429" s="109">
        <f>'US SL Mask Contoured'!BC54</f>
        <v/>
      </c>
      <c r="AE429" s="109">
        <f>'US SL Mask Contoured'!BF54</f>
        <v/>
      </c>
      <c r="AF429" s="109" t="n"/>
      <c r="AG429" s="109" t="inlineStr">
        <is>
          <t>Taupe</t>
        </is>
      </c>
    </row>
    <row r="430">
      <c r="A430" s="109">
        <f>AND(OR(Dashboard!$C$4="All",Dashboard!$C$4=D430),OR(Dashboard!$C$5="All",Dashboard!$C$5=E430),OR(Dashboard!$C$6="All",Dashboard!$C$6=G430),OR(Dashboard!$C$7="All",Dashboard!$C$7=H430),OR(Dashboard!$C$8="All",Dashboard!$C$8=F430))</f>
        <v/>
      </c>
      <c r="B430" s="109">
        <f>IF(A430,B429+1,B429)</f>
        <v/>
      </c>
      <c r="C430" s="109" t="n">
        <v>56</v>
      </c>
      <c r="D430" s="109" t="inlineStr">
        <is>
          <t>SL Mask Contoured</t>
        </is>
      </c>
      <c r="E430" s="109" t="inlineStr">
        <is>
          <t>US</t>
        </is>
      </c>
      <c r="F430" s="109" t="inlineStr">
        <is>
          <t>Silk</t>
        </is>
      </c>
      <c r="G430" s="109" t="inlineStr">
        <is>
          <t>DROWSY</t>
        </is>
      </c>
      <c r="H430" s="109" t="inlineStr">
        <is>
          <t>Beatable</t>
        </is>
      </c>
      <c r="I430" s="109" t="inlineStr">
        <is>
          <t>SS Silk Sleep Mask</t>
        </is>
      </c>
      <c r="J430" s="109" t="n"/>
      <c r="K430" s="109" t="inlineStr">
        <is>
          <t>B0GQZL7XLN</t>
        </is>
      </c>
      <c r="L430" s="109" t="inlineStr">
        <is>
          <t>B08NHHDLT6</t>
        </is>
      </c>
      <c r="M430" s="109" t="n">
        <v>13</v>
      </c>
      <c r="N430" s="109" t="n">
        <v>79</v>
      </c>
      <c r="O430" s="109" t="n"/>
      <c r="P430" s="109">
        <f>IF(AND(ISNUMBER(O430),ISNUMBER(N430),N(N430)&gt;0),O430/N430-1,"")</f>
        <v/>
      </c>
      <c r="Q430" s="109" t="n">
        <v>25.95</v>
      </c>
      <c r="R430" s="109">
        <f>IF(AND(ISNUMBER(N430),ISNUMBER(Q430),N(Q430)&gt;0),N430/Q430-1,"")</f>
        <v/>
      </c>
      <c r="S430" s="109" t="n">
        <v>7182</v>
      </c>
      <c r="T430" s="109" t="n">
        <v>208</v>
      </c>
      <c r="U430" s="109" t="n">
        <v>4.3</v>
      </c>
      <c r="V430" s="109" t="n">
        <v>1740</v>
      </c>
      <c r="W430" s="109" t="n">
        <v>143864</v>
      </c>
      <c r="X430" s="109" t="n">
        <v>0.5480138186064621</v>
      </c>
      <c r="Y430" s="109" t="n">
        <v>7</v>
      </c>
      <c r="Z430" s="109" t="n">
        <v>25</v>
      </c>
      <c r="AA430" s="109" t="n">
        <v>269</v>
      </c>
      <c r="AB430" s="109" t="n"/>
      <c r="AC430" s="109" t="inlineStr">
        <is>
          <t>US SL Mask Contoured</t>
        </is>
      </c>
      <c r="AD430" s="109">
        <f>'US SL Mask Contoured'!BC55</f>
        <v/>
      </c>
      <c r="AE430" s="109">
        <f>'US SL Mask Contoured'!BF55</f>
        <v/>
      </c>
      <c r="AF430" s="109" t="n"/>
      <c r="AG430" s="109" t="n"/>
    </row>
    <row r="431">
      <c r="A431" s="109">
        <f>AND(OR(Dashboard!$C$4="All",Dashboard!$C$4=D431),OR(Dashboard!$C$5="All",Dashboard!$C$5=E431),OR(Dashboard!$C$6="All",Dashboard!$C$6=G431),OR(Dashboard!$C$7="All",Dashboard!$C$7=H431),OR(Dashboard!$C$8="All",Dashboard!$C$8=F431))</f>
        <v/>
      </c>
      <c r="B431" s="109">
        <f>IF(A431,B430+1,B430)</f>
        <v/>
      </c>
      <c r="C431" s="109" t="n">
        <v>56</v>
      </c>
      <c r="D431" s="109" t="inlineStr">
        <is>
          <t>SL Mask Contoured</t>
        </is>
      </c>
      <c r="E431" s="109" t="inlineStr">
        <is>
          <t>US</t>
        </is>
      </c>
      <c r="F431" s="109" t="inlineStr">
        <is>
          <t>Silk</t>
        </is>
      </c>
      <c r="G431" s="109" t="inlineStr">
        <is>
          <t>Manta Sleep</t>
        </is>
      </c>
      <c r="H431" s="109" t="inlineStr">
        <is>
          <t>Beatable</t>
        </is>
      </c>
      <c r="I431" s="109" t="inlineStr">
        <is>
          <t>SS Silk Sleep Mask - Contoured</t>
        </is>
      </c>
      <c r="J431" s="109" t="n"/>
      <c r="K431" s="109" t="inlineStr">
        <is>
          <t>B0DFJDJLDB</t>
        </is>
      </c>
      <c r="L431" s="109" t="inlineStr">
        <is>
          <t>B0D8M5MDCS</t>
        </is>
      </c>
      <c r="M431" s="109" t="n"/>
      <c r="N431" s="109" t="n">
        <v>75</v>
      </c>
      <c r="O431" s="109" t="n"/>
      <c r="P431" s="109">
        <f>IF(AND(ISNUMBER(O431),ISNUMBER(N431),N(N431)&gt;0),O431/N431-1,"")</f>
        <v/>
      </c>
      <c r="Q431" s="109" t="n">
        <v>25.95</v>
      </c>
      <c r="R431" s="109">
        <f>IF(AND(ISNUMBER(N431),ISNUMBER(Q431),N(Q431)&gt;0),N431/Q431-1,"")</f>
        <v/>
      </c>
      <c r="S431" s="109" t="n">
        <v>26849</v>
      </c>
      <c r="T431" s="109" t="n">
        <v>197</v>
      </c>
      <c r="U431" s="109" t="n">
        <v>4</v>
      </c>
      <c r="V431" s="109" t="n">
        <v>587</v>
      </c>
      <c r="W431" s="109" t="n"/>
      <c r="X431" s="109" t="n"/>
      <c r="Y431" s="109" t="n"/>
      <c r="Z431" s="109" t="n"/>
      <c r="AA431" s="109" t="n"/>
      <c r="AB431" s="109" t="n">
        <v>1.158222703874289</v>
      </c>
      <c r="AC431" s="109" t="inlineStr">
        <is>
          <t>US SL Mask Contoured</t>
        </is>
      </c>
      <c r="AD431" s="109">
        <f>'US SL Mask Contoured'!BC56</f>
        <v/>
      </c>
      <c r="AE431" s="109">
        <f>'US SL Mask Contoured'!BF56</f>
        <v/>
      </c>
      <c r="AF431" s="109" t="n"/>
      <c r="AG431" s="109" t="n"/>
    </row>
    <row r="432">
      <c r="A432" s="109">
        <f>AND(OR(Dashboard!$C$4="All",Dashboard!$C$4=D432),OR(Dashboard!$C$5="All",Dashboard!$C$5=E432),OR(Dashboard!$C$6="All",Dashboard!$C$6=G432),OR(Dashboard!$C$7="All",Dashboard!$C$7=H432),OR(Dashboard!$C$8="All",Dashboard!$C$8=F432))</f>
        <v/>
      </c>
      <c r="B432" s="109">
        <f>IF(A432,B431+1,B431)</f>
        <v/>
      </c>
      <c r="C432" s="109" t="n">
        <v>56</v>
      </c>
      <c r="D432" s="109" t="inlineStr">
        <is>
          <t>SL Mask Contoured</t>
        </is>
      </c>
      <c r="E432" s="109" t="inlineStr">
        <is>
          <t>US</t>
        </is>
      </c>
      <c r="F432" s="109" t="inlineStr">
        <is>
          <t>Silk</t>
        </is>
      </c>
      <c r="G432" s="109" t="inlineStr">
        <is>
          <t>OLESILK</t>
        </is>
      </c>
      <c r="H432" s="109" t="inlineStr">
        <is>
          <t>Beatable</t>
        </is>
      </c>
      <c r="I432" s="109" t="inlineStr">
        <is>
          <t>SS Silk Sleep Mask</t>
        </is>
      </c>
      <c r="J432" s="109" t="n"/>
      <c r="K432" s="109" t="inlineStr">
        <is>
          <t>B07C7VH6CQ</t>
        </is>
      </c>
      <c r="L432" s="109" t="inlineStr">
        <is>
          <t>B07C7Y8QSW</t>
        </is>
      </c>
      <c r="M432" s="109" t="n">
        <v>13</v>
      </c>
      <c r="N432" s="109" t="n">
        <v>15.99</v>
      </c>
      <c r="O432" s="109" t="n"/>
      <c r="P432" s="109">
        <f>IF(AND(ISNUMBER(O432),ISNUMBER(N432),N(N432)&gt;0),O432/N432-1,"")</f>
        <v/>
      </c>
      <c r="Q432" s="109" t="n">
        <v>25.95</v>
      </c>
      <c r="R432" s="109">
        <f>IF(AND(ISNUMBER(N432),ISNUMBER(Q432),N(Q432)&gt;0),N432/Q432-1,"")</f>
        <v/>
      </c>
      <c r="S432" s="109" t="n">
        <v>17930</v>
      </c>
      <c r="T432" s="109" t="n">
        <v>185</v>
      </c>
      <c r="U432" s="109" t="n">
        <v>4.4</v>
      </c>
      <c r="V432" s="109" t="n">
        <v>2501</v>
      </c>
      <c r="W432" s="109" t="n">
        <v>123074</v>
      </c>
      <c r="X432" s="109" t="n">
        <v>0.3315021734891204</v>
      </c>
      <c r="Y432" s="109" t="n">
        <v>2</v>
      </c>
      <c r="Z432" s="109" t="n">
        <v>34</v>
      </c>
      <c r="AA432" s="109" t="n">
        <v>173</v>
      </c>
      <c r="AB432" s="109" t="n">
        <v>1.050397877984085</v>
      </c>
      <c r="AC432" s="109" t="inlineStr">
        <is>
          <t>US SL Mask Contoured</t>
        </is>
      </c>
      <c r="AD432" s="109">
        <f>'US SL Mask Contoured'!BC57</f>
        <v/>
      </c>
      <c r="AE432" s="109">
        <f>'US SL Mask Contoured'!BF57</f>
        <v/>
      </c>
      <c r="AF432" s="109" t="n"/>
      <c r="AG432" s="109" t="n"/>
    </row>
    <row r="433">
      <c r="A433" s="109">
        <f>AND(OR(Dashboard!$C$4="All",Dashboard!$C$4=D433),OR(Dashboard!$C$5="All",Dashboard!$C$5=E433),OR(Dashboard!$C$6="All",Dashboard!$C$6=G433),OR(Dashboard!$C$7="All",Dashboard!$C$7=H433),OR(Dashboard!$C$8="All",Dashboard!$C$8=F433))</f>
        <v/>
      </c>
      <c r="B433" s="109">
        <f>IF(A433,B432+1,B432)</f>
        <v/>
      </c>
      <c r="C433" s="109" t="n">
        <v>56</v>
      </c>
      <c r="D433" s="109" t="inlineStr">
        <is>
          <t>SL Mask Contoured</t>
        </is>
      </c>
      <c r="E433" s="109" t="inlineStr">
        <is>
          <t>US</t>
        </is>
      </c>
      <c r="F433" s="109" t="inlineStr">
        <is>
          <t>Silk</t>
        </is>
      </c>
      <c r="G433" s="109" t="inlineStr">
        <is>
          <t>TheSleepGuard</t>
        </is>
      </c>
      <c r="H433" s="109" t="inlineStr">
        <is>
          <t>Beatable</t>
        </is>
      </c>
      <c r="I433" s="109" t="inlineStr">
        <is>
          <t>SS Silk Sleep Mask - Contoured</t>
        </is>
      </c>
      <c r="J433" s="109" t="n"/>
      <c r="K433" s="109" t="inlineStr">
        <is>
          <t>B0CJMDTVS2</t>
        </is>
      </c>
      <c r="L433" s="109" t="inlineStr">
        <is>
          <t>B0CJMHPKKC</t>
        </is>
      </c>
      <c r="M433" s="109" t="n"/>
      <c r="N433" s="109" t="n">
        <v>29.95</v>
      </c>
      <c r="O433" s="109" t="n"/>
      <c r="P433" s="109">
        <f>IF(AND(ISNUMBER(O433),ISNUMBER(N433),N(N433)&gt;0),O433/N433-1,"")</f>
        <v/>
      </c>
      <c r="Q433" s="109" t="n">
        <v>25.95</v>
      </c>
      <c r="R433" s="109">
        <f>IF(AND(ISNUMBER(N433),ISNUMBER(Q433),N(Q433)&gt;0),N433/Q433-1,"")</f>
        <v/>
      </c>
      <c r="S433" s="109" t="n">
        <v>26824</v>
      </c>
      <c r="T433" s="109" t="n">
        <v>104</v>
      </c>
      <c r="U433" s="109" t="n">
        <v>4.3</v>
      </c>
      <c r="V433" s="109" t="n">
        <v>717</v>
      </c>
      <c r="W433" s="109" t="n"/>
      <c r="X433" s="109" t="n"/>
      <c r="Y433" s="109" t="n"/>
      <c r="Z433" s="109" t="n"/>
      <c r="AA433" s="109" t="n"/>
      <c r="AB433" s="109" t="n">
        <v>1.295081967213115</v>
      </c>
      <c r="AC433" s="109" t="inlineStr">
        <is>
          <t>US SL Mask Contoured</t>
        </is>
      </c>
      <c r="AD433" s="109">
        <f>'US SL Mask Contoured'!BC58</f>
        <v/>
      </c>
      <c r="AE433" s="109">
        <f>'US SL Mask Contoured'!BF58</f>
        <v/>
      </c>
      <c r="AF433" s="109" t="n"/>
      <c r="AG433" s="109" t="n"/>
    </row>
    <row r="434">
      <c r="A434" s="109">
        <f>AND(OR(Dashboard!$C$4="All",Dashboard!$C$4=D434),OR(Dashboard!$C$5="All",Dashboard!$C$5=E434),OR(Dashboard!$C$6="All",Dashboard!$C$6=G434),OR(Dashboard!$C$7="All",Dashboard!$C$7=H434),OR(Dashboard!$C$8="All",Dashboard!$C$8=F434))</f>
        <v/>
      </c>
      <c r="B434" s="109">
        <f>IF(A434,B433+1,B433)</f>
        <v/>
      </c>
      <c r="C434" s="109" t="n">
        <v>56</v>
      </c>
      <c r="D434" s="109" t="inlineStr">
        <is>
          <t>SL Mask Contoured</t>
        </is>
      </c>
      <c r="E434" s="109" t="inlineStr">
        <is>
          <t>US</t>
        </is>
      </c>
      <c r="F434" s="109" t="inlineStr">
        <is>
          <t>Silk</t>
        </is>
      </c>
      <c r="G434" s="109" t="inlineStr">
        <is>
          <t>ZIMASILK</t>
        </is>
      </c>
      <c r="H434" s="109" t="inlineStr">
        <is>
          <t>Beatable</t>
        </is>
      </c>
      <c r="I434" s="109" t="inlineStr">
        <is>
          <t>SS Silk Sleep Mask - Contoured</t>
        </is>
      </c>
      <c r="J434" s="109" t="n"/>
      <c r="K434" s="109" t="inlineStr">
        <is>
          <t>B0FV2TSFBG</t>
        </is>
      </c>
      <c r="L434" s="109" t="inlineStr">
        <is>
          <t>B0CZPYKHQW</t>
        </is>
      </c>
      <c r="M434" s="109" t="n"/>
      <c r="N434" s="109" t="n">
        <v>22.49</v>
      </c>
      <c r="O434" s="109" t="n">
        <v>24.99</v>
      </c>
      <c r="P434" s="109">
        <f>IF(AND(ISNUMBER(O434),ISNUMBER(N434),N(N434)&gt;0),O434/N434-1,"")</f>
        <v/>
      </c>
      <c r="Q434" s="109" t="n">
        <v>25.95</v>
      </c>
      <c r="R434" s="109">
        <f>IF(AND(ISNUMBER(N434),ISNUMBER(Q434),N(Q434)&gt;0),N434/Q434-1,"")</f>
        <v/>
      </c>
      <c r="S434" s="109" t="n">
        <v>33544</v>
      </c>
      <c r="T434" s="109" t="n">
        <v>104</v>
      </c>
      <c r="U434" s="109" t="n">
        <v>4.5</v>
      </c>
      <c r="V434" s="109" t="n">
        <v>2507</v>
      </c>
      <c r="W434" s="109" t="n"/>
      <c r="X434" s="109" t="n"/>
      <c r="Y434" s="109" t="n"/>
      <c r="Z434" s="109" t="n"/>
      <c r="AA434" s="109" t="n"/>
      <c r="AB434" s="109" t="n">
        <v>1.276005547850208</v>
      </c>
      <c r="AC434" s="109" t="inlineStr">
        <is>
          <t>US SL Mask Contoured</t>
        </is>
      </c>
      <c r="AD434" s="109">
        <f>'US SL Mask Contoured'!BC59</f>
        <v/>
      </c>
      <c r="AE434" s="109">
        <f>'US SL Mask Contoured'!BF59</f>
        <v/>
      </c>
      <c r="AF434" s="109" t="n"/>
      <c r="AG434" s="109" t="n"/>
    </row>
    <row r="435">
      <c r="A435" s="109">
        <f>AND(OR(Dashboard!$C$4="All",Dashboard!$C$4=D435),OR(Dashboard!$C$5="All",Dashboard!$C$5=E435),OR(Dashboard!$C$6="All",Dashboard!$C$6=G435),OR(Dashboard!$C$7="All",Dashboard!$C$7=H435),OR(Dashboard!$C$8="All",Dashboard!$C$8=F435))</f>
        <v/>
      </c>
      <c r="B435" s="109">
        <f>IF(A435,B434+1,B434)</f>
        <v/>
      </c>
      <c r="C435" s="109" t="n">
        <v>56</v>
      </c>
      <c r="D435" s="109" t="inlineStr">
        <is>
          <t>SL Mask Contoured</t>
        </is>
      </c>
      <c r="E435" s="109" t="inlineStr">
        <is>
          <t>US</t>
        </is>
      </c>
      <c r="F435" s="109" t="inlineStr">
        <is>
          <t>Silk</t>
        </is>
      </c>
      <c r="G435" s="109" t="inlineStr">
        <is>
          <t>ATreebay</t>
        </is>
      </c>
      <c r="H435" s="109" t="inlineStr">
        <is>
          <t>Beatable</t>
        </is>
      </c>
      <c r="I435" s="109" t="inlineStr">
        <is>
          <t>SS Silk Sleep Mask</t>
        </is>
      </c>
      <c r="J435" s="109" t="inlineStr">
        <is>
          <t>https://images-na.ssl-images-amazon.com/images/I/71VepaC3F7L.jpg</t>
        </is>
      </c>
      <c r="K435" s="109" t="inlineStr">
        <is>
          <t>B0DFGZZ7F1</t>
        </is>
      </c>
      <c r="L435" s="109" t="inlineStr">
        <is>
          <t>B0DFGZPP7K</t>
        </is>
      </c>
      <c r="M435" s="109" t="n">
        <v>5</v>
      </c>
      <c r="N435" s="109" t="n">
        <v>22.99</v>
      </c>
      <c r="O435" s="109" t="n"/>
      <c r="P435" s="109">
        <f>IF(AND(ISNUMBER(O435),ISNUMBER(N435),N(N435)&gt;0),O435/N435-1,"")</f>
        <v/>
      </c>
      <c r="Q435" s="109" t="n">
        <v>25.95</v>
      </c>
      <c r="R435" s="109">
        <f>IF(AND(ISNUMBER(N435),ISNUMBER(Q435),N(Q435)&gt;0),N435/Q435-1,"")</f>
        <v/>
      </c>
      <c r="S435" s="109" t="n">
        <v>30513</v>
      </c>
      <c r="T435" s="109" t="n">
        <v>92</v>
      </c>
      <c r="U435" s="109" t="n">
        <v>4.5</v>
      </c>
      <c r="V435" s="109" t="n">
        <v>345</v>
      </c>
      <c r="W435" s="109" t="n">
        <v>81189</v>
      </c>
      <c r="X435" s="109" t="n">
        <v>0.6977105777876312</v>
      </c>
      <c r="Y435" s="109" t="n">
        <v>2</v>
      </c>
      <c r="Z435" s="109" t="n">
        <v>33</v>
      </c>
      <c r="AA435" s="109" t="n">
        <v>38</v>
      </c>
      <c r="AB435" s="109" t="n">
        <v>2.084468664850136</v>
      </c>
      <c r="AC435" s="109" t="inlineStr">
        <is>
          <t>US SL Mask Contoured</t>
        </is>
      </c>
      <c r="AD435" s="109">
        <f>'US SL Mask Contoured'!BC60</f>
        <v/>
      </c>
      <c r="AE435" s="109">
        <f>'US SL Mask Contoured'!BF60</f>
        <v/>
      </c>
      <c r="AF435" s="109" t="n"/>
      <c r="AG435" s="109" t="n"/>
    </row>
    <row r="436">
      <c r="A436" s="109">
        <f>AND(OR(Dashboard!$C$4="All",Dashboard!$C$4=D436),OR(Dashboard!$C$5="All",Dashboard!$C$5=E436),OR(Dashboard!$C$6="All",Dashboard!$C$6=G436),OR(Dashboard!$C$7="All",Dashboard!$C$7=H436),OR(Dashboard!$C$8="All",Dashboard!$C$8=F436))</f>
        <v/>
      </c>
      <c r="B436" s="109">
        <f>IF(A436,B435+1,B435)</f>
        <v/>
      </c>
      <c r="C436" s="109" t="n">
        <v>56</v>
      </c>
      <c r="D436" s="109" t="inlineStr">
        <is>
          <t>SL Mask Contoured</t>
        </is>
      </c>
      <c r="E436" s="109" t="inlineStr">
        <is>
          <t>US</t>
        </is>
      </c>
      <c r="F436" s="109" t="inlineStr">
        <is>
          <t>Silk</t>
        </is>
      </c>
      <c r="G436" s="109" t="inlineStr">
        <is>
          <t>SLIP</t>
        </is>
      </c>
      <c r="H436" s="109" t="inlineStr">
        <is>
          <t>Beatable</t>
        </is>
      </c>
      <c r="I436" s="109" t="inlineStr">
        <is>
          <t>SS Silk Sleep Mask - Contoured</t>
        </is>
      </c>
      <c r="J436" s="109" t="n"/>
      <c r="K436" s="109" t="inlineStr">
        <is>
          <t>B0D94T2PG7</t>
        </is>
      </c>
      <c r="L436" s="109" t="inlineStr">
        <is>
          <t>B09CLHKX26</t>
        </is>
      </c>
      <c r="M436" s="109" t="n"/>
      <c r="N436" s="109" t="n">
        <v>79</v>
      </c>
      <c r="O436" s="109" t="n"/>
      <c r="P436" s="109">
        <f>IF(AND(ISNUMBER(O436),ISNUMBER(N436),N(N436)&gt;0),O436/N436-1,"")</f>
        <v/>
      </c>
      <c r="Q436" s="109" t="n">
        <v>25.95</v>
      </c>
      <c r="R436" s="109">
        <f>IF(AND(ISNUMBER(N436),ISNUMBER(Q436),N(Q436)&gt;0),N436/Q436-1,"")</f>
        <v/>
      </c>
      <c r="S436" s="109" t="n">
        <v>31364</v>
      </c>
      <c r="T436" s="109" t="n">
        <v>92</v>
      </c>
      <c r="U436" s="109" t="n">
        <v>4.3</v>
      </c>
      <c r="V436" s="109" t="n">
        <v>401</v>
      </c>
      <c r="W436" s="109" t="n"/>
      <c r="X436" s="109" t="n"/>
      <c r="Y436" s="109" t="n"/>
      <c r="Z436" s="109" t="n"/>
      <c r="AA436" s="109" t="n"/>
      <c r="AB436" s="109" t="n">
        <v>1.119019375247133</v>
      </c>
      <c r="AC436" s="109" t="inlineStr">
        <is>
          <t>US SL Mask Contoured</t>
        </is>
      </c>
      <c r="AD436" s="109">
        <f>'US SL Mask Contoured'!BC61</f>
        <v/>
      </c>
      <c r="AE436" s="109">
        <f>'US SL Mask Contoured'!BF61</f>
        <v/>
      </c>
      <c r="AF436" s="109" t="n"/>
      <c r="AG436" s="109" t="n"/>
    </row>
    <row r="437">
      <c r="A437" s="109">
        <f>AND(OR(Dashboard!$C$4="All",Dashboard!$C$4=D437),OR(Dashboard!$C$5="All",Dashboard!$C$5=E437),OR(Dashboard!$C$6="All",Dashboard!$C$6=G437),OR(Dashboard!$C$7="All",Dashboard!$C$7=H437),OR(Dashboard!$C$8="All",Dashboard!$C$8=F437))</f>
        <v/>
      </c>
      <c r="B437" s="109">
        <f>IF(A437,B436+1,B436)</f>
        <v/>
      </c>
      <c r="C437" s="109" t="n">
        <v>56</v>
      </c>
      <c r="D437" s="109" t="inlineStr">
        <is>
          <t>SL Mask Contoured</t>
        </is>
      </c>
      <c r="E437" s="109" t="inlineStr">
        <is>
          <t>US</t>
        </is>
      </c>
      <c r="F437" s="109" t="inlineStr">
        <is>
          <t>Silk</t>
        </is>
      </c>
      <c r="G437" s="109" t="inlineStr">
        <is>
          <t>BLISSY</t>
        </is>
      </c>
      <c r="H437" s="109" t="inlineStr">
        <is>
          <t>Beatable</t>
        </is>
      </c>
      <c r="I437" s="109" t="inlineStr">
        <is>
          <t>SS Silk Sleep Mask - Contoured</t>
        </is>
      </c>
      <c r="J437" s="109" t="n"/>
      <c r="K437" s="109" t="inlineStr">
        <is>
          <t>B0GY143VLB</t>
        </is>
      </c>
      <c r="L437" s="109" t="inlineStr">
        <is>
          <t>B0G49VVD1Z</t>
        </is>
      </c>
      <c r="M437" s="109" t="n"/>
      <c r="N437" s="109" t="n">
        <v>37.96</v>
      </c>
      <c r="O437" s="109" t="n"/>
      <c r="P437" s="109">
        <f>IF(AND(ISNUMBER(O437),ISNUMBER(N437),N(N437)&gt;0),O437/N437-1,"")</f>
        <v/>
      </c>
      <c r="Q437" s="109" t="n">
        <v>25.95</v>
      </c>
      <c r="R437" s="109">
        <f>IF(AND(ISNUMBER(N437),ISNUMBER(Q437),N(Q437)&gt;0),N437/Q437-1,"")</f>
        <v/>
      </c>
      <c r="S437" s="109" t="n">
        <v>31692</v>
      </c>
      <c r="T437" s="109" t="n">
        <v>35</v>
      </c>
      <c r="U437" s="109" t="n">
        <v>4</v>
      </c>
      <c r="V437" s="109" t="n">
        <v>188</v>
      </c>
      <c r="W437" s="109" t="n"/>
      <c r="X437" s="109" t="n"/>
      <c r="Y437" s="109" t="n"/>
      <c r="Z437" s="109" t="n"/>
      <c r="AA437" s="109" t="n"/>
      <c r="AB437" s="109" t="n"/>
      <c r="AC437" s="109" t="inlineStr">
        <is>
          <t>US SL Mask Contoured</t>
        </is>
      </c>
      <c r="AD437" s="109">
        <f>'US SL Mask Contoured'!BC62</f>
        <v/>
      </c>
      <c r="AE437" s="109">
        <f>'US SL Mask Contoured'!BF62</f>
        <v/>
      </c>
      <c r="AF437" s="109" t="n"/>
      <c r="AG437" s="109" t="n"/>
    </row>
    <row r="438">
      <c r="A438" s="109">
        <f>AND(OR(Dashboard!$C$4="All",Dashboard!$C$4=D438),OR(Dashboard!$C$5="All",Dashboard!$C$5=E438),OR(Dashboard!$C$6="All",Dashboard!$C$6=G438),OR(Dashboard!$C$7="All",Dashboard!$C$7=H438),OR(Dashboard!$C$8="All",Dashboard!$C$8=F438))</f>
        <v/>
      </c>
      <c r="B438" s="109">
        <f>IF(A438,B437+1,B437)</f>
        <v/>
      </c>
      <c r="C438" s="109" t="n">
        <v>56</v>
      </c>
      <c r="D438" s="109" t="inlineStr">
        <is>
          <t>SL Mask Contoured</t>
        </is>
      </c>
      <c r="E438" s="109" t="inlineStr">
        <is>
          <t>US</t>
        </is>
      </c>
      <c r="F438" s="109" t="inlineStr">
        <is>
          <t>Silk</t>
        </is>
      </c>
      <c r="G438" s="109" t="inlineStr">
        <is>
          <t>ZIMASILK</t>
        </is>
      </c>
      <c r="H438" s="109" t="inlineStr">
        <is>
          <t>Beatable</t>
        </is>
      </c>
      <c r="I438" s="109" t="inlineStr">
        <is>
          <t>SS Silk Sleep Mask - Contoured</t>
        </is>
      </c>
      <c r="J438" s="109" t="n"/>
      <c r="K438" s="109" t="inlineStr">
        <is>
          <t>B07KPF57S3</t>
        </is>
      </c>
      <c r="L438" s="109" t="inlineStr">
        <is>
          <t>B0BZRCV4BM</t>
        </is>
      </c>
      <c r="M438" s="109" t="n"/>
      <c r="N438" s="109" t="n">
        <v>28.99</v>
      </c>
      <c r="O438" s="109" t="n"/>
      <c r="P438" s="109">
        <f>IF(AND(ISNUMBER(O438),ISNUMBER(N438),N(N438)&gt;0),O438/N438-1,"")</f>
        <v/>
      </c>
      <c r="Q438" s="109" t="n">
        <v>25.95</v>
      </c>
      <c r="R438" s="109">
        <f>IF(AND(ISNUMBER(N438),ISNUMBER(Q438),N(Q438)&gt;0),N438/Q438-1,"")</f>
        <v/>
      </c>
      <c r="S438" s="109" t="n">
        <v>20620</v>
      </c>
      <c r="T438" s="109" t="n">
        <v>35</v>
      </c>
      <c r="U438" s="109" t="n">
        <v>4.3</v>
      </c>
      <c r="V438" s="109" t="n">
        <v>1106</v>
      </c>
      <c r="W438" s="109" t="n"/>
      <c r="X438" s="109" t="n"/>
      <c r="Y438" s="109" t="n"/>
      <c r="Z438" s="109" t="n"/>
      <c r="AA438" s="109" t="n"/>
      <c r="AB438" s="109" t="n"/>
      <c r="AC438" s="109" t="inlineStr">
        <is>
          <t>US SL Mask Contoured</t>
        </is>
      </c>
      <c r="AD438" s="109">
        <f>'US SL Mask Contoured'!BC63</f>
        <v/>
      </c>
      <c r="AE438" s="109">
        <f>'US SL Mask Contoured'!BF63</f>
        <v/>
      </c>
      <c r="AF438" s="109" t="n"/>
      <c r="AG438" s="109" t="n"/>
    </row>
    <row r="439">
      <c r="A439" s="109">
        <f>AND(OR(Dashboard!$C$4="All",Dashboard!$C$4=D439),OR(Dashboard!$C$5="All",Dashboard!$C$5=E439),OR(Dashboard!$C$6="All",Dashboard!$C$6=G439),OR(Dashboard!$C$7="All",Dashboard!$C$7=H439),OR(Dashboard!$C$8="All",Dashboard!$C$8=F439))</f>
        <v/>
      </c>
      <c r="B439" s="109">
        <f>IF(A439,B438+1,B438)</f>
        <v/>
      </c>
      <c r="C439" s="109" t="n">
        <v>56</v>
      </c>
      <c r="D439" s="109" t="inlineStr">
        <is>
          <t>SL Mask Contoured</t>
        </is>
      </c>
      <c r="E439" s="109" t="inlineStr">
        <is>
          <t>US</t>
        </is>
      </c>
      <c r="F439" s="109" t="inlineStr">
        <is>
          <t>Silk</t>
        </is>
      </c>
      <c r="G439" s="109" t="inlineStr">
        <is>
          <t>LitBear</t>
        </is>
      </c>
      <c r="H439" s="109" t="inlineStr">
        <is>
          <t>Beatable</t>
        </is>
      </c>
      <c r="I439" s="109" t="inlineStr">
        <is>
          <t>SS Silk Sleep Mask - Contoured</t>
        </is>
      </c>
      <c r="J439" s="109" t="n"/>
      <c r="K439" s="109" t="inlineStr">
        <is>
          <t>B0D5R7CCZ2</t>
        </is>
      </c>
      <c r="L439" s="109" t="inlineStr">
        <is>
          <t>B0FDB7XXSL</t>
        </is>
      </c>
      <c r="M439" s="109" t="n"/>
      <c r="N439" s="109" t="n">
        <v>24.29</v>
      </c>
      <c r="O439" s="109" t="n">
        <v>26.99</v>
      </c>
      <c r="P439" s="109">
        <f>IF(AND(ISNUMBER(O439),ISNUMBER(N439),N(N439)&gt;0),O439/N439-1,"")</f>
        <v/>
      </c>
      <c r="Q439" s="109" t="n">
        <v>25.95</v>
      </c>
      <c r="R439" s="109">
        <f>IF(AND(ISNUMBER(N439),ISNUMBER(Q439),N(Q439)&gt;0),N439/Q439-1,"")</f>
        <v/>
      </c>
      <c r="S439" s="109" t="n">
        <v>33096</v>
      </c>
      <c r="T439" s="109" t="n">
        <v>18</v>
      </c>
      <c r="U439" s="109" t="n">
        <v>4.3</v>
      </c>
      <c r="V439" s="109" t="n">
        <v>441</v>
      </c>
      <c r="W439" s="109" t="n"/>
      <c r="X439" s="109" t="n"/>
      <c r="Y439" s="109" t="n"/>
      <c r="Z439" s="109" t="n"/>
      <c r="AA439" s="109" t="n"/>
      <c r="AB439" s="109" t="n"/>
      <c r="AC439" s="109" t="inlineStr">
        <is>
          <t>US SL Mask Contoured</t>
        </is>
      </c>
      <c r="AD439" s="109">
        <f>'US SL Mask Contoured'!BC64</f>
        <v/>
      </c>
      <c r="AE439" s="109">
        <f>'US SL Mask Contoured'!BF64</f>
        <v/>
      </c>
      <c r="AF439" s="109" t="n"/>
      <c r="AG439" s="109" t="n"/>
    </row>
    <row r="440">
      <c r="A440" s="109">
        <f>AND(OR(Dashboard!$C$4="All",Dashboard!$C$4=D440),OR(Dashboard!$C$5="All",Dashboard!$C$5=E440),OR(Dashboard!$C$6="All",Dashboard!$C$6=G440),OR(Dashboard!$C$7="All",Dashboard!$C$7=H440),OR(Dashboard!$C$8="All",Dashboard!$C$8=F440))</f>
        <v/>
      </c>
      <c r="B440" s="109">
        <f>IF(A440,B439+1,B439)</f>
        <v/>
      </c>
      <c r="C440" s="109" t="n">
        <v>56</v>
      </c>
      <c r="D440" s="109" t="inlineStr">
        <is>
          <t>SL Mask Contoured</t>
        </is>
      </c>
      <c r="E440" s="109" t="inlineStr">
        <is>
          <t>US</t>
        </is>
      </c>
      <c r="F440" s="109" t="inlineStr">
        <is>
          <t>Silk</t>
        </is>
      </c>
      <c r="G440" s="109" t="inlineStr">
        <is>
          <t>ZIMASILK</t>
        </is>
      </c>
      <c r="H440" s="109" t="inlineStr">
        <is>
          <t>Beatable</t>
        </is>
      </c>
      <c r="I440" s="109" t="inlineStr">
        <is>
          <t>SS Silk Sleep Mask - Contoured</t>
        </is>
      </c>
      <c r="J440" s="109" t="n"/>
      <c r="K440" s="109" t="inlineStr">
        <is>
          <t>B0F9STVX64</t>
        </is>
      </c>
      <c r="L440" s="109" t="inlineStr">
        <is>
          <t>B0DSYXFT4M</t>
        </is>
      </c>
      <c r="M440" s="109" t="n"/>
      <c r="N440" s="109" t="n">
        <v>25.19</v>
      </c>
      <c r="O440" s="109" t="n">
        <v>27.99</v>
      </c>
      <c r="P440" s="109">
        <f>IF(AND(ISNUMBER(O440),ISNUMBER(N440),N(N440)&gt;0),O440/N440-1,"")</f>
        <v/>
      </c>
      <c r="Q440" s="109" t="n">
        <v>25.95</v>
      </c>
      <c r="R440" s="109">
        <f>IF(AND(ISNUMBER(N440),ISNUMBER(Q440),N(Q440)&gt;0),N440/Q440-1,"")</f>
        <v/>
      </c>
      <c r="S440" s="109" t="n">
        <v>73471</v>
      </c>
      <c r="T440" s="109" t="n">
        <v>18</v>
      </c>
      <c r="U440" s="109" t="n">
        <v>4.3</v>
      </c>
      <c r="V440" s="109" t="n">
        <v>219</v>
      </c>
      <c r="W440" s="109" t="n"/>
      <c r="X440" s="109" t="n"/>
      <c r="Y440" s="109" t="n"/>
      <c r="Z440" s="109" t="n"/>
      <c r="AA440" s="109" t="n"/>
      <c r="AB440" s="109" t="n"/>
      <c r="AC440" s="109" t="inlineStr">
        <is>
          <t>US SL Mask Contoured</t>
        </is>
      </c>
      <c r="AD440" s="109">
        <f>'US SL Mask Contoured'!BC65</f>
        <v/>
      </c>
      <c r="AE440" s="109">
        <f>'US SL Mask Contoured'!BF65</f>
        <v/>
      </c>
      <c r="AF440" s="109" t="n"/>
      <c r="AG440" s="109" t="n"/>
    </row>
    <row r="441">
      <c r="A441" s="109">
        <f>AND(OR(Dashboard!$C$4="All",Dashboard!$C$4=D441),OR(Dashboard!$C$5="All",Dashboard!$C$5=E441),OR(Dashboard!$C$6="All",Dashboard!$C$6=G441),OR(Dashboard!$C$7="All",Dashboard!$C$7=H441),OR(Dashboard!$C$8="All",Dashboard!$C$8=F441))</f>
        <v/>
      </c>
      <c r="B441" s="109">
        <f>IF(A441,B440+1,B440)</f>
        <v/>
      </c>
      <c r="C441" s="109" t="n">
        <v>56</v>
      </c>
      <c r="D441" s="109" t="inlineStr">
        <is>
          <t>SL Mask Contoured</t>
        </is>
      </c>
      <c r="E441" s="109" t="inlineStr">
        <is>
          <t>US</t>
        </is>
      </c>
      <c r="F441" s="109" t="inlineStr">
        <is>
          <t>Silk</t>
        </is>
      </c>
      <c r="G441" s="109" t="inlineStr">
        <is>
          <t>Back Bay Audio</t>
        </is>
      </c>
      <c r="H441" s="109" t="inlineStr">
        <is>
          <t>Poor</t>
        </is>
      </c>
      <c r="I441" s="109" t="inlineStr">
        <is>
          <t>SS Silk Sleep Mask - Contoured</t>
        </is>
      </c>
      <c r="J441" s="109" t="n"/>
      <c r="K441" s="109" t="inlineStr">
        <is>
          <t>B0FSG756Y3</t>
        </is>
      </c>
      <c r="L441" s="109" t="inlineStr">
        <is>
          <t>B0DMFYTLQR</t>
        </is>
      </c>
      <c r="M441" s="109" t="n"/>
      <c r="N441" s="109" t="n">
        <v>34.99</v>
      </c>
      <c r="O441" s="109" t="n"/>
      <c r="P441" s="109">
        <f>IF(AND(ISNUMBER(O441),ISNUMBER(N441),N(N441)&gt;0),O441/N441-1,"")</f>
        <v/>
      </c>
      <c r="Q441" s="109" t="n">
        <v>25.95</v>
      </c>
      <c r="R441" s="109">
        <f>IF(AND(ISNUMBER(N441),ISNUMBER(Q441),N(Q441)&gt;0),N441/Q441-1,"")</f>
        <v/>
      </c>
      <c r="S441" s="109" t="n">
        <v>92740</v>
      </c>
      <c r="T441" s="109" t="n">
        <v>5</v>
      </c>
      <c r="U441" s="109" t="n">
        <v>3.8</v>
      </c>
      <c r="V441" s="109" t="n">
        <v>347</v>
      </c>
      <c r="W441" s="109" t="n"/>
      <c r="X441" s="109" t="n"/>
      <c r="Y441" s="109" t="n"/>
      <c r="Z441" s="109" t="n"/>
      <c r="AA441" s="109" t="n"/>
      <c r="AB441" s="109" t="n"/>
      <c r="AC441" s="109" t="inlineStr">
        <is>
          <t>US SL Mask Contoured</t>
        </is>
      </c>
      <c r="AD441" s="109">
        <f>'US SL Mask Contoured'!BC66</f>
        <v/>
      </c>
      <c r="AE441" s="109">
        <f>'US SL Mask Contoured'!BF66</f>
        <v/>
      </c>
      <c r="AF441" s="109" t="n"/>
      <c r="AG441" s="109" t="n"/>
    </row>
    <row r="442">
      <c r="A442" s="109">
        <f>AND(OR(Dashboard!$C$4="All",Dashboard!$C$4=D442),OR(Dashboard!$C$5="All",Dashboard!$C$5=E442),OR(Dashboard!$C$6="All",Dashboard!$C$6=G442),OR(Dashboard!$C$7="All",Dashboard!$C$7=H442),OR(Dashboard!$C$8="All",Dashboard!$C$8=F442))</f>
        <v/>
      </c>
      <c r="B442" s="109">
        <f>IF(A442,B441+1,B441)</f>
        <v/>
      </c>
      <c r="C442" s="109" t="n">
        <v>56</v>
      </c>
      <c r="D442" s="109" t="inlineStr">
        <is>
          <t>SL Mask Contoured</t>
        </is>
      </c>
      <c r="E442" s="109" t="inlineStr">
        <is>
          <t>US</t>
        </is>
      </c>
      <c r="F442" s="109" t="inlineStr">
        <is>
          <t>Silk</t>
        </is>
      </c>
      <c r="G442" s="109" t="inlineStr">
        <is>
          <t>spacepower</t>
        </is>
      </c>
      <c r="H442" s="109" t="inlineStr">
        <is>
          <t>Untiered</t>
        </is>
      </c>
      <c r="I442" s="109" t="inlineStr">
        <is>
          <t>SS Silk Sleep Mask</t>
        </is>
      </c>
      <c r="J442" s="109" t="n"/>
      <c r="K442" s="109" t="inlineStr">
        <is>
          <t>B0H9RJ7HSY</t>
        </is>
      </c>
      <c r="L442" s="109" t="inlineStr">
        <is>
          <t>B07J41LJJZ</t>
        </is>
      </c>
      <c r="M442" s="109" t="n"/>
      <c r="N442" s="109" t="n">
        <v>4.99</v>
      </c>
      <c r="O442" s="109" t="n"/>
      <c r="P442" s="109">
        <f>IF(AND(ISNUMBER(O442),ISNUMBER(N442),N(N442)&gt;0),O442/N442-1,"")</f>
        <v/>
      </c>
      <c r="Q442" s="109" t="n">
        <v>25.95</v>
      </c>
      <c r="R442" s="109">
        <f>IF(AND(ISNUMBER(N442),ISNUMBER(Q442),N(Q442)&gt;0),N442/Q442-1,"")</f>
        <v/>
      </c>
      <c r="S442" s="109" t="n">
        <v>8110</v>
      </c>
      <c r="T442" s="109" t="n">
        <v>809</v>
      </c>
      <c r="U442" s="109" t="n">
        <v>4.6</v>
      </c>
      <c r="V442" s="109" t="n">
        <v>5889</v>
      </c>
      <c r="W442" s="109" t="n"/>
      <c r="X442" s="109" t="n"/>
      <c r="Y442" s="109" t="n"/>
      <c r="Z442" s="109" t="n"/>
      <c r="AA442" s="109" t="n"/>
      <c r="AB442" s="109" t="n"/>
      <c r="AC442" s="109" t="inlineStr">
        <is>
          <t>US SL Mask Contoured</t>
        </is>
      </c>
      <c r="AD442" s="109">
        <f>'US SL Mask Contoured'!BC67</f>
        <v/>
      </c>
      <c r="AE442" s="109">
        <f>'US SL Mask Contoured'!BF67</f>
        <v/>
      </c>
      <c r="AF442" s="109" t="n"/>
      <c r="AG442" s="109" t="n"/>
    </row>
    <row r="443">
      <c r="A443" s="109">
        <f>AND(OR(Dashboard!$C$4="All",Dashboard!$C$4=D443),OR(Dashboard!$C$5="All",Dashboard!$C$5=E443),OR(Dashboard!$C$6="All",Dashboard!$C$6=G443),OR(Dashboard!$C$7="All",Dashboard!$C$7=H443),OR(Dashboard!$C$8="All",Dashboard!$C$8=F443))</f>
        <v/>
      </c>
      <c r="B443" s="109">
        <f>IF(A443,B442+1,B442)</f>
        <v/>
      </c>
      <c r="C443" s="109" t="n">
        <v>57</v>
      </c>
      <c r="D443" s="109" t="inlineStr">
        <is>
          <t>SL Mask Velcro</t>
        </is>
      </c>
      <c r="E443" s="109" t="inlineStr">
        <is>
          <t>US</t>
        </is>
      </c>
      <c r="F443" s="109" t="inlineStr">
        <is>
          <t>Silk</t>
        </is>
      </c>
      <c r="G443" s="109" t="inlineStr">
        <is>
          <t>LitBear</t>
        </is>
      </c>
      <c r="H443" s="109" t="inlineStr">
        <is>
          <t>Aspirational</t>
        </is>
      </c>
      <c r="I443" s="109" t="inlineStr">
        <is>
          <t>SS Silk Sleep Mask</t>
        </is>
      </c>
      <c r="J443" s="109" t="n"/>
      <c r="K443" s="109" t="inlineStr">
        <is>
          <t>B0CNX9RTK8</t>
        </is>
      </c>
      <c r="L443" s="109" t="inlineStr">
        <is>
          <t>B0BN559GVG</t>
        </is>
      </c>
      <c r="M443" s="109" t="n">
        <v>4</v>
      </c>
      <c r="N443" s="109" t="n">
        <v>29.99</v>
      </c>
      <c r="O443" s="109" t="n"/>
      <c r="P443" s="109">
        <f>IF(AND(ISNUMBER(O443),ISNUMBER(N443),N(N443)&gt;0),O443/N443-1,"")</f>
        <v/>
      </c>
      <c r="Q443" s="109" t="n">
        <v>20.41153846153846</v>
      </c>
      <c r="R443" s="109">
        <f>IF(AND(ISNUMBER(N443),ISNUMBER(Q443),N(Q443)&gt;0),N443/Q443-1,"")</f>
        <v/>
      </c>
      <c r="S443" s="109" t="n">
        <v>9413</v>
      </c>
      <c r="T443" s="109" t="n">
        <v>809</v>
      </c>
      <c r="U443" s="109" t="n">
        <v>4.4</v>
      </c>
      <c r="V443" s="109" t="n">
        <v>2143</v>
      </c>
      <c r="W443" s="109" t="n">
        <v>401761</v>
      </c>
      <c r="X443" s="109" t="n">
        <v>0.7073638471628658</v>
      </c>
      <c r="Y443" s="109" t="n">
        <v>4</v>
      </c>
      <c r="Z443" s="109" t="n">
        <v>45</v>
      </c>
      <c r="AA443" s="109" t="n">
        <v>684</v>
      </c>
      <c r="AB443" s="109" t="n">
        <v>0.8740317977986141</v>
      </c>
      <c r="AC443" s="109" t="inlineStr">
        <is>
          <t>US SL Mask Velcro</t>
        </is>
      </c>
      <c r="AD443" s="109">
        <f>'US SL Mask Velcro'!BC41</f>
        <v/>
      </c>
      <c r="AE443" s="109">
        <f>'US SL Mask Velcro'!BF41</f>
        <v/>
      </c>
      <c r="AF443" s="109" t="n"/>
      <c r="AG443" s="109" t="n"/>
    </row>
    <row r="444">
      <c r="A444" s="109">
        <f>AND(OR(Dashboard!$C$4="All",Dashboard!$C$4=D444),OR(Dashboard!$C$5="All",Dashboard!$C$5=E444),OR(Dashboard!$C$6="All",Dashboard!$C$6=G444),OR(Dashboard!$C$7="All",Dashboard!$C$7=H444),OR(Dashboard!$C$8="All",Dashboard!$C$8=F444))</f>
        <v/>
      </c>
      <c r="B444" s="109">
        <f>IF(A444,B443+1,B443)</f>
        <v/>
      </c>
      <c r="C444" s="109" t="n">
        <v>57</v>
      </c>
      <c r="D444" s="109" t="inlineStr">
        <is>
          <t>SL Mask Velcro</t>
        </is>
      </c>
      <c r="E444" s="109" t="inlineStr">
        <is>
          <t>US</t>
        </is>
      </c>
      <c r="F444" s="109" t="inlineStr">
        <is>
          <t>Silk</t>
        </is>
      </c>
      <c r="G444" s="109" t="inlineStr">
        <is>
          <t>LULUSILK</t>
        </is>
      </c>
      <c r="H444" s="109" t="inlineStr">
        <is>
          <t>Aspirational</t>
        </is>
      </c>
      <c r="I444" s="109" t="inlineStr">
        <is>
          <t>SS Silk Sleep Mask</t>
        </is>
      </c>
      <c r="J444" s="109" t="n"/>
      <c r="K444" s="109" t="inlineStr">
        <is>
          <t>B074TBH52S</t>
        </is>
      </c>
      <c r="L444" s="109" t="inlineStr">
        <is>
          <t>B074TBYWGS</t>
        </is>
      </c>
      <c r="M444" s="109" t="n">
        <v>7</v>
      </c>
      <c r="N444" s="109" t="n">
        <v>9.99</v>
      </c>
      <c r="O444" s="109" t="n"/>
      <c r="P444" s="109">
        <f>IF(AND(ISNUMBER(O444),ISNUMBER(N444),N(N444)&gt;0),O444/N444-1,"")</f>
        <v/>
      </c>
      <c r="Q444" s="109" t="n">
        <v>20.41153846153846</v>
      </c>
      <c r="R444" s="109">
        <f>IF(AND(ISNUMBER(N444),ISNUMBER(Q444),N(Q444)&gt;0),N444/Q444-1,"")</f>
        <v/>
      </c>
      <c r="S444" s="109" t="n">
        <v>8556</v>
      </c>
      <c r="T444" s="109" t="n">
        <v>809</v>
      </c>
      <c r="U444" s="109" t="n">
        <v>4.4</v>
      </c>
      <c r="V444" s="109" t="n">
        <v>12325</v>
      </c>
      <c r="W444" s="109" t="n">
        <v>106430</v>
      </c>
      <c r="X444" s="109" t="n">
        <v>0.9607324494973225</v>
      </c>
      <c r="Y444" s="109" t="n">
        <v>10</v>
      </c>
      <c r="Z444" s="109" t="n">
        <v>36</v>
      </c>
      <c r="AA444" s="109" t="n">
        <v>135</v>
      </c>
      <c r="AB444" s="109" t="n">
        <v>1.562836624775583</v>
      </c>
      <c r="AC444" s="109" t="inlineStr">
        <is>
          <t>US SL Mask Velcro</t>
        </is>
      </c>
      <c r="AD444" s="109">
        <f>'US SL Mask Velcro'!BC42</f>
        <v/>
      </c>
      <c r="AE444" s="109">
        <f>'US SL Mask Velcro'!BF42</f>
        <v/>
      </c>
      <c r="AF444" s="109" t="n"/>
      <c r="AG444" s="109" t="n"/>
    </row>
    <row r="445">
      <c r="A445" s="109">
        <f>AND(OR(Dashboard!$C$4="All",Dashboard!$C$4=D445),OR(Dashboard!$C$5="All",Dashboard!$C$5=E445),OR(Dashboard!$C$6="All",Dashboard!$C$6=G445),OR(Dashboard!$C$7="All",Dashboard!$C$7=H445),OR(Dashboard!$C$8="All",Dashboard!$C$8=F445))</f>
        <v/>
      </c>
      <c r="B445" s="109">
        <f>IF(A445,B444+1,B444)</f>
        <v/>
      </c>
      <c r="C445" s="109" t="n">
        <v>57</v>
      </c>
      <c r="D445" s="109" t="inlineStr">
        <is>
          <t>SL Mask Velcro</t>
        </is>
      </c>
      <c r="E445" s="109" t="inlineStr">
        <is>
          <t>US</t>
        </is>
      </c>
      <c r="F445" s="109" t="inlineStr">
        <is>
          <t>Silk</t>
        </is>
      </c>
      <c r="G445" s="109" t="inlineStr">
        <is>
          <t>iCooBreeze</t>
        </is>
      </c>
      <c r="H445" s="109" t="inlineStr">
        <is>
          <t>Aspirational</t>
        </is>
      </c>
      <c r="I445" s="109" t="inlineStr">
        <is>
          <t>SS Silk Sleep Mask</t>
        </is>
      </c>
      <c r="J445" s="109" t="inlineStr">
        <is>
          <t>https://images-na.ssl-images-amazon.com/images/I/61t7hRnDSTL.jpg</t>
        </is>
      </c>
      <c r="K445" s="109" t="inlineStr">
        <is>
          <t>B0BBN7XTW5</t>
        </is>
      </c>
      <c r="L445" s="109" t="inlineStr">
        <is>
          <t>B0BBN627MK</t>
        </is>
      </c>
      <c r="M445" s="109" t="n">
        <v>4</v>
      </c>
      <c r="N445" s="109" t="n">
        <v>19.99</v>
      </c>
      <c r="O445" s="109" t="n"/>
      <c r="P445" s="109">
        <f>IF(AND(ISNUMBER(O445),ISNUMBER(N445),N(N445)&gt;0),O445/N445-1,"")</f>
        <v/>
      </c>
      <c r="Q445" s="109" t="n">
        <v>20.41153846153846</v>
      </c>
      <c r="R445" s="109">
        <f>IF(AND(ISNUMBER(N445),ISNUMBER(Q445),N(Q445)&gt;0),N445/Q445-1,"")</f>
        <v/>
      </c>
      <c r="S445" s="109" t="n">
        <v>12259</v>
      </c>
      <c r="T445" s="109" t="n">
        <v>347</v>
      </c>
      <c r="U445" s="109" t="n">
        <v>4.5</v>
      </c>
      <c r="V445" s="109" t="n">
        <v>2063</v>
      </c>
      <c r="W445" s="109" t="n">
        <v>303791</v>
      </c>
      <c r="X445" s="109" t="n">
        <v>0.556958422402244</v>
      </c>
      <c r="Y445" s="109" t="n">
        <v>4</v>
      </c>
      <c r="Z445" s="109" t="n">
        <v>43</v>
      </c>
      <c r="AA445" s="109" t="n">
        <v>172</v>
      </c>
      <c r="AB445" s="109" t="n">
        <v>0.2928870292887029</v>
      </c>
      <c r="AC445" s="109" t="inlineStr">
        <is>
          <t>US SL Mask Velcro</t>
        </is>
      </c>
      <c r="AD445" s="109">
        <f>'US SL Mask Velcro'!BC43</f>
        <v/>
      </c>
      <c r="AE445" s="109">
        <f>'US SL Mask Velcro'!BF43</f>
        <v/>
      </c>
      <c r="AF445" s="109" t="n"/>
      <c r="AG445" s="109" t="n"/>
    </row>
    <row r="446">
      <c r="A446" s="109">
        <f>AND(OR(Dashboard!$C$4="All",Dashboard!$C$4=D446),OR(Dashboard!$C$5="All",Dashboard!$C$5=E446),OR(Dashboard!$C$6="All",Dashboard!$C$6=G446),OR(Dashboard!$C$7="All",Dashboard!$C$7=H446),OR(Dashboard!$C$8="All",Dashboard!$C$8=F446))</f>
        <v/>
      </c>
      <c r="B446" s="109">
        <f>IF(A446,B445+1,B445)</f>
        <v/>
      </c>
      <c r="C446" s="109" t="n">
        <v>57</v>
      </c>
      <c r="D446" s="109" t="inlineStr">
        <is>
          <t>SL Mask Velcro</t>
        </is>
      </c>
      <c r="E446" s="109" t="inlineStr">
        <is>
          <t>US</t>
        </is>
      </c>
      <c r="F446" s="109" t="inlineStr">
        <is>
          <t>Silk</t>
        </is>
      </c>
      <c r="G446" s="109" t="inlineStr">
        <is>
          <t>Zenssia</t>
        </is>
      </c>
      <c r="H446" s="109" t="inlineStr">
        <is>
          <t>Aspirational</t>
        </is>
      </c>
      <c r="I446" s="109" t="inlineStr">
        <is>
          <t>Zenssia 100% Mulberry Silk Sleep Mask Eye Mask for Man and Woman with Adjustable Headband, Full Size Large Sleep Mask &amp; Blindfold for Total Blackout for All Night Sleep, Travel &amp; Nap- Light Plum</t>
        </is>
      </c>
      <c r="J446" s="109" t="inlineStr">
        <is>
          <t>https://images-na.ssl-images-amazon.com/images/I/717uHiZRsrL.jpg</t>
        </is>
      </c>
      <c r="K446" s="109" t="inlineStr">
        <is>
          <t>B0B5K41YD7</t>
        </is>
      </c>
      <c r="L446" s="109" t="inlineStr">
        <is>
          <t>B07V5BCQFW</t>
        </is>
      </c>
      <c r="M446" s="109" t="n">
        <v>6</v>
      </c>
      <c r="N446" s="109" t="n">
        <v>19.99</v>
      </c>
      <c r="O446" s="109" t="n"/>
      <c r="P446" s="109">
        <f>IF(AND(ISNUMBER(O446),ISNUMBER(N446),N(N446)&gt;0),O446/N446-1,"")</f>
        <v/>
      </c>
      <c r="Q446" s="109" t="n">
        <v>20.41153846153846</v>
      </c>
      <c r="R446" s="109">
        <f>IF(AND(ISNUMBER(N446),ISNUMBER(Q446),N(Q446)&gt;0),N446/Q446-1,"")</f>
        <v/>
      </c>
      <c r="S446" s="109" t="n">
        <v>11617</v>
      </c>
      <c r="T446" s="109" t="n">
        <v>347</v>
      </c>
      <c r="U446" s="109" t="n">
        <v>4.5</v>
      </c>
      <c r="V446" s="109" t="n">
        <v>1571</v>
      </c>
      <c r="W446" s="109" t="n">
        <v>151964</v>
      </c>
      <c r="X446" s="109" t="n">
        <v>0.8624514049380118</v>
      </c>
      <c r="Y446" s="109" t="n">
        <v>5</v>
      </c>
      <c r="Z446" s="109" t="n">
        <v>41</v>
      </c>
      <c r="AA446" s="109" t="n">
        <v>59</v>
      </c>
      <c r="AB446" s="109" t="n"/>
      <c r="AC446" s="109" t="inlineStr">
        <is>
          <t>US SL Mask Velcro</t>
        </is>
      </c>
      <c r="AD446" s="109">
        <f>'US SL Mask Velcro'!BC44</f>
        <v/>
      </c>
      <c r="AE446" s="109">
        <f>'US SL Mask Velcro'!BF44</f>
        <v/>
      </c>
      <c r="AF446" s="109" t="inlineStr">
        <is>
          <t>Full</t>
        </is>
      </c>
      <c r="AG446" s="109" t="n"/>
    </row>
    <row r="447">
      <c r="A447" s="109">
        <f>AND(OR(Dashboard!$C$4="All",Dashboard!$C$4=D447),OR(Dashboard!$C$5="All",Dashboard!$C$5=E447),OR(Dashboard!$C$6="All",Dashboard!$C$6=G447),OR(Dashboard!$C$7="All",Dashboard!$C$7=H447),OR(Dashboard!$C$8="All",Dashboard!$C$8=F447))</f>
        <v/>
      </c>
      <c r="B447" s="109">
        <f>IF(A447,B446+1,B446)</f>
        <v/>
      </c>
      <c r="C447" s="109" t="n">
        <v>57</v>
      </c>
      <c r="D447" s="109" t="inlineStr">
        <is>
          <t>SL Mask Velcro</t>
        </is>
      </c>
      <c r="E447" s="109" t="inlineStr">
        <is>
          <t>US</t>
        </is>
      </c>
      <c r="F447" s="109" t="inlineStr">
        <is>
          <t>Silk</t>
        </is>
      </c>
      <c r="G447" s="109" t="inlineStr">
        <is>
          <t>DROWSY</t>
        </is>
      </c>
      <c r="H447" s="109" t="inlineStr">
        <is>
          <t>Aspirational</t>
        </is>
      </c>
      <c r="I447" s="109" t="inlineStr">
        <is>
          <t>SS Silk Sleep Mask</t>
        </is>
      </c>
      <c r="J447" s="109" t="n"/>
      <c r="K447" s="109" t="inlineStr">
        <is>
          <t>B0GQZL7XLN</t>
        </is>
      </c>
      <c r="L447" s="109" t="inlineStr">
        <is>
          <t>B08NHHDLT6</t>
        </is>
      </c>
      <c r="M447" s="109" t="n">
        <v>13</v>
      </c>
      <c r="N447" s="109" t="n">
        <v>79</v>
      </c>
      <c r="O447" s="109" t="n"/>
      <c r="P447" s="109">
        <f>IF(AND(ISNUMBER(O447),ISNUMBER(N447),N(N447)&gt;0),O447/N447-1,"")</f>
        <v/>
      </c>
      <c r="Q447" s="109" t="n">
        <v>20.41153846153846</v>
      </c>
      <c r="R447" s="109">
        <f>IF(AND(ISNUMBER(N447),ISNUMBER(Q447),N(Q447)&gt;0),N447/Q447-1,"")</f>
        <v/>
      </c>
      <c r="S447" s="109" t="n">
        <v>7182</v>
      </c>
      <c r="T447" s="109" t="n">
        <v>208</v>
      </c>
      <c r="U447" s="109" t="n">
        <v>4.3</v>
      </c>
      <c r="V447" s="109" t="n">
        <v>1740</v>
      </c>
      <c r="W447" s="109" t="n">
        <v>143864</v>
      </c>
      <c r="X447" s="109" t="n">
        <v>0.5480138186064621</v>
      </c>
      <c r="Y447" s="109" t="n">
        <v>5</v>
      </c>
      <c r="Z447" s="109" t="n">
        <v>33</v>
      </c>
      <c r="AA447" s="109" t="n">
        <v>269</v>
      </c>
      <c r="AB447" s="109" t="n"/>
      <c r="AC447" s="109" t="inlineStr">
        <is>
          <t>US SL Mask Velcro</t>
        </is>
      </c>
      <c r="AD447" s="109">
        <f>'US SL Mask Velcro'!BC45</f>
        <v/>
      </c>
      <c r="AE447" s="109">
        <f>'US SL Mask Velcro'!BF45</f>
        <v/>
      </c>
      <c r="AF447" s="109" t="n"/>
      <c r="AG447" s="109" t="n"/>
    </row>
    <row r="448">
      <c r="A448" s="109">
        <f>AND(OR(Dashboard!$C$4="All",Dashboard!$C$4=D448),OR(Dashboard!$C$5="All",Dashboard!$C$5=E448),OR(Dashboard!$C$6="All",Dashboard!$C$6=G448),OR(Dashboard!$C$7="All",Dashboard!$C$7=H448),OR(Dashboard!$C$8="All",Dashboard!$C$8=F448))</f>
        <v/>
      </c>
      <c r="B448" s="109">
        <f>IF(A448,B447+1,B447)</f>
        <v/>
      </c>
      <c r="C448" s="109" t="n">
        <v>57</v>
      </c>
      <c r="D448" s="109" t="inlineStr">
        <is>
          <t>SL Mask Velcro</t>
        </is>
      </c>
      <c r="E448" s="109" t="inlineStr">
        <is>
          <t>US</t>
        </is>
      </c>
      <c r="F448" s="109" t="inlineStr">
        <is>
          <t>Silk</t>
        </is>
      </c>
      <c r="G448" s="109" t="inlineStr">
        <is>
          <t>OLESILK</t>
        </is>
      </c>
      <c r="H448" s="109" t="inlineStr">
        <is>
          <t>Aspirational</t>
        </is>
      </c>
      <c r="I448" s="109" t="inlineStr">
        <is>
          <t>SS Silk Sleep Mask</t>
        </is>
      </c>
      <c r="J448" s="109" t="n"/>
      <c r="K448" s="109" t="inlineStr">
        <is>
          <t>B07C7VH6CQ</t>
        </is>
      </c>
      <c r="L448" s="109" t="inlineStr">
        <is>
          <t>B07C7Y8QSW</t>
        </is>
      </c>
      <c r="M448" s="109" t="n">
        <v>13</v>
      </c>
      <c r="N448" s="109" t="n">
        <v>15.99</v>
      </c>
      <c r="O448" s="109" t="n"/>
      <c r="P448" s="109">
        <f>IF(AND(ISNUMBER(O448),ISNUMBER(N448),N(N448)&gt;0),O448/N448-1,"")</f>
        <v/>
      </c>
      <c r="Q448" s="109" t="n">
        <v>20.41153846153846</v>
      </c>
      <c r="R448" s="109">
        <f>IF(AND(ISNUMBER(N448),ISNUMBER(Q448),N(Q448)&gt;0),N448/Q448-1,"")</f>
        <v/>
      </c>
      <c r="S448" s="109" t="n">
        <v>17930</v>
      </c>
      <c r="T448" s="109" t="n">
        <v>185</v>
      </c>
      <c r="U448" s="109" t="n">
        <v>4.4</v>
      </c>
      <c r="V448" s="109" t="n">
        <v>2501</v>
      </c>
      <c r="W448" s="109" t="n">
        <v>123074</v>
      </c>
      <c r="X448" s="109" t="n">
        <v>0.3315021734891204</v>
      </c>
      <c r="Y448" s="109" t="n">
        <v>5</v>
      </c>
      <c r="Z448" s="109" t="n">
        <v>37</v>
      </c>
      <c r="AA448" s="109" t="n">
        <v>173</v>
      </c>
      <c r="AB448" s="109" t="n">
        <v>1.050397877984085</v>
      </c>
      <c r="AC448" s="109" t="inlineStr">
        <is>
          <t>US SL Mask Velcro</t>
        </is>
      </c>
      <c r="AD448" s="109">
        <f>'US SL Mask Velcro'!BC46</f>
        <v/>
      </c>
      <c r="AE448" s="109">
        <f>'US SL Mask Velcro'!BF46</f>
        <v/>
      </c>
      <c r="AF448" s="109" t="n"/>
      <c r="AG448" s="109" t="n"/>
    </row>
    <row r="449">
      <c r="A449" s="109">
        <f>AND(OR(Dashboard!$C$4="All",Dashboard!$C$4=D449),OR(Dashboard!$C$5="All",Dashboard!$C$5=E449),OR(Dashboard!$C$6="All",Dashboard!$C$6=G449),OR(Dashboard!$C$7="All",Dashboard!$C$7=H449),OR(Dashboard!$C$8="All",Dashboard!$C$8=F449))</f>
        <v/>
      </c>
      <c r="B449" s="109">
        <f>IF(A449,B448+1,B448)</f>
        <v/>
      </c>
      <c r="C449" s="109" t="n">
        <v>57</v>
      </c>
      <c r="D449" s="109" t="inlineStr">
        <is>
          <t>SL Mask Velcro</t>
        </is>
      </c>
      <c r="E449" s="109" t="inlineStr">
        <is>
          <t>US</t>
        </is>
      </c>
      <c r="F449" s="109" t="inlineStr">
        <is>
          <t>Silk</t>
        </is>
      </c>
      <c r="G449" s="109" t="inlineStr">
        <is>
          <t>BLISSY</t>
        </is>
      </c>
      <c r="H449" s="109" t="inlineStr">
        <is>
          <t>Beatable</t>
        </is>
      </c>
      <c r="I449" s="109" t="inlineStr">
        <is>
          <t>SS Silk Sleep Mask</t>
        </is>
      </c>
      <c r="J449" s="109" t="n"/>
      <c r="K449" s="109" t="inlineStr">
        <is>
          <t>B0CWRWR64G</t>
        </is>
      </c>
      <c r="L449" s="109" t="inlineStr">
        <is>
          <t>B0BFDGC7CC</t>
        </is>
      </c>
      <c r="M449" s="109" t="n">
        <v>19</v>
      </c>
      <c r="N449" s="109" t="n">
        <v>27.87</v>
      </c>
      <c r="O449" s="109" t="n">
        <v>49.95</v>
      </c>
      <c r="P449" s="109">
        <f>IF(AND(ISNUMBER(O449),ISNUMBER(N449),N(N449)&gt;0),O449/N449-1,"")</f>
        <v/>
      </c>
      <c r="Q449" s="109" t="n">
        <v>20.41153846153846</v>
      </c>
      <c r="R449" s="109">
        <f>IF(AND(ISNUMBER(N449),ISNUMBER(Q449),N(Q449)&gt;0),N449/Q449-1,"")</f>
        <v/>
      </c>
      <c r="S449" s="109" t="n">
        <v>9693</v>
      </c>
      <c r="T449" s="109" t="n">
        <v>347</v>
      </c>
      <c r="U449" s="109" t="n">
        <v>4.4</v>
      </c>
      <c r="V449" s="109" t="n">
        <v>1225</v>
      </c>
      <c r="W449" s="109" t="n">
        <v>150410</v>
      </c>
      <c r="X449" s="109" t="n">
        <v>0.7120334106774815</v>
      </c>
      <c r="Y449" s="109" t="n">
        <v>10</v>
      </c>
      <c r="Z449" s="109" t="n">
        <v>36</v>
      </c>
      <c r="AA449" s="109" t="n">
        <v>227</v>
      </c>
      <c r="AB449" s="109" t="n">
        <v>0.8843343432543218</v>
      </c>
      <c r="AC449" s="109" t="inlineStr">
        <is>
          <t>US SL Mask Velcro</t>
        </is>
      </c>
      <c r="AD449" s="109">
        <f>'US SL Mask Velcro'!BC47</f>
        <v/>
      </c>
      <c r="AE449" s="109">
        <f>'US SL Mask Velcro'!BF47</f>
        <v/>
      </c>
      <c r="AF449" s="109" t="n"/>
      <c r="AG449" s="109" t="n"/>
    </row>
    <row r="450">
      <c r="A450" s="109">
        <f>AND(OR(Dashboard!$C$4="All",Dashboard!$C$4=D450),OR(Dashboard!$C$5="All",Dashboard!$C$5=E450),OR(Dashboard!$C$6="All",Dashboard!$C$6=G450),OR(Dashboard!$C$7="All",Dashboard!$C$7=H450),OR(Dashboard!$C$8="All",Dashboard!$C$8=F450))</f>
        <v/>
      </c>
      <c r="B450" s="109">
        <f>IF(A450,B449+1,B449)</f>
        <v/>
      </c>
      <c r="C450" s="109" t="n">
        <v>57</v>
      </c>
      <c r="D450" s="109" t="inlineStr">
        <is>
          <t>SL Mask Velcro</t>
        </is>
      </c>
      <c r="E450" s="109" t="inlineStr">
        <is>
          <t>US</t>
        </is>
      </c>
      <c r="F450" s="109" t="inlineStr">
        <is>
          <t>Silk</t>
        </is>
      </c>
      <c r="G450" s="109" t="inlineStr">
        <is>
          <t>SECZIPE</t>
        </is>
      </c>
      <c r="H450" s="109" t="inlineStr">
        <is>
          <t>Beatable</t>
        </is>
      </c>
      <c r="I450" s="109" t="inlineStr">
        <is>
          <t>SECZIPE 100% Mulberry Silk Sleep Mask Eye Mask for Women Man with Adjustable Band, for Side Sleeper Blackout Sleep Mask for Travel Rest and Office Large Size (Taupe)</t>
        </is>
      </c>
      <c r="J450" s="109" t="inlineStr">
        <is>
          <t>https://images-na.ssl-images-amazon.com/images/I/61GwSG1wveL.jpg</t>
        </is>
      </c>
      <c r="K450" s="109" t="inlineStr">
        <is>
          <t>B0C6DZRBWV</t>
        </is>
      </c>
      <c r="L450" s="109" t="inlineStr">
        <is>
          <t>B0C6DYG511</t>
        </is>
      </c>
      <c r="M450" s="109" t="n">
        <v>5</v>
      </c>
      <c r="N450" s="109" t="n">
        <v>22.99</v>
      </c>
      <c r="O450" s="109" t="n"/>
      <c r="P450" s="109">
        <f>IF(AND(ISNUMBER(O450),ISNUMBER(N450),N(N450)&gt;0),O450/N450-1,"")</f>
        <v/>
      </c>
      <c r="Q450" s="109" t="n">
        <v>20.41153846153846</v>
      </c>
      <c r="R450" s="109">
        <f>IF(AND(ISNUMBER(N450),ISNUMBER(Q450),N(Q450)&gt;0),N450/Q450-1,"")</f>
        <v/>
      </c>
      <c r="S450" s="109" t="n">
        <v>18076</v>
      </c>
      <c r="T450" s="109" t="n">
        <v>220</v>
      </c>
      <c r="U450" s="109" t="n">
        <v>4.5</v>
      </c>
      <c r="V450" s="109" t="n">
        <v>867</v>
      </c>
      <c r="W450" s="109" t="n">
        <v>190502</v>
      </c>
      <c r="X450" s="109" t="n">
        <v>0.3638504939580689</v>
      </c>
      <c r="Y450" s="109" t="n">
        <v>8</v>
      </c>
      <c r="Z450" s="109" t="n">
        <v>39</v>
      </c>
      <c r="AA450" s="109" t="n">
        <v>417</v>
      </c>
      <c r="AB450" s="109" t="n">
        <v>0.9280217292892712</v>
      </c>
      <c r="AC450" s="109" t="inlineStr">
        <is>
          <t>US SL Mask Velcro</t>
        </is>
      </c>
      <c r="AD450" s="109">
        <f>'US SL Mask Velcro'!BC48</f>
        <v/>
      </c>
      <c r="AE450" s="109">
        <f>'US SL Mask Velcro'!BF48</f>
        <v/>
      </c>
      <c r="AF450" s="109" t="n"/>
      <c r="AG450" s="109" t="inlineStr">
        <is>
          <t>Taupe</t>
        </is>
      </c>
    </row>
    <row r="451">
      <c r="A451" s="109">
        <f>AND(OR(Dashboard!$C$4="All",Dashboard!$C$4=D451),OR(Dashboard!$C$5="All",Dashboard!$C$5=E451),OR(Dashboard!$C$6="All",Dashboard!$C$6=G451),OR(Dashboard!$C$7="All",Dashboard!$C$7=H451),OR(Dashboard!$C$8="All",Dashboard!$C$8=F451))</f>
        <v/>
      </c>
      <c r="B451" s="109">
        <f>IF(A451,B450+1,B450)</f>
        <v/>
      </c>
      <c r="C451" s="109" t="n">
        <v>57</v>
      </c>
      <c r="D451" s="109" t="inlineStr">
        <is>
          <t>SL Mask Velcro</t>
        </is>
      </c>
      <c r="E451" s="109" t="inlineStr">
        <is>
          <t>US</t>
        </is>
      </c>
      <c r="F451" s="109" t="inlineStr">
        <is>
          <t>Silk</t>
        </is>
      </c>
      <c r="G451" s="109" t="inlineStr">
        <is>
          <t>Umisleep Store</t>
        </is>
      </c>
      <c r="H451" s="109" t="inlineStr">
        <is>
          <t>Beatable</t>
        </is>
      </c>
      <c r="I451" s="109" t="inlineStr">
        <is>
          <t>SS Silk Sleep Mask</t>
        </is>
      </c>
      <c r="J451" s="109" t="n"/>
      <c r="K451" s="109" t="inlineStr">
        <is>
          <t>B0FBWPMZHX</t>
        </is>
      </c>
      <c r="L451" s="109" t="inlineStr">
        <is>
          <t>B0F7R9NPSW</t>
        </is>
      </c>
      <c r="M451" s="109" t="n">
        <v>3</v>
      </c>
      <c r="N451" s="109" t="n">
        <v>17.99</v>
      </c>
      <c r="O451" s="109" t="n">
        <v>18.99</v>
      </c>
      <c r="P451" s="109">
        <f>IF(AND(ISNUMBER(O451),ISNUMBER(N451),N(N451)&gt;0),O451/N451-1,"")</f>
        <v/>
      </c>
      <c r="Q451" s="109" t="n">
        <v>20.41153846153846</v>
      </c>
      <c r="R451" s="109">
        <f>IF(AND(ISNUMBER(N451),ISNUMBER(Q451),N(Q451)&gt;0),N451/Q451-1,"")</f>
        <v/>
      </c>
      <c r="S451" s="109" t="n">
        <v>31138</v>
      </c>
      <c r="T451" s="109" t="n">
        <v>173</v>
      </c>
      <c r="U451" s="109" t="n">
        <v>4.5</v>
      </c>
      <c r="V451" s="109" t="n">
        <v>402</v>
      </c>
      <c r="W451" s="109" t="n">
        <v>66655</v>
      </c>
      <c r="X451" s="109" t="n">
        <v>0.5586979461405747</v>
      </c>
      <c r="Y451" s="109" t="n">
        <v>7</v>
      </c>
      <c r="Z451" s="109" t="n">
        <v>37</v>
      </c>
      <c r="AA451" s="109" t="n">
        <v>178</v>
      </c>
      <c r="AB451" s="109" t="n">
        <v>0.9713988559542381</v>
      </c>
      <c r="AC451" s="109" t="inlineStr">
        <is>
          <t>US SL Mask Velcro</t>
        </is>
      </c>
      <c r="AD451" s="109">
        <f>'US SL Mask Velcro'!BC49</f>
        <v/>
      </c>
      <c r="AE451" s="109">
        <f>'US SL Mask Velcro'!BF49</f>
        <v/>
      </c>
      <c r="AF451" s="109" t="n"/>
      <c r="AG451" s="109" t="n"/>
    </row>
    <row r="452">
      <c r="A452" s="109">
        <f>AND(OR(Dashboard!$C$4="All",Dashboard!$C$4=D452),OR(Dashboard!$C$5="All",Dashboard!$C$5=E452),OR(Dashboard!$C$6="All",Dashboard!$C$6=G452),OR(Dashboard!$C$7="All",Dashboard!$C$7=H452),OR(Dashboard!$C$8="All",Dashboard!$C$8=F452))</f>
        <v/>
      </c>
      <c r="B452" s="109">
        <f>IF(A452,B451+1,B451)</f>
        <v/>
      </c>
      <c r="C452" s="109" t="n">
        <v>57</v>
      </c>
      <c r="D452" s="109" t="inlineStr">
        <is>
          <t>SL Mask Velcro</t>
        </is>
      </c>
      <c r="E452" s="109" t="inlineStr">
        <is>
          <t>US</t>
        </is>
      </c>
      <c r="F452" s="109" t="inlineStr">
        <is>
          <t>Silk</t>
        </is>
      </c>
      <c r="G452" s="109" t="inlineStr">
        <is>
          <t>ATreebay</t>
        </is>
      </c>
      <c r="H452" s="109" t="inlineStr">
        <is>
          <t>Beatable</t>
        </is>
      </c>
      <c r="I452" s="109" t="inlineStr">
        <is>
          <t>SS Silk Sleep Mask</t>
        </is>
      </c>
      <c r="J452" s="109" t="inlineStr">
        <is>
          <t>https://images-na.ssl-images-amazon.com/images/I/71VepaC3F7L.jpg</t>
        </is>
      </c>
      <c r="K452" s="109" t="inlineStr">
        <is>
          <t>B0DFGZZ7F1</t>
        </is>
      </c>
      <c r="L452" s="109" t="inlineStr">
        <is>
          <t>B0DFGZPP7K</t>
        </is>
      </c>
      <c r="M452" s="109" t="n">
        <v>5</v>
      </c>
      <c r="N452" s="109" t="n">
        <v>22.99</v>
      </c>
      <c r="O452" s="109" t="n"/>
      <c r="P452" s="109">
        <f>IF(AND(ISNUMBER(O452),ISNUMBER(N452),N(N452)&gt;0),O452/N452-1,"")</f>
        <v/>
      </c>
      <c r="Q452" s="109" t="n">
        <v>20.41153846153846</v>
      </c>
      <c r="R452" s="109">
        <f>IF(AND(ISNUMBER(N452),ISNUMBER(Q452),N(Q452)&gt;0),N452/Q452-1,"")</f>
        <v/>
      </c>
      <c r="S452" s="109" t="n">
        <v>30513</v>
      </c>
      <c r="T452" s="109" t="n">
        <v>92</v>
      </c>
      <c r="U452" s="109" t="n">
        <v>4.5</v>
      </c>
      <c r="V452" s="109" t="n">
        <v>345</v>
      </c>
      <c r="W452" s="109" t="n">
        <v>81189</v>
      </c>
      <c r="X452" s="109" t="n">
        <v>0.6977105777876312</v>
      </c>
      <c r="Y452" s="109" t="n">
        <v>8</v>
      </c>
      <c r="Z452" s="109" t="n">
        <v>34</v>
      </c>
      <c r="AA452" s="109" t="n">
        <v>38</v>
      </c>
      <c r="AB452" s="109" t="n">
        <v>2.084468664850136</v>
      </c>
      <c r="AC452" s="109" t="inlineStr">
        <is>
          <t>US SL Mask Velcro</t>
        </is>
      </c>
      <c r="AD452" s="109">
        <f>'US SL Mask Velcro'!BC50</f>
        <v/>
      </c>
      <c r="AE452" s="109">
        <f>'US SL Mask Velcro'!BF50</f>
        <v/>
      </c>
      <c r="AF452" s="109" t="n"/>
      <c r="AG452" s="109" t="n"/>
    </row>
    <row r="453">
      <c r="A453" s="109">
        <f>AND(OR(Dashboard!$C$4="All",Dashboard!$C$4=D453),OR(Dashboard!$C$5="All",Dashboard!$C$5=E453),OR(Dashboard!$C$6="All",Dashboard!$C$6=G453),OR(Dashboard!$C$7="All",Dashboard!$C$7=H453),OR(Dashboard!$C$8="All",Dashboard!$C$8=F453))</f>
        <v/>
      </c>
      <c r="B453" s="109">
        <f>IF(A453,B452+1,B452)</f>
        <v/>
      </c>
      <c r="C453" s="109" t="n">
        <v>57</v>
      </c>
      <c r="D453" s="109" t="inlineStr">
        <is>
          <t>SL Mask Velcro</t>
        </is>
      </c>
      <c r="E453" s="109" t="inlineStr">
        <is>
          <t>US</t>
        </is>
      </c>
      <c r="F453" s="109" t="inlineStr">
        <is>
          <t>Silk</t>
        </is>
      </c>
      <c r="G453" s="109" t="inlineStr">
        <is>
          <t>YFONG</t>
        </is>
      </c>
      <c r="H453" s="109" t="inlineStr">
        <is>
          <t>Beatable</t>
        </is>
      </c>
      <c r="I453" s="109" t="inlineStr">
        <is>
          <t>SS Silk Sleep Mask</t>
        </is>
      </c>
      <c r="J453" s="109" t="n"/>
      <c r="K453" s="109" t="inlineStr">
        <is>
          <t>B0D4Q3KB7S</t>
        </is>
      </c>
      <c r="L453" s="109" t="inlineStr">
        <is>
          <t>B0D4PKVNWB</t>
        </is>
      </c>
      <c r="M453" s="109" t="n"/>
      <c r="N453" s="109" t="n">
        <v>14.99</v>
      </c>
      <c r="O453" s="109" t="n"/>
      <c r="P453" s="109">
        <f>IF(AND(ISNUMBER(O453),ISNUMBER(N453),N(N453)&gt;0),O453/N453-1,"")</f>
        <v/>
      </c>
      <c r="Q453" s="109" t="n">
        <v>20.41153846153846</v>
      </c>
      <c r="R453" s="109">
        <f>IF(AND(ISNUMBER(N453),ISNUMBER(Q453),N(Q453)&gt;0),N453/Q453-1,"")</f>
        <v/>
      </c>
      <c r="S453" s="109" t="n">
        <v>47070</v>
      </c>
      <c r="T453" s="109" t="n"/>
      <c r="U453" s="109" t="n">
        <v>4.3</v>
      </c>
      <c r="V453" s="109" t="n">
        <v>272</v>
      </c>
      <c r="W453" s="109" t="n"/>
      <c r="X453" s="109" t="n"/>
      <c r="Y453" s="109" t="n"/>
      <c r="Z453" s="109" t="n"/>
      <c r="AA453" s="109" t="n"/>
      <c r="AB453" s="109" t="n">
        <v>1.057692307692308</v>
      </c>
      <c r="AC453" s="109" t="inlineStr">
        <is>
          <t>US SL Mask Velcro</t>
        </is>
      </c>
      <c r="AD453" s="109">
        <f>'US SL Mask Velcro'!BC51</f>
        <v/>
      </c>
      <c r="AE453" s="109">
        <f>'US SL Mask Velcro'!BF51</f>
        <v/>
      </c>
      <c r="AF453" s="109" t="n"/>
      <c r="AG453" s="109" t="n"/>
    </row>
    <row r="454">
      <c r="A454" s="109">
        <f>AND(OR(Dashboard!$C$4="All",Dashboard!$C$4=D454),OR(Dashboard!$C$5="All",Dashboard!$C$5=E454),OR(Dashboard!$C$6="All",Dashboard!$C$6=G454),OR(Dashboard!$C$7="All",Dashboard!$C$7=H454),OR(Dashboard!$C$8="All",Dashboard!$C$8=F454))</f>
        <v/>
      </c>
      <c r="B454" s="109">
        <f>IF(A454,B453+1,B453)</f>
        <v/>
      </c>
      <c r="C454" s="109" t="n">
        <v>57</v>
      </c>
      <c r="D454" s="109" t="inlineStr">
        <is>
          <t>SL Mask Velcro</t>
        </is>
      </c>
      <c r="E454" s="109" t="inlineStr">
        <is>
          <t>US</t>
        </is>
      </c>
      <c r="F454" s="109" t="inlineStr">
        <is>
          <t>Silk</t>
        </is>
      </c>
      <c r="G454" s="109" t="inlineStr">
        <is>
          <t>LitBear</t>
        </is>
      </c>
      <c r="H454" s="109" t="inlineStr">
        <is>
          <t>Untiered</t>
        </is>
      </c>
      <c r="I454" s="109" t="inlineStr">
        <is>
          <t>SS Silk Sleep Mask</t>
        </is>
      </c>
      <c r="J454" s="109" t="n"/>
      <c r="K454" s="109" t="inlineStr">
        <is>
          <t>B09YQ2GFGB</t>
        </is>
      </c>
      <c r="L454" s="109" t="inlineStr">
        <is>
          <t>B09H7FZ5JM</t>
        </is>
      </c>
      <c r="M454" s="109" t="n"/>
      <c r="N454" s="109" t="n">
        <v>12.95</v>
      </c>
      <c r="O454" s="109" t="n">
        <v>14.39</v>
      </c>
      <c r="P454" s="109">
        <f>IF(AND(ISNUMBER(O454),ISNUMBER(N454),N(N454)&gt;0),O454/N454-1,"")</f>
        <v/>
      </c>
      <c r="Q454" s="109" t="n">
        <v>20.41153846153846</v>
      </c>
      <c r="R454" s="109">
        <f>IF(AND(ISNUMBER(N454),ISNUMBER(Q454),N(Q454)&gt;0),N454/Q454-1,"")</f>
        <v/>
      </c>
      <c r="S454" s="109" t="n">
        <v>1574</v>
      </c>
      <c r="T454" s="109" t="n">
        <v>3464</v>
      </c>
      <c r="U454" s="109" t="n">
        <v>4.7</v>
      </c>
      <c r="V454" s="109" t="n">
        <v>17354</v>
      </c>
      <c r="W454" s="109" t="n"/>
      <c r="X454" s="109" t="n"/>
      <c r="Y454" s="109" t="n"/>
      <c r="Z454" s="109" t="n"/>
      <c r="AA454" s="109" t="n"/>
      <c r="AB454" s="109" t="n">
        <v>0.9930349542112731</v>
      </c>
      <c r="AC454" s="109" t="inlineStr">
        <is>
          <t>US SL Mask Velcro</t>
        </is>
      </c>
      <c r="AD454" s="109">
        <f>'US SL Mask Velcro'!BC52</f>
        <v/>
      </c>
      <c r="AE454" s="109">
        <f>'US SL Mask Velcro'!BF52</f>
        <v/>
      </c>
      <c r="AF454" s="109" t="n"/>
      <c r="AG454" s="109" t="n"/>
    </row>
    <row r="455">
      <c r="A455" s="109">
        <f>AND(OR(Dashboard!$C$4="All",Dashboard!$C$4=D455),OR(Dashboard!$C$5="All",Dashboard!$C$5=E455),OR(Dashboard!$C$6="All",Dashboard!$C$6=G455),OR(Dashboard!$C$7="All",Dashboard!$C$7=H455),OR(Dashboard!$C$8="All",Dashboard!$C$8=F455))</f>
        <v/>
      </c>
      <c r="B455" s="109">
        <f>IF(A455,B454+1,B454)</f>
        <v/>
      </c>
      <c r="C455" s="109" t="n">
        <v>57</v>
      </c>
      <c r="D455" s="109" t="inlineStr">
        <is>
          <t>SL Mask Velcro</t>
        </is>
      </c>
      <c r="E455" s="109" t="inlineStr">
        <is>
          <t>US</t>
        </is>
      </c>
      <c r="F455" s="109" t="inlineStr">
        <is>
          <t>Silk</t>
        </is>
      </c>
      <c r="G455" s="109" t="inlineStr">
        <is>
          <t>Kitsch</t>
        </is>
      </c>
      <c r="H455" s="109" t="inlineStr">
        <is>
          <t>Untiered</t>
        </is>
      </c>
      <c r="I455" s="109" t="inlineStr">
        <is>
          <t>SS Silk Sleep Mask</t>
        </is>
      </c>
      <c r="J455" s="109" t="n"/>
      <c r="K455" s="109" t="inlineStr">
        <is>
          <t>B0FNPM9ZM4</t>
        </is>
      </c>
      <c r="L455" s="109" t="inlineStr">
        <is>
          <t>B09GYPT47K</t>
        </is>
      </c>
      <c r="M455" s="109" t="n"/>
      <c r="N455" s="109" t="n">
        <v>17.99</v>
      </c>
      <c r="O455" s="109" t="n">
        <v>17.99</v>
      </c>
      <c r="P455" s="109">
        <f>IF(AND(ISNUMBER(O455),ISNUMBER(N455),N(N455)&gt;0),O455/N455-1,"")</f>
        <v/>
      </c>
      <c r="Q455" s="109" t="n">
        <v>20.41153846153846</v>
      </c>
      <c r="R455" s="109">
        <f>IF(AND(ISNUMBER(N455),ISNUMBER(Q455),N(Q455)&gt;0),N455/Q455-1,"")</f>
        <v/>
      </c>
      <c r="S455" s="109" t="n">
        <v>1837</v>
      </c>
      <c r="T455" s="109" t="n">
        <v>1848</v>
      </c>
      <c r="U455" s="109" t="n">
        <v>4.3</v>
      </c>
      <c r="V455" s="109" t="n">
        <v>1648</v>
      </c>
      <c r="W455" s="109" t="n"/>
      <c r="X455" s="109" t="n"/>
      <c r="Y455" s="109" t="n"/>
      <c r="Z455" s="109" t="n"/>
      <c r="AA455" s="109" t="n"/>
      <c r="AB455" s="109" t="n"/>
      <c r="AC455" s="109" t="inlineStr">
        <is>
          <t>US SL Mask Velcro</t>
        </is>
      </c>
      <c r="AD455" s="109">
        <f>'US SL Mask Velcro'!BC53</f>
        <v/>
      </c>
      <c r="AE455" s="109">
        <f>'US SL Mask Velcro'!BF53</f>
        <v/>
      </c>
      <c r="AF455" s="109" t="n"/>
      <c r="AG455" s="109" t="n"/>
    </row>
    <row r="456">
      <c r="A456" s="109">
        <f>AND(OR(Dashboard!$C$4="All",Dashboard!$C$4=D456),OR(Dashboard!$C$5="All",Dashboard!$C$5=E456),OR(Dashboard!$C$6="All",Dashboard!$C$6=G456),OR(Dashboard!$C$7="All",Dashboard!$C$7=H456),OR(Dashboard!$C$8="All",Dashboard!$C$8=F456))</f>
        <v/>
      </c>
      <c r="B456" s="109">
        <f>IF(A456,B455+1,B455)</f>
        <v/>
      </c>
      <c r="C456" s="109" t="n">
        <v>57</v>
      </c>
      <c r="D456" s="109" t="inlineStr">
        <is>
          <t>SL Mask Velcro</t>
        </is>
      </c>
      <c r="E456" s="109" t="inlineStr">
        <is>
          <t>US</t>
        </is>
      </c>
      <c r="F456" s="109" t="inlineStr">
        <is>
          <t>Silk</t>
        </is>
      </c>
      <c r="G456" s="109" t="inlineStr">
        <is>
          <t>spacepower</t>
        </is>
      </c>
      <c r="H456" s="109" t="inlineStr">
        <is>
          <t>Untiered</t>
        </is>
      </c>
      <c r="I456" s="109" t="inlineStr">
        <is>
          <t>SS Silk Sleep Mask</t>
        </is>
      </c>
      <c r="J456" s="109" t="n"/>
      <c r="K456" s="109" t="inlineStr">
        <is>
          <t>B0H9RJ7HSY</t>
        </is>
      </c>
      <c r="L456" s="109" t="inlineStr">
        <is>
          <t>B07J41LJJZ</t>
        </is>
      </c>
      <c r="M456" s="109" t="n"/>
      <c r="N456" s="109" t="n">
        <v>4.99</v>
      </c>
      <c r="O456" s="109" t="n"/>
      <c r="P456" s="109">
        <f>IF(AND(ISNUMBER(O456),ISNUMBER(N456),N(N456)&gt;0),O456/N456-1,"")</f>
        <v/>
      </c>
      <c r="Q456" s="109" t="n">
        <v>20.41153846153846</v>
      </c>
      <c r="R456" s="109">
        <f>IF(AND(ISNUMBER(N456),ISNUMBER(Q456),N(Q456)&gt;0),N456/Q456-1,"")</f>
        <v/>
      </c>
      <c r="S456" s="109" t="n">
        <v>8110</v>
      </c>
      <c r="T456" s="109" t="n">
        <v>809</v>
      </c>
      <c r="U456" s="109" t="n">
        <v>4.6</v>
      </c>
      <c r="V456" s="109" t="n">
        <v>5889</v>
      </c>
      <c r="W456" s="109" t="n"/>
      <c r="X456" s="109" t="n"/>
      <c r="Y456" s="109" t="n"/>
      <c r="Z456" s="109" t="n"/>
      <c r="AA456" s="109" t="n"/>
      <c r="AB456" s="109" t="n"/>
      <c r="AC456" s="109" t="inlineStr">
        <is>
          <t>US SL Mask Velcro</t>
        </is>
      </c>
      <c r="AD456" s="109">
        <f>'US SL Mask Velcro'!BC54</f>
        <v/>
      </c>
      <c r="AE456" s="109">
        <f>'US SL Mask Velcro'!BF54</f>
        <v/>
      </c>
      <c r="AF456" s="109" t="n"/>
      <c r="AG456" s="109" t="n"/>
    </row>
    <row r="457">
      <c r="A457" s="109">
        <f>AND(OR(Dashboard!$C$4="All",Dashboard!$C$4=D457),OR(Dashboard!$C$5="All",Dashboard!$C$5=E457),OR(Dashboard!$C$6="All",Dashboard!$C$6=G457),OR(Dashboard!$C$7="All",Dashboard!$C$7=H457),OR(Dashboard!$C$8="All",Dashboard!$C$8=F457))</f>
        <v/>
      </c>
      <c r="B457" s="109">
        <f>IF(A457,B456+1,B456)</f>
        <v/>
      </c>
      <c r="C457" s="109" t="n">
        <v>57</v>
      </c>
      <c r="D457" s="109" t="inlineStr">
        <is>
          <t>SL Mask Velcro</t>
        </is>
      </c>
      <c r="E457" s="109" t="inlineStr">
        <is>
          <t>US</t>
        </is>
      </c>
      <c r="F457" s="109" t="inlineStr">
        <is>
          <t>Silk</t>
        </is>
      </c>
      <c r="G457" s="109" t="inlineStr">
        <is>
          <t>Jersey Slumber</t>
        </is>
      </c>
      <c r="H457" s="109" t="inlineStr">
        <is>
          <t>Untiered</t>
        </is>
      </c>
      <c r="I457" s="109" t="inlineStr">
        <is>
          <t>SS Silk Sleep Mask</t>
        </is>
      </c>
      <c r="J457" s="109" t="n"/>
      <c r="K457" s="109" t="inlineStr">
        <is>
          <t>B0D4MHYD6C</t>
        </is>
      </c>
      <c r="L457" s="109" t="inlineStr">
        <is>
          <t>B014VYD7NW</t>
        </is>
      </c>
      <c r="M457" s="109" t="n"/>
      <c r="N457" s="109" t="n">
        <v>8.890000000000001</v>
      </c>
      <c r="O457" s="109" t="n"/>
      <c r="P457" s="109">
        <f>IF(AND(ISNUMBER(O457),ISNUMBER(N457),N(N457)&gt;0),O457/N457-1,"")</f>
        <v/>
      </c>
      <c r="Q457" s="109" t="n">
        <v>20.41153846153846</v>
      </c>
      <c r="R457" s="109">
        <f>IF(AND(ISNUMBER(N457),ISNUMBER(Q457),N(Q457)&gt;0),N457/Q457-1,"")</f>
        <v/>
      </c>
      <c r="S457" s="109" t="n">
        <v>25636</v>
      </c>
      <c r="T457" s="109" t="n">
        <v>220</v>
      </c>
      <c r="U457" s="109" t="n">
        <v>4.5</v>
      </c>
      <c r="V457" s="109" t="n">
        <v>28100</v>
      </c>
      <c r="W457" s="109" t="n"/>
      <c r="X457" s="109" t="n"/>
      <c r="Y457" s="109" t="n"/>
      <c r="Z457" s="109" t="n"/>
      <c r="AA457" s="109" t="n"/>
      <c r="AB457" s="109" t="n">
        <v>0.7335907335907336</v>
      </c>
      <c r="AC457" s="109" t="inlineStr">
        <is>
          <t>US SL Mask Velcro</t>
        </is>
      </c>
      <c r="AD457" s="109">
        <f>'US SL Mask Velcro'!BC55</f>
        <v/>
      </c>
      <c r="AE457" s="109">
        <f>'US SL Mask Velcro'!BF55</f>
        <v/>
      </c>
      <c r="AF457" s="109" t="n"/>
      <c r="AG457" s="109" t="n"/>
    </row>
    <row r="458">
      <c r="A458" s="109">
        <f>AND(OR(Dashboard!$C$4="All",Dashboard!$C$4=D458),OR(Dashboard!$C$5="All",Dashboard!$C$5=E458),OR(Dashboard!$C$6="All",Dashboard!$C$6=G458),OR(Dashboard!$C$7="All",Dashboard!$C$7=H458),OR(Dashboard!$C$8="All",Dashboard!$C$8=F458))</f>
        <v/>
      </c>
      <c r="B458" s="109">
        <f>IF(A458,B457+1,B457)</f>
        <v/>
      </c>
      <c r="C458" s="109" t="n">
        <v>48</v>
      </c>
      <c r="D458" s="109" t="inlineStr">
        <is>
          <t>DC Cooling 4pc</t>
        </is>
      </c>
      <c r="E458" s="109" t="inlineStr">
        <is>
          <t>US</t>
        </is>
      </c>
      <c r="F458" s="109" t="inlineStr">
        <is>
          <t>Cooling</t>
        </is>
      </c>
      <c r="G458" s="109" t="inlineStr">
        <is>
          <t>Pure Bamboo</t>
        </is>
      </c>
      <c r="H458" s="109" t="inlineStr">
        <is>
          <t>Aspirational</t>
        </is>
      </c>
      <c r="I458" s="109" t="inlineStr">
        <is>
          <t>Pure Bamboo King Sheets, Genuine 100% Organic Viscose Derived from Bamboo Bed Sheet Set, Luxuriously Soft &amp; Cooling, Double Stitching, 2 Year Quality Promise (King, Ivory)</t>
        </is>
      </c>
      <c r="J458" s="109" t="inlineStr">
        <is>
          <t>https://images-na.ssl-images-amazon.com/images/I/91dfner9BkL.jpg</t>
        </is>
      </c>
      <c r="K458" s="109" t="inlineStr">
        <is>
          <t>B0CZQ52MTQ</t>
        </is>
      </c>
      <c r="L458" s="109" t="inlineStr">
        <is>
          <t>B07DZTQ4JC</t>
        </is>
      </c>
      <c r="M458" s="109" t="n">
        <v>181</v>
      </c>
      <c r="N458" s="109" t="n">
        <v>109.99</v>
      </c>
      <c r="O458" s="109" t="n"/>
      <c r="P458" s="109">
        <f>IF(AND(ISNUMBER(O458),ISNUMBER(N458),N(N458)&gt;0),O458/N458-1,"")</f>
        <v/>
      </c>
      <c r="Q458" s="109" t="n">
        <v>39.95</v>
      </c>
      <c r="R458" s="109">
        <f>IF(AND(ISNUMBER(N458),ISNUMBER(Q458),N(Q458)&gt;0),N458/Q458-1,"")</f>
        <v/>
      </c>
      <c r="S458" s="109" t="n">
        <v>304</v>
      </c>
      <c r="T458" s="109" t="n">
        <v>809</v>
      </c>
      <c r="U458" s="109" t="n">
        <v>4.5</v>
      </c>
      <c r="V458" s="109" t="n">
        <v>21927</v>
      </c>
      <c r="W458" s="109" t="n">
        <v>2565055</v>
      </c>
      <c r="X458" s="109" t="n">
        <v>0.4648594811807159</v>
      </c>
      <c r="Y458" s="109" t="n">
        <v>8</v>
      </c>
      <c r="Z458" s="109" t="n">
        <v>359</v>
      </c>
      <c r="AA458" s="109" t="n">
        <v>3779</v>
      </c>
      <c r="AB458" s="109" t="n">
        <v>1.180104147961932</v>
      </c>
      <c r="AC458" s="109" t="inlineStr">
        <is>
          <t>US DC Cooling 4pc</t>
        </is>
      </c>
      <c r="AD458" s="109">
        <f>'US DC Cooling 4pc'!BC104</f>
        <v/>
      </c>
      <c r="AE458" s="109">
        <f>'US DC Cooling 4pc'!BF104</f>
        <v/>
      </c>
      <c r="AF458" s="109" t="inlineStr">
        <is>
          <t>King</t>
        </is>
      </c>
      <c r="AG458" s="109" t="inlineStr">
        <is>
          <t>Ivory</t>
        </is>
      </c>
    </row>
    <row r="459">
      <c r="A459" s="109">
        <f>AND(OR(Dashboard!$C$4="All",Dashboard!$C$4=D459),OR(Dashboard!$C$5="All",Dashboard!$C$5=E459),OR(Dashboard!$C$6="All",Dashboard!$C$6=G459),OR(Dashboard!$C$7="All",Dashboard!$C$7=H459),OR(Dashboard!$C$8="All",Dashboard!$C$8=F459))</f>
        <v/>
      </c>
      <c r="B459" s="109">
        <f>IF(A459,B458+1,B458)</f>
        <v/>
      </c>
      <c r="C459" s="109" t="n">
        <v>48</v>
      </c>
      <c r="D459" s="109" t="inlineStr">
        <is>
          <t>DC Cooling 4pc</t>
        </is>
      </c>
      <c r="E459" s="109" t="inlineStr">
        <is>
          <t>US</t>
        </is>
      </c>
      <c r="F459" s="109" t="inlineStr">
        <is>
          <t>Cooling</t>
        </is>
      </c>
      <c r="G459" s="109" t="inlineStr">
        <is>
          <t>Hotel Sheets Direct</t>
        </is>
      </c>
      <c r="H459" s="109" t="inlineStr">
        <is>
          <t>Aspirational</t>
        </is>
      </c>
      <c r="I459" s="109" t="inlineStr">
        <is>
          <t>Hotel Sheets Direct 4 Piece Bed Sheet Set Queen Size, 100% Viscose Derived from Bamboo Sheets Set with 2 Pillowcases, Cooling &amp; Breathable Luxury Bedding, Moisture-Wicking &amp; Silky Soft Texture, White</t>
        </is>
      </c>
      <c r="J459" s="109" t="inlineStr">
        <is>
          <t>https://images-na.ssl-images-amazon.com/images/I/71oEhkRYQ+L.jpg</t>
        </is>
      </c>
      <c r="K459" s="109" t="inlineStr">
        <is>
          <t>B0G5N99X9R</t>
        </is>
      </c>
      <c r="L459" s="109" t="inlineStr">
        <is>
          <t>B01N9L2O9P</t>
        </is>
      </c>
      <c r="M459" s="109" t="n">
        <v>61</v>
      </c>
      <c r="N459" s="109" t="n">
        <v>79.98999999999999</v>
      </c>
      <c r="O459" s="109" t="n"/>
      <c r="P459" s="109">
        <f>IF(AND(ISNUMBER(O459),ISNUMBER(N459),N(N459)&gt;0),O459/N459-1,"")</f>
        <v/>
      </c>
      <c r="Q459" s="109" t="n">
        <v>37.95</v>
      </c>
      <c r="R459" s="109">
        <f>IF(AND(ISNUMBER(N459),ISNUMBER(Q459),N(Q459)&gt;0),N459/Q459-1,"")</f>
        <v/>
      </c>
      <c r="S459" s="109" t="n">
        <v>2984</v>
      </c>
      <c r="T459" s="109" t="n">
        <v>347</v>
      </c>
      <c r="U459" s="109" t="n">
        <v>4.4</v>
      </c>
      <c r="V459" s="109" t="n">
        <v>37179</v>
      </c>
      <c r="W459" s="109" t="n">
        <v>451969</v>
      </c>
      <c r="X459" s="109" t="n">
        <v>0.6071584272372669</v>
      </c>
      <c r="Y459" s="109" t="n">
        <v>44</v>
      </c>
      <c r="Z459" s="109" t="n">
        <v>306</v>
      </c>
      <c r="AA459" s="109" t="n">
        <v>952</v>
      </c>
      <c r="AB459" s="109" t="n">
        <v>1.799620493358634</v>
      </c>
      <c r="AC459" s="109" t="inlineStr">
        <is>
          <t>US DC Cooling 4pc</t>
        </is>
      </c>
      <c r="AD459" s="109">
        <f>'US DC Cooling 4pc'!BC105</f>
        <v/>
      </c>
      <c r="AE459" s="109">
        <f>'US DC Cooling 4pc'!BF105</f>
        <v/>
      </c>
      <c r="AF459" s="109" t="inlineStr">
        <is>
          <t>Queen</t>
        </is>
      </c>
      <c r="AG459" s="109" t="inlineStr">
        <is>
          <t>White</t>
        </is>
      </c>
    </row>
    <row r="460">
      <c r="A460" s="109">
        <f>AND(OR(Dashboard!$C$4="All",Dashboard!$C$4=D460),OR(Dashboard!$C$5="All",Dashboard!$C$5=E460),OR(Dashboard!$C$6="All",Dashboard!$C$6=G460),OR(Dashboard!$C$7="All",Dashboard!$C$7=H460),OR(Dashboard!$C$8="All",Dashboard!$C$8=F460))</f>
        <v/>
      </c>
      <c r="B460" s="109">
        <f>IF(A460,B459+1,B459)</f>
        <v/>
      </c>
      <c r="C460" s="109" t="n">
        <v>48</v>
      </c>
      <c r="D460" s="109" t="inlineStr">
        <is>
          <t>DC Cooling 4pc</t>
        </is>
      </c>
      <c r="E460" s="109" t="inlineStr">
        <is>
          <t>US</t>
        </is>
      </c>
      <c r="F460" s="109" t="inlineStr">
        <is>
          <t>Cooling</t>
        </is>
      </c>
      <c r="G460" s="109" t="inlineStr">
        <is>
          <t>Bedlifes</t>
        </is>
      </c>
      <c r="H460" s="109" t="inlineStr">
        <is>
          <t>Aspirational</t>
        </is>
      </c>
      <c r="I460" s="109" t="inlineStr">
        <is>
          <t>Cooling Sheets</t>
        </is>
      </c>
      <c r="J460" s="109" t="n"/>
      <c r="K460" s="109" t="inlineStr">
        <is>
          <t>B0957W6SPP</t>
        </is>
      </c>
      <c r="L460" s="109" t="inlineStr">
        <is>
          <t>B0894QH86C</t>
        </is>
      </c>
      <c r="M460" s="109" t="n">
        <v>84</v>
      </c>
      <c r="N460" s="109" t="n">
        <v>23.99</v>
      </c>
      <c r="O460" s="109" t="n"/>
      <c r="P460" s="109">
        <f>IF(AND(ISNUMBER(O460),ISNUMBER(N460),N(N460)&gt;0),O460/N460-1,"")</f>
        <v/>
      </c>
      <c r="Q460" s="109" t="n">
        <v>37.95</v>
      </c>
      <c r="R460" s="109">
        <f>IF(AND(ISNUMBER(N460),ISNUMBER(Q460),N(Q460)&gt;0),N460/Q460-1,"")</f>
        <v/>
      </c>
      <c r="S460" s="109" t="n">
        <v>9402</v>
      </c>
      <c r="T460" s="109" t="n">
        <v>92</v>
      </c>
      <c r="U460" s="109" t="n">
        <v>4.6</v>
      </c>
      <c r="V460" s="109" t="n">
        <v>13223</v>
      </c>
      <c r="W460" s="109" t="n">
        <v>80103</v>
      </c>
      <c r="X460" s="109" t="n">
        <v>0.9185560415964454</v>
      </c>
      <c r="Y460" s="109" t="n">
        <v>76</v>
      </c>
      <c r="Z460" s="109" t="n">
        <v>187</v>
      </c>
      <c r="AA460" s="109" t="n">
        <v>331</v>
      </c>
      <c r="AB460" s="109" t="n">
        <v>1.235737351991389</v>
      </c>
      <c r="AC460" s="109" t="inlineStr">
        <is>
          <t>US DC Cooling 4pc</t>
        </is>
      </c>
      <c r="AD460" s="109">
        <f>'US DC Cooling 4pc'!BC106</f>
        <v/>
      </c>
      <c r="AE460" s="109">
        <f>'US DC Cooling 4pc'!BF106</f>
        <v/>
      </c>
      <c r="AF460" s="109" t="n"/>
      <c r="AG460" s="109" t="n"/>
    </row>
    <row r="461">
      <c r="A461" s="109">
        <f>AND(OR(Dashboard!$C$4="All",Dashboard!$C$4=D461),OR(Dashboard!$C$5="All",Dashboard!$C$5=E461),OR(Dashboard!$C$6="All",Dashboard!$C$6=G461),OR(Dashboard!$C$7="All",Dashboard!$C$7=H461),OR(Dashboard!$C$8="All",Dashboard!$C$8=F461))</f>
        <v/>
      </c>
      <c r="B461" s="109">
        <f>IF(A461,B460+1,B460)</f>
        <v/>
      </c>
      <c r="C461" s="109" t="n">
        <v>48</v>
      </c>
      <c r="D461" s="109" t="inlineStr">
        <is>
          <t>DC Cooling 4pc</t>
        </is>
      </c>
      <c r="E461" s="109" t="inlineStr">
        <is>
          <t>US</t>
        </is>
      </c>
      <c r="F461" s="109" t="inlineStr">
        <is>
          <t>Cooling</t>
        </is>
      </c>
      <c r="G461" s="109" t="inlineStr">
        <is>
          <t>BAMPURE</t>
        </is>
      </c>
      <c r="H461" s="109" t="inlineStr">
        <is>
          <t>Aspirational</t>
        </is>
      </c>
      <c r="I461" s="109" t="inlineStr">
        <is>
          <t>BAMPURE 100% Rayon from Bamboo Sheets King Size - 4pc Cooling King Sheets</t>
        </is>
      </c>
      <c r="J461" s="109" t="inlineStr">
        <is>
          <t>https://images-na.ssl-images-amazon.com/images/I/61fbapIObwL.jpg</t>
        </is>
      </c>
      <c r="K461" s="109" t="inlineStr">
        <is>
          <t>B0HC778XB4</t>
        </is>
      </c>
      <c r="L461" s="109" t="inlineStr">
        <is>
          <t>B07XFP6BY2</t>
        </is>
      </c>
      <c r="M461" s="109" t="n">
        <v>40</v>
      </c>
      <c r="N461" s="109" t="n">
        <v>67.98</v>
      </c>
      <c r="O461" s="109" t="n">
        <v>99.98999999999999</v>
      </c>
      <c r="P461" s="109">
        <f>IF(AND(ISNUMBER(O461),ISNUMBER(N461),N(N461)&gt;0),O461/N461-1,"")</f>
        <v/>
      </c>
      <c r="Q461" s="109" t="n">
        <v>39.95</v>
      </c>
      <c r="R461" s="109">
        <f>IF(AND(ISNUMBER(N461),ISNUMBER(Q461),N(Q461)&gt;0),N461/Q461-1,"")</f>
        <v/>
      </c>
      <c r="S461" s="109" t="n">
        <v>14479</v>
      </c>
      <c r="T461" s="109" t="n">
        <v>81</v>
      </c>
      <c r="U461" s="109" t="n">
        <v>4.4</v>
      </c>
      <c r="V461" s="109" t="n">
        <v>4095</v>
      </c>
      <c r="W461" s="109" t="n">
        <v>67699</v>
      </c>
      <c r="X461" s="109" t="n">
        <v>0.8589487052984534</v>
      </c>
      <c r="Y461" s="109" t="n">
        <v>93</v>
      </c>
      <c r="Z461" s="109" t="n">
        <v>183</v>
      </c>
      <c r="AA461" s="109" t="n">
        <v>301</v>
      </c>
      <c r="AB461" s="109" t="n">
        <v>1.016706443914081</v>
      </c>
      <c r="AC461" s="109" t="inlineStr">
        <is>
          <t>US DC Cooling 4pc</t>
        </is>
      </c>
      <c r="AD461" s="109">
        <f>'US DC Cooling 4pc'!BC107</f>
        <v/>
      </c>
      <c r="AE461" s="109">
        <f>'US DC Cooling 4pc'!BF107</f>
        <v/>
      </c>
      <c r="AF461" s="109" t="inlineStr">
        <is>
          <t>King</t>
        </is>
      </c>
      <c r="AG461" s="109" t="n"/>
    </row>
    <row r="462">
      <c r="A462" s="109">
        <f>AND(OR(Dashboard!$C$4="All",Dashboard!$C$4=D462),OR(Dashboard!$C$5="All",Dashboard!$C$5=E462),OR(Dashboard!$C$6="All",Dashboard!$C$6=G462),OR(Dashboard!$C$7="All",Dashboard!$C$7=H462),OR(Dashboard!$C$8="All",Dashboard!$C$8=F462))</f>
        <v/>
      </c>
      <c r="B462" s="109">
        <f>IF(A462,B461+1,B461)</f>
        <v/>
      </c>
      <c r="C462" s="109" t="n">
        <v>48</v>
      </c>
      <c r="D462" s="109" t="inlineStr">
        <is>
          <t>DC Cooling 4pc</t>
        </is>
      </c>
      <c r="E462" s="109" t="inlineStr">
        <is>
          <t>US</t>
        </is>
      </c>
      <c r="F462" s="109" t="inlineStr">
        <is>
          <t>Cooling</t>
        </is>
      </c>
      <c r="G462" s="109" t="inlineStr">
        <is>
          <t>BAMPURE</t>
        </is>
      </c>
      <c r="H462" s="109" t="inlineStr">
        <is>
          <t>Aspirational</t>
        </is>
      </c>
      <c r="I462" s="109" t="inlineStr">
        <is>
          <t>Bamboo Sheets</t>
        </is>
      </c>
      <c r="J462" s="109" t="n"/>
      <c r="K462" s="109" t="inlineStr">
        <is>
          <t>B0FH2WGKJV</t>
        </is>
      </c>
      <c r="L462" s="109" t="inlineStr">
        <is>
          <t>B07XC2KVM7</t>
        </is>
      </c>
      <c r="M462" s="109" t="n"/>
      <c r="N462" s="109" t="n">
        <v>37.99</v>
      </c>
      <c r="O462" s="109" t="n"/>
      <c r="P462" s="109">
        <f>IF(AND(ISNUMBER(O462),ISNUMBER(N462),N(N462)&gt;0),O462/N462-1,"")</f>
        <v/>
      </c>
      <c r="Q462" s="109" t="n">
        <v>37.95</v>
      </c>
      <c r="R462" s="109">
        <f>IF(AND(ISNUMBER(N462),ISNUMBER(Q462),N(Q462)&gt;0),N462/Q462-1,"")</f>
        <v/>
      </c>
      <c r="S462" s="109" t="n">
        <v>2541068</v>
      </c>
      <c r="T462" s="109" t="n">
        <v>5</v>
      </c>
      <c r="U462" s="109" t="n">
        <v>4.4</v>
      </c>
      <c r="V462" s="109" t="n">
        <v>30</v>
      </c>
      <c r="W462" s="109" t="n"/>
      <c r="X462" s="109" t="n"/>
      <c r="Y462" s="109" t="n"/>
      <c r="Z462" s="109" t="n"/>
      <c r="AA462" s="109" t="n"/>
      <c r="AB462" s="109" t="n"/>
      <c r="AC462" s="109" t="inlineStr">
        <is>
          <t>US DC Cooling 4pc</t>
        </is>
      </c>
      <c r="AD462" s="109">
        <f>'US DC Cooling 4pc'!BC108</f>
        <v/>
      </c>
      <c r="AE462" s="109">
        <f>'US DC Cooling 4pc'!BF108</f>
        <v/>
      </c>
      <c r="AF462" s="109" t="n"/>
      <c r="AG462" s="109" t="n"/>
    </row>
    <row r="463">
      <c r="A463" s="109">
        <f>AND(OR(Dashboard!$C$4="All",Dashboard!$C$4=D463),OR(Dashboard!$C$5="All",Dashboard!$C$5=E463),OR(Dashboard!$C$6="All",Dashboard!$C$6=G463),OR(Dashboard!$C$7="All",Dashboard!$C$7=H463),OR(Dashboard!$C$8="All",Dashboard!$C$8=F463))</f>
        <v/>
      </c>
      <c r="B463" s="109">
        <f>IF(A463,B462+1,B462)</f>
        <v/>
      </c>
      <c r="C463" s="109" t="n">
        <v>48</v>
      </c>
      <c r="D463" s="109" t="inlineStr">
        <is>
          <t>DC Cooling 4pc</t>
        </is>
      </c>
      <c r="E463" s="109" t="inlineStr">
        <is>
          <t>US</t>
        </is>
      </c>
      <c r="F463" s="109" t="inlineStr">
        <is>
          <t>Cooling</t>
        </is>
      </c>
      <c r="G463" s="109" t="inlineStr">
        <is>
          <t>Bambaw</t>
        </is>
      </c>
      <c r="H463" s="109" t="inlineStr">
        <is>
          <t>Beatable</t>
        </is>
      </c>
      <c r="I463" s="109" t="inlineStr">
        <is>
          <t>Bambaw 100% Viscose Derived from Bamboo Sheets Queen Size Set – 4pcs Cooling Sheet Set, Super Soft Sheets Queen Size, Luxury Bed Sheets, Deep Pocket Fits Up to 16'' Mattresses (Charcoal)</t>
        </is>
      </c>
      <c r="J463" s="109" t="inlineStr">
        <is>
          <t>https://images-na.ssl-images-amazon.com/images/I/81svKInu7aL.jpg</t>
        </is>
      </c>
      <c r="K463" s="109" t="inlineStr">
        <is>
          <t>B07K6SYX8L</t>
        </is>
      </c>
      <c r="L463" s="109" t="inlineStr">
        <is>
          <t>B0DR99Q37Y</t>
        </is>
      </c>
      <c r="M463" s="109" t="n">
        <v>104</v>
      </c>
      <c r="N463" s="109" t="n">
        <v>89.98999999999999</v>
      </c>
      <c r="O463" s="109" t="n"/>
      <c r="P463" s="109">
        <f>IF(AND(ISNUMBER(O463),ISNUMBER(N463),N(N463)&gt;0),O463/N463-1,"")</f>
        <v/>
      </c>
      <c r="Q463" s="109" t="n">
        <v>37.95</v>
      </c>
      <c r="R463" s="109">
        <f>IF(AND(ISNUMBER(N463),ISNUMBER(Q463),N(Q463)&gt;0),N463/Q463-1,"")</f>
        <v/>
      </c>
      <c r="S463" s="109" t="n">
        <v>6971</v>
      </c>
      <c r="T463" s="109" t="n">
        <v>104</v>
      </c>
      <c r="U463" s="109" t="n">
        <v>4.3</v>
      </c>
      <c r="V463" s="109" t="n">
        <v>2766</v>
      </c>
      <c r="W463" s="109" t="n">
        <v>407949</v>
      </c>
      <c r="X463" s="109" t="n">
        <v>0.5037485506766772</v>
      </c>
      <c r="Y463" s="109" t="n">
        <v>19</v>
      </c>
      <c r="Z463" s="109" t="n">
        <v>308</v>
      </c>
      <c r="AA463" s="109" t="n">
        <v>580</v>
      </c>
      <c r="AB463" s="109" t="n">
        <v>1.374474053295933</v>
      </c>
      <c r="AC463" s="109" t="inlineStr">
        <is>
          <t>US DC Cooling 4pc</t>
        </is>
      </c>
      <c r="AD463" s="109">
        <f>'US DC Cooling 4pc'!BC109</f>
        <v/>
      </c>
      <c r="AE463" s="109">
        <f>'US DC Cooling 4pc'!BF109</f>
        <v/>
      </c>
      <c r="AF463" s="109" t="inlineStr">
        <is>
          <t>Queen</t>
        </is>
      </c>
      <c r="AG463" s="109" t="inlineStr">
        <is>
          <t>Charcoal</t>
        </is>
      </c>
    </row>
    <row r="464">
      <c r="A464" s="109">
        <f>AND(OR(Dashboard!$C$4="All",Dashboard!$C$4=D464),OR(Dashboard!$C$5="All",Dashboard!$C$5=E464),OR(Dashboard!$C$6="All",Dashboard!$C$6=G464),OR(Dashboard!$C$7="All",Dashboard!$C$7=H464),OR(Dashboard!$C$8="All",Dashboard!$C$8=F464))</f>
        <v/>
      </c>
      <c r="B464" s="109">
        <f>IF(A464,B463+1,B463)</f>
        <v/>
      </c>
      <c r="C464" s="109" t="n">
        <v>48</v>
      </c>
      <c r="D464" s="109" t="inlineStr">
        <is>
          <t>DC Cooling 4pc</t>
        </is>
      </c>
      <c r="E464" s="109" t="inlineStr">
        <is>
          <t>US</t>
        </is>
      </c>
      <c r="F464" s="109" t="inlineStr">
        <is>
          <t>Cooling</t>
        </is>
      </c>
      <c r="G464" s="109" t="inlineStr">
        <is>
          <t>Bedsure</t>
        </is>
      </c>
      <c r="H464" s="109" t="inlineStr">
        <is>
          <t>Beatable</t>
        </is>
      </c>
      <c r="I464" s="109" t="inlineStr">
        <is>
          <t>Bedsure PureWoven Organically Grown Bamboo Viscose Queen Sheet Set, 4PCS</t>
        </is>
      </c>
      <c r="J464" s="109" t="inlineStr">
        <is>
          <t>https://images-na.ssl-images-amazon.com/images/I/81suQgVR0GL.jpg</t>
        </is>
      </c>
      <c r="K464" s="109" t="inlineStr">
        <is>
          <t>B0FB8XS4D1</t>
        </is>
      </c>
      <c r="L464" s="109" t="inlineStr">
        <is>
          <t>B0FB8XR43Q</t>
        </is>
      </c>
      <c r="M464" s="109" t="n">
        <v>39</v>
      </c>
      <c r="N464" s="109" t="n">
        <v>89.98999999999999</v>
      </c>
      <c r="O464" s="109" t="n">
        <v>119.99</v>
      </c>
      <c r="P464" s="109">
        <f>IF(AND(ISNUMBER(O464),ISNUMBER(N464),N(N464)&gt;0),O464/N464-1,"")</f>
        <v/>
      </c>
      <c r="Q464" s="109" t="n">
        <v>37.95</v>
      </c>
      <c r="R464" s="109">
        <f>IF(AND(ISNUMBER(N464),ISNUMBER(Q464),N(Q464)&gt;0),N464/Q464-1,"")</f>
        <v/>
      </c>
      <c r="S464" s="109" t="n">
        <v>8938</v>
      </c>
      <c r="T464" s="109" t="n">
        <v>104</v>
      </c>
      <c r="U464" s="109" t="n">
        <v>4.5</v>
      </c>
      <c r="V464" s="109" t="n">
        <v>588</v>
      </c>
      <c r="W464" s="109" t="n">
        <v>840292</v>
      </c>
      <c r="X464" s="109" t="n">
        <v>0.1404099194089678</v>
      </c>
      <c r="Y464" s="109" t="n">
        <v>22</v>
      </c>
      <c r="Z464" s="109" t="n">
        <v>314</v>
      </c>
      <c r="AA464" s="109" t="n">
        <v>2447</v>
      </c>
      <c r="AB464" s="109" t="n">
        <v>1.764832022873481</v>
      </c>
      <c r="AC464" s="109" t="inlineStr">
        <is>
          <t>US DC Cooling 4pc</t>
        </is>
      </c>
      <c r="AD464" s="109">
        <f>'US DC Cooling 4pc'!BC110</f>
        <v/>
      </c>
      <c r="AE464" s="109">
        <f>'US DC Cooling 4pc'!BF110</f>
        <v/>
      </c>
      <c r="AF464" s="109" t="inlineStr">
        <is>
          <t>Queen</t>
        </is>
      </c>
      <c r="AG464" s="109" t="n"/>
    </row>
    <row r="465">
      <c r="A465" s="109">
        <f>AND(OR(Dashboard!$C$4="All",Dashboard!$C$4=D465),OR(Dashboard!$C$5="All",Dashboard!$C$5=E465),OR(Dashboard!$C$6="All",Dashboard!$C$6=G465),OR(Dashboard!$C$7="All",Dashboard!$C$7=H465),OR(Dashboard!$C$8="All",Dashboard!$C$8=F465))</f>
        <v/>
      </c>
      <c r="B465" s="109">
        <f>IF(A465,B464+1,B464)</f>
        <v/>
      </c>
      <c r="C465" s="109" t="n">
        <v>48</v>
      </c>
      <c r="D465" s="109" t="inlineStr">
        <is>
          <t>DC Cooling 4pc</t>
        </is>
      </c>
      <c r="E465" s="109" t="inlineStr">
        <is>
          <t>US</t>
        </is>
      </c>
      <c r="F465" s="109" t="inlineStr">
        <is>
          <t>Cooling</t>
        </is>
      </c>
      <c r="G465" s="109" t="inlineStr">
        <is>
          <t>SONORO KATE</t>
        </is>
      </c>
      <c r="H465" s="109" t="inlineStr">
        <is>
          <t>Beatable</t>
        </is>
      </c>
      <c r="I465" s="109" t="inlineStr">
        <is>
          <t>Bamboo Sheets</t>
        </is>
      </c>
      <c r="J465" s="109" t="inlineStr">
        <is>
          <t>https://images-na.ssl-images-amazon.com/images/I/71sqxa1EquL.jpg</t>
        </is>
      </c>
      <c r="K465" s="109" t="inlineStr">
        <is>
          <t>B0F4852T9V</t>
        </is>
      </c>
      <c r="L465" s="109" t="inlineStr">
        <is>
          <t>B0F4873G4H</t>
        </is>
      </c>
      <c r="M465" s="109" t="n">
        <v>33</v>
      </c>
      <c r="N465" s="109" t="n">
        <v>79.98999999999999</v>
      </c>
      <c r="O465" s="109" t="n"/>
      <c r="P465" s="109">
        <f>IF(AND(ISNUMBER(O465),ISNUMBER(N465),N(N465)&gt;0),O465/N465-1,"")</f>
        <v/>
      </c>
      <c r="Q465" s="109" t="n">
        <v>37.95</v>
      </c>
      <c r="R465" s="109">
        <f>IF(AND(ISNUMBER(N465),ISNUMBER(Q465),N(Q465)&gt;0),N465/Q465-1,"")</f>
        <v/>
      </c>
      <c r="S465" s="109" t="n">
        <v>7961</v>
      </c>
      <c r="T465" s="109" t="n">
        <v>104</v>
      </c>
      <c r="U465" s="109" t="n">
        <v>4.5</v>
      </c>
      <c r="V465" s="109" t="n">
        <v>3776</v>
      </c>
      <c r="W465" s="109" t="n">
        <v>185157</v>
      </c>
      <c r="X465" s="109" t="n">
        <v>0.9776013545261586</v>
      </c>
      <c r="Y465" s="109" t="n">
        <v>31</v>
      </c>
      <c r="Z465" s="109" t="n">
        <v>247</v>
      </c>
      <c r="AA465" s="109" t="n">
        <v>122</v>
      </c>
      <c r="AB465" s="109" t="n">
        <v>1.314808539478143</v>
      </c>
      <c r="AC465" s="109" t="inlineStr">
        <is>
          <t>US DC Cooling 4pc</t>
        </is>
      </c>
      <c r="AD465" s="109">
        <f>'US DC Cooling 4pc'!BC111</f>
        <v/>
      </c>
      <c r="AE465" s="109">
        <f>'US DC Cooling 4pc'!BF111</f>
        <v/>
      </c>
      <c r="AF465" s="109" t="n"/>
      <c r="AG465" s="109" t="n"/>
    </row>
    <row r="466">
      <c r="A466" s="109">
        <f>AND(OR(Dashboard!$C$4="All",Dashboard!$C$4=D466),OR(Dashboard!$C$5="All",Dashboard!$C$5=E466),OR(Dashboard!$C$6="All",Dashboard!$C$6=G466),OR(Dashboard!$C$7="All",Dashboard!$C$7=H466),OR(Dashboard!$C$8="All",Dashboard!$C$8=F466))</f>
        <v/>
      </c>
      <c r="B466" s="109">
        <f>IF(A466,B465+1,B465)</f>
        <v/>
      </c>
      <c r="C466" s="109" t="n">
        <v>48</v>
      </c>
      <c r="D466" s="109" t="inlineStr">
        <is>
          <t>DC Cooling 4pc</t>
        </is>
      </c>
      <c r="E466" s="109" t="inlineStr">
        <is>
          <t>US</t>
        </is>
      </c>
      <c r="F466" s="109" t="inlineStr">
        <is>
          <t>Cooling</t>
        </is>
      </c>
      <c r="G466" s="109" t="inlineStr">
        <is>
          <t>BC BELLA COTERIE</t>
        </is>
      </c>
      <c r="H466" s="109" t="inlineStr">
        <is>
          <t>Beatable</t>
        </is>
      </c>
      <c r="I466" s="109" t="inlineStr">
        <is>
          <t>Bella Coterie Luxury Bamboo Viscose King Size Sheet Set</t>
        </is>
      </c>
      <c r="J466" s="109" t="inlineStr">
        <is>
          <t>https://images-na.ssl-images-amazon.com/images/I/71Pl57-j67L.jpg</t>
        </is>
      </c>
      <c r="K466" s="109" t="inlineStr">
        <is>
          <t>B0H29V113N</t>
        </is>
      </c>
      <c r="L466" s="109" t="inlineStr">
        <is>
          <t>B08L86VLZB</t>
        </is>
      </c>
      <c r="M466" s="109" t="n">
        <v>258</v>
      </c>
      <c r="N466" s="109" t="n">
        <v>134.99</v>
      </c>
      <c r="O466" s="109" t="n"/>
      <c r="P466" s="109">
        <f>IF(AND(ISNUMBER(O466),ISNUMBER(N466),N(N466)&gt;0),O466/N466-1,"")</f>
        <v/>
      </c>
      <c r="Q466" s="109" t="n">
        <v>39.95</v>
      </c>
      <c r="R466" s="109">
        <f>IF(AND(ISNUMBER(N466),ISNUMBER(Q466),N(Q466)&gt;0),N466/Q466-1,"")</f>
        <v/>
      </c>
      <c r="S466" s="109" t="n">
        <v>1358</v>
      </c>
      <c r="T466" s="109" t="n">
        <v>92</v>
      </c>
      <c r="U466" s="109" t="n">
        <v>4.4</v>
      </c>
      <c r="V466" s="109" t="n">
        <v>5871</v>
      </c>
      <c r="W466" s="109" t="n">
        <v>591713</v>
      </c>
      <c r="X466" s="109" t="n">
        <v>0.3622702587234016</v>
      </c>
      <c r="Y466" s="109" t="n">
        <v>46</v>
      </c>
      <c r="Z466" s="109" t="n">
        <v>305</v>
      </c>
      <c r="AA466" s="109" t="n">
        <v>2442</v>
      </c>
      <c r="AB466" s="109" t="n">
        <v>1.778087279480037</v>
      </c>
      <c r="AC466" s="109" t="inlineStr">
        <is>
          <t>US DC Cooling 4pc</t>
        </is>
      </c>
      <c r="AD466" s="109">
        <f>'US DC Cooling 4pc'!BC112</f>
        <v/>
      </c>
      <c r="AE466" s="109">
        <f>'US DC Cooling 4pc'!BF112</f>
        <v/>
      </c>
      <c r="AF466" s="109" t="inlineStr">
        <is>
          <t>King</t>
        </is>
      </c>
      <c r="AG466" s="109" t="n"/>
    </row>
    <row r="467">
      <c r="A467" s="109">
        <f>AND(OR(Dashboard!$C$4="All",Dashboard!$C$4=D467),OR(Dashboard!$C$5="All",Dashboard!$C$5=E467),OR(Dashboard!$C$6="All",Dashboard!$C$6=G467),OR(Dashboard!$C$7="All",Dashboard!$C$7=H467),OR(Dashboard!$C$8="All",Dashboard!$C$8=F467))</f>
        <v/>
      </c>
      <c r="B467" s="109">
        <f>IF(A467,B466+1,B466)</f>
        <v/>
      </c>
      <c r="C467" s="109" t="n">
        <v>48</v>
      </c>
      <c r="D467" s="109" t="inlineStr">
        <is>
          <t>DC Cooling 4pc</t>
        </is>
      </c>
      <c r="E467" s="109" t="inlineStr">
        <is>
          <t>US</t>
        </is>
      </c>
      <c r="F467" s="109" t="inlineStr">
        <is>
          <t>Cooling</t>
        </is>
      </c>
      <c r="G467" s="109" t="inlineStr">
        <is>
          <t>REST</t>
        </is>
      </c>
      <c r="H467" s="109" t="inlineStr">
        <is>
          <t>Beatable</t>
        </is>
      </c>
      <c r="I467" s="109" t="inlineStr">
        <is>
          <t>Cooling Sheets</t>
        </is>
      </c>
      <c r="J467" s="109" t="n"/>
      <c r="K467" s="109" t="inlineStr">
        <is>
          <t>B0HC6866B7</t>
        </is>
      </c>
      <c r="L467" s="109" t="inlineStr">
        <is>
          <t>B0D9JHBBCZ</t>
        </is>
      </c>
      <c r="M467" s="109" t="n">
        <v>69</v>
      </c>
      <c r="N467" s="109" t="n">
        <v>224.25</v>
      </c>
      <c r="O467" s="109" t="n">
        <v>299</v>
      </c>
      <c r="P467" s="109">
        <f>IF(AND(ISNUMBER(O467),ISNUMBER(N467),N(N467)&gt;0),O467/N467-1,"")</f>
        <v/>
      </c>
      <c r="Q467" s="109" t="n">
        <v>37.95</v>
      </c>
      <c r="R467" s="109">
        <f>IF(AND(ISNUMBER(N467),ISNUMBER(Q467),N(Q467)&gt;0),N467/Q467-1,"")</f>
        <v/>
      </c>
      <c r="S467" s="109" t="n">
        <v>5255</v>
      </c>
      <c r="T467" s="109" t="n">
        <v>81</v>
      </c>
      <c r="U467" s="109" t="n">
        <v>4.3</v>
      </c>
      <c r="V467" s="109" t="n">
        <v>1149</v>
      </c>
      <c r="W467" s="109" t="n">
        <v>522593</v>
      </c>
      <c r="X467" s="109" t="n">
        <v>0.2234137663535486</v>
      </c>
      <c r="Y467" s="109" t="n">
        <v>51</v>
      </c>
      <c r="Z467" s="109" t="n">
        <v>200</v>
      </c>
      <c r="AA467" s="109" t="n">
        <v>3275</v>
      </c>
      <c r="AB467" s="109" t="n"/>
      <c r="AC467" s="109" t="inlineStr">
        <is>
          <t>US DC Cooling 4pc</t>
        </is>
      </c>
      <c r="AD467" s="109">
        <f>'US DC Cooling 4pc'!BC113</f>
        <v/>
      </c>
      <c r="AE467" s="109">
        <f>'US DC Cooling 4pc'!BF113</f>
        <v/>
      </c>
      <c r="AF467" s="109" t="n"/>
      <c r="AG467" s="109" t="n"/>
    </row>
    <row r="468">
      <c r="A468" s="109">
        <f>AND(OR(Dashboard!$C$4="All",Dashboard!$C$4=D468),OR(Dashboard!$C$5="All",Dashboard!$C$5=E468),OR(Dashboard!$C$6="All",Dashboard!$C$6=G468),OR(Dashboard!$C$7="All",Dashboard!$C$7=H468),OR(Dashboard!$C$8="All",Dashboard!$C$8=F468))</f>
        <v/>
      </c>
      <c r="B468" s="109">
        <f>IF(A468,B467+1,B467)</f>
        <v/>
      </c>
      <c r="C468" s="109" t="n">
        <v>48</v>
      </c>
      <c r="D468" s="109" t="inlineStr">
        <is>
          <t>DC Cooling 4pc</t>
        </is>
      </c>
      <c r="E468" s="109" t="inlineStr">
        <is>
          <t>US</t>
        </is>
      </c>
      <c r="F468" s="109" t="inlineStr">
        <is>
          <t>Cooling</t>
        </is>
      </c>
      <c r="G468" s="109" t="inlineStr">
        <is>
          <t>SONORO KATE</t>
        </is>
      </c>
      <c r="H468" s="109" t="inlineStr">
        <is>
          <t>Beatable</t>
        </is>
      </c>
      <c r="I468" s="109" t="inlineStr">
        <is>
          <t>SONORO KATE 100% Viscose Derived from Bamboo_Sheets Queen Size,4PC</t>
        </is>
      </c>
      <c r="J468" s="109" t="inlineStr">
        <is>
          <t>https://images-na.ssl-images-amazon.com/images/I/71HeTCWM4hL.jpg</t>
        </is>
      </c>
      <c r="K468" s="109" t="inlineStr">
        <is>
          <t>B0F29FQLFD</t>
        </is>
      </c>
      <c r="L468" s="109" t="inlineStr">
        <is>
          <t>B0F29F1JM5</t>
        </is>
      </c>
      <c r="M468" s="109" t="n">
        <v>42</v>
      </c>
      <c r="N468" s="109" t="n">
        <v>59.99</v>
      </c>
      <c r="O468" s="109" t="n"/>
      <c r="P468" s="109">
        <f>IF(AND(ISNUMBER(O468),ISNUMBER(N468),N(N468)&gt;0),O468/N468-1,"")</f>
        <v/>
      </c>
      <c r="Q468" s="109" t="n">
        <v>37.95</v>
      </c>
      <c r="R468" s="109">
        <f>IF(AND(ISNUMBER(N468),ISNUMBER(Q468),N(Q468)&gt;0),N468/Q468-1,"")</f>
        <v/>
      </c>
      <c r="S468" s="109" t="n">
        <v>23979</v>
      </c>
      <c r="T468" s="109" t="n">
        <v>81</v>
      </c>
      <c r="U468" s="109" t="n">
        <v>4.5</v>
      </c>
      <c r="V468" s="109" t="n">
        <v>3911</v>
      </c>
      <c r="W468" s="109" t="n">
        <v>114504</v>
      </c>
      <c r="X468" s="109" t="n">
        <v>0.8792897182631171</v>
      </c>
      <c r="Y468" s="109" t="n">
        <v>32</v>
      </c>
      <c r="Z468" s="109" t="n">
        <v>249</v>
      </c>
      <c r="AA468" s="109" t="n">
        <v>84</v>
      </c>
      <c r="AB468" s="109" t="n">
        <v>1.095271210013908</v>
      </c>
      <c r="AC468" s="109" t="inlineStr">
        <is>
          <t>US DC Cooling 4pc</t>
        </is>
      </c>
      <c r="AD468" s="109">
        <f>'US DC Cooling 4pc'!BC114</f>
        <v/>
      </c>
      <c r="AE468" s="109">
        <f>'US DC Cooling 4pc'!BF114</f>
        <v/>
      </c>
      <c r="AF468" s="109" t="inlineStr">
        <is>
          <t>Queen</t>
        </is>
      </c>
      <c r="AG468" s="109" t="n"/>
    </row>
    <row r="469">
      <c r="A469" s="109">
        <f>AND(OR(Dashboard!$C$4="All",Dashboard!$C$4=D469),OR(Dashboard!$C$5="All",Dashboard!$C$5=E469),OR(Dashboard!$C$6="All",Dashboard!$C$6=G469),OR(Dashboard!$C$7="All",Dashboard!$C$7=H469),OR(Dashboard!$C$8="All",Dashboard!$C$8=F469))</f>
        <v/>
      </c>
      <c r="B469" s="109">
        <f>IF(A469,B468+1,B468)</f>
        <v/>
      </c>
      <c r="C469" s="109" t="n">
        <v>48</v>
      </c>
      <c r="D469" s="109" t="inlineStr">
        <is>
          <t>DC Cooling 4pc</t>
        </is>
      </c>
      <c r="E469" s="109" t="inlineStr">
        <is>
          <t>US</t>
        </is>
      </c>
      <c r="F469" s="109" t="inlineStr">
        <is>
          <t>Cooling</t>
        </is>
      </c>
      <c r="G469" s="109" t="inlineStr">
        <is>
          <t>Breescape</t>
        </is>
      </c>
      <c r="H469" s="109" t="inlineStr">
        <is>
          <t>Beatable</t>
        </is>
      </c>
      <c r="I469" s="109" t="inlineStr">
        <is>
          <t>Cooling Sheets</t>
        </is>
      </c>
      <c r="J469" s="109" t="n"/>
      <c r="K469" s="109" t="inlineStr">
        <is>
          <t>B0H41M1N4B</t>
        </is>
      </c>
      <c r="L469" s="109" t="inlineStr">
        <is>
          <t>B0DSPZJKTB</t>
        </is>
      </c>
      <c r="M469" s="109" t="n">
        <v>26</v>
      </c>
      <c r="N469" s="109" t="n">
        <v>149.99</v>
      </c>
      <c r="O469" s="109" t="n">
        <v>179.99</v>
      </c>
      <c r="P469" s="109">
        <f>IF(AND(ISNUMBER(O469),ISNUMBER(N469),N(N469)&gt;0),O469/N469-1,"")</f>
        <v/>
      </c>
      <c r="Q469" s="109" t="n">
        <v>37.95</v>
      </c>
      <c r="R469" s="109">
        <f>IF(AND(ISNUMBER(N469),ISNUMBER(Q469),N(Q469)&gt;0),N469/Q469-1,"")</f>
        <v/>
      </c>
      <c r="S469" s="109" t="n">
        <v>49910</v>
      </c>
      <c r="T469" s="109" t="n">
        <v>35</v>
      </c>
      <c r="U469" s="109" t="n">
        <v>4.2</v>
      </c>
      <c r="V469" s="109" t="n">
        <v>595</v>
      </c>
      <c r="W469" s="109" t="n">
        <v>107224</v>
      </c>
      <c r="X469" s="109" t="n">
        <v>0.5282540960978878</v>
      </c>
      <c r="Y469" s="109" t="n">
        <v>59</v>
      </c>
      <c r="Z469" s="109" t="n">
        <v>161</v>
      </c>
      <c r="AA469" s="109" t="n">
        <v>504</v>
      </c>
      <c r="AB469" s="109" t="n">
        <v>1.443271767810026</v>
      </c>
      <c r="AC469" s="109" t="inlineStr">
        <is>
          <t>US DC Cooling 4pc</t>
        </is>
      </c>
      <c r="AD469" s="109">
        <f>'US DC Cooling 4pc'!BC115</f>
        <v/>
      </c>
      <c r="AE469" s="109">
        <f>'US DC Cooling 4pc'!BF115</f>
        <v/>
      </c>
      <c r="AF469" s="109" t="n"/>
      <c r="AG469" s="109" t="n"/>
    </row>
    <row r="470">
      <c r="A470" s="109">
        <f>AND(OR(Dashboard!$C$4="All",Dashboard!$C$4=D470),OR(Dashboard!$C$5="All",Dashboard!$C$5=E470),OR(Dashboard!$C$6="All",Dashboard!$C$6=G470),OR(Dashboard!$C$7="All",Dashboard!$C$7=H470),OR(Dashboard!$C$8="All",Dashboard!$C$8=F470))</f>
        <v/>
      </c>
      <c r="B470" s="109">
        <f>IF(A470,B469+1,B469)</f>
        <v/>
      </c>
      <c r="C470" s="109" t="n">
        <v>48</v>
      </c>
      <c r="D470" s="109" t="inlineStr">
        <is>
          <t>DC Cooling 4pc</t>
        </is>
      </c>
      <c r="E470" s="109" t="inlineStr">
        <is>
          <t>US</t>
        </is>
      </c>
      <c r="F470" s="109" t="inlineStr">
        <is>
          <t>Cooling</t>
        </is>
      </c>
      <c r="G470" s="109" t="inlineStr">
        <is>
          <t>DOZ by SIJO</t>
        </is>
      </c>
      <c r="H470" s="109" t="inlineStr">
        <is>
          <t>Beatable</t>
        </is>
      </c>
      <c r="I470" s="109" t="inlineStr">
        <is>
          <t>Bamboo Sheets</t>
        </is>
      </c>
      <c r="J470" s="109" t="inlineStr">
        <is>
          <t>https://images-na.ssl-images-amazon.com/images/I/710aWpCd4AL.jpg</t>
        </is>
      </c>
      <c r="K470" s="109" t="inlineStr">
        <is>
          <t>B0DCZGYVZ9</t>
        </is>
      </c>
      <c r="L470" s="109" t="inlineStr">
        <is>
          <t>B0F24TRXCZ</t>
        </is>
      </c>
      <c r="M470" s="109" t="n">
        <v>131</v>
      </c>
      <c r="N470" s="109" t="n">
        <v>55</v>
      </c>
      <c r="O470" s="109" t="n"/>
      <c r="P470" s="109">
        <f>IF(AND(ISNUMBER(O470),ISNUMBER(N470),N(N470)&gt;0),O470/N470-1,"")</f>
        <v/>
      </c>
      <c r="Q470" s="109" t="n">
        <v>37.95</v>
      </c>
      <c r="R470" s="109">
        <f>IF(AND(ISNUMBER(N470),ISNUMBER(Q470),N(Q470)&gt;0),N470/Q470-1,"")</f>
        <v/>
      </c>
      <c r="S470" s="109" t="n">
        <v>4051</v>
      </c>
      <c r="T470" s="109" t="n">
        <v>35</v>
      </c>
      <c r="U470" s="109" t="n">
        <v>4.4</v>
      </c>
      <c r="V470" s="109" t="n">
        <v>1909</v>
      </c>
      <c r="W470" s="109" t="n">
        <v>171534</v>
      </c>
      <c r="X470" s="109" t="n">
        <v>0.5544749851341424</v>
      </c>
      <c r="Y470" s="109" t="n">
        <v>28</v>
      </c>
      <c r="Z470" s="109" t="n">
        <v>300</v>
      </c>
      <c r="AA470" s="109" t="n">
        <v>814</v>
      </c>
      <c r="AB470" s="109" t="n"/>
      <c r="AC470" s="109" t="inlineStr">
        <is>
          <t>US DC Cooling 4pc</t>
        </is>
      </c>
      <c r="AD470" s="109">
        <f>'US DC Cooling 4pc'!BC116</f>
        <v/>
      </c>
      <c r="AE470" s="109">
        <f>'US DC Cooling 4pc'!BF116</f>
        <v/>
      </c>
      <c r="AF470" s="109" t="n"/>
      <c r="AG470" s="109" t="n"/>
    </row>
    <row r="471">
      <c r="A471" s="109">
        <f>AND(OR(Dashboard!$C$4="All",Dashboard!$C$4=D471),OR(Dashboard!$C$5="All",Dashboard!$C$5=E471),OR(Dashboard!$C$6="All",Dashboard!$C$6=G471),OR(Dashboard!$C$7="All",Dashboard!$C$7=H471),OR(Dashboard!$C$8="All",Dashboard!$C$8=F471))</f>
        <v/>
      </c>
      <c r="B471" s="109">
        <f>IF(A471,B470+1,B470)</f>
        <v/>
      </c>
      <c r="C471" s="109" t="n">
        <v>48</v>
      </c>
      <c r="D471" s="109" t="inlineStr">
        <is>
          <t>DC Cooling 4pc</t>
        </is>
      </c>
      <c r="E471" s="109" t="inlineStr">
        <is>
          <t>US</t>
        </is>
      </c>
      <c r="F471" s="109" t="inlineStr">
        <is>
          <t>Cooling</t>
        </is>
      </c>
      <c r="G471" s="109" t="inlineStr">
        <is>
          <t>GOKOTTA</t>
        </is>
      </c>
      <c r="H471" s="109" t="inlineStr">
        <is>
          <t>Beatable</t>
        </is>
      </c>
      <c r="I471" s="109" t="inlineStr">
        <is>
          <t>GOKOTTA King Bamboo Rayon Sheets Set, Silky Soft Cooling Sheets Stay Put</t>
        </is>
      </c>
      <c r="J471" s="109" t="inlineStr">
        <is>
          <t>https://images-na.ssl-images-amazon.com/images/I/81EdgN1LRmL.jpg</t>
        </is>
      </c>
      <c r="K471" s="109" t="inlineStr">
        <is>
          <t>B09WV7RN1V</t>
        </is>
      </c>
      <c r="L471" s="109" t="inlineStr">
        <is>
          <t>B0BR53P7DY</t>
        </is>
      </c>
      <c r="M471" s="109" t="n">
        <v>99</v>
      </c>
      <c r="N471" s="109" t="n">
        <v>109</v>
      </c>
      <c r="O471" s="109" t="n"/>
      <c r="P471" s="109">
        <f>IF(AND(ISNUMBER(O471),ISNUMBER(N471),N(N471)&gt;0),O471/N471-1,"")</f>
        <v/>
      </c>
      <c r="Q471" s="109" t="n">
        <v>39.95</v>
      </c>
      <c r="R471" s="109">
        <f>IF(AND(ISNUMBER(N471),ISNUMBER(Q471),N(Q471)&gt;0),N471/Q471-1,"")</f>
        <v/>
      </c>
      <c r="S471" s="109" t="n">
        <v>16154</v>
      </c>
      <c r="T471" s="109" t="n">
        <v>35</v>
      </c>
      <c r="U471" s="109" t="n">
        <v>4.4</v>
      </c>
      <c r="V471" s="109" t="n">
        <v>3371</v>
      </c>
      <c r="W471" s="109" t="n">
        <v>76017</v>
      </c>
      <c r="X471" s="109" t="n">
        <v>0.8206756843863878</v>
      </c>
      <c r="Y471" s="109" t="n">
        <v>96</v>
      </c>
      <c r="Z471" s="109" t="n">
        <v>173</v>
      </c>
      <c r="AA471" s="109" t="n">
        <v>340</v>
      </c>
      <c r="AB471" s="109" t="n"/>
      <c r="AC471" s="109" t="inlineStr">
        <is>
          <t>US DC Cooling 4pc</t>
        </is>
      </c>
      <c r="AD471" s="109">
        <f>'US DC Cooling 4pc'!BC117</f>
        <v/>
      </c>
      <c r="AE471" s="109">
        <f>'US DC Cooling 4pc'!BF117</f>
        <v/>
      </c>
      <c r="AF471" s="109" t="inlineStr">
        <is>
          <t>King</t>
        </is>
      </c>
      <c r="AG471" s="109" t="n"/>
    </row>
    <row r="472">
      <c r="A472" s="109">
        <f>AND(OR(Dashboard!$C$4="All",Dashboard!$C$4=D472),OR(Dashboard!$C$5="All",Dashboard!$C$5=E472),OR(Dashboard!$C$6="All",Dashboard!$C$6=G472),OR(Dashboard!$C$7="All",Dashboard!$C$7=H472),OR(Dashboard!$C$8="All",Dashboard!$C$8=F472))</f>
        <v/>
      </c>
      <c r="B472" s="109">
        <f>IF(A472,B471+1,B471)</f>
        <v/>
      </c>
      <c r="C472" s="109" t="n">
        <v>48</v>
      </c>
      <c r="D472" s="109" t="inlineStr">
        <is>
          <t>DC Cooling 4pc</t>
        </is>
      </c>
      <c r="E472" s="109" t="inlineStr">
        <is>
          <t>US</t>
        </is>
      </c>
      <c r="F472" s="109" t="inlineStr">
        <is>
          <t>Cooling</t>
        </is>
      </c>
      <c r="G472" s="109" t="inlineStr">
        <is>
          <t>REST</t>
        </is>
      </c>
      <c r="H472" s="109" t="inlineStr">
        <is>
          <t>Beatable</t>
        </is>
      </c>
      <c r="I472" s="109" t="inlineStr">
        <is>
          <t>Cooling Sheets 4/6 Pcs</t>
        </is>
      </c>
      <c r="J472" s="109" t="n"/>
      <c r="K472" s="109" t="inlineStr">
        <is>
          <t>B0C56VXVB3</t>
        </is>
      </c>
      <c r="L472" s="109" t="inlineStr">
        <is>
          <t>B0D25LDRPS</t>
        </is>
      </c>
      <c r="M472" s="109" t="n"/>
      <c r="N472" s="109" t="n">
        <v>164.25</v>
      </c>
      <c r="O472" s="109" t="n">
        <v>219</v>
      </c>
      <c r="P472" s="109">
        <f>IF(AND(ISNUMBER(O472),ISNUMBER(N472),N(N472)&gt;0),O472/N472-1,"")</f>
        <v/>
      </c>
      <c r="Q472" s="109" t="n">
        <v>37.95</v>
      </c>
      <c r="R472" s="109">
        <f>IF(AND(ISNUMBER(N472),ISNUMBER(Q472),N(Q472)&gt;0),N472/Q472-1,"")</f>
        <v/>
      </c>
      <c r="S472" s="109" t="n">
        <v>5255</v>
      </c>
      <c r="T472" s="109" t="n">
        <v>35</v>
      </c>
      <c r="U472" s="109" t="n">
        <v>4.3</v>
      </c>
      <c r="V472" s="109" t="n">
        <v>1149</v>
      </c>
      <c r="W472" s="109" t="n"/>
      <c r="X472" s="109" t="n"/>
      <c r="Y472" s="109" t="n"/>
      <c r="Z472" s="109" t="n"/>
      <c r="AA472" s="109" t="n"/>
      <c r="AB472" s="109" t="n"/>
      <c r="AC472" s="109" t="inlineStr">
        <is>
          <t>US DC Cooling 4pc</t>
        </is>
      </c>
      <c r="AD472" s="109">
        <f>'US DC Cooling 4pc'!BC118</f>
        <v/>
      </c>
      <c r="AE472" s="109">
        <f>'US DC Cooling 4pc'!BF118</f>
        <v/>
      </c>
      <c r="AF472" s="109" t="n"/>
      <c r="AG472" s="109" t="n"/>
    </row>
    <row r="473">
      <c r="A473" s="109">
        <f>AND(OR(Dashboard!$C$4="All",Dashboard!$C$4=D473),OR(Dashboard!$C$5="All",Dashboard!$C$5=E473),OR(Dashboard!$C$6="All",Dashboard!$C$6=G473),OR(Dashboard!$C$7="All",Dashboard!$C$7=H473),OR(Dashboard!$C$8="All",Dashboard!$C$8=F473))</f>
        <v/>
      </c>
      <c r="B473" s="109">
        <f>IF(A473,B472+1,B472)</f>
        <v/>
      </c>
      <c r="C473" s="109" t="n">
        <v>48</v>
      </c>
      <c r="D473" s="109" t="inlineStr">
        <is>
          <t>DC Cooling 4pc</t>
        </is>
      </c>
      <c r="E473" s="109" t="inlineStr">
        <is>
          <t>US</t>
        </is>
      </c>
      <c r="F473" s="109" t="inlineStr">
        <is>
          <t>Cooling</t>
        </is>
      </c>
      <c r="G473" s="109" t="inlineStr">
        <is>
          <t>Shilucheng</t>
        </is>
      </c>
      <c r="H473" s="109" t="inlineStr">
        <is>
          <t>Beatable</t>
        </is>
      </c>
      <c r="I473" s="109" t="inlineStr">
        <is>
          <t>Shilucheng 4 Piece King Sheet Sets, Cooling Sheets, Dark Grey</t>
        </is>
      </c>
      <c r="J473" s="109" t="inlineStr">
        <is>
          <t>https://images-na.ssl-images-amazon.com/images/I/81fpVjndH2L.jpg</t>
        </is>
      </c>
      <c r="K473" s="109" t="inlineStr">
        <is>
          <t>B098JT1RF2</t>
        </is>
      </c>
      <c r="L473" s="109" t="inlineStr">
        <is>
          <t>B098JT1RF2</t>
        </is>
      </c>
      <c r="M473" s="109" t="n">
        <v>100</v>
      </c>
      <c r="N473" s="109" t="n">
        <v>37.9</v>
      </c>
      <c r="O473" s="109" t="n"/>
      <c r="P473" s="109">
        <f>IF(AND(ISNUMBER(O473),ISNUMBER(N473),N(N473)&gt;0),O473/N473-1,"")</f>
        <v/>
      </c>
      <c r="Q473" s="109" t="n">
        <v>39.95</v>
      </c>
      <c r="R473" s="109">
        <f>IF(AND(ISNUMBER(N473),ISNUMBER(Q473),N(Q473)&gt;0),N473/Q473-1,"")</f>
        <v/>
      </c>
      <c r="S473" s="109" t="n">
        <v>9187</v>
      </c>
      <c r="T473" s="109" t="n">
        <v>18</v>
      </c>
      <c r="U473" s="109" t="n">
        <v>4.3</v>
      </c>
      <c r="V473" s="109" t="n">
        <v>24333</v>
      </c>
      <c r="W473" s="109" t="n">
        <v>23320</v>
      </c>
      <c r="X473" s="109" t="n">
        <v>0.6141093996569467</v>
      </c>
      <c r="Y473" s="109" t="n">
        <v>62</v>
      </c>
      <c r="Z473" s="109" t="n">
        <v>180</v>
      </c>
      <c r="AA473" s="109" t="n">
        <v>227</v>
      </c>
      <c r="AB473" s="109" t="n"/>
      <c r="AC473" s="109" t="inlineStr">
        <is>
          <t>US DC Cooling 4pc</t>
        </is>
      </c>
      <c r="AD473" s="109">
        <f>'US DC Cooling 4pc'!BC119</f>
        <v/>
      </c>
      <c r="AE473" s="109">
        <f>'US DC Cooling 4pc'!BF119</f>
        <v/>
      </c>
      <c r="AF473" s="109" t="inlineStr">
        <is>
          <t>King</t>
        </is>
      </c>
      <c r="AG473" s="109" t="inlineStr">
        <is>
          <t>Grey</t>
        </is>
      </c>
    </row>
    <row r="474">
      <c r="A474" s="109">
        <f>AND(OR(Dashboard!$C$4="All",Dashboard!$C$4=D474),OR(Dashboard!$C$5="All",Dashboard!$C$5=E474),OR(Dashboard!$C$6="All",Dashboard!$C$6=G474),OR(Dashboard!$C$7="All",Dashboard!$C$7=H474),OR(Dashboard!$C$8="All",Dashboard!$C$8=F474))</f>
        <v/>
      </c>
      <c r="B474" s="109">
        <f>IF(A474,B473+1,B473)</f>
        <v/>
      </c>
      <c r="C474" s="109" t="n">
        <v>48</v>
      </c>
      <c r="D474" s="109" t="inlineStr">
        <is>
          <t>DC Cooling 4pc</t>
        </is>
      </c>
      <c r="E474" s="109" t="inlineStr">
        <is>
          <t>US</t>
        </is>
      </c>
      <c r="F474" s="109" t="inlineStr">
        <is>
          <t>Cooling</t>
        </is>
      </c>
      <c r="G474" s="109" t="inlineStr">
        <is>
          <t>Shilucheng</t>
        </is>
      </c>
      <c r="H474" s="109" t="inlineStr">
        <is>
          <t>Beatable</t>
        </is>
      </c>
      <c r="I474" s="109" t="inlineStr">
        <is>
          <t>Shilucheng 100% Viscose Derived from Bamboo_Sheets, Extra Deep Pocket</t>
        </is>
      </c>
      <c r="J474" s="109" t="inlineStr">
        <is>
          <t>https://images-na.ssl-images-amazon.com/images/I/71NxE1i+4jL.jpg</t>
        </is>
      </c>
      <c r="K474" s="109" t="inlineStr">
        <is>
          <t>B0F2TDDFGJ</t>
        </is>
      </c>
      <c r="L474" s="109" t="inlineStr">
        <is>
          <t>B0F2TDDFGJ</t>
        </is>
      </c>
      <c r="M474" s="109" t="n">
        <v>32</v>
      </c>
      <c r="N474" s="109" t="n">
        <v>59.99</v>
      </c>
      <c r="O474" s="109" t="n">
        <v>74.98999999999999</v>
      </c>
      <c r="P474" s="109">
        <f>IF(AND(ISNUMBER(O474),ISNUMBER(N474),N(N474)&gt;0),O474/N474-1,"")</f>
        <v/>
      </c>
      <c r="Q474" s="109" t="n">
        <v>37.95</v>
      </c>
      <c r="R474" s="109">
        <f>IF(AND(ISNUMBER(N474),ISNUMBER(Q474),N(Q474)&gt;0),N474/Q474-1,"")</f>
        <v/>
      </c>
      <c r="S474" s="109" t="n">
        <v>39191</v>
      </c>
      <c r="T474" s="109" t="n">
        <v>18</v>
      </c>
      <c r="U474" s="109" t="n">
        <v>4.5</v>
      </c>
      <c r="V474" s="109" t="n">
        <v>1639</v>
      </c>
      <c r="W474" s="109" t="n">
        <v>41895</v>
      </c>
      <c r="X474" s="109" t="n">
        <v>0.2973701849862752</v>
      </c>
      <c r="Y474" s="109" t="n">
        <v>68</v>
      </c>
      <c r="Z474" s="109" t="n">
        <v>138</v>
      </c>
      <c r="AA474" s="109" t="n">
        <v>321</v>
      </c>
      <c r="AB474" s="109" t="n"/>
      <c r="AC474" s="109" t="inlineStr">
        <is>
          <t>US DC Cooling 4pc</t>
        </is>
      </c>
      <c r="AD474" s="109">
        <f>'US DC Cooling 4pc'!BC120</f>
        <v/>
      </c>
      <c r="AE474" s="109">
        <f>'US DC Cooling 4pc'!BF120</f>
        <v/>
      </c>
      <c r="AF474" s="109" t="n"/>
      <c r="AG474" s="109" t="n"/>
    </row>
    <row r="475">
      <c r="A475" s="109">
        <f>AND(OR(Dashboard!$C$4="All",Dashboard!$C$4=D475),OR(Dashboard!$C$5="All",Dashboard!$C$5=E475),OR(Dashboard!$C$6="All",Dashboard!$C$6=G475),OR(Dashboard!$C$7="All",Dashboard!$C$7=H475),OR(Dashboard!$C$8="All",Dashboard!$C$8=F475))</f>
        <v/>
      </c>
      <c r="B475" s="109">
        <f>IF(A475,B474+1,B474)</f>
        <v/>
      </c>
      <c r="C475" s="109" t="n">
        <v>48</v>
      </c>
      <c r="D475" s="109" t="inlineStr">
        <is>
          <t>DC Cooling 4pc</t>
        </is>
      </c>
      <c r="E475" s="109" t="inlineStr">
        <is>
          <t>US</t>
        </is>
      </c>
      <c r="F475" s="109" t="inlineStr">
        <is>
          <t>Cooling</t>
        </is>
      </c>
      <c r="G475" s="109" t="inlineStr">
        <is>
          <t>BC BELLA COTERIE</t>
        </is>
      </c>
      <c r="H475" s="109" t="inlineStr">
        <is>
          <t>Beatable</t>
        </is>
      </c>
      <c r="I475" s="109" t="inlineStr">
        <is>
          <t>4 Piece Bamboo Sheet Set</t>
        </is>
      </c>
      <c r="J475" s="109" t="n"/>
      <c r="K475" s="109" t="inlineStr">
        <is>
          <t>B0GKBNZ8TC</t>
        </is>
      </c>
      <c r="L475" s="109" t="inlineStr">
        <is>
          <t>B0G674ZDTV</t>
        </is>
      </c>
      <c r="M475" s="109" t="n"/>
      <c r="N475" s="109" t="n">
        <v>129.99</v>
      </c>
      <c r="O475" s="109" t="n"/>
      <c r="P475" s="109">
        <f>IF(AND(ISNUMBER(O475),ISNUMBER(N475),N(N475)&gt;0),O475/N475-1,"")</f>
        <v/>
      </c>
      <c r="Q475" s="109" t="n">
        <v>37.95</v>
      </c>
      <c r="R475" s="109">
        <f>IF(AND(ISNUMBER(N475),ISNUMBER(Q475),N(Q475)&gt;0),N475/Q475-1,"")</f>
        <v/>
      </c>
      <c r="S475" s="109" t="n">
        <v>1577</v>
      </c>
      <c r="T475" s="109" t="n">
        <v>5</v>
      </c>
      <c r="U475" s="109" t="n">
        <v>4.4</v>
      </c>
      <c r="V475" s="109" t="n">
        <v>5652</v>
      </c>
      <c r="W475" s="109" t="n"/>
      <c r="X475" s="109" t="n"/>
      <c r="Y475" s="109" t="n"/>
      <c r="Z475" s="109" t="n"/>
      <c r="AA475" s="109" t="n"/>
      <c r="AB475" s="109" t="n"/>
      <c r="AC475" s="109" t="inlineStr">
        <is>
          <t>US DC Cooling 4pc</t>
        </is>
      </c>
      <c r="AD475" s="109">
        <f>'US DC Cooling 4pc'!BC121</f>
        <v/>
      </c>
      <c r="AE475" s="109">
        <f>'US DC Cooling 4pc'!BF121</f>
        <v/>
      </c>
      <c r="AF475" s="109" t="n"/>
      <c r="AG475" s="109" t="n"/>
    </row>
    <row r="476">
      <c r="A476" s="109">
        <f>AND(OR(Dashboard!$C$4="All",Dashboard!$C$4=D476),OR(Dashboard!$C$5="All",Dashboard!$C$5=E476),OR(Dashboard!$C$6="All",Dashboard!$C$6=G476),OR(Dashboard!$C$7="All",Dashboard!$C$7=H476),OR(Dashboard!$C$8="All",Dashboard!$C$8=F476))</f>
        <v/>
      </c>
      <c r="B476" s="109">
        <f>IF(A476,B475+1,B475)</f>
        <v/>
      </c>
      <c r="C476" s="109" t="n">
        <v>48</v>
      </c>
      <c r="D476" s="109" t="inlineStr">
        <is>
          <t>DC Cooling 4pc</t>
        </is>
      </c>
      <c r="E476" s="109" t="inlineStr">
        <is>
          <t>US</t>
        </is>
      </c>
      <c r="F476" s="109" t="inlineStr">
        <is>
          <t>Cooling</t>
        </is>
      </c>
      <c r="G476" s="109" t="inlineStr">
        <is>
          <t>Bedsure</t>
        </is>
      </c>
      <c r="H476" s="109" t="inlineStr">
        <is>
          <t>Beatable</t>
        </is>
      </c>
      <c r="I476" s="109" t="inlineStr">
        <is>
          <t>Cooling Sheets</t>
        </is>
      </c>
      <c r="J476" s="109" t="n"/>
      <c r="K476" s="109" t="inlineStr">
        <is>
          <t>B0CPDTJ5NN</t>
        </is>
      </c>
      <c r="L476" s="109" t="inlineStr">
        <is>
          <t>B0CPDR5DDM</t>
        </is>
      </c>
      <c r="M476" s="109" t="n">
        <v>1</v>
      </c>
      <c r="N476" s="109" t="n">
        <v>149.99</v>
      </c>
      <c r="O476" s="109" t="n"/>
      <c r="P476" s="109">
        <f>IF(AND(ISNUMBER(O476),ISNUMBER(N476),N(N476)&gt;0),O476/N476-1,"")</f>
        <v/>
      </c>
      <c r="Q476" s="109" t="n">
        <v>37.95</v>
      </c>
      <c r="R476" s="109">
        <f>IF(AND(ISNUMBER(N476),ISNUMBER(Q476),N(Q476)&gt;0),N476/Q476-1,"")</f>
        <v/>
      </c>
      <c r="S476" s="109" t="n">
        <v>463922</v>
      </c>
      <c r="T476" s="109" t="n">
        <v>5</v>
      </c>
      <c r="U476" s="109" t="n">
        <v>4.2</v>
      </c>
      <c r="V476" s="109" t="n">
        <v>512</v>
      </c>
      <c r="W476" s="109" t="n">
        <v>170</v>
      </c>
      <c r="X476" s="109" t="n">
        <v>1</v>
      </c>
      <c r="Y476" s="109" t="n">
        <v>12</v>
      </c>
      <c r="Z476" s="109" t="n">
        <v>1</v>
      </c>
      <c r="AA476" s="109" t="n">
        <v>0</v>
      </c>
      <c r="AB476" s="109" t="n"/>
      <c r="AC476" s="109" t="inlineStr">
        <is>
          <t>US DC Cooling 4pc</t>
        </is>
      </c>
      <c r="AD476" s="109">
        <f>'US DC Cooling 4pc'!BC122</f>
        <v/>
      </c>
      <c r="AE476" s="109">
        <f>'US DC Cooling 4pc'!BF122</f>
        <v/>
      </c>
      <c r="AF476" s="109" t="n"/>
      <c r="AG476" s="109" t="n"/>
    </row>
    <row r="477">
      <c r="A477" s="109">
        <f>AND(OR(Dashboard!$C$4="All",Dashboard!$C$4=D477),OR(Dashboard!$C$5="All",Dashboard!$C$5=E477),OR(Dashboard!$C$6="All",Dashboard!$C$6=G477),OR(Dashboard!$C$7="All",Dashboard!$C$7=H477),OR(Dashboard!$C$8="All",Dashboard!$C$8=F477))</f>
        <v/>
      </c>
      <c r="B477" s="109">
        <f>IF(A477,B476+1,B476)</f>
        <v/>
      </c>
      <c r="C477" s="109" t="n">
        <v>48</v>
      </c>
      <c r="D477" s="109" t="inlineStr">
        <is>
          <t>DC Cooling 4pc</t>
        </is>
      </c>
      <c r="E477" s="109" t="inlineStr">
        <is>
          <t>US</t>
        </is>
      </c>
      <c r="F477" s="109" t="inlineStr">
        <is>
          <t>Cooling</t>
        </is>
      </c>
      <c r="G477" s="109" t="inlineStr">
        <is>
          <t>DOWNCOOL</t>
        </is>
      </c>
      <c r="H477" s="109" t="inlineStr">
        <is>
          <t>Beatable</t>
        </is>
      </c>
      <c r="I477" s="109" t="inlineStr">
        <is>
          <t>Cooling Sheets</t>
        </is>
      </c>
      <c r="J477" s="109" t="n"/>
      <c r="K477" s="109" t="inlineStr">
        <is>
          <t>B0F93XRVSZ</t>
        </is>
      </c>
      <c r="L477" s="109" t="inlineStr">
        <is>
          <t>B0F93XRVSZ</t>
        </is>
      </c>
      <c r="M477" s="109" t="n"/>
      <c r="N477" s="109" t="n">
        <v>139.99</v>
      </c>
      <c r="O477" s="109" t="n"/>
      <c r="P477" s="109">
        <f>IF(AND(ISNUMBER(O477),ISNUMBER(N477),N(N477)&gt;0),O477/N477-1,"")</f>
        <v/>
      </c>
      <c r="Q477" s="109" t="n">
        <v>37.95</v>
      </c>
      <c r="R477" s="109">
        <f>IF(AND(ISNUMBER(N477),ISNUMBER(Q477),N(Q477)&gt;0),N477/Q477-1,"")</f>
        <v/>
      </c>
      <c r="S477" s="109" t="n">
        <v>2798999</v>
      </c>
      <c r="T477" s="109" t="n">
        <v>5</v>
      </c>
      <c r="U477" s="109" t="n">
        <v>4.2</v>
      </c>
      <c r="V477" s="109" t="n">
        <v>6</v>
      </c>
      <c r="W477" s="109" t="n"/>
      <c r="X477" s="109" t="n"/>
      <c r="Y477" s="109" t="n"/>
      <c r="Z477" s="109" t="n"/>
      <c r="AA477" s="109" t="n"/>
      <c r="AB477" s="109" t="n"/>
      <c r="AC477" s="109" t="inlineStr">
        <is>
          <t>US DC Cooling 4pc</t>
        </is>
      </c>
      <c r="AD477" s="109">
        <f>'US DC Cooling 4pc'!BC123</f>
        <v/>
      </c>
      <c r="AE477" s="109">
        <f>'US DC Cooling 4pc'!BF123</f>
        <v/>
      </c>
      <c r="AF477" s="109" t="n"/>
      <c r="AG477" s="109" t="n"/>
    </row>
    <row r="478">
      <c r="A478" s="109">
        <f>AND(OR(Dashboard!$C$4="All",Dashboard!$C$4=D478),OR(Dashboard!$C$5="All",Dashboard!$C$5=E478),OR(Dashboard!$C$6="All",Dashboard!$C$6=G478),OR(Dashboard!$C$7="All",Dashboard!$C$7=H478),OR(Dashboard!$C$8="All",Dashboard!$C$8=F478))</f>
        <v/>
      </c>
      <c r="B478" s="109">
        <f>IF(A478,B477+1,B477)</f>
        <v/>
      </c>
      <c r="C478" s="109" t="n">
        <v>48</v>
      </c>
      <c r="D478" s="109" t="inlineStr">
        <is>
          <t>DC Cooling 4pc</t>
        </is>
      </c>
      <c r="E478" s="109" t="inlineStr">
        <is>
          <t>US</t>
        </is>
      </c>
      <c r="F478" s="109" t="inlineStr">
        <is>
          <t>Cooling</t>
        </is>
      </c>
      <c r="G478" s="109" t="inlineStr">
        <is>
          <t>Elegear</t>
        </is>
      </c>
      <c r="H478" s="109" t="inlineStr">
        <is>
          <t>Beatable</t>
        </is>
      </c>
      <c r="I478" s="109" t="inlineStr">
        <is>
          <t>Elegear Silver Infused Cooling Bed Sheets Queen, Arc-Chill® 3.0 Cool Tech, Silve</t>
        </is>
      </c>
      <c r="J478" s="109" t="n"/>
      <c r="K478" s="109" t="inlineStr">
        <is>
          <t>B0H7YWGBW3</t>
        </is>
      </c>
      <c r="L478" s="109" t="inlineStr">
        <is>
          <t>B0GCGXW1WT</t>
        </is>
      </c>
      <c r="M478" s="109" t="n">
        <v>8</v>
      </c>
      <c r="N478" s="109" t="n">
        <v>67.98999999999999</v>
      </c>
      <c r="O478" s="109" t="n">
        <v>79.98999999999999</v>
      </c>
      <c r="P478" s="109">
        <f>IF(AND(ISNUMBER(O478),ISNUMBER(N478),N(N478)&gt;0),O478/N478-1,"")</f>
        <v/>
      </c>
      <c r="Q478" s="109" t="n">
        <v>37.95</v>
      </c>
      <c r="R478" s="109">
        <f>IF(AND(ISNUMBER(N478),ISNUMBER(Q478),N(Q478)&gt;0),N478/Q478-1,"")</f>
        <v/>
      </c>
      <c r="S478" s="109" t="n">
        <v>159865</v>
      </c>
      <c r="T478" s="109" t="n">
        <v>5</v>
      </c>
      <c r="U478" s="109" t="n">
        <v>4.4</v>
      </c>
      <c r="V478" s="109" t="n">
        <v>131</v>
      </c>
      <c r="W478" s="109" t="n">
        <v>15624</v>
      </c>
      <c r="X478" s="109" t="n">
        <v>0.6086269521249359</v>
      </c>
      <c r="Y478" s="109" t="n">
        <v>54</v>
      </c>
      <c r="Z478" s="109" t="n">
        <v>77</v>
      </c>
      <c r="AA478" s="109" t="n">
        <v>151</v>
      </c>
      <c r="AB478" s="109" t="n">
        <v>0.4848484848484848</v>
      </c>
      <c r="AC478" s="109" t="inlineStr">
        <is>
          <t>US DC Cooling 4pc</t>
        </is>
      </c>
      <c r="AD478" s="109">
        <f>'US DC Cooling 4pc'!BC124</f>
        <v/>
      </c>
      <c r="AE478" s="109">
        <f>'US DC Cooling 4pc'!BF124</f>
        <v/>
      </c>
      <c r="AF478" s="109" t="inlineStr">
        <is>
          <t>Queen</t>
        </is>
      </c>
      <c r="AG478" s="109" t="inlineStr">
        <is>
          <t>Silver</t>
        </is>
      </c>
    </row>
    <row r="479">
      <c r="A479" s="109">
        <f>AND(OR(Dashboard!$C$4="All",Dashboard!$C$4=D479),OR(Dashboard!$C$5="All",Dashboard!$C$5=E479),OR(Dashboard!$C$6="All",Dashboard!$C$6=G479),OR(Dashboard!$C$7="All",Dashboard!$C$7=H479),OR(Dashboard!$C$8="All",Dashboard!$C$8=F479))</f>
        <v/>
      </c>
      <c r="B479" s="109">
        <f>IF(A479,B478+1,B478)</f>
        <v/>
      </c>
      <c r="C479" s="109" t="n">
        <v>48</v>
      </c>
      <c r="D479" s="109" t="inlineStr">
        <is>
          <t>DC Cooling 4pc</t>
        </is>
      </c>
      <c r="E479" s="109" t="inlineStr">
        <is>
          <t>US</t>
        </is>
      </c>
      <c r="F479" s="109" t="inlineStr">
        <is>
          <t>Cooling</t>
        </is>
      </c>
      <c r="G479" s="109" t="inlineStr">
        <is>
          <t>OMERAI</t>
        </is>
      </c>
      <c r="H479" s="109" t="inlineStr">
        <is>
          <t>Beatable</t>
        </is>
      </c>
      <c r="I479" s="109" t="inlineStr">
        <is>
          <t>Cooling Sheets</t>
        </is>
      </c>
      <c r="J479" s="109" t="n"/>
      <c r="K479" s="109" t="inlineStr">
        <is>
          <t>B0HDC7BMTC</t>
        </is>
      </c>
      <c r="L479" s="109" t="inlineStr">
        <is>
          <t>B0FX8K1CG9</t>
        </is>
      </c>
      <c r="M479" s="109" t="n">
        <v>10</v>
      </c>
      <c r="N479" s="109" t="n">
        <v>42.99</v>
      </c>
      <c r="O479" s="109" t="n">
        <v>59.99</v>
      </c>
      <c r="P479" s="109">
        <f>IF(AND(ISNUMBER(O479),ISNUMBER(N479),N(N479)&gt;0),O479/N479-1,"")</f>
        <v/>
      </c>
      <c r="Q479" s="109" t="n">
        <v>37.95</v>
      </c>
      <c r="R479" s="109">
        <f>IF(AND(ISNUMBER(N479),ISNUMBER(Q479),N(Q479)&gt;0),N479/Q479-1,"")</f>
        <v/>
      </c>
      <c r="S479" s="109" t="n">
        <v>115669</v>
      </c>
      <c r="T479" s="109" t="n">
        <v>5</v>
      </c>
      <c r="U479" s="109" t="n">
        <v>4.7</v>
      </c>
      <c r="V479" s="109" t="n">
        <v>4</v>
      </c>
      <c r="W479" s="109" t="n">
        <v>13712</v>
      </c>
      <c r="X479" s="109" t="n">
        <v>0.8852072199533255</v>
      </c>
      <c r="Y479" s="109" t="n">
        <v>46</v>
      </c>
      <c r="Z479" s="109" t="n">
        <v>80</v>
      </c>
      <c r="AA479" s="109" t="n">
        <v>53</v>
      </c>
      <c r="AB479" s="109" t="n"/>
      <c r="AC479" s="109" t="inlineStr">
        <is>
          <t>US DC Cooling 4pc</t>
        </is>
      </c>
      <c r="AD479" s="109">
        <f>'US DC Cooling 4pc'!BC125</f>
        <v/>
      </c>
      <c r="AE479" s="109">
        <f>'US DC Cooling 4pc'!BF125</f>
        <v/>
      </c>
      <c r="AF479" s="109" t="n"/>
      <c r="AG479" s="109" t="n"/>
    </row>
    <row r="480">
      <c r="A480" s="109">
        <f>AND(OR(Dashboard!$C$4="All",Dashboard!$C$4=D480),OR(Dashboard!$C$5="All",Dashboard!$C$5=E480),OR(Dashboard!$C$6="All",Dashboard!$C$6=G480),OR(Dashboard!$C$7="All",Dashboard!$C$7=H480),OR(Dashboard!$C$8="All",Dashboard!$C$8=F480))</f>
        <v/>
      </c>
      <c r="B480" s="109">
        <f>IF(A480,B479+1,B479)</f>
        <v/>
      </c>
      <c r="C480" s="109" t="n">
        <v>48</v>
      </c>
      <c r="D480" s="109" t="inlineStr">
        <is>
          <t>DC Cooling 4pc</t>
        </is>
      </c>
      <c r="E480" s="109" t="inlineStr">
        <is>
          <t>US</t>
        </is>
      </c>
      <c r="F480" s="109" t="inlineStr">
        <is>
          <t>Cooling</t>
        </is>
      </c>
      <c r="G480" s="109" t="inlineStr">
        <is>
          <t>Shilucheng</t>
        </is>
      </c>
      <c r="H480" s="109" t="inlineStr">
        <is>
          <t>Beatable</t>
        </is>
      </c>
      <c r="I480" s="109" t="inlineStr">
        <is>
          <t>Shilucheng 100% Viscose Derived from Bamboo_ Sheets King Size 4pcs</t>
        </is>
      </c>
      <c r="J480" s="109" t="inlineStr">
        <is>
          <t>https://images-na.ssl-images-amazon.com/images/I/71+O+E9PlaL.jpg</t>
        </is>
      </c>
      <c r="K480" s="109" t="inlineStr">
        <is>
          <t>B09PYQ2VQL</t>
        </is>
      </c>
      <c r="L480" s="109" t="inlineStr">
        <is>
          <t>B09PYQ2VQL</t>
        </is>
      </c>
      <c r="M480" s="109" t="n">
        <v>79</v>
      </c>
      <c r="N480" s="109" t="n">
        <v>54.9</v>
      </c>
      <c r="O480" s="109" t="n">
        <v>64.90000000000001</v>
      </c>
      <c r="P480" s="109">
        <f>IF(AND(ISNUMBER(O480),ISNUMBER(N480),N(N480)&gt;0),O480/N480-1,"")</f>
        <v/>
      </c>
      <c r="Q480" s="109" t="n">
        <v>39.95</v>
      </c>
      <c r="R480" s="109">
        <f>IF(AND(ISNUMBER(N480),ISNUMBER(Q480),N(Q480)&gt;0),N480/Q480-1,"")</f>
        <v/>
      </c>
      <c r="S480" s="109" t="n">
        <v>26044</v>
      </c>
      <c r="T480" s="109" t="n">
        <v>5</v>
      </c>
      <c r="U480" s="109" t="n">
        <v>4.4</v>
      </c>
      <c r="V480" s="109" t="n">
        <v>6629</v>
      </c>
      <c r="W480" s="109" t="n">
        <v>55207</v>
      </c>
      <c r="X480" s="109" t="n">
        <v>0.5098780408281561</v>
      </c>
      <c r="Y480" s="109" t="n">
        <v>52</v>
      </c>
      <c r="Z480" s="109" t="n">
        <v>175</v>
      </c>
      <c r="AA480" s="109" t="n">
        <v>467</v>
      </c>
      <c r="AB480" s="109" t="n"/>
      <c r="AC480" s="109" t="inlineStr">
        <is>
          <t>US DC Cooling 4pc</t>
        </is>
      </c>
      <c r="AD480" s="109">
        <f>'US DC Cooling 4pc'!BC126</f>
        <v/>
      </c>
      <c r="AE480" s="109">
        <f>'US DC Cooling 4pc'!BF126</f>
        <v/>
      </c>
      <c r="AF480" s="109" t="inlineStr">
        <is>
          <t>King</t>
        </is>
      </c>
      <c r="AG480" s="109" t="n"/>
    </row>
    <row r="481">
      <c r="A481" s="109">
        <f>AND(OR(Dashboard!$C$4="All",Dashboard!$C$4=D481),OR(Dashboard!$C$5="All",Dashboard!$C$5=E481),OR(Dashboard!$C$6="All",Dashboard!$C$6=G481),OR(Dashboard!$C$7="All",Dashboard!$C$7=H481),OR(Dashboard!$C$8="All",Dashboard!$C$8=F481))</f>
        <v/>
      </c>
      <c r="B481" s="109">
        <f>IF(A481,B480+1,B480)</f>
        <v/>
      </c>
      <c r="C481" s="109" t="n">
        <v>48</v>
      </c>
      <c r="D481" s="109" t="inlineStr">
        <is>
          <t>DC Cooling 4pc</t>
        </is>
      </c>
      <c r="E481" s="109" t="inlineStr">
        <is>
          <t>US</t>
        </is>
      </c>
      <c r="F481" s="109" t="inlineStr">
        <is>
          <t>Cooling</t>
        </is>
      </c>
      <c r="G481" s="109" t="inlineStr">
        <is>
          <t>David's Home</t>
        </is>
      </c>
      <c r="H481" s="109" t="inlineStr">
        <is>
          <t>Beatable</t>
        </is>
      </c>
      <c r="I481" s="109" t="inlineStr">
        <is>
          <t>Cooling Sheets</t>
        </is>
      </c>
      <c r="J481" s="109" t="n"/>
      <c r="K481" s="109" t="inlineStr">
        <is>
          <t>B0D1SRR2H4</t>
        </is>
      </c>
      <c r="L481" s="109" t="inlineStr">
        <is>
          <t>B0D1RBXBNG</t>
        </is>
      </c>
      <c r="M481" s="109" t="n"/>
      <c r="N481" s="109" t="n">
        <v>24.99</v>
      </c>
      <c r="O481" s="109" t="n"/>
      <c r="P481" s="109">
        <f>IF(AND(ISNUMBER(O481),ISNUMBER(N481),N(N481)&gt;0),O481/N481-1,"")</f>
        <v/>
      </c>
      <c r="Q481" s="109" t="n">
        <v>37.95</v>
      </c>
      <c r="R481" s="109">
        <f>IF(AND(ISNUMBER(N481),ISNUMBER(Q481),N(Q481)&gt;0),N481/Q481-1,"")</f>
        <v/>
      </c>
      <c r="S481" s="109" t="n">
        <v>758020</v>
      </c>
      <c r="T481" s="109" t="n"/>
      <c r="U481" s="109" t="n">
        <v>4.3</v>
      </c>
      <c r="V481" s="109" t="n">
        <v>169</v>
      </c>
      <c r="W481" s="109" t="n"/>
      <c r="X481" s="109" t="n"/>
      <c r="Y481" s="109" t="n"/>
      <c r="Z481" s="109" t="n"/>
      <c r="AA481" s="109" t="n"/>
      <c r="AB481" s="109" t="n"/>
      <c r="AC481" s="109" t="inlineStr">
        <is>
          <t>US DC Cooling 4pc</t>
        </is>
      </c>
      <c r="AD481" s="109">
        <f>'US DC Cooling 4pc'!BC127</f>
        <v/>
      </c>
      <c r="AE481" s="109">
        <f>'US DC Cooling 4pc'!BF127</f>
        <v/>
      </c>
      <c r="AF481" s="109" t="n"/>
      <c r="AG481" s="109" t="n"/>
    </row>
    <row r="482">
      <c r="A482" s="109">
        <f>AND(OR(Dashboard!$C$4="All",Dashboard!$C$4=D482),OR(Dashboard!$C$5="All",Dashboard!$C$5=E482),OR(Dashboard!$C$6="All",Dashboard!$C$6=G482),OR(Dashboard!$C$7="All",Dashboard!$C$7=H482),OR(Dashboard!$C$8="All",Dashboard!$C$8=F482))</f>
        <v/>
      </c>
      <c r="B482" s="109">
        <f>IF(A482,B481+1,B481)</f>
        <v/>
      </c>
      <c r="C482" s="109" t="n">
        <v>48</v>
      </c>
      <c r="D482" s="109" t="inlineStr">
        <is>
          <t>DC Cooling 4pc</t>
        </is>
      </c>
      <c r="E482" s="109" t="inlineStr">
        <is>
          <t>US</t>
        </is>
      </c>
      <c r="F482" s="109" t="inlineStr">
        <is>
          <t>Cooling</t>
        </is>
      </c>
      <c r="G482" s="109" t="inlineStr">
        <is>
          <t>Pillcase</t>
        </is>
      </c>
      <c r="H482" s="109" t="inlineStr">
        <is>
          <t>Poor</t>
        </is>
      </c>
      <c r="I482" s="109" t="inlineStr">
        <is>
          <t>Pillcase Luxury Organic Tencel &amp; Viscose from Bamboo Cooling Sheet Set,Silky Soft Lyocell Sheets with Deep Pocket, Hypoallergenic &amp; Breathable Bedding with Pillowcases (White, King)</t>
        </is>
      </c>
      <c r="J482" s="109" t="inlineStr">
        <is>
          <t>https://images-na.ssl-images-amazon.com/images/I/61mi8zwd8GL.jpg</t>
        </is>
      </c>
      <c r="K482" s="109" t="inlineStr">
        <is>
          <t>B0FLDYD61P</t>
        </is>
      </c>
      <c r="L482" s="109" t="inlineStr">
        <is>
          <t>B0FLDYD61P</t>
        </is>
      </c>
      <c r="M482" s="109" t="n">
        <v>1</v>
      </c>
      <c r="N482" s="109" t="n">
        <v>109.99</v>
      </c>
      <c r="O482" s="109" t="n"/>
      <c r="P482" s="109">
        <f>IF(AND(ISNUMBER(O482),ISNUMBER(N482),N(N482)&gt;0),O482/N482-1,"")</f>
        <v/>
      </c>
      <c r="Q482" s="109" t="n">
        <v>39.95</v>
      </c>
      <c r="R482" s="109">
        <f>IF(AND(ISNUMBER(N482),ISNUMBER(Q482),N(Q482)&gt;0),N482/Q482-1,"")</f>
        <v/>
      </c>
      <c r="S482" s="109" t="n">
        <v>1401806</v>
      </c>
      <c r="T482" s="109" t="n">
        <v>5</v>
      </c>
      <c r="U482" s="109" t="n">
        <v>4.5</v>
      </c>
      <c r="V482" s="109" t="n">
        <v>35</v>
      </c>
      <c r="W482" s="109" t="n"/>
      <c r="X482" s="109" t="n"/>
      <c r="Y482" s="109" t="n"/>
      <c r="Z482" s="109" t="n"/>
      <c r="AA482" s="109" t="n"/>
      <c r="AB482" s="109" t="n"/>
      <c r="AC482" s="109" t="inlineStr">
        <is>
          <t>US DC Cooling 4pc</t>
        </is>
      </c>
      <c r="AD482" s="109">
        <f>'US DC Cooling 4pc'!BC128</f>
        <v/>
      </c>
      <c r="AE482" s="109">
        <f>'US DC Cooling 4pc'!BF128</f>
        <v/>
      </c>
      <c r="AF482" s="109" t="inlineStr">
        <is>
          <t>King</t>
        </is>
      </c>
      <c r="AG482" s="109" t="inlineStr">
        <is>
          <t>White</t>
        </is>
      </c>
    </row>
    <row r="483">
      <c r="A483" s="109">
        <f>AND(OR(Dashboard!$C$4="All",Dashboard!$C$4=D483),OR(Dashboard!$C$5="All",Dashboard!$C$5=E483),OR(Dashboard!$C$6="All",Dashboard!$C$6=G483),OR(Dashboard!$C$7="All",Dashboard!$C$7=H483),OR(Dashboard!$C$8="All",Dashboard!$C$8=F483))</f>
        <v/>
      </c>
      <c r="B483" s="109">
        <f>IF(A483,B482+1,B482)</f>
        <v/>
      </c>
      <c r="C483" s="109" t="n">
        <v>48</v>
      </c>
      <c r="D483" s="109" t="inlineStr">
        <is>
          <t>DC Cooling 4pc</t>
        </is>
      </c>
      <c r="E483" s="109" t="inlineStr">
        <is>
          <t>US</t>
        </is>
      </c>
      <c r="F483" s="109" t="inlineStr">
        <is>
          <t>Cooling</t>
        </is>
      </c>
      <c r="G483" s="109" t="inlineStr">
        <is>
          <t>TWK</t>
        </is>
      </c>
      <c r="H483" s="109" t="inlineStr">
        <is>
          <t>Poor</t>
        </is>
      </c>
      <c r="I483" s="109" t="inlineStr">
        <is>
          <t>TWK Luxury Sheet Set, Genuine 100% Organic Viscose Derived from Bamboo, Cooling &amp; Breathable, Silky Soft, Bedding Sheets &amp; Pillowcases (Mist Gray, King)</t>
        </is>
      </c>
      <c r="J483" s="109" t="inlineStr">
        <is>
          <t>https://images-na.ssl-images-amazon.com/images/I/71gw0WpuNuL.jpg</t>
        </is>
      </c>
      <c r="K483" s="109" t="inlineStr">
        <is>
          <t>B0DYT2QWLC</t>
        </is>
      </c>
      <c r="L483" s="109" t="inlineStr">
        <is>
          <t>B0DYT2QWLC</t>
        </is>
      </c>
      <c r="M483" s="109" t="n">
        <v>1</v>
      </c>
      <c r="N483" s="109" t="n">
        <v>109.99</v>
      </c>
      <c r="O483" s="109" t="n"/>
      <c r="P483" s="109">
        <f>IF(AND(ISNUMBER(O483),ISNUMBER(N483),N(N483)&gt;0),O483/N483-1,"")</f>
        <v/>
      </c>
      <c r="Q483" s="109" t="n">
        <v>39.95</v>
      </c>
      <c r="R483" s="109">
        <f>IF(AND(ISNUMBER(N483),ISNUMBER(Q483),N(Q483)&gt;0),N483/Q483-1,"")</f>
        <v/>
      </c>
      <c r="S483" s="109" t="n">
        <v>1506045</v>
      </c>
      <c r="T483" s="109" t="n">
        <v>5</v>
      </c>
      <c r="U483" s="109" t="n">
        <v>4.5</v>
      </c>
      <c r="V483" s="109" t="n">
        <v>39</v>
      </c>
      <c r="W483" s="109" t="n"/>
      <c r="X483" s="109" t="n"/>
      <c r="Y483" s="109" t="n"/>
      <c r="Z483" s="109" t="n"/>
      <c r="AA483" s="109" t="n"/>
      <c r="AB483" s="109" t="n"/>
      <c r="AC483" s="109" t="inlineStr">
        <is>
          <t>US DC Cooling 4pc</t>
        </is>
      </c>
      <c r="AD483" s="109">
        <f>'US DC Cooling 4pc'!BC129</f>
        <v/>
      </c>
      <c r="AE483" s="109">
        <f>'US DC Cooling 4pc'!BF129</f>
        <v/>
      </c>
      <c r="AF483" s="109" t="inlineStr">
        <is>
          <t>King</t>
        </is>
      </c>
      <c r="AG483" s="109" t="inlineStr">
        <is>
          <t>Mist Gray</t>
        </is>
      </c>
    </row>
    <row r="484">
      <c r="A484" s="109">
        <f>AND(OR(Dashboard!$C$4="All",Dashboard!$C$4=D484),OR(Dashboard!$C$5="All",Dashboard!$C$5=E484),OR(Dashboard!$C$6="All",Dashboard!$C$6=G484),OR(Dashboard!$C$7="All",Dashboard!$C$7=H484),OR(Dashboard!$C$8="All",Dashboard!$C$8=F484))</f>
        <v/>
      </c>
      <c r="B484" s="109">
        <f>IF(A484,B483+1,B483)</f>
        <v/>
      </c>
      <c r="C484" s="109" t="n">
        <v>48</v>
      </c>
      <c r="D484" s="109" t="inlineStr">
        <is>
          <t>DC Cooling 4pc</t>
        </is>
      </c>
      <c r="E484" s="109" t="inlineStr">
        <is>
          <t>US</t>
        </is>
      </c>
      <c r="F484" s="109" t="inlineStr">
        <is>
          <t>Cooling</t>
        </is>
      </c>
      <c r="G484" s="109" t="inlineStr">
        <is>
          <t>Bedsure</t>
        </is>
      </c>
      <c r="H484" s="109" t="inlineStr">
        <is>
          <t>Untiered</t>
        </is>
      </c>
      <c r="I484" s="109" t="inlineStr">
        <is>
          <t>Bedsure PureWoven 100% Rayon Derived from Bamboo, Queen Sheets, 4 Pieces</t>
        </is>
      </c>
      <c r="J484" s="109" t="inlineStr">
        <is>
          <t>https://images-na.ssl-images-amazon.com/images/I/81L2xb5ly6L.jpg</t>
        </is>
      </c>
      <c r="K484" s="109" t="inlineStr">
        <is>
          <t>B0BZ8T5BJ6</t>
        </is>
      </c>
      <c r="L484" s="109" t="inlineStr">
        <is>
          <t>B07YK8VTJV</t>
        </is>
      </c>
      <c r="M484" s="109" t="n">
        <v>131</v>
      </c>
      <c r="N484" s="109" t="n">
        <v>62.99</v>
      </c>
      <c r="O484" s="109" t="n">
        <v>69.98999999999999</v>
      </c>
      <c r="P484" s="109">
        <f>IF(AND(ISNUMBER(O484),ISNUMBER(N484),N(N484)&gt;0),O484/N484-1,"")</f>
        <v/>
      </c>
      <c r="Q484" s="109" t="n">
        <v>37.95</v>
      </c>
      <c r="R484" s="109">
        <f>IF(AND(ISNUMBER(N484),ISNUMBER(Q484),N(Q484)&gt;0),N484/Q484-1,"")</f>
        <v/>
      </c>
      <c r="S484" s="109" t="n">
        <v>256</v>
      </c>
      <c r="T484" s="109" t="n">
        <v>809</v>
      </c>
      <c r="U484" s="109" t="n">
        <v>4.4</v>
      </c>
      <c r="V484" s="109" t="n">
        <v>65061</v>
      </c>
      <c r="W484" s="109" t="n">
        <v>2166046</v>
      </c>
      <c r="X484" s="109" t="n">
        <v>0.5902383405984899</v>
      </c>
      <c r="Y484" s="109" t="n">
        <v>10</v>
      </c>
      <c r="Z484" s="109" t="n">
        <v>358</v>
      </c>
      <c r="AA484" s="109" t="n">
        <v>3453</v>
      </c>
      <c r="AB484" s="109" t="n">
        <v>1.066623404715553</v>
      </c>
      <c r="AC484" s="109" t="inlineStr">
        <is>
          <t>US DC Cooling 4pc</t>
        </is>
      </c>
      <c r="AD484" s="109">
        <f>'US DC Cooling 4pc'!BC130</f>
        <v/>
      </c>
      <c r="AE484" s="109">
        <f>'US DC Cooling 4pc'!BF130</f>
        <v/>
      </c>
      <c r="AF484" s="109" t="inlineStr">
        <is>
          <t>Queen</t>
        </is>
      </c>
      <c r="AG484" s="109" t="n"/>
    </row>
    <row r="485">
      <c r="A485" s="109">
        <f>AND(OR(Dashboard!$C$4="All",Dashboard!$C$4=D485),OR(Dashboard!$C$5="All",Dashboard!$C$5=E485),OR(Dashboard!$C$6="All",Dashboard!$C$6=G485),OR(Dashboard!$C$7="All",Dashboard!$C$7=H485),OR(Dashboard!$C$8="All",Dashboard!$C$8=F485))</f>
        <v/>
      </c>
      <c r="B485" s="109">
        <f>IF(A485,B484+1,B484)</f>
        <v/>
      </c>
      <c r="C485" s="109" t="n">
        <v>48</v>
      </c>
      <c r="D485" s="109" t="inlineStr">
        <is>
          <t>DC Cooling 4pc</t>
        </is>
      </c>
      <c r="E485" s="109" t="inlineStr">
        <is>
          <t>US</t>
        </is>
      </c>
      <c r="F485" s="109" t="inlineStr">
        <is>
          <t>Cooling</t>
        </is>
      </c>
      <c r="G485" s="109" t="inlineStr">
        <is>
          <t>KARISSA MAE</t>
        </is>
      </c>
      <c r="H485" s="109" t="inlineStr">
        <is>
          <t>Untiered</t>
        </is>
      </c>
      <c r="I485" s="109" t="inlineStr">
        <is>
          <t>Cooling Sheets</t>
        </is>
      </c>
      <c r="J485" s="109" t="inlineStr">
        <is>
          <t>https://images-na.ssl-images-amazon.com/images/I/71rcYip7GcL.jpg</t>
        </is>
      </c>
      <c r="K485" s="109" t="inlineStr">
        <is>
          <t>B0GT172Y8L</t>
        </is>
      </c>
      <c r="L485" s="109" t="inlineStr">
        <is>
          <t>B0G1CSCQTB</t>
        </is>
      </c>
      <c r="M485" s="109" t="n">
        <v>138</v>
      </c>
      <c r="N485" s="109" t="n">
        <v>119.99</v>
      </c>
      <c r="O485" s="109" t="n"/>
      <c r="P485" s="109">
        <f>IF(AND(ISNUMBER(O485),ISNUMBER(N485),N(N485)&gt;0),O485/N485-1,"")</f>
        <v/>
      </c>
      <c r="Q485" s="109" t="n">
        <v>37.95</v>
      </c>
      <c r="R485" s="109">
        <f>IF(AND(ISNUMBER(N485),ISNUMBER(Q485),N(Q485)&gt;0),N485/Q485-1,"")</f>
        <v/>
      </c>
      <c r="S485" s="109" t="n">
        <v>15914</v>
      </c>
      <c r="T485" s="109" t="n">
        <v>35</v>
      </c>
      <c r="U485" s="109" t="n">
        <v>4.3</v>
      </c>
      <c r="V485" s="109" t="n">
        <v>474</v>
      </c>
      <c r="W485" s="109" t="n">
        <v>243610</v>
      </c>
      <c r="X485" s="109" t="n">
        <v>0.1385290000410493</v>
      </c>
      <c r="Y485" s="109" t="n">
        <v>92</v>
      </c>
      <c r="Z485" s="109" t="n">
        <v>223</v>
      </c>
      <c r="AA485" s="109" t="n">
        <v>1750</v>
      </c>
      <c r="AB485" s="109" t="n">
        <v>2.102564102564103</v>
      </c>
      <c r="AC485" s="109" t="inlineStr">
        <is>
          <t>US DC Cooling 4pc</t>
        </is>
      </c>
      <c r="AD485" s="109">
        <f>'US DC Cooling 4pc'!BC131</f>
        <v/>
      </c>
      <c r="AE485" s="109">
        <f>'US DC Cooling 4pc'!BF131</f>
        <v/>
      </c>
      <c r="AF485" s="109" t="n"/>
      <c r="AG485" s="109" t="n"/>
    </row>
    <row r="486">
      <c r="A486" s="109">
        <f>AND(OR(Dashboard!$C$4="All",Dashboard!$C$4=D486),OR(Dashboard!$C$5="All",Dashboard!$C$5=E486),OR(Dashboard!$C$6="All",Dashboard!$C$6=G486),OR(Dashboard!$C$7="All",Dashboard!$C$7=H486),OR(Dashboard!$C$8="All",Dashboard!$C$8=F486))</f>
        <v/>
      </c>
      <c r="B486" s="109">
        <f>IF(A486,B485+1,B485)</f>
        <v/>
      </c>
      <c r="C486" s="109" t="n">
        <v>45</v>
      </c>
      <c r="D486" s="109" t="inlineStr">
        <is>
          <t>SL Cooling 4pc</t>
        </is>
      </c>
      <c r="E486" s="109" t="inlineStr">
        <is>
          <t>US</t>
        </is>
      </c>
      <c r="F486" s="109" t="inlineStr">
        <is>
          <t>Cooling</t>
        </is>
      </c>
      <c r="G486" s="109" t="inlineStr">
        <is>
          <t>Pure Bamboo</t>
        </is>
      </c>
      <c r="H486" s="109" t="inlineStr">
        <is>
          <t>Aspirational</t>
        </is>
      </c>
      <c r="I486" s="109" t="inlineStr">
        <is>
          <t>Pure Bamboo King Sheets, Genuine 100% Organic Viscose Derived from Bamboo Bed Sheet Set, Luxuriously Soft &amp; Cooling, Double Stitching, 2 Year Quality Promise (King, Ivory)</t>
        </is>
      </c>
      <c r="J486" s="109" t="inlineStr">
        <is>
          <t>https://images-na.ssl-images-amazon.com/images/I/91dfner9BkL.jpg</t>
        </is>
      </c>
      <c r="K486" s="109" t="inlineStr">
        <is>
          <t>B0CZQ52MTQ</t>
        </is>
      </c>
      <c r="L486" s="109" t="inlineStr">
        <is>
          <t>B07DZTQ4JC</t>
        </is>
      </c>
      <c r="M486" s="109" t="n">
        <v>181</v>
      </c>
      <c r="N486" s="109" t="n">
        <v>109.99</v>
      </c>
      <c r="O486" s="109" t="n"/>
      <c r="P486" s="109">
        <f>IF(AND(ISNUMBER(O486),ISNUMBER(N486),N(N486)&gt;0),O486/N486-1,"")</f>
        <v/>
      </c>
      <c r="Q486" s="109" t="n">
        <v>84.98999999999999</v>
      </c>
      <c r="R486" s="109">
        <f>IF(AND(ISNUMBER(N486),ISNUMBER(Q486),N(Q486)&gt;0),N486/Q486-1,"")</f>
        <v/>
      </c>
      <c r="S486" s="109" t="n">
        <v>304</v>
      </c>
      <c r="T486" s="109" t="n">
        <v>809</v>
      </c>
      <c r="U486" s="109" t="n">
        <v>4.5</v>
      </c>
      <c r="V486" s="109" t="n">
        <v>21927</v>
      </c>
      <c r="W486" s="109" t="n">
        <v>2565055</v>
      </c>
      <c r="X486" s="109" t="n">
        <v>0.4648594811807159</v>
      </c>
      <c r="Y486" s="109" t="n">
        <v>13</v>
      </c>
      <c r="Z486" s="109" t="n">
        <v>266</v>
      </c>
      <c r="AA486" s="109" t="n">
        <v>3772</v>
      </c>
      <c r="AB486" s="109" t="n">
        <v>1.180104147961932</v>
      </c>
      <c r="AC486" s="109" t="inlineStr">
        <is>
          <t>US SL Cooling 4pc</t>
        </is>
      </c>
      <c r="AD486" s="109">
        <f>'US SL Cooling 4pc'!BC99</f>
        <v/>
      </c>
      <c r="AE486" s="109">
        <f>'US SL Cooling 4pc'!BF99</f>
        <v/>
      </c>
      <c r="AF486" s="109" t="inlineStr">
        <is>
          <t>King</t>
        </is>
      </c>
      <c r="AG486" s="109" t="inlineStr">
        <is>
          <t>Ivory</t>
        </is>
      </c>
    </row>
    <row r="487">
      <c r="A487" s="109">
        <f>AND(OR(Dashboard!$C$4="All",Dashboard!$C$4=D487),OR(Dashboard!$C$5="All",Dashboard!$C$5=E487),OR(Dashboard!$C$6="All",Dashboard!$C$6=G487),OR(Dashboard!$C$7="All",Dashboard!$C$7=H487),OR(Dashboard!$C$8="All",Dashboard!$C$8=F487))</f>
        <v/>
      </c>
      <c r="B487" s="109">
        <f>IF(A487,B486+1,B486)</f>
        <v/>
      </c>
      <c r="C487" s="109" t="n">
        <v>45</v>
      </c>
      <c r="D487" s="109" t="inlineStr">
        <is>
          <t>SL Cooling 4pc</t>
        </is>
      </c>
      <c r="E487" s="109" t="inlineStr">
        <is>
          <t>US</t>
        </is>
      </c>
      <c r="F487" s="109" t="inlineStr">
        <is>
          <t>Cooling</t>
        </is>
      </c>
      <c r="G487" s="109" t="inlineStr">
        <is>
          <t>Hotel Sheets Direct</t>
        </is>
      </c>
      <c r="H487" s="109" t="inlineStr">
        <is>
          <t>Aspirational</t>
        </is>
      </c>
      <c r="I487" s="109" t="inlineStr">
        <is>
          <t>Hotel Sheets Direct 4 Piece Bed Sheet Set Queen Size, 100% Viscose Derived from Bamboo Sheets Set with 2 Pillowcases, Cooling &amp; Breathable Luxury Bedding, Moisture-Wicking &amp; Silky Soft Texture, White</t>
        </is>
      </c>
      <c r="J487" s="109" t="inlineStr">
        <is>
          <t>https://images-na.ssl-images-amazon.com/images/I/71oEhkRYQ+L.jpg</t>
        </is>
      </c>
      <c r="K487" s="109" t="inlineStr">
        <is>
          <t>B0G5N99X9R</t>
        </is>
      </c>
      <c r="L487" s="109" t="inlineStr">
        <is>
          <t>B01N9L2O9P</t>
        </is>
      </c>
      <c r="M487" s="109" t="n">
        <v>61</v>
      </c>
      <c r="N487" s="109" t="n">
        <v>79.98999999999999</v>
      </c>
      <c r="O487" s="109" t="n"/>
      <c r="P487" s="109">
        <f>IF(AND(ISNUMBER(O487),ISNUMBER(N487),N(N487)&gt;0),O487/N487-1,"")</f>
        <v/>
      </c>
      <c r="Q487" s="109" t="n">
        <v>79.98999999999999</v>
      </c>
      <c r="R487" s="109">
        <f>IF(AND(ISNUMBER(N487),ISNUMBER(Q487),N(Q487)&gt;0),N487/Q487-1,"")</f>
        <v/>
      </c>
      <c r="S487" s="109" t="n">
        <v>2984</v>
      </c>
      <c r="T487" s="109" t="n">
        <v>347</v>
      </c>
      <c r="U487" s="109" t="n">
        <v>4.4</v>
      </c>
      <c r="V487" s="109" t="n">
        <v>37179</v>
      </c>
      <c r="W487" s="109" t="n">
        <v>451969</v>
      </c>
      <c r="X487" s="109" t="n">
        <v>0.6071584272372669</v>
      </c>
      <c r="Y487" s="109" t="n">
        <v>84</v>
      </c>
      <c r="Z487" s="109" t="n">
        <v>157</v>
      </c>
      <c r="AA487" s="109" t="n">
        <v>945</v>
      </c>
      <c r="AB487" s="109" t="n">
        <v>1.799620493358634</v>
      </c>
      <c r="AC487" s="109" t="inlineStr">
        <is>
          <t>US SL Cooling 4pc</t>
        </is>
      </c>
      <c r="AD487" s="109">
        <f>'US SL Cooling 4pc'!BC100</f>
        <v/>
      </c>
      <c r="AE487" s="109">
        <f>'US SL Cooling 4pc'!BF100</f>
        <v/>
      </c>
      <c r="AF487" s="109" t="inlineStr">
        <is>
          <t>Queen</t>
        </is>
      </c>
      <c r="AG487" s="109" t="inlineStr">
        <is>
          <t>White</t>
        </is>
      </c>
    </row>
    <row r="488">
      <c r="A488" s="109">
        <f>AND(OR(Dashboard!$C$4="All",Dashboard!$C$4=D488),OR(Dashboard!$C$5="All",Dashboard!$C$5=E488),OR(Dashboard!$C$6="All",Dashboard!$C$6=G488),OR(Dashboard!$C$7="All",Dashboard!$C$7=H488),OR(Dashboard!$C$8="All",Dashboard!$C$8=F488))</f>
        <v/>
      </c>
      <c r="B488" s="109">
        <f>IF(A488,B487+1,B487)</f>
        <v/>
      </c>
      <c r="C488" s="109" t="n">
        <v>45</v>
      </c>
      <c r="D488" s="109" t="inlineStr">
        <is>
          <t>SL Cooling 4pc</t>
        </is>
      </c>
      <c r="E488" s="109" t="inlineStr">
        <is>
          <t>US</t>
        </is>
      </c>
      <c r="F488" s="109" t="inlineStr">
        <is>
          <t>Cooling</t>
        </is>
      </c>
      <c r="G488" s="109" t="inlineStr">
        <is>
          <t>Bedsure</t>
        </is>
      </c>
      <c r="H488" s="109" t="inlineStr">
        <is>
          <t>Beatable</t>
        </is>
      </c>
      <c r="I488" s="109" t="inlineStr">
        <is>
          <t>Bedsure PureWoven 100% Rayon Derived from Bamboo, Queen Sheets, 4 Pieces</t>
        </is>
      </c>
      <c r="J488" s="109" t="inlineStr">
        <is>
          <t>https://images-na.ssl-images-amazon.com/images/I/81L2xb5ly6L.jpg</t>
        </is>
      </c>
      <c r="K488" s="109" t="inlineStr">
        <is>
          <t>B0BZ8T5BJ6</t>
        </is>
      </c>
      <c r="L488" s="109" t="inlineStr">
        <is>
          <t>B07YK8VTJV</t>
        </is>
      </c>
      <c r="M488" s="109" t="n">
        <v>131</v>
      </c>
      <c r="N488" s="109" t="n">
        <v>62.99</v>
      </c>
      <c r="O488" s="109" t="n">
        <v>69.98999999999999</v>
      </c>
      <c r="P488" s="109">
        <f>IF(AND(ISNUMBER(O488),ISNUMBER(N488),N(N488)&gt;0),O488/N488-1,"")</f>
        <v/>
      </c>
      <c r="Q488" s="109" t="n">
        <v>79.98999999999999</v>
      </c>
      <c r="R488" s="109">
        <f>IF(AND(ISNUMBER(N488),ISNUMBER(Q488),N(Q488)&gt;0),N488/Q488-1,"")</f>
        <v/>
      </c>
      <c r="S488" s="109" t="n">
        <v>256</v>
      </c>
      <c r="T488" s="109" t="n">
        <v>809</v>
      </c>
      <c r="U488" s="109" t="n">
        <v>4.4</v>
      </c>
      <c r="V488" s="109" t="n">
        <v>65061</v>
      </c>
      <c r="W488" s="109" t="n">
        <v>2166046</v>
      </c>
      <c r="X488" s="109" t="n">
        <v>0.5902383405984899</v>
      </c>
      <c r="Y488" s="109" t="n">
        <v>9</v>
      </c>
      <c r="Z488" s="109" t="n">
        <v>268</v>
      </c>
      <c r="AA488" s="109" t="n">
        <v>3446</v>
      </c>
      <c r="AB488" s="109" t="n">
        <v>1.066623404715553</v>
      </c>
      <c r="AC488" s="109" t="inlineStr">
        <is>
          <t>US SL Cooling 4pc</t>
        </is>
      </c>
      <c r="AD488" s="109">
        <f>'US SL Cooling 4pc'!BC101</f>
        <v/>
      </c>
      <c r="AE488" s="109">
        <f>'US SL Cooling 4pc'!BF101</f>
        <v/>
      </c>
      <c r="AF488" s="109" t="inlineStr">
        <is>
          <t>Queen</t>
        </is>
      </c>
      <c r="AG488" s="109" t="n"/>
    </row>
    <row r="489">
      <c r="A489" s="109">
        <f>AND(OR(Dashboard!$C$4="All",Dashboard!$C$4=D489),OR(Dashboard!$C$5="All",Dashboard!$C$5=E489),OR(Dashboard!$C$6="All",Dashboard!$C$6=G489),OR(Dashboard!$C$7="All",Dashboard!$C$7=H489),OR(Dashboard!$C$8="All",Dashboard!$C$8=F489))</f>
        <v/>
      </c>
      <c r="B489" s="109">
        <f>IF(A489,B488+1,B488)</f>
        <v/>
      </c>
      <c r="C489" s="109" t="n">
        <v>45</v>
      </c>
      <c r="D489" s="109" t="inlineStr">
        <is>
          <t>SL Cooling 4pc</t>
        </is>
      </c>
      <c r="E489" s="109" t="inlineStr">
        <is>
          <t>US</t>
        </is>
      </c>
      <c r="F489" s="109" t="inlineStr">
        <is>
          <t>Cooling</t>
        </is>
      </c>
      <c r="G489" s="109" t="inlineStr">
        <is>
          <t>KRIMANO</t>
        </is>
      </c>
      <c r="H489" s="109" t="inlineStr">
        <is>
          <t>Beatable</t>
        </is>
      </c>
      <c r="I489" s="109" t="inlineStr">
        <is>
          <t>KRIMANO Bamboo Viscose Sheet Set King Size, Cooling Sheets Bed Set</t>
        </is>
      </c>
      <c r="J489" s="109" t="inlineStr">
        <is>
          <t>https://images-na.ssl-images-amazon.com/images/I/61-LBYlR5KL.jpg</t>
        </is>
      </c>
      <c r="K489" s="109" t="inlineStr">
        <is>
          <t>B0FT7L9RSX</t>
        </is>
      </c>
      <c r="L489" s="109" t="inlineStr">
        <is>
          <t>B0FT7LZ2CD</t>
        </is>
      </c>
      <c r="M489" s="109" t="n">
        <v>43</v>
      </c>
      <c r="N489" s="109" t="n">
        <v>84.98999999999999</v>
      </c>
      <c r="O489" s="109" t="n"/>
      <c r="P489" s="109">
        <f>IF(AND(ISNUMBER(O489),ISNUMBER(N489),N(N489)&gt;0),O489/N489-1,"")</f>
        <v/>
      </c>
      <c r="Q489" s="109" t="n">
        <v>84.98999999999999</v>
      </c>
      <c r="R489" s="109">
        <f>IF(AND(ISNUMBER(N489),ISNUMBER(Q489),N(Q489)&gt;0),N489/Q489-1,"")</f>
        <v/>
      </c>
      <c r="S489" s="109" t="n">
        <v>5664</v>
      </c>
      <c r="T489" s="109" t="n">
        <v>185</v>
      </c>
      <c r="U489" s="109" t="n">
        <v>4.5</v>
      </c>
      <c r="V489" s="109" t="n">
        <v>263</v>
      </c>
      <c r="W489" s="109" t="n">
        <v>334819</v>
      </c>
      <c r="X489" s="109" t="n">
        <v>0.6137371774003271</v>
      </c>
      <c r="Y489" s="109" t="n">
        <v>73</v>
      </c>
      <c r="Z489" s="109" t="n">
        <v>122</v>
      </c>
      <c r="AA489" s="109" t="n">
        <v>502</v>
      </c>
      <c r="AB489" s="109" t="n">
        <v>1.312468450277638</v>
      </c>
      <c r="AC489" s="109" t="inlineStr">
        <is>
          <t>US SL Cooling 4pc</t>
        </is>
      </c>
      <c r="AD489" s="109">
        <f>'US SL Cooling 4pc'!BC102</f>
        <v/>
      </c>
      <c r="AE489" s="109">
        <f>'US SL Cooling 4pc'!BF102</f>
        <v/>
      </c>
      <c r="AF489" s="109" t="inlineStr">
        <is>
          <t>King</t>
        </is>
      </c>
      <c r="AG489" s="109" t="n"/>
    </row>
    <row r="490">
      <c r="A490" s="109">
        <f>AND(OR(Dashboard!$C$4="All",Dashboard!$C$4=D490),OR(Dashboard!$C$5="All",Dashboard!$C$5=E490),OR(Dashboard!$C$6="All",Dashboard!$C$6=G490),OR(Dashboard!$C$7="All",Dashboard!$C$7=H490),OR(Dashboard!$C$8="All",Dashboard!$C$8=F490))</f>
        <v/>
      </c>
      <c r="B490" s="109">
        <f>IF(A490,B489+1,B489)</f>
        <v/>
      </c>
      <c r="C490" s="109" t="n">
        <v>45</v>
      </c>
      <c r="D490" s="109" t="inlineStr">
        <is>
          <t>SL Cooling 4pc</t>
        </is>
      </c>
      <c r="E490" s="109" t="inlineStr">
        <is>
          <t>US</t>
        </is>
      </c>
      <c r="F490" s="109" t="inlineStr">
        <is>
          <t>Cooling</t>
        </is>
      </c>
      <c r="G490" s="109" t="inlineStr">
        <is>
          <t>Bambaw</t>
        </is>
      </c>
      <c r="H490" s="109" t="inlineStr">
        <is>
          <t>Beatable</t>
        </is>
      </c>
      <c r="I490" s="109" t="inlineStr">
        <is>
          <t>Bambaw 100% Viscose Derived from Bamboo Sheets Queen Size Set – 4pcs Cooling Sheet Set, Super Soft Sheets Queen Size, Luxury Bed Sheets, Deep Pocket Fits Up to 16'' Mattresses (Charcoal)</t>
        </is>
      </c>
      <c r="J490" s="109" t="inlineStr">
        <is>
          <t>https://images-na.ssl-images-amazon.com/images/I/81svKInu7aL.jpg</t>
        </is>
      </c>
      <c r="K490" s="109" t="inlineStr">
        <is>
          <t>B07K6SYX8L</t>
        </is>
      </c>
      <c r="L490" s="109" t="inlineStr">
        <is>
          <t>B0DR99Q37Y</t>
        </is>
      </c>
      <c r="M490" s="109" t="n">
        <v>104</v>
      </c>
      <c r="N490" s="109" t="n">
        <v>89.98999999999999</v>
      </c>
      <c r="O490" s="109" t="n"/>
      <c r="P490" s="109">
        <f>IF(AND(ISNUMBER(O490),ISNUMBER(N490),N(N490)&gt;0),O490/N490-1,"")</f>
        <v/>
      </c>
      <c r="Q490" s="109" t="n">
        <v>79.98999999999999</v>
      </c>
      <c r="R490" s="109">
        <f>IF(AND(ISNUMBER(N490),ISNUMBER(Q490),N(Q490)&gt;0),N490/Q490-1,"")</f>
        <v/>
      </c>
      <c r="S490" s="109" t="n">
        <v>6971</v>
      </c>
      <c r="T490" s="109" t="n">
        <v>104</v>
      </c>
      <c r="U490" s="109" t="n">
        <v>4.3</v>
      </c>
      <c r="V490" s="109" t="n">
        <v>2766</v>
      </c>
      <c r="W490" s="109" t="n">
        <v>407949</v>
      </c>
      <c r="X490" s="109" t="n">
        <v>0.5037485506766772</v>
      </c>
      <c r="Y490" s="109" t="n">
        <v>30</v>
      </c>
      <c r="Z490" s="109" t="n">
        <v>209</v>
      </c>
      <c r="AA490" s="109" t="n">
        <v>578</v>
      </c>
      <c r="AB490" s="109" t="n">
        <v>1.374474053295933</v>
      </c>
      <c r="AC490" s="109" t="inlineStr">
        <is>
          <t>US SL Cooling 4pc</t>
        </is>
      </c>
      <c r="AD490" s="109">
        <f>'US SL Cooling 4pc'!BC103</f>
        <v/>
      </c>
      <c r="AE490" s="109">
        <f>'US SL Cooling 4pc'!BF103</f>
        <v/>
      </c>
      <c r="AF490" s="109" t="inlineStr">
        <is>
          <t>Queen</t>
        </is>
      </c>
      <c r="AG490" s="109" t="inlineStr">
        <is>
          <t>Charcoal</t>
        </is>
      </c>
    </row>
    <row r="491">
      <c r="A491" s="109">
        <f>AND(OR(Dashboard!$C$4="All",Dashboard!$C$4=D491),OR(Dashboard!$C$5="All",Dashboard!$C$5=E491),OR(Dashboard!$C$6="All",Dashboard!$C$6=G491),OR(Dashboard!$C$7="All",Dashboard!$C$7=H491),OR(Dashboard!$C$8="All",Dashboard!$C$8=F491))</f>
        <v/>
      </c>
      <c r="B491" s="109">
        <f>IF(A491,B490+1,B490)</f>
        <v/>
      </c>
      <c r="C491" s="109" t="n">
        <v>45</v>
      </c>
      <c r="D491" s="109" t="inlineStr">
        <is>
          <t>SL Cooling 4pc</t>
        </is>
      </c>
      <c r="E491" s="109" t="inlineStr">
        <is>
          <t>US</t>
        </is>
      </c>
      <c r="F491" s="109" t="inlineStr">
        <is>
          <t>Cooling</t>
        </is>
      </c>
      <c r="G491" s="109" t="inlineStr">
        <is>
          <t>SONORO KATE</t>
        </is>
      </c>
      <c r="H491" s="109" t="inlineStr">
        <is>
          <t>Beatable</t>
        </is>
      </c>
      <c r="I491" s="109" t="inlineStr">
        <is>
          <t>Bamboo Sheets</t>
        </is>
      </c>
      <c r="J491" s="109" t="inlineStr">
        <is>
          <t>https://images-na.ssl-images-amazon.com/images/I/71sqxa1EquL.jpg</t>
        </is>
      </c>
      <c r="K491" s="109" t="inlineStr">
        <is>
          <t>B0F4852T9V</t>
        </is>
      </c>
      <c r="L491" s="109" t="inlineStr">
        <is>
          <t>B0F4873G4H</t>
        </is>
      </c>
      <c r="M491" s="109" t="n">
        <v>33</v>
      </c>
      <c r="N491" s="109" t="n">
        <v>79.98999999999999</v>
      </c>
      <c r="O491" s="109" t="n"/>
      <c r="P491" s="109">
        <f>IF(AND(ISNUMBER(O491),ISNUMBER(N491),N(N491)&gt;0),O491/N491-1,"")</f>
        <v/>
      </c>
      <c r="Q491" s="109" t="n">
        <v>79.98999999999999</v>
      </c>
      <c r="R491" s="109">
        <f>IF(AND(ISNUMBER(N491),ISNUMBER(Q491),N(Q491)&gt;0),N491/Q491-1,"")</f>
        <v/>
      </c>
      <c r="S491" s="109" t="n">
        <v>7961</v>
      </c>
      <c r="T491" s="109" t="n">
        <v>104</v>
      </c>
      <c r="U491" s="109" t="n">
        <v>4.5</v>
      </c>
      <c r="V491" s="109" t="n">
        <v>3776</v>
      </c>
      <c r="W491" s="109" t="n">
        <v>185157</v>
      </c>
      <c r="X491" s="109" t="n">
        <v>0.9776013545261586</v>
      </c>
      <c r="Y491" s="109" t="n">
        <v>47</v>
      </c>
      <c r="Z491" s="109" t="n">
        <v>135</v>
      </c>
      <c r="AA491" s="109" t="n">
        <v>122</v>
      </c>
      <c r="AB491" s="109" t="n">
        <v>1.314808539478143</v>
      </c>
      <c r="AC491" s="109" t="inlineStr">
        <is>
          <t>US SL Cooling 4pc</t>
        </is>
      </c>
      <c r="AD491" s="109">
        <f>'US SL Cooling 4pc'!BC104</f>
        <v/>
      </c>
      <c r="AE491" s="109">
        <f>'US SL Cooling 4pc'!BF104</f>
        <v/>
      </c>
      <c r="AF491" s="109" t="n"/>
      <c r="AG491" s="109" t="n"/>
    </row>
    <row r="492">
      <c r="A492" s="109">
        <f>AND(OR(Dashboard!$C$4="All",Dashboard!$C$4=D492),OR(Dashboard!$C$5="All",Dashboard!$C$5=E492),OR(Dashboard!$C$6="All",Dashboard!$C$6=G492),OR(Dashboard!$C$7="All",Dashboard!$C$7=H492),OR(Dashboard!$C$8="All",Dashboard!$C$8=F492))</f>
        <v/>
      </c>
      <c r="B492" s="109">
        <f>IF(A492,B491+1,B491)</f>
        <v/>
      </c>
      <c r="C492" s="109" t="n">
        <v>45</v>
      </c>
      <c r="D492" s="109" t="inlineStr">
        <is>
          <t>SL Cooling 4pc</t>
        </is>
      </c>
      <c r="E492" s="109" t="inlineStr">
        <is>
          <t>US</t>
        </is>
      </c>
      <c r="F492" s="109" t="inlineStr">
        <is>
          <t>Cooling</t>
        </is>
      </c>
      <c r="G492" s="109" t="inlineStr">
        <is>
          <t>BC BELLA COTERIE</t>
        </is>
      </c>
      <c r="H492" s="109" t="inlineStr">
        <is>
          <t>Beatable</t>
        </is>
      </c>
      <c r="I492" s="109" t="inlineStr">
        <is>
          <t>Bella Coterie Luxury Bamboo Viscose King Size Sheet Set</t>
        </is>
      </c>
      <c r="J492" s="109" t="inlineStr">
        <is>
          <t>https://images-na.ssl-images-amazon.com/images/I/71Pl57-j67L.jpg</t>
        </is>
      </c>
      <c r="K492" s="109" t="inlineStr">
        <is>
          <t>B0H29V113N</t>
        </is>
      </c>
      <c r="L492" s="109" t="inlineStr">
        <is>
          <t>B08L86VLZB</t>
        </is>
      </c>
      <c r="M492" s="109" t="n">
        <v>258</v>
      </c>
      <c r="N492" s="109" t="n">
        <v>134.99</v>
      </c>
      <c r="O492" s="109" t="n"/>
      <c r="P492" s="109">
        <f>IF(AND(ISNUMBER(O492),ISNUMBER(N492),N(N492)&gt;0),O492/N492-1,"")</f>
        <v/>
      </c>
      <c r="Q492" s="109" t="n">
        <v>84.98999999999999</v>
      </c>
      <c r="R492" s="109">
        <f>IF(AND(ISNUMBER(N492),ISNUMBER(Q492),N(Q492)&gt;0),N492/Q492-1,"")</f>
        <v/>
      </c>
      <c r="S492" s="109" t="n">
        <v>1358</v>
      </c>
      <c r="T492" s="109" t="n">
        <v>92</v>
      </c>
      <c r="U492" s="109" t="n">
        <v>4.4</v>
      </c>
      <c r="V492" s="109" t="n">
        <v>5871</v>
      </c>
      <c r="W492" s="109" t="n">
        <v>591713</v>
      </c>
      <c r="X492" s="109" t="n">
        <v>0.3622702587234016</v>
      </c>
      <c r="Y492" s="109" t="n">
        <v>87</v>
      </c>
      <c r="Z492" s="109" t="n">
        <v>167</v>
      </c>
      <c r="AA492" s="109" t="n">
        <v>2444</v>
      </c>
      <c r="AB492" s="109" t="n">
        <v>1.778087279480037</v>
      </c>
      <c r="AC492" s="109" t="inlineStr">
        <is>
          <t>US SL Cooling 4pc</t>
        </is>
      </c>
      <c r="AD492" s="109">
        <f>'US SL Cooling 4pc'!BC105</f>
        <v/>
      </c>
      <c r="AE492" s="109">
        <f>'US SL Cooling 4pc'!BF105</f>
        <v/>
      </c>
      <c r="AF492" s="109" t="inlineStr">
        <is>
          <t>King</t>
        </is>
      </c>
      <c r="AG492" s="109" t="n"/>
    </row>
    <row r="493">
      <c r="A493" s="109">
        <f>AND(OR(Dashboard!$C$4="All",Dashboard!$C$4=D493),OR(Dashboard!$C$5="All",Dashboard!$C$5=E493),OR(Dashboard!$C$6="All",Dashboard!$C$6=G493),OR(Dashboard!$C$7="All",Dashboard!$C$7=H493),OR(Dashboard!$C$8="All",Dashboard!$C$8=F493))</f>
        <v/>
      </c>
      <c r="B493" s="109">
        <f>IF(A493,B492+1,B492)</f>
        <v/>
      </c>
      <c r="C493" s="109" t="n">
        <v>45</v>
      </c>
      <c r="D493" s="109" t="inlineStr">
        <is>
          <t>SL Cooling 4pc</t>
        </is>
      </c>
      <c r="E493" s="109" t="inlineStr">
        <is>
          <t>US</t>
        </is>
      </c>
      <c r="F493" s="109" t="inlineStr">
        <is>
          <t>Cooling</t>
        </is>
      </c>
      <c r="G493" s="109" t="inlineStr">
        <is>
          <t>REST</t>
        </is>
      </c>
      <c r="H493" s="109" t="inlineStr">
        <is>
          <t>Beatable</t>
        </is>
      </c>
      <c r="I493" s="109" t="inlineStr">
        <is>
          <t>Cooling Sheets</t>
        </is>
      </c>
      <c r="J493" s="109" t="n"/>
      <c r="K493" s="109" t="inlineStr">
        <is>
          <t>B0HC6866B7</t>
        </is>
      </c>
      <c r="L493" s="109" t="inlineStr">
        <is>
          <t>B0D9JHBBCZ</t>
        </is>
      </c>
      <c r="M493" s="109" t="n">
        <v>69</v>
      </c>
      <c r="N493" s="109" t="n">
        <v>224.25</v>
      </c>
      <c r="O493" s="109" t="n">
        <v>299</v>
      </c>
      <c r="P493" s="109">
        <f>IF(AND(ISNUMBER(O493),ISNUMBER(N493),N(N493)&gt;0),O493/N493-1,"")</f>
        <v/>
      </c>
      <c r="Q493" s="109" t="n">
        <v>79.98999999999999</v>
      </c>
      <c r="R493" s="109">
        <f>IF(AND(ISNUMBER(N493),ISNUMBER(Q493),N(Q493)&gt;0),N493/Q493-1,"")</f>
        <v/>
      </c>
      <c r="S493" s="109" t="n">
        <v>5255</v>
      </c>
      <c r="T493" s="109" t="n">
        <v>81</v>
      </c>
      <c r="U493" s="109" t="n">
        <v>4.3</v>
      </c>
      <c r="V493" s="109" t="n">
        <v>1149</v>
      </c>
      <c r="W493" s="109" t="n">
        <v>522593</v>
      </c>
      <c r="X493" s="109" t="n">
        <v>0.2234137663535486</v>
      </c>
      <c r="Y493" s="109" t="n">
        <v>31</v>
      </c>
      <c r="Z493" s="109" t="n">
        <v>217</v>
      </c>
      <c r="AA493" s="109" t="n">
        <v>3266</v>
      </c>
      <c r="AB493" s="109" t="n"/>
      <c r="AC493" s="109" t="inlineStr">
        <is>
          <t>US SL Cooling 4pc</t>
        </is>
      </c>
      <c r="AD493" s="109">
        <f>'US SL Cooling 4pc'!BC106</f>
        <v/>
      </c>
      <c r="AE493" s="109">
        <f>'US SL Cooling 4pc'!BF106</f>
        <v/>
      </c>
      <c r="AF493" s="109" t="n"/>
      <c r="AG493" s="109" t="n"/>
    </row>
    <row r="494">
      <c r="A494" s="109">
        <f>AND(OR(Dashboard!$C$4="All",Dashboard!$C$4=D494),OR(Dashboard!$C$5="All",Dashboard!$C$5=E494),OR(Dashboard!$C$6="All",Dashboard!$C$6=G494),OR(Dashboard!$C$7="All",Dashboard!$C$7=H494),OR(Dashboard!$C$8="All",Dashboard!$C$8=F494))</f>
        <v/>
      </c>
      <c r="B494" s="109">
        <f>IF(A494,B493+1,B493)</f>
        <v/>
      </c>
      <c r="C494" s="109" t="n">
        <v>45</v>
      </c>
      <c r="D494" s="109" t="inlineStr">
        <is>
          <t>SL Cooling 4pc</t>
        </is>
      </c>
      <c r="E494" s="109" t="inlineStr">
        <is>
          <t>US</t>
        </is>
      </c>
      <c r="F494" s="109" t="inlineStr">
        <is>
          <t>Cooling</t>
        </is>
      </c>
      <c r="G494" s="109" t="inlineStr">
        <is>
          <t>SONORO KATE</t>
        </is>
      </c>
      <c r="H494" s="109" t="inlineStr">
        <is>
          <t>Beatable</t>
        </is>
      </c>
      <c r="I494" s="109" t="inlineStr">
        <is>
          <t>SONORO KATE 100% Viscose Derived from Bamboo_Sheets Queen Size,4PC</t>
        </is>
      </c>
      <c r="J494" s="109" t="inlineStr">
        <is>
          <t>https://images-na.ssl-images-amazon.com/images/I/71HeTCWM4hL.jpg</t>
        </is>
      </c>
      <c r="K494" s="109" t="inlineStr">
        <is>
          <t>B0F29FQLFD</t>
        </is>
      </c>
      <c r="L494" s="109" t="inlineStr">
        <is>
          <t>B0F29F1JM5</t>
        </is>
      </c>
      <c r="M494" s="109" t="n">
        <v>42</v>
      </c>
      <c r="N494" s="109" t="n">
        <v>59.99</v>
      </c>
      <c r="O494" s="109" t="n"/>
      <c r="P494" s="109">
        <f>IF(AND(ISNUMBER(O494),ISNUMBER(N494),N(N494)&gt;0),O494/N494-1,"")</f>
        <v/>
      </c>
      <c r="Q494" s="109" t="n">
        <v>79.98999999999999</v>
      </c>
      <c r="R494" s="109">
        <f>IF(AND(ISNUMBER(N494),ISNUMBER(Q494),N(Q494)&gt;0),N494/Q494-1,"")</f>
        <v/>
      </c>
      <c r="S494" s="109" t="n">
        <v>23979</v>
      </c>
      <c r="T494" s="109" t="n">
        <v>81</v>
      </c>
      <c r="U494" s="109" t="n">
        <v>4.5</v>
      </c>
      <c r="V494" s="109" t="n">
        <v>3911</v>
      </c>
      <c r="W494" s="109" t="n">
        <v>114504</v>
      </c>
      <c r="X494" s="109" t="n">
        <v>0.8792897182631171</v>
      </c>
      <c r="Y494" s="109" t="n">
        <v>53</v>
      </c>
      <c r="Z494" s="109" t="n">
        <v>138</v>
      </c>
      <c r="AA494" s="109" t="n">
        <v>85</v>
      </c>
      <c r="AB494" s="109" t="n">
        <v>1.095271210013908</v>
      </c>
      <c r="AC494" s="109" t="inlineStr">
        <is>
          <t>US SL Cooling 4pc</t>
        </is>
      </c>
      <c r="AD494" s="109">
        <f>'US SL Cooling 4pc'!BC107</f>
        <v/>
      </c>
      <c r="AE494" s="109">
        <f>'US SL Cooling 4pc'!BF107</f>
        <v/>
      </c>
      <c r="AF494" s="109" t="inlineStr">
        <is>
          <t>Queen</t>
        </is>
      </c>
      <c r="AG494" s="109" t="n"/>
    </row>
    <row r="495">
      <c r="A495" s="109">
        <f>AND(OR(Dashboard!$C$4="All",Dashboard!$C$4=D495),OR(Dashboard!$C$5="All",Dashboard!$C$5=E495),OR(Dashboard!$C$6="All",Dashboard!$C$6=G495),OR(Dashboard!$C$7="All",Dashboard!$C$7=H495),OR(Dashboard!$C$8="All",Dashboard!$C$8=F495))</f>
        <v/>
      </c>
      <c r="B495" s="109">
        <f>IF(A495,B494+1,B494)</f>
        <v/>
      </c>
      <c r="C495" s="109" t="n">
        <v>45</v>
      </c>
      <c r="D495" s="109" t="inlineStr">
        <is>
          <t>SL Cooling 4pc</t>
        </is>
      </c>
      <c r="E495" s="109" t="inlineStr">
        <is>
          <t>US</t>
        </is>
      </c>
      <c r="F495" s="109" t="inlineStr">
        <is>
          <t>Cooling</t>
        </is>
      </c>
      <c r="G495" s="109" t="inlineStr">
        <is>
          <t>Breescape</t>
        </is>
      </c>
      <c r="H495" s="109" t="inlineStr">
        <is>
          <t>Beatable</t>
        </is>
      </c>
      <c r="I495" s="109" t="inlineStr">
        <is>
          <t>Cooling Sheets</t>
        </is>
      </c>
      <c r="J495" s="109" t="n"/>
      <c r="K495" s="109" t="inlineStr">
        <is>
          <t>B0H41M1N4B</t>
        </is>
      </c>
      <c r="L495" s="109" t="inlineStr">
        <is>
          <t>B0DSPZJKTB</t>
        </is>
      </c>
      <c r="M495" s="109" t="n">
        <v>26</v>
      </c>
      <c r="N495" s="109" t="n">
        <v>149.99</v>
      </c>
      <c r="O495" s="109" t="n">
        <v>179.99</v>
      </c>
      <c r="P495" s="109">
        <f>IF(AND(ISNUMBER(O495),ISNUMBER(N495),N(N495)&gt;0),O495/N495-1,"")</f>
        <v/>
      </c>
      <c r="Q495" s="109" t="n">
        <v>79.98999999999999</v>
      </c>
      <c r="R495" s="109">
        <f>IF(AND(ISNUMBER(N495),ISNUMBER(Q495),N(Q495)&gt;0),N495/Q495-1,"")</f>
        <v/>
      </c>
      <c r="S495" s="109" t="n">
        <v>49910</v>
      </c>
      <c r="T495" s="109" t="n">
        <v>35</v>
      </c>
      <c r="U495" s="109" t="n">
        <v>4.2</v>
      </c>
      <c r="V495" s="109" t="n">
        <v>595</v>
      </c>
      <c r="W495" s="109" t="n">
        <v>107224</v>
      </c>
      <c r="X495" s="109" t="n">
        <v>0.5282540960978878</v>
      </c>
      <c r="Y495" s="109" t="n">
        <v>48</v>
      </c>
      <c r="Z495" s="109" t="n">
        <v>160</v>
      </c>
      <c r="AA495" s="109" t="n">
        <v>500</v>
      </c>
      <c r="AB495" s="109" t="n">
        <v>1.443271767810026</v>
      </c>
      <c r="AC495" s="109" t="inlineStr">
        <is>
          <t>US SL Cooling 4pc</t>
        </is>
      </c>
      <c r="AD495" s="109">
        <f>'US SL Cooling 4pc'!BC108</f>
        <v/>
      </c>
      <c r="AE495" s="109">
        <f>'US SL Cooling 4pc'!BF108</f>
        <v/>
      </c>
      <c r="AF495" s="109" t="n"/>
      <c r="AG495" s="109" t="n"/>
    </row>
    <row r="496">
      <c r="A496" s="109">
        <f>AND(OR(Dashboard!$C$4="All",Dashboard!$C$4=D496),OR(Dashboard!$C$5="All",Dashboard!$C$5=E496),OR(Dashboard!$C$6="All",Dashboard!$C$6=G496),OR(Dashboard!$C$7="All",Dashboard!$C$7=H496),OR(Dashboard!$C$8="All",Dashboard!$C$8=F496))</f>
        <v/>
      </c>
      <c r="B496" s="109">
        <f>IF(A496,B495+1,B495)</f>
        <v/>
      </c>
      <c r="C496" s="109" t="n">
        <v>45</v>
      </c>
      <c r="D496" s="109" t="inlineStr">
        <is>
          <t>SL Cooling 4pc</t>
        </is>
      </c>
      <c r="E496" s="109" t="inlineStr">
        <is>
          <t>US</t>
        </is>
      </c>
      <c r="F496" s="109" t="inlineStr">
        <is>
          <t>Cooling</t>
        </is>
      </c>
      <c r="G496" s="109" t="inlineStr">
        <is>
          <t>DOZ by SIJO</t>
        </is>
      </c>
      <c r="H496" s="109" t="inlineStr">
        <is>
          <t>Beatable</t>
        </is>
      </c>
      <c r="I496" s="109" t="inlineStr">
        <is>
          <t>Bamboo Sheets</t>
        </is>
      </c>
      <c r="J496" s="109" t="inlineStr">
        <is>
          <t>https://images-na.ssl-images-amazon.com/images/I/710aWpCd4AL.jpg</t>
        </is>
      </c>
      <c r="K496" s="109" t="inlineStr">
        <is>
          <t>B0DCZGYVZ9</t>
        </is>
      </c>
      <c r="L496" s="109" t="inlineStr">
        <is>
          <t>B0F24TRXCZ</t>
        </is>
      </c>
      <c r="M496" s="109" t="n">
        <v>131</v>
      </c>
      <c r="N496" s="109" t="n">
        <v>55</v>
      </c>
      <c r="O496" s="109" t="n"/>
      <c r="P496" s="109">
        <f>IF(AND(ISNUMBER(O496),ISNUMBER(N496),N(N496)&gt;0),O496/N496-1,"")</f>
        <v/>
      </c>
      <c r="Q496" s="109" t="n">
        <v>79.98999999999999</v>
      </c>
      <c r="R496" s="109">
        <f>IF(AND(ISNUMBER(N496),ISNUMBER(Q496),N(Q496)&gt;0),N496/Q496-1,"")</f>
        <v/>
      </c>
      <c r="S496" s="109" t="n">
        <v>4051</v>
      </c>
      <c r="T496" s="109" t="n">
        <v>35</v>
      </c>
      <c r="U496" s="109" t="n">
        <v>4.4</v>
      </c>
      <c r="V496" s="109" t="n">
        <v>1909</v>
      </c>
      <c r="W496" s="109" t="n">
        <v>171534</v>
      </c>
      <c r="X496" s="109" t="n">
        <v>0.5544749851341424</v>
      </c>
      <c r="Y496" s="109" t="n">
        <v>71</v>
      </c>
      <c r="Z496" s="109" t="n">
        <v>152</v>
      </c>
      <c r="AA496" s="109" t="n">
        <v>812</v>
      </c>
      <c r="AB496" s="109" t="n"/>
      <c r="AC496" s="109" t="inlineStr">
        <is>
          <t>US SL Cooling 4pc</t>
        </is>
      </c>
      <c r="AD496" s="109">
        <f>'US SL Cooling 4pc'!BC109</f>
        <v/>
      </c>
      <c r="AE496" s="109">
        <f>'US SL Cooling 4pc'!BF109</f>
        <v/>
      </c>
      <c r="AF496" s="109" t="n"/>
      <c r="AG496" s="109" t="n"/>
    </row>
    <row r="497">
      <c r="A497" s="109">
        <f>AND(OR(Dashboard!$C$4="All",Dashboard!$C$4=D497),OR(Dashboard!$C$5="All",Dashboard!$C$5=E497),OR(Dashboard!$C$6="All",Dashboard!$C$6=G497),OR(Dashboard!$C$7="All",Dashboard!$C$7=H497),OR(Dashboard!$C$8="All",Dashboard!$C$8=F497))</f>
        <v/>
      </c>
      <c r="B497" s="109">
        <f>IF(A497,B496+1,B496)</f>
        <v/>
      </c>
      <c r="C497" s="109" t="n">
        <v>45</v>
      </c>
      <c r="D497" s="109" t="inlineStr">
        <is>
          <t>SL Cooling 4pc</t>
        </is>
      </c>
      <c r="E497" s="109" t="inlineStr">
        <is>
          <t>US</t>
        </is>
      </c>
      <c r="F497" s="109" t="inlineStr">
        <is>
          <t>Cooling</t>
        </is>
      </c>
      <c r="G497" s="109" t="inlineStr">
        <is>
          <t>REST</t>
        </is>
      </c>
      <c r="H497" s="109" t="inlineStr">
        <is>
          <t>Beatable</t>
        </is>
      </c>
      <c r="I497" s="109" t="inlineStr">
        <is>
          <t>Cooling Sheets 4/6 Pcs</t>
        </is>
      </c>
      <c r="J497" s="109" t="n"/>
      <c r="K497" s="109" t="inlineStr">
        <is>
          <t>B0C56VXVB3</t>
        </is>
      </c>
      <c r="L497" s="109" t="inlineStr">
        <is>
          <t>B0D25LDRPS</t>
        </is>
      </c>
      <c r="M497" s="109" t="n"/>
      <c r="N497" s="109" t="n">
        <v>164.25</v>
      </c>
      <c r="O497" s="109" t="n">
        <v>219</v>
      </c>
      <c r="P497" s="109">
        <f>IF(AND(ISNUMBER(O497),ISNUMBER(N497),N(N497)&gt;0),O497/N497-1,"")</f>
        <v/>
      </c>
      <c r="Q497" s="109" t="n">
        <v>79.98999999999999</v>
      </c>
      <c r="R497" s="109">
        <f>IF(AND(ISNUMBER(N497),ISNUMBER(Q497),N(Q497)&gt;0),N497/Q497-1,"")</f>
        <v/>
      </c>
      <c r="S497" s="109" t="n">
        <v>5255</v>
      </c>
      <c r="T497" s="109" t="n">
        <v>35</v>
      </c>
      <c r="U497" s="109" t="n">
        <v>4.3</v>
      </c>
      <c r="V497" s="109" t="n">
        <v>1149</v>
      </c>
      <c r="W497" s="109" t="n"/>
      <c r="X497" s="109" t="n"/>
      <c r="Y497" s="109" t="n"/>
      <c r="Z497" s="109" t="n"/>
      <c r="AA497" s="109" t="n"/>
      <c r="AB497" s="109" t="n"/>
      <c r="AC497" s="109" t="inlineStr">
        <is>
          <t>US SL Cooling 4pc</t>
        </is>
      </c>
      <c r="AD497" s="109">
        <f>'US SL Cooling 4pc'!BC110</f>
        <v/>
      </c>
      <c r="AE497" s="109">
        <f>'US SL Cooling 4pc'!BF110</f>
        <v/>
      </c>
      <c r="AF497" s="109" t="n"/>
      <c r="AG497" s="109" t="n"/>
    </row>
    <row r="498">
      <c r="A498" s="109">
        <f>AND(OR(Dashboard!$C$4="All",Dashboard!$C$4=D498),OR(Dashboard!$C$5="All",Dashboard!$C$5=E498),OR(Dashboard!$C$6="All",Dashboard!$C$6=G498),OR(Dashboard!$C$7="All",Dashboard!$C$7=H498),OR(Dashboard!$C$8="All",Dashboard!$C$8=F498))</f>
        <v/>
      </c>
      <c r="B498" s="109">
        <f>IF(A498,B497+1,B497)</f>
        <v/>
      </c>
      <c r="C498" s="109" t="n">
        <v>45</v>
      </c>
      <c r="D498" s="109" t="inlineStr">
        <is>
          <t>SL Cooling 4pc</t>
        </is>
      </c>
      <c r="E498" s="109" t="inlineStr">
        <is>
          <t>US</t>
        </is>
      </c>
      <c r="F498" s="109" t="inlineStr">
        <is>
          <t>Cooling</t>
        </is>
      </c>
      <c r="G498" s="109" t="inlineStr">
        <is>
          <t>SHEEX</t>
        </is>
      </c>
      <c r="H498" s="109" t="inlineStr">
        <is>
          <t>Beatable</t>
        </is>
      </c>
      <c r="I498" s="109" t="inlineStr">
        <is>
          <t>SHEEX - Original Performance Sheets Set (Queen) Graphite - Cooling Sheets - Mois</t>
        </is>
      </c>
      <c r="J498" s="109" t="n"/>
      <c r="K498" s="109" t="inlineStr">
        <is>
          <t>B081KX96XD</t>
        </is>
      </c>
      <c r="L498" s="109" t="inlineStr">
        <is>
          <t>B00EWJHJU4</t>
        </is>
      </c>
      <c r="M498" s="109" t="n"/>
      <c r="N498" s="109" t="n">
        <v>209.3</v>
      </c>
      <c r="O498" s="109" t="n"/>
      <c r="P498" s="109">
        <f>IF(AND(ISNUMBER(O498),ISNUMBER(N498),N(N498)&gt;0),O498/N498-1,"")</f>
        <v/>
      </c>
      <c r="Q498" s="109" t="n">
        <v>79.98999999999999</v>
      </c>
      <c r="R498" s="109">
        <f>IF(AND(ISNUMBER(N498),ISNUMBER(Q498),N(Q498)&gt;0),N498/Q498-1,"")</f>
        <v/>
      </c>
      <c r="S498" s="109" t="n">
        <v>74243</v>
      </c>
      <c r="T498" s="109" t="n">
        <v>5</v>
      </c>
      <c r="U498" s="109" t="n">
        <v>4.4</v>
      </c>
      <c r="V498" s="109" t="n">
        <v>3256</v>
      </c>
      <c r="W498" s="109" t="n"/>
      <c r="X498" s="109" t="n"/>
      <c r="Y498" s="109" t="n"/>
      <c r="Z498" s="109" t="n"/>
      <c r="AA498" s="109" t="n"/>
      <c r="AB498" s="109" t="n"/>
      <c r="AC498" s="109" t="inlineStr">
        <is>
          <t>US SL Cooling 4pc</t>
        </is>
      </c>
      <c r="AD498" s="109">
        <f>'US SL Cooling 4pc'!BC111</f>
        <v/>
      </c>
      <c r="AE498" s="109">
        <f>'US SL Cooling 4pc'!BF111</f>
        <v/>
      </c>
      <c r="AF498" s="109" t="inlineStr">
        <is>
          <t>Queen</t>
        </is>
      </c>
      <c r="AG498" s="109" t="inlineStr">
        <is>
          <t>Graphite</t>
        </is>
      </c>
    </row>
    <row r="499">
      <c r="A499" s="109">
        <f>AND(OR(Dashboard!$C$4="All",Dashboard!$C$4=D499),OR(Dashboard!$C$5="All",Dashboard!$C$5=E499),OR(Dashboard!$C$6="All",Dashboard!$C$6=G499),OR(Dashboard!$C$7="All",Dashboard!$C$7=H499),OR(Dashboard!$C$8="All",Dashboard!$C$8=F499))</f>
        <v/>
      </c>
      <c r="B499" s="109">
        <f>IF(A499,B498+1,B498)</f>
        <v/>
      </c>
      <c r="C499" s="109" t="n">
        <v>45</v>
      </c>
      <c r="D499" s="109" t="inlineStr">
        <is>
          <t>SL Cooling 4pc</t>
        </is>
      </c>
      <c r="E499" s="109" t="inlineStr">
        <is>
          <t>US</t>
        </is>
      </c>
      <c r="F499" s="109" t="inlineStr">
        <is>
          <t>Cooling</t>
        </is>
      </c>
      <c r="G499" s="109" t="inlineStr">
        <is>
          <t>Kickoff Home</t>
        </is>
      </c>
      <c r="H499" s="109" t="inlineStr">
        <is>
          <t>Poor</t>
        </is>
      </c>
      <c r="I499" s="109" t="inlineStr">
        <is>
          <t>Bamboo Sheets</t>
        </is>
      </c>
      <c r="J499" s="109" t="inlineStr">
        <is>
          <t>https://images-na.ssl-images-amazon.com/images/I/71zrq2AtnUL.jpg</t>
        </is>
      </c>
      <c r="K499" s="109" t="inlineStr">
        <is>
          <t>B0D4KS4MVX</t>
        </is>
      </c>
      <c r="L499" s="109" t="inlineStr">
        <is>
          <t>B0CHN5ZPFH</t>
        </is>
      </c>
      <c r="M499" s="109" t="n">
        <v>106</v>
      </c>
      <c r="N499" s="109" t="n">
        <v>76.98999999999999</v>
      </c>
      <c r="O499" s="109" t="n">
        <v>84.98999999999999</v>
      </c>
      <c r="P499" s="109">
        <f>IF(AND(ISNUMBER(O499),ISNUMBER(N499),N(N499)&gt;0),O499/N499-1,"")</f>
        <v/>
      </c>
      <c r="Q499" s="109" t="n">
        <v>79.98999999999999</v>
      </c>
      <c r="R499" s="109">
        <f>IF(AND(ISNUMBER(N499),ISNUMBER(Q499),N(Q499)&gt;0),N499/Q499-1,"")</f>
        <v/>
      </c>
      <c r="S499" s="109" t="n">
        <v>23579</v>
      </c>
      <c r="T499" s="109" t="n">
        <v>18</v>
      </c>
      <c r="U499" s="109" t="n">
        <v>4.6</v>
      </c>
      <c r="V499" s="109" t="n">
        <v>688</v>
      </c>
      <c r="W499" s="109" t="n">
        <v>58169</v>
      </c>
      <c r="X499" s="109" t="n">
        <v>0.8765498702057799</v>
      </c>
      <c r="Y499" s="109" t="n">
        <v>88</v>
      </c>
      <c r="Z499" s="109" t="n">
        <v>86</v>
      </c>
      <c r="AA499" s="109" t="n">
        <v>121</v>
      </c>
      <c r="AB499" s="109" t="n"/>
      <c r="AC499" s="109" t="inlineStr">
        <is>
          <t>US SL Cooling 4pc</t>
        </is>
      </c>
      <c r="AD499" s="109">
        <f>'US SL Cooling 4pc'!BC112</f>
        <v/>
      </c>
      <c r="AE499" s="109">
        <f>'US SL Cooling 4pc'!BF112</f>
        <v/>
      </c>
      <c r="AF499" s="109" t="n"/>
      <c r="AG499" s="109" t="n"/>
    </row>
    <row r="500">
      <c r="A500" s="109">
        <f>AND(OR(Dashboard!$C$4="All",Dashboard!$C$4=D500),OR(Dashboard!$C$5="All",Dashboard!$C$5=E500),OR(Dashboard!$C$6="All",Dashboard!$C$6=G500),OR(Dashboard!$C$7="All",Dashboard!$C$7=H500),OR(Dashboard!$C$8="All",Dashboard!$C$8=F500))</f>
        <v/>
      </c>
      <c r="B500" s="109">
        <f>IF(A500,B499+1,B499)</f>
        <v/>
      </c>
      <c r="C500" s="109" t="n">
        <v>45</v>
      </c>
      <c r="D500" s="109" t="inlineStr">
        <is>
          <t>SL Cooling 4pc</t>
        </is>
      </c>
      <c r="E500" s="109" t="inlineStr">
        <is>
          <t>US</t>
        </is>
      </c>
      <c r="F500" s="109" t="inlineStr">
        <is>
          <t>Cooling</t>
        </is>
      </c>
      <c r="G500" s="109" t="inlineStr">
        <is>
          <t>Bedsure</t>
        </is>
      </c>
      <c r="H500" s="109" t="inlineStr">
        <is>
          <t>Poor</t>
        </is>
      </c>
      <c r="I500" s="109" t="inlineStr">
        <is>
          <t>Cooling Sheets</t>
        </is>
      </c>
      <c r="J500" s="109" t="n"/>
      <c r="K500" s="109" t="inlineStr">
        <is>
          <t>B0CPDTJ5NN</t>
        </is>
      </c>
      <c r="L500" s="109" t="inlineStr">
        <is>
          <t>B0CPDR5DDM</t>
        </is>
      </c>
      <c r="M500" s="109" t="n">
        <v>1</v>
      </c>
      <c r="N500" s="109" t="n">
        <v>149.99</v>
      </c>
      <c r="O500" s="109" t="n"/>
      <c r="P500" s="109">
        <f>IF(AND(ISNUMBER(O500),ISNUMBER(N500),N(N500)&gt;0),O500/N500-1,"")</f>
        <v/>
      </c>
      <c r="Q500" s="109" t="n">
        <v>79.98999999999999</v>
      </c>
      <c r="R500" s="109">
        <f>IF(AND(ISNUMBER(N500),ISNUMBER(Q500),N(Q500)&gt;0),N500/Q500-1,"")</f>
        <v/>
      </c>
      <c r="S500" s="109" t="n">
        <v>463922</v>
      </c>
      <c r="T500" s="109" t="n">
        <v>5</v>
      </c>
      <c r="U500" s="109" t="n">
        <v>4.2</v>
      </c>
      <c r="V500" s="109" t="n">
        <v>512</v>
      </c>
      <c r="W500" s="109" t="n">
        <v>170</v>
      </c>
      <c r="X500" s="109" t="n">
        <v>1</v>
      </c>
      <c r="Y500" s="109" t="n">
        <v>12</v>
      </c>
      <c r="Z500" s="109" t="n">
        <v>1</v>
      </c>
      <c r="AA500" s="109" t="n">
        <v>0</v>
      </c>
      <c r="AB500" s="109" t="n"/>
      <c r="AC500" s="109" t="inlineStr">
        <is>
          <t>US SL Cooling 4pc</t>
        </is>
      </c>
      <c r="AD500" s="109">
        <f>'US SL Cooling 4pc'!BC113</f>
        <v/>
      </c>
      <c r="AE500" s="109">
        <f>'US SL Cooling 4pc'!BF113</f>
        <v/>
      </c>
      <c r="AF500" s="109" t="n"/>
      <c r="AG500" s="109" t="n"/>
    </row>
    <row r="501">
      <c r="A501" s="109">
        <f>AND(OR(Dashboard!$C$4="All",Dashboard!$C$4=D501),OR(Dashboard!$C$5="All",Dashboard!$C$5=E501),OR(Dashboard!$C$6="All",Dashboard!$C$6=G501),OR(Dashboard!$C$7="All",Dashboard!$C$7=H501),OR(Dashboard!$C$8="All",Dashboard!$C$8=F501))</f>
        <v/>
      </c>
      <c r="B501" s="109">
        <f>IF(A501,B500+1,B500)</f>
        <v/>
      </c>
      <c r="C501" s="109" t="n">
        <v>45</v>
      </c>
      <c r="D501" s="109" t="inlineStr">
        <is>
          <t>SL Cooling 4pc</t>
        </is>
      </c>
      <c r="E501" s="109" t="inlineStr">
        <is>
          <t>US</t>
        </is>
      </c>
      <c r="F501" s="109" t="inlineStr">
        <is>
          <t>Cooling</t>
        </is>
      </c>
      <c r="G501" s="109" t="inlineStr">
        <is>
          <t>Brookstone</t>
        </is>
      </c>
      <c r="H501" s="109" t="inlineStr">
        <is>
          <t>Poor</t>
        </is>
      </c>
      <c r="I501" s="109" t="inlineStr">
        <is>
          <t>Cooling Fitted Sheet</t>
        </is>
      </c>
      <c r="J501" s="109" t="n"/>
      <c r="K501" s="109" t="inlineStr">
        <is>
          <t>B0CXB579TZ</t>
        </is>
      </c>
      <c r="L501" s="109" t="inlineStr">
        <is>
          <t>B0CTKM53QJ</t>
        </is>
      </c>
      <c r="M501" s="109" t="n"/>
      <c r="N501" s="109" t="n">
        <v>49.99</v>
      </c>
      <c r="O501" s="109" t="n"/>
      <c r="P501" s="109">
        <f>IF(AND(ISNUMBER(O501),ISNUMBER(N501),N(N501)&gt;0),O501/N501-1,"")</f>
        <v/>
      </c>
      <c r="Q501" s="109" t="n">
        <v>79.98999999999999</v>
      </c>
      <c r="R501" s="109">
        <f>IF(AND(ISNUMBER(N501),ISNUMBER(Q501),N(Q501)&gt;0),N501/Q501-1,"")</f>
        <v/>
      </c>
      <c r="S501" s="109" t="n">
        <v>501090</v>
      </c>
      <c r="T501" s="109" t="n">
        <v>5</v>
      </c>
      <c r="U501" s="109" t="n">
        <v>4.1</v>
      </c>
      <c r="V501" s="109" t="n">
        <v>184</v>
      </c>
      <c r="W501" s="109" t="n"/>
      <c r="X501" s="109" t="n"/>
      <c r="Y501" s="109" t="n"/>
      <c r="Z501" s="109" t="n"/>
      <c r="AA501" s="109" t="n"/>
      <c r="AB501" s="109" t="n"/>
      <c r="AC501" s="109" t="inlineStr">
        <is>
          <t>US SL Cooling 4pc</t>
        </is>
      </c>
      <c r="AD501" s="109">
        <f>'US SL Cooling 4pc'!BC114</f>
        <v/>
      </c>
      <c r="AE501" s="109">
        <f>'US SL Cooling 4pc'!BF114</f>
        <v/>
      </c>
      <c r="AF501" s="109" t="n"/>
      <c r="AG501" s="109" t="n"/>
    </row>
    <row r="502">
      <c r="A502" s="109">
        <f>AND(OR(Dashboard!$C$4="All",Dashboard!$C$4=D502),OR(Dashboard!$C$5="All",Dashboard!$C$5=E502),OR(Dashboard!$C$6="All",Dashboard!$C$6=G502),OR(Dashboard!$C$7="All",Dashboard!$C$7=H502),OR(Dashboard!$C$8="All",Dashboard!$C$8=F502))</f>
        <v/>
      </c>
      <c r="B502" s="109">
        <f>IF(A502,B501+1,B501)</f>
        <v/>
      </c>
      <c r="C502" s="109" t="n">
        <v>45</v>
      </c>
      <c r="D502" s="109" t="inlineStr">
        <is>
          <t>SL Cooling 4pc</t>
        </is>
      </c>
      <c r="E502" s="109" t="inlineStr">
        <is>
          <t>US</t>
        </is>
      </c>
      <c r="F502" s="109" t="inlineStr">
        <is>
          <t>Cooling</t>
        </is>
      </c>
      <c r="G502" s="109" t="inlineStr">
        <is>
          <t>CGK Unlimited</t>
        </is>
      </c>
      <c r="H502" s="109" t="inlineStr">
        <is>
          <t>Poor</t>
        </is>
      </c>
      <c r="I502" s="109" t="inlineStr">
        <is>
          <t>Cooling Sheets Set Twin XL Size - 3 Piece Summer Bed Sheets for Hot Sleepers &amp; N</t>
        </is>
      </c>
      <c r="J502" s="109" t="n"/>
      <c r="K502" s="109" t="inlineStr">
        <is>
          <t>B0FT4VV426</t>
        </is>
      </c>
      <c r="L502" s="109" t="inlineStr">
        <is>
          <t>B0FT4TC7NV</t>
        </is>
      </c>
      <c r="M502" s="109" t="n"/>
      <c r="N502" s="109" t="n">
        <v>57.99</v>
      </c>
      <c r="O502" s="109" t="n"/>
      <c r="P502" s="109">
        <f>IF(AND(ISNUMBER(O502),ISNUMBER(N502),N(N502)&gt;0),O502/N502-1,"")</f>
        <v/>
      </c>
      <c r="Q502" s="109" t="n">
        <v>66.36951807228915</v>
      </c>
      <c r="R502" s="109">
        <f>IF(AND(ISNUMBER(N502),ISNUMBER(Q502),N(Q502)&gt;0),N502/Q502-1,"")</f>
        <v/>
      </c>
      <c r="S502" s="109" t="n">
        <v>381427</v>
      </c>
      <c r="T502" s="109" t="n">
        <v>5</v>
      </c>
      <c r="U502" s="109" t="n">
        <v>4.1</v>
      </c>
      <c r="V502" s="109" t="n">
        <v>118</v>
      </c>
      <c r="W502" s="109" t="n"/>
      <c r="X502" s="109" t="n"/>
      <c r="Y502" s="109" t="n"/>
      <c r="Z502" s="109" t="n"/>
      <c r="AA502" s="109" t="n"/>
      <c r="AB502" s="109" t="n"/>
      <c r="AC502" s="109" t="inlineStr">
        <is>
          <t>US SL Cooling 4pc</t>
        </is>
      </c>
      <c r="AD502" s="109">
        <f>'US SL Cooling 4pc'!BC115</f>
        <v/>
      </c>
      <c r="AE502" s="109">
        <f>'US SL Cooling 4pc'!BF115</f>
        <v/>
      </c>
      <c r="AF502" s="109" t="inlineStr">
        <is>
          <t>Twin XL</t>
        </is>
      </c>
      <c r="AG502" s="109" t="n"/>
    </row>
    <row r="503">
      <c r="A503" s="109">
        <f>AND(OR(Dashboard!$C$4="All",Dashboard!$C$4=D503),OR(Dashboard!$C$5="All",Dashboard!$C$5=E503),OR(Dashboard!$C$6="All",Dashboard!$C$6=G503),OR(Dashboard!$C$7="All",Dashboard!$C$7=H503),OR(Dashboard!$C$8="All",Dashboard!$C$8=F503))</f>
        <v/>
      </c>
      <c r="B503" s="109">
        <f>IF(A503,B502+1,B502)</f>
        <v/>
      </c>
      <c r="C503" s="109" t="n">
        <v>45</v>
      </c>
      <c r="D503" s="109" t="inlineStr">
        <is>
          <t>SL Cooling 4pc</t>
        </is>
      </c>
      <c r="E503" s="109" t="inlineStr">
        <is>
          <t>US</t>
        </is>
      </c>
      <c r="F503" s="109" t="inlineStr">
        <is>
          <t>Cooling</t>
        </is>
      </c>
      <c r="G503" s="109" t="inlineStr">
        <is>
          <t>DOWNCOOL</t>
        </is>
      </c>
      <c r="H503" s="109" t="inlineStr">
        <is>
          <t>Poor</t>
        </is>
      </c>
      <c r="I503" s="109" t="inlineStr">
        <is>
          <t>Cooling Sheets</t>
        </is>
      </c>
      <c r="J503" s="109" t="n"/>
      <c r="K503" s="109" t="inlineStr">
        <is>
          <t>B0F93XRVSZ</t>
        </is>
      </c>
      <c r="L503" s="109" t="inlineStr">
        <is>
          <t>B0F93XRVSZ</t>
        </is>
      </c>
      <c r="M503" s="109" t="n"/>
      <c r="N503" s="109" t="n">
        <v>139.99</v>
      </c>
      <c r="O503" s="109" t="n"/>
      <c r="P503" s="109">
        <f>IF(AND(ISNUMBER(O503),ISNUMBER(N503),N(N503)&gt;0),O503/N503-1,"")</f>
        <v/>
      </c>
      <c r="Q503" s="109" t="n">
        <v>79.98999999999999</v>
      </c>
      <c r="R503" s="109">
        <f>IF(AND(ISNUMBER(N503),ISNUMBER(Q503),N(Q503)&gt;0),N503/Q503-1,"")</f>
        <v/>
      </c>
      <c r="S503" s="109" t="n">
        <v>2798999</v>
      </c>
      <c r="T503" s="109" t="n">
        <v>5</v>
      </c>
      <c r="U503" s="109" t="n">
        <v>4.2</v>
      </c>
      <c r="V503" s="109" t="n">
        <v>6</v>
      </c>
      <c r="W503" s="109" t="n"/>
      <c r="X503" s="109" t="n"/>
      <c r="Y503" s="109" t="n"/>
      <c r="Z503" s="109" t="n"/>
      <c r="AA503" s="109" t="n"/>
      <c r="AB503" s="109" t="n"/>
      <c r="AC503" s="109" t="inlineStr">
        <is>
          <t>US SL Cooling 4pc</t>
        </is>
      </c>
      <c r="AD503" s="109">
        <f>'US SL Cooling 4pc'!BC116</f>
        <v/>
      </c>
      <c r="AE503" s="109">
        <f>'US SL Cooling 4pc'!BF116</f>
        <v/>
      </c>
      <c r="AF503" s="109" t="n"/>
      <c r="AG503" s="109" t="n"/>
    </row>
    <row r="504">
      <c r="A504" s="109">
        <f>AND(OR(Dashboard!$C$4="All",Dashboard!$C$4=D504),OR(Dashboard!$C$5="All",Dashboard!$C$5=E504),OR(Dashboard!$C$6="All",Dashboard!$C$6=G504),OR(Dashboard!$C$7="All",Dashboard!$C$7=H504),OR(Dashboard!$C$8="All",Dashboard!$C$8=F504))</f>
        <v/>
      </c>
      <c r="B504" s="109">
        <f>IF(A504,B503+1,B503)</f>
        <v/>
      </c>
      <c r="C504" s="109" t="n">
        <v>45</v>
      </c>
      <c r="D504" s="109" t="inlineStr">
        <is>
          <t>SL Cooling 4pc</t>
        </is>
      </c>
      <c r="E504" s="109" t="inlineStr">
        <is>
          <t>US</t>
        </is>
      </c>
      <c r="F504" s="109" t="inlineStr">
        <is>
          <t>Cooling</t>
        </is>
      </c>
      <c r="G504" s="109" t="inlineStr">
        <is>
          <t>Elegear</t>
        </is>
      </c>
      <c r="H504" s="109" t="inlineStr">
        <is>
          <t>Poor</t>
        </is>
      </c>
      <c r="I504" s="109" t="inlineStr">
        <is>
          <t>Elegear Silver Infused Cooling Bed Sheets Queen, Arc-Chill® 3.0 Cool Tech, Silve</t>
        </is>
      </c>
      <c r="J504" s="109" t="n"/>
      <c r="K504" s="109" t="inlineStr">
        <is>
          <t>B0H7YWGBW3</t>
        </is>
      </c>
      <c r="L504" s="109" t="inlineStr">
        <is>
          <t>B0GCGXW1WT</t>
        </is>
      </c>
      <c r="M504" s="109" t="n">
        <v>8</v>
      </c>
      <c r="N504" s="109" t="n">
        <v>67.98999999999999</v>
      </c>
      <c r="O504" s="109" t="n">
        <v>79.98999999999999</v>
      </c>
      <c r="P504" s="109">
        <f>IF(AND(ISNUMBER(O504),ISNUMBER(N504),N(N504)&gt;0),O504/N504-1,"")</f>
        <v/>
      </c>
      <c r="Q504" s="109" t="n">
        <v>79.98999999999999</v>
      </c>
      <c r="R504" s="109">
        <f>IF(AND(ISNUMBER(N504),ISNUMBER(Q504),N(Q504)&gt;0),N504/Q504-1,"")</f>
        <v/>
      </c>
      <c r="S504" s="109" t="n">
        <v>159865</v>
      </c>
      <c r="T504" s="109" t="n">
        <v>5</v>
      </c>
      <c r="U504" s="109" t="n">
        <v>4.4</v>
      </c>
      <c r="V504" s="109" t="n">
        <v>131</v>
      </c>
      <c r="W504" s="109" t="n">
        <v>15624</v>
      </c>
      <c r="X504" s="109" t="n">
        <v>0.6086269521249359</v>
      </c>
      <c r="Y504" s="109" t="n">
        <v>98</v>
      </c>
      <c r="Z504" s="109" t="n">
        <v>58</v>
      </c>
      <c r="AA504" s="109" t="n">
        <v>146</v>
      </c>
      <c r="AB504" s="109" t="n">
        <v>0.4848484848484848</v>
      </c>
      <c r="AC504" s="109" t="inlineStr">
        <is>
          <t>US SL Cooling 4pc</t>
        </is>
      </c>
      <c r="AD504" s="109">
        <f>'US SL Cooling 4pc'!BC117</f>
        <v/>
      </c>
      <c r="AE504" s="109">
        <f>'US SL Cooling 4pc'!BF117</f>
        <v/>
      </c>
      <c r="AF504" s="109" t="inlineStr">
        <is>
          <t>Queen</t>
        </is>
      </c>
      <c r="AG504" s="109" t="inlineStr">
        <is>
          <t>Silver</t>
        </is>
      </c>
    </row>
    <row r="505">
      <c r="A505" s="109">
        <f>AND(OR(Dashboard!$C$4="All",Dashboard!$C$4=D505),OR(Dashboard!$C$5="All",Dashboard!$C$5=E505),OR(Dashboard!$C$6="All",Dashboard!$C$6=G505),OR(Dashboard!$C$7="All",Dashboard!$C$7=H505),OR(Dashboard!$C$8="All",Dashboard!$C$8=F505))</f>
        <v/>
      </c>
      <c r="B505" s="109">
        <f>IF(A505,B504+1,B504)</f>
        <v/>
      </c>
      <c r="C505" s="109" t="n">
        <v>45</v>
      </c>
      <c r="D505" s="109" t="inlineStr">
        <is>
          <t>SL Cooling 4pc</t>
        </is>
      </c>
      <c r="E505" s="109" t="inlineStr">
        <is>
          <t>US</t>
        </is>
      </c>
      <c r="F505" s="109" t="inlineStr">
        <is>
          <t>Cooling</t>
        </is>
      </c>
      <c r="G505" s="109" t="inlineStr">
        <is>
          <t>Love's cabin</t>
        </is>
      </c>
      <c r="H505" s="109" t="inlineStr">
        <is>
          <t>Untiered</t>
        </is>
      </c>
      <c r="I505" s="109" t="inlineStr">
        <is>
          <t>Love's cabin 4 Piece Queen Sheet Set, 100% Rayon Derived from Bamboo, Cooling &amp; Breathable, Soft Silky Deep Pocket up to 16", Hotel Luxury Bedding for Hot Sleepers, Beige</t>
        </is>
      </c>
      <c r="J505" s="109" t="inlineStr">
        <is>
          <t>https://images-na.ssl-images-amazon.com/images/I/71AudKmD2JL.jpg</t>
        </is>
      </c>
      <c r="K505" s="109" t="inlineStr">
        <is>
          <t>B0DN1GGFL7</t>
        </is>
      </c>
      <c r="L505" s="109" t="inlineStr">
        <is>
          <t>B0DN1DVKH5</t>
        </is>
      </c>
      <c r="M505" s="109" t="n">
        <v>176</v>
      </c>
      <c r="N505" s="109" t="n">
        <v>37.99</v>
      </c>
      <c r="O505" s="109" t="n">
        <v>44.99</v>
      </c>
      <c r="P505" s="109">
        <f>IF(AND(ISNUMBER(O505),ISNUMBER(N505),N(N505)&gt;0),O505/N505-1,"")</f>
        <v/>
      </c>
      <c r="Q505" s="109" t="n">
        <v>79.98999999999999</v>
      </c>
      <c r="R505" s="109">
        <f>IF(AND(ISNUMBER(N505),ISNUMBER(Q505),N(Q505)&gt;0),N505/Q505-1,"")</f>
        <v/>
      </c>
      <c r="S505" s="109" t="n">
        <v>501</v>
      </c>
      <c r="T505" s="109" t="n">
        <v>924</v>
      </c>
      <c r="U505" s="109" t="n">
        <v>4.4</v>
      </c>
      <c r="V505" s="109" t="n">
        <v>1900</v>
      </c>
      <c r="W505" s="109" t="n">
        <v>906346</v>
      </c>
      <c r="X505" s="109" t="n">
        <v>0.9184238707954808</v>
      </c>
      <c r="Y505" s="109" t="n">
        <v>23</v>
      </c>
      <c r="Z505" s="109" t="n">
        <v>239</v>
      </c>
      <c r="AA505" s="109" t="n">
        <v>1222</v>
      </c>
      <c r="AB505" s="109" t="n">
        <v>0.8953669259384511</v>
      </c>
      <c r="AC505" s="109" t="inlineStr">
        <is>
          <t>US SL Cooling 4pc</t>
        </is>
      </c>
      <c r="AD505" s="109">
        <f>'US SL Cooling 4pc'!BC118</f>
        <v/>
      </c>
      <c r="AE505" s="109">
        <f>'US SL Cooling 4pc'!BF118</f>
        <v/>
      </c>
      <c r="AF505" s="109" t="inlineStr">
        <is>
          <t>Queen</t>
        </is>
      </c>
      <c r="AG505" s="109" t="inlineStr">
        <is>
          <t>Beige</t>
        </is>
      </c>
    </row>
    <row r="506">
      <c r="A506" s="109">
        <f>AND(OR(Dashboard!$C$4="All",Dashboard!$C$4=D506),OR(Dashboard!$C$5="All",Dashboard!$C$5=E506),OR(Dashboard!$C$6="All",Dashboard!$C$6=G506),OR(Dashboard!$C$7="All",Dashboard!$C$7=H506),OR(Dashboard!$C$8="All",Dashboard!$C$8=F506))</f>
        <v/>
      </c>
      <c r="B506" s="109">
        <f>IF(A506,B505+1,B505)</f>
        <v/>
      </c>
      <c r="C506" s="109" t="n">
        <v>45</v>
      </c>
      <c r="D506" s="109" t="inlineStr">
        <is>
          <t>SL Cooling 4pc</t>
        </is>
      </c>
      <c r="E506" s="109" t="inlineStr">
        <is>
          <t>US</t>
        </is>
      </c>
      <c r="F506" s="109" t="inlineStr">
        <is>
          <t>Cooling</t>
        </is>
      </c>
      <c r="G506" s="109" t="inlineStr">
        <is>
          <t>Comfort Spaces</t>
        </is>
      </c>
      <c r="H506" s="109" t="inlineStr">
        <is>
          <t>Untiered</t>
        </is>
      </c>
      <c r="I506" s="109" t="inlineStr">
        <is>
          <t>Comfort Spaces Coolmax Moisture Wicking Fitted Sheet ONLY Super Soft, Fade Resis</t>
        </is>
      </c>
      <c r="J506" s="109" t="n"/>
      <c r="K506" s="109" t="inlineStr">
        <is>
          <t>B0DCGL5646</t>
        </is>
      </c>
      <c r="L506" s="109" t="inlineStr">
        <is>
          <t>B09GV8SK79</t>
        </is>
      </c>
      <c r="M506" s="109" t="n"/>
      <c r="N506" s="109" t="n">
        <v>15.95</v>
      </c>
      <c r="O506" s="109" t="n"/>
      <c r="P506" s="109">
        <f>IF(AND(ISNUMBER(O506),ISNUMBER(N506),N(N506)&gt;0),O506/N506-1,"")</f>
        <v/>
      </c>
      <c r="Q506" s="109" t="n">
        <v>79.98999999999999</v>
      </c>
      <c r="R506" s="109">
        <f>IF(AND(ISNUMBER(N506),ISNUMBER(Q506),N(Q506)&gt;0),N506/Q506-1,"")</f>
        <v/>
      </c>
      <c r="S506" s="109" t="n">
        <v>6671</v>
      </c>
      <c r="T506" s="109" t="n">
        <v>185</v>
      </c>
      <c r="U506" s="109" t="n">
        <v>4.2</v>
      </c>
      <c r="V506" s="109" t="n">
        <v>1336</v>
      </c>
      <c r="W506" s="109" t="n"/>
      <c r="X506" s="109" t="n"/>
      <c r="Y506" s="109" t="n"/>
      <c r="Z506" s="109" t="n"/>
      <c r="AA506" s="109" t="n"/>
      <c r="AB506" s="109" t="n"/>
      <c r="AC506" s="109" t="inlineStr">
        <is>
          <t>US SL Cooling 4pc</t>
        </is>
      </c>
      <c r="AD506" s="109">
        <f>'US SL Cooling 4pc'!BC119</f>
        <v/>
      </c>
      <c r="AE506" s="109">
        <f>'US SL Cooling 4pc'!BF119</f>
        <v/>
      </c>
      <c r="AF506" s="109" t="n"/>
      <c r="AG506" s="109" t="n"/>
    </row>
    <row r="507">
      <c r="A507" s="109">
        <f>AND(OR(Dashboard!$C$4="All",Dashboard!$C$4=D507),OR(Dashboard!$C$5="All",Dashboard!$C$5=E507),OR(Dashboard!$C$6="All",Dashboard!$C$6=G507),OR(Dashboard!$C$7="All",Dashboard!$C$7=H507),OR(Dashboard!$C$8="All",Dashboard!$C$8=F507))</f>
        <v/>
      </c>
      <c r="B507" s="109">
        <f>IF(A507,B506+1,B506)</f>
        <v/>
      </c>
      <c r="C507" s="109" t="n">
        <v>45</v>
      </c>
      <c r="D507" s="109" t="inlineStr">
        <is>
          <t>SL Cooling 4pc</t>
        </is>
      </c>
      <c r="E507" s="109" t="inlineStr">
        <is>
          <t>US</t>
        </is>
      </c>
      <c r="F507" s="109" t="inlineStr">
        <is>
          <t>Cooling</t>
        </is>
      </c>
      <c r="G507" s="109" t="inlineStr">
        <is>
          <t>TRUE BAMBOO</t>
        </is>
      </c>
      <c r="H507" s="109" t="inlineStr">
        <is>
          <t>Untiered</t>
        </is>
      </c>
      <c r="I507" s="109" t="inlineStr">
        <is>
          <t>TRUE BAMBOO Sheets Set King Size - Silky Soft &amp; Cooling - Dark Gray</t>
        </is>
      </c>
      <c r="J507" s="109" t="n"/>
      <c r="K507" s="109" t="inlineStr">
        <is>
          <t>B0HHQ97HBL</t>
        </is>
      </c>
      <c r="L507" s="109" t="inlineStr">
        <is>
          <t>B0HD7R5L1D</t>
        </is>
      </c>
      <c r="M507" s="109" t="n">
        <v>30</v>
      </c>
      <c r="N507" s="109" t="n">
        <v>114.99</v>
      </c>
      <c r="O507" s="109" t="n">
        <v>129.99</v>
      </c>
      <c r="P507" s="109">
        <f>IF(AND(ISNUMBER(O507),ISNUMBER(N507),N(N507)&gt;0),O507/N507-1,"")</f>
        <v/>
      </c>
      <c r="Q507" s="109" t="n">
        <v>84.98999999999999</v>
      </c>
      <c r="R507" s="109">
        <f>IF(AND(ISNUMBER(N507),ISNUMBER(Q507),N(Q507)&gt;0),N507/Q507-1,"")</f>
        <v/>
      </c>
      <c r="S507" s="109" t="n">
        <v>5934</v>
      </c>
      <c r="T507" s="109" t="n">
        <v>185</v>
      </c>
      <c r="U507" s="109" t="n">
        <v>4.6</v>
      </c>
      <c r="V507" s="109" t="n">
        <v>167</v>
      </c>
      <c r="W507" s="109" t="n">
        <v>557658</v>
      </c>
      <c r="X507" s="109" t="n">
        <v>0.518044597943542</v>
      </c>
      <c r="Y507" s="109" t="n">
        <v>60</v>
      </c>
      <c r="Z507" s="109" t="n">
        <v>134</v>
      </c>
      <c r="AA507" s="109" t="n">
        <v>974</v>
      </c>
      <c r="AB507" s="109" t="n"/>
      <c r="AC507" s="109" t="inlineStr">
        <is>
          <t>US SL Cooling 4pc</t>
        </is>
      </c>
      <c r="AD507" s="109">
        <f>'US SL Cooling 4pc'!BC120</f>
        <v/>
      </c>
      <c r="AE507" s="109">
        <f>'US SL Cooling 4pc'!BF120</f>
        <v/>
      </c>
      <c r="AF507" s="109" t="inlineStr">
        <is>
          <t>King</t>
        </is>
      </c>
      <c r="AG507" s="109" t="inlineStr">
        <is>
          <t>Gray</t>
        </is>
      </c>
    </row>
    <row r="508">
      <c r="A508" s="109">
        <f>AND(OR(Dashboard!$C$4="All",Dashboard!$C$4=D508),OR(Dashboard!$C$5="All",Dashboard!$C$5=E508),OR(Dashboard!$C$6="All",Dashboard!$C$6=G508),OR(Dashboard!$C$7="All",Dashboard!$C$7=H508),OR(Dashboard!$C$8="All",Dashboard!$C$8=F508))</f>
        <v/>
      </c>
      <c r="B508" s="109">
        <f>IF(A508,B507+1,B507)</f>
        <v/>
      </c>
      <c r="C508" s="109" t="n">
        <v>45</v>
      </c>
      <c r="D508" s="109" t="inlineStr">
        <is>
          <t>SL Cooling 4pc</t>
        </is>
      </c>
      <c r="E508" s="109" t="inlineStr">
        <is>
          <t>US</t>
        </is>
      </c>
      <c r="F508" s="109" t="inlineStr">
        <is>
          <t>Cooling</t>
        </is>
      </c>
      <c r="G508" s="109" t="inlineStr">
        <is>
          <t>Shilucheng</t>
        </is>
      </c>
      <c r="H508" s="109" t="inlineStr">
        <is>
          <t>Untiered</t>
        </is>
      </c>
      <c r="I508" s="109" t="inlineStr">
        <is>
          <t>Shilucheng 4 Piece Queen Sheet Sets, Cooling Sheets, Dark Grey</t>
        </is>
      </c>
      <c r="J508" s="109" t="inlineStr">
        <is>
          <t>https://images-na.ssl-images-amazon.com/images/I/81fpVjndH2L.jpg</t>
        </is>
      </c>
      <c r="K508" s="109" t="inlineStr">
        <is>
          <t>B0HJSVWNRS</t>
        </is>
      </c>
      <c r="L508" s="109" t="inlineStr">
        <is>
          <t>B0FWY1TGFK</t>
        </is>
      </c>
      <c r="M508" s="109" t="n">
        <v>49</v>
      </c>
      <c r="N508" s="109" t="n">
        <v>34.99</v>
      </c>
      <c r="O508" s="109" t="n"/>
      <c r="P508" s="109">
        <f>IF(AND(ISNUMBER(O508),ISNUMBER(N508),N(N508)&gt;0),O508/N508-1,"")</f>
        <v/>
      </c>
      <c r="Q508" s="109" t="n">
        <v>79.98999999999999</v>
      </c>
      <c r="R508" s="109">
        <f>IF(AND(ISNUMBER(N508),ISNUMBER(Q508),N(Q508)&gt;0),N508/Q508-1,"")</f>
        <v/>
      </c>
      <c r="S508" s="109" t="n">
        <v>5396</v>
      </c>
      <c r="T508" s="109" t="n">
        <v>173</v>
      </c>
      <c r="U508" s="109" t="n">
        <v>4.3</v>
      </c>
      <c r="V508" s="109" t="n">
        <v>24352</v>
      </c>
      <c r="W508" s="109" t="n">
        <v>135323</v>
      </c>
      <c r="X508" s="109" t="n">
        <v>0.7652350080917514</v>
      </c>
      <c r="Y508" s="109" t="n">
        <v>48</v>
      </c>
      <c r="Z508" s="109" t="n">
        <v>134</v>
      </c>
      <c r="AA508" s="109" t="n">
        <v>445</v>
      </c>
      <c r="AB508" s="109" t="n"/>
      <c r="AC508" s="109" t="inlineStr">
        <is>
          <t>US SL Cooling 4pc</t>
        </is>
      </c>
      <c r="AD508" s="109">
        <f>'US SL Cooling 4pc'!BC121</f>
        <v/>
      </c>
      <c r="AE508" s="109">
        <f>'US SL Cooling 4pc'!BF121</f>
        <v/>
      </c>
      <c r="AF508" s="109" t="inlineStr">
        <is>
          <t>Queen</t>
        </is>
      </c>
      <c r="AG508" s="109" t="inlineStr">
        <is>
          <t>Grey</t>
        </is>
      </c>
    </row>
    <row r="509">
      <c r="A509" s="109">
        <f>AND(OR(Dashboard!$C$4="All",Dashboard!$C$4=D509),OR(Dashboard!$C$5="All",Dashboard!$C$5=E509),OR(Dashboard!$C$6="All",Dashboard!$C$6=G509),OR(Dashboard!$C$7="All",Dashboard!$C$7=H509),OR(Dashboard!$C$8="All",Dashboard!$C$8=F509))</f>
        <v/>
      </c>
      <c r="B509" s="109">
        <f>IF(A509,B508+1,B508)</f>
        <v/>
      </c>
      <c r="C509" s="109" t="n">
        <v>45</v>
      </c>
      <c r="D509" s="109" t="inlineStr">
        <is>
          <t>SL Cooling 4pc</t>
        </is>
      </c>
      <c r="E509" s="109" t="inlineStr">
        <is>
          <t>US</t>
        </is>
      </c>
      <c r="F509" s="109" t="inlineStr">
        <is>
          <t>Cooling</t>
        </is>
      </c>
      <c r="G509" s="109" t="inlineStr">
        <is>
          <t>BEDELITE</t>
        </is>
      </c>
      <c r="H509" s="109" t="inlineStr">
        <is>
          <t>Untiered</t>
        </is>
      </c>
      <c r="I509" s="109" t="inlineStr">
        <is>
          <t>BEDELITE Bamboo Viscose Sheet Set, Queen Size, 4 Pieces, White</t>
        </is>
      </c>
      <c r="J509" s="109" t="n"/>
      <c r="K509" s="109" t="inlineStr">
        <is>
          <t>B0GT98GVQN</t>
        </is>
      </c>
      <c r="L509" s="109" t="inlineStr">
        <is>
          <t>B0GT8Z4X5D</t>
        </is>
      </c>
      <c r="M509" s="109" t="n">
        <v>8</v>
      </c>
      <c r="N509" s="109" t="n">
        <v>84.98</v>
      </c>
      <c r="O509" s="109" t="n">
        <v>99.89</v>
      </c>
      <c r="P509" s="109">
        <f>IF(AND(ISNUMBER(O509),ISNUMBER(N509),N(N509)&gt;0),O509/N509-1,"")</f>
        <v/>
      </c>
      <c r="Q509" s="109" t="n">
        <v>79.98999999999999</v>
      </c>
      <c r="R509" s="109">
        <f>IF(AND(ISNUMBER(N509),ISNUMBER(Q509),N(Q509)&gt;0),N509/Q509-1,"")</f>
        <v/>
      </c>
      <c r="S509" s="109" t="n">
        <v>65907</v>
      </c>
      <c r="T509" s="109" t="n">
        <v>81</v>
      </c>
      <c r="U509" s="109" t="n">
        <v>4.5</v>
      </c>
      <c r="V509" s="109" t="n">
        <v>113</v>
      </c>
      <c r="W509" s="109" t="n">
        <v>212120</v>
      </c>
      <c r="X509" s="109" t="n">
        <v>0.1115827267584386</v>
      </c>
      <c r="Y509" s="109" t="n">
        <v>69</v>
      </c>
      <c r="Z509" s="109" t="n">
        <v>98</v>
      </c>
      <c r="AA509" s="109" t="n">
        <v>1159</v>
      </c>
      <c r="AB509" s="109" t="n">
        <v>0.8073654390934845</v>
      </c>
      <c r="AC509" s="109" t="inlineStr">
        <is>
          <t>US SL Cooling 4pc</t>
        </is>
      </c>
      <c r="AD509" s="109">
        <f>'US SL Cooling 4pc'!BC122</f>
        <v/>
      </c>
      <c r="AE509" s="109">
        <f>'US SL Cooling 4pc'!BF122</f>
        <v/>
      </c>
      <c r="AF509" s="109" t="inlineStr">
        <is>
          <t>Queen</t>
        </is>
      </c>
      <c r="AG509" s="109" t="inlineStr">
        <is>
          <t>White</t>
        </is>
      </c>
    </row>
    <row r="510">
      <c r="A510" s="109">
        <f>AND(OR(Dashboard!$C$4="All",Dashboard!$C$4=D510),OR(Dashboard!$C$5="All",Dashboard!$C$5=E510),OR(Dashboard!$C$6="All",Dashboard!$C$6=G510),OR(Dashboard!$C$7="All",Dashboard!$C$7=H510),OR(Dashboard!$C$8="All",Dashboard!$C$8=F510))</f>
        <v/>
      </c>
      <c r="B510" s="109">
        <f>IF(A510,B509+1,B509)</f>
        <v/>
      </c>
      <c r="C510" s="109" t="n">
        <v>45</v>
      </c>
      <c r="D510" s="109" t="inlineStr">
        <is>
          <t>SL Cooling 4pc</t>
        </is>
      </c>
      <c r="E510" s="109" t="inlineStr">
        <is>
          <t>US</t>
        </is>
      </c>
      <c r="F510" s="109" t="inlineStr">
        <is>
          <t>Cooling</t>
        </is>
      </c>
      <c r="G510" s="109" t="inlineStr">
        <is>
          <t>Davmabcjy</t>
        </is>
      </c>
      <c r="H510" s="109" t="inlineStr">
        <is>
          <t>Untiered</t>
        </is>
      </c>
      <c r="I510" s="109" t="inlineStr">
        <is>
          <t>100% Organically Grown Bamboo Viscose King Sheet Set with Pockets on Side</t>
        </is>
      </c>
      <c r="J510" s="109" t="n"/>
      <c r="K510" s="109" t="inlineStr">
        <is>
          <t>B0HJZNMQ5G</t>
        </is>
      </c>
      <c r="L510" s="109" t="inlineStr">
        <is>
          <t>B0GXJYQR7H</t>
        </is>
      </c>
      <c r="M510" s="109" t="n">
        <v>7</v>
      </c>
      <c r="N510" s="109" t="n">
        <v>59.99</v>
      </c>
      <c r="O510" s="109" t="n"/>
      <c r="P510" s="109">
        <f>IF(AND(ISNUMBER(O510),ISNUMBER(N510),N(N510)&gt;0),O510/N510-1,"")</f>
        <v/>
      </c>
      <c r="Q510" s="109" t="n">
        <v>84.98999999999999</v>
      </c>
      <c r="R510" s="109">
        <f>IF(AND(ISNUMBER(N510),ISNUMBER(Q510),N(Q510)&gt;0),N510/Q510-1,"")</f>
        <v/>
      </c>
      <c r="S510" s="109" t="n">
        <v>205508</v>
      </c>
      <c r="T510" s="109" t="n">
        <v>35</v>
      </c>
      <c r="U510" s="109" t="n">
        <v>4.2</v>
      </c>
      <c r="V510" s="109" t="n">
        <v>81</v>
      </c>
      <c r="W510" s="109" t="n">
        <v>75425</v>
      </c>
      <c r="X510" s="109" t="n">
        <v>0.8470417779250914</v>
      </c>
      <c r="Y510" s="109" t="n">
        <v>54</v>
      </c>
      <c r="Z510" s="109" t="n">
        <v>87</v>
      </c>
      <c r="AA510" s="109" t="n">
        <v>370</v>
      </c>
      <c r="AB510" s="109" t="n"/>
      <c r="AC510" s="109" t="inlineStr">
        <is>
          <t>US SL Cooling 4pc</t>
        </is>
      </c>
      <c r="AD510" s="109">
        <f>'US SL Cooling 4pc'!BC123</f>
        <v/>
      </c>
      <c r="AE510" s="109">
        <f>'US SL Cooling 4pc'!BF123</f>
        <v/>
      </c>
      <c r="AF510" s="109" t="inlineStr">
        <is>
          <t>King</t>
        </is>
      </c>
      <c r="AG510" s="109" t="n"/>
    </row>
    <row r="511">
      <c r="A511" s="109">
        <f>AND(OR(Dashboard!$C$4="All",Dashboard!$C$4=D511),OR(Dashboard!$C$5="All",Dashboard!$C$5=E511),OR(Dashboard!$C$6="All",Dashboard!$C$6=G511),OR(Dashboard!$C$7="All",Dashboard!$C$7=H511),OR(Dashboard!$C$8="All",Dashboard!$C$8=F511))</f>
        <v/>
      </c>
      <c r="B511" s="109">
        <f>IF(A511,B510+1,B510)</f>
        <v/>
      </c>
      <c r="C511" s="109" t="n">
        <v>45</v>
      </c>
      <c r="D511" s="109" t="inlineStr">
        <is>
          <t>SL Cooling 4pc</t>
        </is>
      </c>
      <c r="E511" s="109" t="inlineStr">
        <is>
          <t>US</t>
        </is>
      </c>
      <c r="F511" s="109" t="inlineStr">
        <is>
          <t>Cooling</t>
        </is>
      </c>
      <c r="G511" s="109" t="inlineStr">
        <is>
          <t>Degrees of Comfort</t>
        </is>
      </c>
      <c r="H511" s="109" t="inlineStr">
        <is>
          <t>Untiered</t>
        </is>
      </c>
      <c r="I511" s="109" t="inlineStr">
        <is>
          <t>Coolmax® Cooling Sheets for Hot Sleepers, Queen Size, Grey</t>
        </is>
      </c>
      <c r="J511" s="109" t="inlineStr">
        <is>
          <t>https://images-na.ssl-images-amazon.com/images/I/716hu1FzoSL.jpg</t>
        </is>
      </c>
      <c r="K511" s="109" t="inlineStr">
        <is>
          <t>B0DXT68BBR</t>
        </is>
      </c>
      <c r="L511" s="109" t="inlineStr">
        <is>
          <t>B08YS6WZRR</t>
        </is>
      </c>
      <c r="M511" s="109" t="n">
        <v>31</v>
      </c>
      <c r="N511" s="109" t="n">
        <v>24.99</v>
      </c>
      <c r="O511" s="109" t="n">
        <v>29.99</v>
      </c>
      <c r="P511" s="109">
        <f>IF(AND(ISNUMBER(O511),ISNUMBER(N511),N(N511)&gt;0),O511/N511-1,"")</f>
        <v/>
      </c>
      <c r="Q511" s="109" t="n">
        <v>79.98999999999999</v>
      </c>
      <c r="R511" s="109">
        <f>IF(AND(ISNUMBER(N511),ISNUMBER(Q511),N(Q511)&gt;0),N511/Q511-1,"")</f>
        <v/>
      </c>
      <c r="S511" s="109" t="n">
        <v>39599</v>
      </c>
      <c r="T511" s="109" t="n">
        <v>35</v>
      </c>
      <c r="U511" s="109" t="n">
        <v>4.1</v>
      </c>
      <c r="V511" s="109" t="n">
        <v>7328</v>
      </c>
      <c r="W511" s="109" t="n"/>
      <c r="X511" s="109" t="n"/>
      <c r="Y511" s="109" t="n"/>
      <c r="Z511" s="109" t="n"/>
      <c r="AA511" s="109" t="n"/>
      <c r="AB511" s="109" t="n"/>
      <c r="AC511" s="109" t="inlineStr">
        <is>
          <t>US SL Cooling 4pc</t>
        </is>
      </c>
      <c r="AD511" s="109">
        <f>'US SL Cooling 4pc'!BC124</f>
        <v/>
      </c>
      <c r="AE511" s="109">
        <f>'US SL Cooling 4pc'!BF124</f>
        <v/>
      </c>
      <c r="AF511" s="109" t="inlineStr">
        <is>
          <t>Queen</t>
        </is>
      </c>
      <c r="AG511" s="109" t="inlineStr">
        <is>
          <t>Grey</t>
        </is>
      </c>
    </row>
    <row r="512">
      <c r="A512" s="109">
        <f>AND(OR(Dashboard!$C$4="All",Dashboard!$C$4=D512),OR(Dashboard!$C$5="All",Dashboard!$C$5=E512),OR(Dashboard!$C$6="All",Dashboard!$C$6=G512),OR(Dashboard!$C$7="All",Dashboard!$C$7=H512),OR(Dashboard!$C$8="All",Dashboard!$C$8=F512))</f>
        <v/>
      </c>
      <c r="B512" s="109">
        <f>IF(A512,B511+1,B511)</f>
        <v/>
      </c>
      <c r="C512" s="109" t="n">
        <v>45</v>
      </c>
      <c r="D512" s="109" t="inlineStr">
        <is>
          <t>SL Cooling 4pc</t>
        </is>
      </c>
      <c r="E512" s="109" t="inlineStr">
        <is>
          <t>US</t>
        </is>
      </c>
      <c r="F512" s="109" t="inlineStr">
        <is>
          <t>Cooling</t>
        </is>
      </c>
      <c r="G512" s="109" t="inlineStr">
        <is>
          <t>KARISSA MAE</t>
        </is>
      </c>
      <c r="H512" s="109" t="inlineStr">
        <is>
          <t>Untiered</t>
        </is>
      </c>
      <c r="I512" s="109" t="inlineStr">
        <is>
          <t>Cooling Sheets</t>
        </is>
      </c>
      <c r="J512" s="109" t="inlineStr">
        <is>
          <t>https://images-na.ssl-images-amazon.com/images/I/71rcYip7GcL.jpg</t>
        </is>
      </c>
      <c r="K512" s="109" t="inlineStr">
        <is>
          <t>B0GT172Y8L</t>
        </is>
      </c>
      <c r="L512" s="109" t="inlineStr">
        <is>
          <t>B0G1CSCQTB</t>
        </is>
      </c>
      <c r="M512" s="109" t="n">
        <v>138</v>
      </c>
      <c r="N512" s="109" t="n">
        <v>119.99</v>
      </c>
      <c r="O512" s="109" t="n"/>
      <c r="P512" s="109">
        <f>IF(AND(ISNUMBER(O512),ISNUMBER(N512),N(N512)&gt;0),O512/N512-1,"")</f>
        <v/>
      </c>
      <c r="Q512" s="109" t="n">
        <v>79.98999999999999</v>
      </c>
      <c r="R512" s="109">
        <f>IF(AND(ISNUMBER(N512),ISNUMBER(Q512),N(Q512)&gt;0),N512/Q512-1,"")</f>
        <v/>
      </c>
      <c r="S512" s="109" t="n">
        <v>15914</v>
      </c>
      <c r="T512" s="109" t="n">
        <v>35</v>
      </c>
      <c r="U512" s="109" t="n">
        <v>4.3</v>
      </c>
      <c r="V512" s="109" t="n">
        <v>474</v>
      </c>
      <c r="W512" s="109" t="n">
        <v>243610</v>
      </c>
      <c r="X512" s="109" t="n">
        <v>0.1385290000410493</v>
      </c>
      <c r="Y512" s="109" t="n">
        <v>114</v>
      </c>
      <c r="Z512" s="109" t="n">
        <v>101</v>
      </c>
      <c r="AA512" s="109" t="n">
        <v>1751</v>
      </c>
      <c r="AB512" s="109" t="n">
        <v>2.102564102564103</v>
      </c>
      <c r="AC512" s="109" t="inlineStr">
        <is>
          <t>US SL Cooling 4pc</t>
        </is>
      </c>
      <c r="AD512" s="109">
        <f>'US SL Cooling 4pc'!BC125</f>
        <v/>
      </c>
      <c r="AE512" s="109">
        <f>'US SL Cooling 4pc'!BF125</f>
        <v/>
      </c>
      <c r="AF512" s="109" t="n"/>
      <c r="AG512" s="109" t="n"/>
    </row>
    <row r="513">
      <c r="A513" s="109">
        <f>AND(OR(Dashboard!$C$4="All",Dashboard!$C$4=D513),OR(Dashboard!$C$5="All",Dashboard!$C$5=E513),OR(Dashboard!$C$6="All",Dashboard!$C$6=G513),OR(Dashboard!$C$7="All",Dashboard!$C$7=H513),OR(Dashboard!$C$8="All",Dashboard!$C$8=F513))</f>
        <v/>
      </c>
      <c r="B513" s="109">
        <f>IF(A513,B512+1,B512)</f>
        <v/>
      </c>
      <c r="C513" s="109" t="n">
        <v>45</v>
      </c>
      <c r="D513" s="109" t="inlineStr">
        <is>
          <t>SL Cooling 4pc</t>
        </is>
      </c>
      <c r="E513" s="109" t="inlineStr">
        <is>
          <t>US</t>
        </is>
      </c>
      <c r="F513" s="109" t="inlineStr">
        <is>
          <t>Cooling</t>
        </is>
      </c>
      <c r="G513" s="109" t="inlineStr">
        <is>
          <t>Pillcase</t>
        </is>
      </c>
      <c r="H513" s="109" t="inlineStr">
        <is>
          <t>Untiered</t>
        </is>
      </c>
      <c r="I513" s="109" t="inlineStr">
        <is>
          <t>100% Real Bamboo Viscose &amp; Lyocell Tencel Sheets Set Queen Size | Breathable &amp; C</t>
        </is>
      </c>
      <c r="J513" s="109" t="n"/>
      <c r="K513" s="109" t="inlineStr">
        <is>
          <t>B0H1GGHHVN</t>
        </is>
      </c>
      <c r="L513" s="109" t="inlineStr">
        <is>
          <t>B0HFZQRXXQ</t>
        </is>
      </c>
      <c r="M513" s="109" t="n">
        <v>20</v>
      </c>
      <c r="N513" s="109" t="n">
        <v>79</v>
      </c>
      <c r="O513" s="109" t="n">
        <v>109</v>
      </c>
      <c r="P513" s="109">
        <f>IF(AND(ISNUMBER(O513),ISNUMBER(N513),N(N513)&gt;0),O513/N513-1,"")</f>
        <v/>
      </c>
      <c r="Q513" s="109" t="n">
        <v>79.98999999999999</v>
      </c>
      <c r="R513" s="109">
        <f>IF(AND(ISNUMBER(N513),ISNUMBER(Q513),N(Q513)&gt;0),N513/Q513-1,"")</f>
        <v/>
      </c>
      <c r="S513" s="109" t="n">
        <v>28003</v>
      </c>
      <c r="T513" s="109" t="n">
        <v>35</v>
      </c>
      <c r="U513" s="109" t="n">
        <v>4.8</v>
      </c>
      <c r="V513" s="109" t="n">
        <v>279</v>
      </c>
      <c r="W513" s="109" t="n">
        <v>216953</v>
      </c>
      <c r="X513" s="109" t="n">
        <v>0.9703615419007803</v>
      </c>
      <c r="Y513" s="109" t="n">
        <v>42</v>
      </c>
      <c r="Z513" s="109" t="n">
        <v>138</v>
      </c>
      <c r="AA513" s="109" t="n">
        <v>23</v>
      </c>
      <c r="AB513" s="109" t="n"/>
      <c r="AC513" s="109" t="inlineStr">
        <is>
          <t>US SL Cooling 4pc</t>
        </is>
      </c>
      <c r="AD513" s="109">
        <f>'US SL Cooling 4pc'!BC126</f>
        <v/>
      </c>
      <c r="AE513" s="109">
        <f>'US SL Cooling 4pc'!BF126</f>
        <v/>
      </c>
      <c r="AF513" s="109" t="inlineStr">
        <is>
          <t>Queen</t>
        </is>
      </c>
      <c r="AG513" s="109" t="n"/>
    </row>
    <row r="514">
      <c r="A514" s="109">
        <f>AND(OR(Dashboard!$C$4="All",Dashboard!$C$4=D514),OR(Dashboard!$C$5="All",Dashboard!$C$5=E514),OR(Dashboard!$C$6="All",Dashboard!$C$6=G514),OR(Dashboard!$C$7="All",Dashboard!$C$7=H514),OR(Dashboard!$C$8="All",Dashboard!$C$8=F514))</f>
        <v/>
      </c>
      <c r="B514" s="109">
        <f>IF(A514,B513+1,B513)</f>
        <v/>
      </c>
      <c r="C514" s="109" t="n">
        <v>45</v>
      </c>
      <c r="D514" s="109" t="inlineStr">
        <is>
          <t>SL Cooling 4pc</t>
        </is>
      </c>
      <c r="E514" s="109" t="inlineStr">
        <is>
          <t>US</t>
        </is>
      </c>
      <c r="F514" s="109" t="inlineStr">
        <is>
          <t>Cooling</t>
        </is>
      </c>
      <c r="G514" s="109" t="inlineStr">
        <is>
          <t>California Design Den</t>
        </is>
      </c>
      <c r="H514" s="109" t="inlineStr">
        <is>
          <t>Untiered</t>
        </is>
      </c>
      <c r="I514" s="109" t="inlineStr">
        <is>
          <t>California Design Den 100% Viscose from Bamboo Sheets Queen, Dark Olive</t>
        </is>
      </c>
      <c r="J514" s="109" t="n"/>
      <c r="K514" s="109" t="inlineStr">
        <is>
          <t>B0HFBJPD56</t>
        </is>
      </c>
      <c r="L514" s="109" t="inlineStr">
        <is>
          <t>B0GWHPJ9SD</t>
        </is>
      </c>
      <c r="M514" s="109" t="n">
        <v>81</v>
      </c>
      <c r="N514" s="109" t="n">
        <v>89.98999999999999</v>
      </c>
      <c r="O514" s="109" t="n"/>
      <c r="P514" s="109">
        <f>IF(AND(ISNUMBER(O514),ISNUMBER(N514),N(N514)&gt;0),O514/N514-1,"")</f>
        <v/>
      </c>
      <c r="Q514" s="109" t="n">
        <v>79.98999999999999</v>
      </c>
      <c r="R514" s="109">
        <f>IF(AND(ISNUMBER(N514),ISNUMBER(Q514),N(Q514)&gt;0),N514/Q514-1,"")</f>
        <v/>
      </c>
      <c r="S514" s="109" t="n">
        <v>21237</v>
      </c>
      <c r="T514" s="109" t="n">
        <v>18</v>
      </c>
      <c r="U514" s="109" t="n">
        <v>4.6</v>
      </c>
      <c r="V514" s="109" t="n">
        <v>76</v>
      </c>
      <c r="W514" s="109" t="n">
        <v>103642</v>
      </c>
      <c r="X514" s="109" t="n">
        <v>0.8956907055054905</v>
      </c>
      <c r="Y514" s="109" t="n">
        <v>70</v>
      </c>
      <c r="Z514" s="109" t="n">
        <v>112</v>
      </c>
      <c r="AA514" s="109" t="n">
        <v>290</v>
      </c>
      <c r="AB514" s="109" t="n"/>
      <c r="AC514" s="109" t="inlineStr">
        <is>
          <t>US SL Cooling 4pc</t>
        </is>
      </c>
      <c r="AD514" s="109">
        <f>'US SL Cooling 4pc'!BC127</f>
        <v/>
      </c>
      <c r="AE514" s="109">
        <f>'US SL Cooling 4pc'!BF127</f>
        <v/>
      </c>
      <c r="AF514" s="109" t="inlineStr">
        <is>
          <t>Queen</t>
        </is>
      </c>
      <c r="AG514" s="109" t="inlineStr">
        <is>
          <t>Olive</t>
        </is>
      </c>
    </row>
    <row r="515">
      <c r="A515" s="109">
        <f>AND(OR(Dashboard!$C$4="All",Dashboard!$C$4=D515),OR(Dashboard!$C$5="All",Dashboard!$C$5=E515),OR(Dashboard!$C$6="All",Dashboard!$C$6=G515),OR(Dashboard!$C$7="All",Dashboard!$C$7=H515),OR(Dashboard!$C$8="All",Dashboard!$C$8=F515))</f>
        <v/>
      </c>
      <c r="B515" s="109">
        <f>IF(A515,B514+1,B514)</f>
        <v/>
      </c>
      <c r="C515" s="109" t="n">
        <v>45</v>
      </c>
      <c r="D515" s="109" t="inlineStr">
        <is>
          <t>SL Cooling 4pc</t>
        </is>
      </c>
      <c r="E515" s="109" t="inlineStr">
        <is>
          <t>US</t>
        </is>
      </c>
      <c r="F515" s="109" t="inlineStr">
        <is>
          <t>Cooling</t>
        </is>
      </c>
      <c r="G515" s="109" t="inlineStr">
        <is>
          <t>Pillcase</t>
        </is>
      </c>
      <c r="H515" s="109" t="inlineStr">
        <is>
          <t>Untiered</t>
        </is>
      </c>
      <c r="I515" s="109" t="inlineStr">
        <is>
          <t>100% Real Bamboo Viscose &amp; Lyocell Tencel Sheets Set Queen Size | Breathable &amp; C</t>
        </is>
      </c>
      <c r="J515" s="109" t="n"/>
      <c r="K515" s="109" t="inlineStr">
        <is>
          <t>B0HK71WHZW</t>
        </is>
      </c>
      <c r="L515" s="109" t="inlineStr">
        <is>
          <t>B0H1BWY4MD</t>
        </is>
      </c>
      <c r="M515" s="109" t="n">
        <v>22</v>
      </c>
      <c r="N515" s="109" t="n">
        <v>99</v>
      </c>
      <c r="O515" s="109" t="n"/>
      <c r="P515" s="109">
        <f>IF(AND(ISNUMBER(O515),ISNUMBER(N515),N(N515)&gt;0),O515/N515-1,"")</f>
        <v/>
      </c>
      <c r="Q515" s="109" t="n">
        <v>79.98999999999999</v>
      </c>
      <c r="R515" s="109">
        <f>IF(AND(ISNUMBER(N515),ISNUMBER(Q515),N(Q515)&gt;0),N515/Q515-1,"")</f>
        <v/>
      </c>
      <c r="S515" s="109" t="n">
        <v>38116</v>
      </c>
      <c r="T515" s="109" t="n">
        <v>18</v>
      </c>
      <c r="U515" s="109" t="n">
        <v>4.9</v>
      </c>
      <c r="V515" s="109" t="n">
        <v>201</v>
      </c>
      <c r="W515" s="109" t="n">
        <v>116001</v>
      </c>
      <c r="X515" s="109" t="n">
        <v>0.8987684407893036</v>
      </c>
      <c r="Y515" s="109" t="n">
        <v>70</v>
      </c>
      <c r="Z515" s="109" t="n">
        <v>112</v>
      </c>
      <c r="AA515" s="109" t="n">
        <v>90</v>
      </c>
      <c r="AB515" s="109" t="n"/>
      <c r="AC515" s="109" t="inlineStr">
        <is>
          <t>US SL Cooling 4pc</t>
        </is>
      </c>
      <c r="AD515" s="109">
        <f>'US SL Cooling 4pc'!BC128</f>
        <v/>
      </c>
      <c r="AE515" s="109">
        <f>'US SL Cooling 4pc'!BF128</f>
        <v/>
      </c>
      <c r="AF515" s="109" t="inlineStr">
        <is>
          <t>Queen</t>
        </is>
      </c>
      <c r="AG515" s="109" t="n"/>
    </row>
    <row r="516">
      <c r="A516" s="109">
        <f>AND(OR(Dashboard!$C$4="All",Dashboard!$C$4=D516),OR(Dashboard!$C$5="All",Dashboard!$C$5=E516),OR(Dashboard!$C$6="All",Dashboard!$C$6=G516),OR(Dashboard!$C$7="All",Dashboard!$C$7=H516),OR(Dashboard!$C$8="All",Dashboard!$C$8=F516))</f>
        <v/>
      </c>
      <c r="B516" s="109">
        <f>IF(A516,B515+1,B515)</f>
        <v/>
      </c>
      <c r="C516" s="109" t="n">
        <v>45</v>
      </c>
      <c r="D516" s="109" t="inlineStr">
        <is>
          <t>SL Cooling 4pc</t>
        </is>
      </c>
      <c r="E516" s="109" t="inlineStr">
        <is>
          <t>US</t>
        </is>
      </c>
      <c r="F516" s="109" t="inlineStr">
        <is>
          <t>Cooling</t>
        </is>
      </c>
      <c r="G516" s="109" t="inlineStr">
        <is>
          <t>Shilucheng</t>
        </is>
      </c>
      <c r="H516" s="109" t="inlineStr">
        <is>
          <t>Untiered</t>
        </is>
      </c>
      <c r="I516" s="109" t="inlineStr">
        <is>
          <t>Shilucheng 100% Viscose Derived from Bamboo_Sheets, Extra Deep Pocket</t>
        </is>
      </c>
      <c r="J516" s="109" t="inlineStr">
        <is>
          <t>https://images-na.ssl-images-amazon.com/images/I/71NxE1i+4jL.jpg</t>
        </is>
      </c>
      <c r="K516" s="109" t="inlineStr">
        <is>
          <t>B0F2TDDFGJ</t>
        </is>
      </c>
      <c r="L516" s="109" t="inlineStr">
        <is>
          <t>B0F2TDDFGJ</t>
        </is>
      </c>
      <c r="M516" s="109" t="n">
        <v>32</v>
      </c>
      <c r="N516" s="109" t="n">
        <v>59.99</v>
      </c>
      <c r="O516" s="109" t="n">
        <v>74.98999999999999</v>
      </c>
      <c r="P516" s="109">
        <f>IF(AND(ISNUMBER(O516),ISNUMBER(N516),N(N516)&gt;0),O516/N516-1,"")</f>
        <v/>
      </c>
      <c r="Q516" s="109" t="n">
        <v>79.98999999999999</v>
      </c>
      <c r="R516" s="109">
        <f>IF(AND(ISNUMBER(N516),ISNUMBER(Q516),N(Q516)&gt;0),N516/Q516-1,"")</f>
        <v/>
      </c>
      <c r="S516" s="109" t="n">
        <v>39191</v>
      </c>
      <c r="T516" s="109" t="n">
        <v>18</v>
      </c>
      <c r="U516" s="109" t="n">
        <v>4.5</v>
      </c>
      <c r="V516" s="109" t="n">
        <v>1639</v>
      </c>
      <c r="W516" s="109" t="n">
        <v>41895</v>
      </c>
      <c r="X516" s="109" t="n">
        <v>0.2973701849862752</v>
      </c>
      <c r="Y516" s="109" t="n">
        <v>54</v>
      </c>
      <c r="Z516" s="109" t="n">
        <v>67</v>
      </c>
      <c r="AA516" s="109" t="n">
        <v>321</v>
      </c>
      <c r="AB516" s="109" t="n"/>
      <c r="AC516" s="109" t="inlineStr">
        <is>
          <t>US SL Cooling 4pc</t>
        </is>
      </c>
      <c r="AD516" s="109">
        <f>'US SL Cooling 4pc'!BC129</f>
        <v/>
      </c>
      <c r="AE516" s="109">
        <f>'US SL Cooling 4pc'!BF129</f>
        <v/>
      </c>
      <c r="AF516" s="109" t="n"/>
      <c r="AG516" s="109" t="n"/>
    </row>
    <row r="517">
      <c r="A517" s="109">
        <f>AND(OR(Dashboard!$C$4="All",Dashboard!$C$4=D517),OR(Dashboard!$C$5="All",Dashboard!$C$5=E517),OR(Dashboard!$C$6="All",Dashboard!$C$6=G517),OR(Dashboard!$C$7="All",Dashboard!$C$7=H517),OR(Dashboard!$C$8="All",Dashboard!$C$8=F517))</f>
        <v/>
      </c>
      <c r="B517" s="109">
        <f>IF(A517,B516+1,B516)</f>
        <v/>
      </c>
      <c r="C517" s="109" t="n">
        <v>45</v>
      </c>
      <c r="D517" s="109" t="inlineStr">
        <is>
          <t>SL Cooling 4pc</t>
        </is>
      </c>
      <c r="E517" s="109" t="inlineStr">
        <is>
          <t>US</t>
        </is>
      </c>
      <c r="F517" s="109" t="inlineStr">
        <is>
          <t>Cooling</t>
        </is>
      </c>
      <c r="G517" s="109" t="inlineStr">
        <is>
          <t>TWK</t>
        </is>
      </c>
      <c r="H517" s="109" t="inlineStr">
        <is>
          <t>Untiered</t>
        </is>
      </c>
      <c r="I517" s="109" t="inlineStr">
        <is>
          <t>TWK Real 100% Viscose Derived from Bamboo Sheets Set Queen Size, Cooling &amp; Silky</t>
        </is>
      </c>
      <c r="J517" s="109" t="inlineStr">
        <is>
          <t>https://images-na.ssl-images-amazon.com/images/I/71X+0TBtodL.jpg</t>
        </is>
      </c>
      <c r="K517" s="109" t="inlineStr">
        <is>
          <t>B0HHQG3RSW</t>
        </is>
      </c>
      <c r="L517" s="109" t="inlineStr">
        <is>
          <t>B0G1N8QS55</t>
        </is>
      </c>
      <c r="M517" s="109" t="n">
        <v>13</v>
      </c>
      <c r="N517" s="109" t="n">
        <v>65</v>
      </c>
      <c r="O517" s="109" t="n">
        <v>79</v>
      </c>
      <c r="P517" s="109">
        <f>IF(AND(ISNUMBER(O517),ISNUMBER(N517),N(N517)&gt;0),O517/N517-1,"")</f>
        <v/>
      </c>
      <c r="Q517" s="109" t="n">
        <v>79.98999999999999</v>
      </c>
      <c r="R517" s="109">
        <f>IF(AND(ISNUMBER(N517),ISNUMBER(Q517),N(Q517)&gt;0),N517/Q517-1,"")</f>
        <v/>
      </c>
      <c r="S517" s="109" t="n">
        <v>196488</v>
      </c>
      <c r="T517" s="109" t="n">
        <v>18</v>
      </c>
      <c r="U517" s="109" t="n">
        <v>4.9</v>
      </c>
      <c r="V517" s="109" t="n">
        <v>121</v>
      </c>
      <c r="W517" s="109" t="n">
        <v>82471</v>
      </c>
      <c r="X517" s="109" t="n">
        <v>0.8861114561482216</v>
      </c>
      <c r="Y517" s="109" t="n">
        <v>58</v>
      </c>
      <c r="Z517" s="109" t="n">
        <v>132</v>
      </c>
      <c r="AA517" s="109" t="n">
        <v>85</v>
      </c>
      <c r="AB517" s="109" t="n"/>
      <c r="AC517" s="109" t="inlineStr">
        <is>
          <t>US SL Cooling 4pc</t>
        </is>
      </c>
      <c r="AD517" s="109">
        <f>'US SL Cooling 4pc'!BC130</f>
        <v/>
      </c>
      <c r="AE517" s="109">
        <f>'US SL Cooling 4pc'!BF130</f>
        <v/>
      </c>
      <c r="AF517" s="109" t="inlineStr">
        <is>
          <t>Queen</t>
        </is>
      </c>
      <c r="AG517" s="109" t="n"/>
    </row>
    <row r="518">
      <c r="A518" s="109">
        <f>AND(OR(Dashboard!$C$4="All",Dashboard!$C$4=D518),OR(Dashboard!$C$5="All",Dashboard!$C$5=E518),OR(Dashboard!$C$6="All",Dashboard!$C$6=G518),OR(Dashboard!$C$7="All",Dashboard!$C$7=H518),OR(Dashboard!$C$8="All",Dashboard!$C$8=F518))</f>
        <v/>
      </c>
      <c r="B518" s="109">
        <f>IF(A518,B517+1,B517)</f>
        <v/>
      </c>
      <c r="C518" s="109" t="n">
        <v>45</v>
      </c>
      <c r="D518" s="109" t="inlineStr">
        <is>
          <t>SL Cooling 4pc</t>
        </is>
      </c>
      <c r="E518" s="109" t="inlineStr">
        <is>
          <t>US</t>
        </is>
      </c>
      <c r="F518" s="109" t="inlineStr">
        <is>
          <t>Cooling</t>
        </is>
      </c>
      <c r="G518" s="109" t="inlineStr">
        <is>
          <t>OMERAI</t>
        </is>
      </c>
      <c r="H518" s="109" t="inlineStr">
        <is>
          <t>Untiered</t>
        </is>
      </c>
      <c r="I518" s="109" t="inlineStr">
        <is>
          <t>Cooling Sheets</t>
        </is>
      </c>
      <c r="J518" s="109" t="n"/>
      <c r="K518" s="109" t="inlineStr">
        <is>
          <t>B0HDC7BMTC</t>
        </is>
      </c>
      <c r="L518" s="109" t="inlineStr">
        <is>
          <t>B0FX8K1CG9</t>
        </is>
      </c>
      <c r="M518" s="109" t="n">
        <v>10</v>
      </c>
      <c r="N518" s="109" t="n">
        <v>42.99</v>
      </c>
      <c r="O518" s="109" t="n">
        <v>59.99</v>
      </c>
      <c r="P518" s="109">
        <f>IF(AND(ISNUMBER(O518),ISNUMBER(N518),N(N518)&gt;0),O518/N518-1,"")</f>
        <v/>
      </c>
      <c r="Q518" s="109" t="n">
        <v>79.98999999999999</v>
      </c>
      <c r="R518" s="109">
        <f>IF(AND(ISNUMBER(N518),ISNUMBER(Q518),N(Q518)&gt;0),N518/Q518-1,"")</f>
        <v/>
      </c>
      <c r="S518" s="109" t="n">
        <v>115669</v>
      </c>
      <c r="T518" s="109" t="n">
        <v>5</v>
      </c>
      <c r="U518" s="109" t="n">
        <v>4.7</v>
      </c>
      <c r="V518" s="109" t="n">
        <v>4</v>
      </c>
      <c r="W518" s="109" t="n">
        <v>13712</v>
      </c>
      <c r="X518" s="109" t="n">
        <v>0.8852072199533255</v>
      </c>
      <c r="Y518" s="109" t="n">
        <v>77</v>
      </c>
      <c r="Z518" s="109" t="n">
        <v>75</v>
      </c>
      <c r="AA518" s="109" t="n">
        <v>51</v>
      </c>
      <c r="AB518" s="109" t="n"/>
      <c r="AC518" s="109" t="inlineStr">
        <is>
          <t>US SL Cooling 4pc</t>
        </is>
      </c>
      <c r="AD518" s="109">
        <f>'US SL Cooling 4pc'!BC131</f>
        <v/>
      </c>
      <c r="AE518" s="109">
        <f>'US SL Cooling 4pc'!BF131</f>
        <v/>
      </c>
      <c r="AF518" s="109" t="n"/>
      <c r="AG518" s="109" t="n"/>
    </row>
    <row r="519">
      <c r="A519" s="109">
        <f>AND(OR(Dashboard!$C$4="All",Dashboard!$C$4=D519),OR(Dashboard!$C$5="All",Dashboard!$C$5=E519),OR(Dashboard!$C$6="All",Dashboard!$C$6=G519),OR(Dashboard!$C$7="All",Dashboard!$C$7=H519),OR(Dashboard!$C$8="All",Dashboard!$C$8=F519))</f>
        <v/>
      </c>
      <c r="B519" s="109">
        <f>IF(A519,B518+1,B518)</f>
        <v/>
      </c>
      <c r="C519" s="109" t="n">
        <v>45</v>
      </c>
      <c r="D519" s="109" t="inlineStr">
        <is>
          <t>SL Cooling 4pc</t>
        </is>
      </c>
      <c r="E519" s="109" t="inlineStr">
        <is>
          <t>US</t>
        </is>
      </c>
      <c r="F519" s="109" t="inlineStr">
        <is>
          <t>Cooling</t>
        </is>
      </c>
      <c r="G519" s="109" t="inlineStr">
        <is>
          <t>Pillcase</t>
        </is>
      </c>
      <c r="H519" s="109" t="inlineStr">
        <is>
          <t>Untiered</t>
        </is>
      </c>
      <c r="I519" s="109" t="inlineStr">
        <is>
          <t>Cooling Hotel Bedding Sheet Set - 4pcs Bamboo Viscose &amp; Tencel Blend, Moisture-W</t>
        </is>
      </c>
      <c r="J519" s="109" t="n"/>
      <c r="K519" s="109" t="inlineStr">
        <is>
          <t>B0HJYG8V9Q</t>
        </is>
      </c>
      <c r="L519" s="109" t="inlineStr">
        <is>
          <t>B0HJYG8V9Q</t>
        </is>
      </c>
      <c r="M519" s="109" t="n">
        <v>1</v>
      </c>
      <c r="N519" s="109" t="n">
        <v>79.98999999999999</v>
      </c>
      <c r="O519" s="109" t="n"/>
      <c r="P519" s="109">
        <f>IF(AND(ISNUMBER(O519),ISNUMBER(N519),N(N519)&gt;0),O519/N519-1,"")</f>
        <v/>
      </c>
      <c r="Q519" s="109" t="n">
        <v>79.98999999999999</v>
      </c>
      <c r="R519" s="109">
        <f>IF(AND(ISNUMBER(N519),ISNUMBER(Q519),N(Q519)&gt;0),N519/Q519-1,"")</f>
        <v/>
      </c>
      <c r="S519" s="109" t="n">
        <v>762451</v>
      </c>
      <c r="T519" s="109" t="n">
        <v>5</v>
      </c>
      <c r="U519" s="109" t="n">
        <v>4</v>
      </c>
      <c r="V519" s="109" t="n"/>
      <c r="W519" s="109" t="n">
        <v>57075</v>
      </c>
      <c r="X519" s="109" t="n">
        <v>0.9991762628120894</v>
      </c>
      <c r="Y519" s="109" t="n">
        <v>10</v>
      </c>
      <c r="Z519" s="109" t="n">
        <v>11</v>
      </c>
      <c r="AA519" s="109" t="n">
        <v>0</v>
      </c>
      <c r="AB519" s="109" t="n"/>
      <c r="AC519" s="109" t="inlineStr">
        <is>
          <t>US SL Cooling 4pc</t>
        </is>
      </c>
      <c r="AD519" s="109">
        <f>'US SL Cooling 4pc'!BC132</f>
        <v/>
      </c>
      <c r="AE519" s="109">
        <f>'US SL Cooling 4pc'!BF132</f>
        <v/>
      </c>
      <c r="AF519" s="109" t="n"/>
      <c r="AG519" s="109" t="n"/>
    </row>
    <row r="520">
      <c r="A520" s="109">
        <f>AND(OR(Dashboard!$C$4="All",Dashboard!$C$4=D520),OR(Dashboard!$C$5="All",Dashboard!$C$5=E520),OR(Dashboard!$C$6="All",Dashboard!$C$6=G520),OR(Dashboard!$C$7="All",Dashboard!$C$7=H520),OR(Dashboard!$C$8="All",Dashboard!$C$8=F520))</f>
        <v/>
      </c>
      <c r="B520" s="109">
        <f>IF(A520,B519+1,B519)</f>
        <v/>
      </c>
      <c r="C520" s="109" t="n">
        <v>45</v>
      </c>
      <c r="D520" s="109" t="inlineStr">
        <is>
          <t>SL Cooling 4pc</t>
        </is>
      </c>
      <c r="E520" s="109" t="inlineStr">
        <is>
          <t>US</t>
        </is>
      </c>
      <c r="F520" s="109" t="inlineStr">
        <is>
          <t>Cooling</t>
        </is>
      </c>
      <c r="G520" s="109" t="inlineStr">
        <is>
          <t>Shilucheng</t>
        </is>
      </c>
      <c r="H520" s="109" t="inlineStr">
        <is>
          <t>Untiered</t>
        </is>
      </c>
      <c r="I520" s="109" t="inlineStr">
        <is>
          <t>Shilucheng 100% Viscose Derived from Bamboo_ Sheets King Size 4pcs</t>
        </is>
      </c>
      <c r="J520" s="109" t="inlineStr">
        <is>
          <t>https://images-na.ssl-images-amazon.com/images/I/71+O+E9PlaL.jpg</t>
        </is>
      </c>
      <c r="K520" s="109" t="inlineStr">
        <is>
          <t>B09PYQ2VQL</t>
        </is>
      </c>
      <c r="L520" s="109" t="inlineStr">
        <is>
          <t>B09PYQ2VQL</t>
        </is>
      </c>
      <c r="M520" s="109" t="n">
        <v>79</v>
      </c>
      <c r="N520" s="109" t="n">
        <v>54.9</v>
      </c>
      <c r="O520" s="109" t="n">
        <v>64.90000000000001</v>
      </c>
      <c r="P520" s="109">
        <f>IF(AND(ISNUMBER(O520),ISNUMBER(N520),N(N520)&gt;0),O520/N520-1,"")</f>
        <v/>
      </c>
      <c r="Q520" s="109" t="n">
        <v>84.98999999999999</v>
      </c>
      <c r="R520" s="109">
        <f>IF(AND(ISNUMBER(N520),ISNUMBER(Q520),N(Q520)&gt;0),N520/Q520-1,"")</f>
        <v/>
      </c>
      <c r="S520" s="109" t="n">
        <v>26044</v>
      </c>
      <c r="T520" s="109" t="n">
        <v>5</v>
      </c>
      <c r="U520" s="109" t="n">
        <v>4.4</v>
      </c>
      <c r="V520" s="109" t="n">
        <v>6629</v>
      </c>
      <c r="W520" s="109" t="n">
        <v>55207</v>
      </c>
      <c r="X520" s="109" t="n">
        <v>0.5098780408281561</v>
      </c>
      <c r="Y520" s="109" t="n">
        <v>68</v>
      </c>
      <c r="Z520" s="109" t="n">
        <v>72</v>
      </c>
      <c r="AA520" s="109" t="n">
        <v>470</v>
      </c>
      <c r="AB520" s="109" t="n"/>
      <c r="AC520" s="109" t="inlineStr">
        <is>
          <t>US SL Cooling 4pc</t>
        </is>
      </c>
      <c r="AD520" s="109">
        <f>'US SL Cooling 4pc'!BC133</f>
        <v/>
      </c>
      <c r="AE520" s="109">
        <f>'US SL Cooling 4pc'!BF133</f>
        <v/>
      </c>
      <c r="AF520" s="109" t="inlineStr">
        <is>
          <t>King</t>
        </is>
      </c>
      <c r="AG520" s="109" t="n"/>
    </row>
    <row r="521">
      <c r="A521" s="109">
        <f>AND(OR(Dashboard!$C$4="All",Dashboard!$C$4=D521),OR(Dashboard!$C$5="All",Dashboard!$C$5=E521),OR(Dashboard!$C$6="All",Dashboard!$C$6=G521),OR(Dashboard!$C$7="All",Dashboard!$C$7=H521),OR(Dashboard!$C$8="All",Dashboard!$C$8=F521))</f>
        <v/>
      </c>
      <c r="B521" s="109">
        <f>IF(A521,B520+1,B520)</f>
        <v/>
      </c>
      <c r="C521" s="109" t="n">
        <v>45</v>
      </c>
      <c r="D521" s="109" t="inlineStr">
        <is>
          <t>SL Cooling 4pc</t>
        </is>
      </c>
      <c r="E521" s="109" t="inlineStr">
        <is>
          <t>US</t>
        </is>
      </c>
      <c r="F521" s="109" t="inlineStr">
        <is>
          <t>Cooling</t>
        </is>
      </c>
      <c r="G521" s="109" t="inlineStr">
        <is>
          <t>David's Home</t>
        </is>
      </c>
      <c r="H521" s="109" t="inlineStr">
        <is>
          <t>Untiered</t>
        </is>
      </c>
      <c r="I521" s="109" t="inlineStr">
        <is>
          <t>Cooling Sheets</t>
        </is>
      </c>
      <c r="J521" s="109" t="n"/>
      <c r="K521" s="109" t="inlineStr">
        <is>
          <t>B0D1SRR2H4</t>
        </is>
      </c>
      <c r="L521" s="109" t="inlineStr">
        <is>
          <t>B0D1RBXBNG</t>
        </is>
      </c>
      <c r="M521" s="109" t="n"/>
      <c r="N521" s="109" t="n">
        <v>24.99</v>
      </c>
      <c r="O521" s="109" t="n"/>
      <c r="P521" s="109">
        <f>IF(AND(ISNUMBER(O521),ISNUMBER(N521),N(N521)&gt;0),O521/N521-1,"")</f>
        <v/>
      </c>
      <c r="Q521" s="109" t="n">
        <v>79.98999999999999</v>
      </c>
      <c r="R521" s="109">
        <f>IF(AND(ISNUMBER(N521),ISNUMBER(Q521),N(Q521)&gt;0),N521/Q521-1,"")</f>
        <v/>
      </c>
      <c r="S521" s="109" t="n">
        <v>758020</v>
      </c>
      <c r="T521" s="109" t="n"/>
      <c r="U521" s="109" t="n">
        <v>4.3</v>
      </c>
      <c r="V521" s="109" t="n">
        <v>169</v>
      </c>
      <c r="W521" s="109" t="n"/>
      <c r="X521" s="109" t="n"/>
      <c r="Y521" s="109" t="n"/>
      <c r="Z521" s="109" t="n"/>
      <c r="AA521" s="109" t="n"/>
      <c r="AB521" s="109" t="n"/>
      <c r="AC521" s="109" t="inlineStr">
        <is>
          <t>US SL Cooling 4pc</t>
        </is>
      </c>
      <c r="AD521" s="109">
        <f>'US SL Cooling 4pc'!BC134</f>
        <v/>
      </c>
      <c r="AE521" s="109">
        <f>'US SL Cooling 4pc'!BF134</f>
        <v/>
      </c>
      <c r="AF521" s="109" t="n"/>
      <c r="AG521" s="109" t="n"/>
    </row>
    <row r="522">
      <c r="A522" s="109">
        <f>AND(OR(Dashboard!$C$4="All",Dashboard!$C$4=D522),OR(Dashboard!$C$5="All",Dashboard!$C$5=E522),OR(Dashboard!$C$6="All",Dashboard!$C$6=G522),OR(Dashboard!$C$7="All",Dashboard!$C$7=H522),OR(Dashboard!$C$8="All",Dashboard!$C$8=F522))</f>
        <v/>
      </c>
      <c r="B522" s="109">
        <f>IF(A522,B521+1,B521)</f>
        <v/>
      </c>
      <c r="C522" s="109" t="n">
        <v>76</v>
      </c>
      <c r="D522" s="109" t="inlineStr">
        <is>
          <t>SL Cooling 6pc</t>
        </is>
      </c>
      <c r="E522" s="109" t="inlineStr">
        <is>
          <t>US</t>
        </is>
      </c>
      <c r="F522" s="109" t="inlineStr">
        <is>
          <t>Cooling</t>
        </is>
      </c>
      <c r="G522" s="109" t="inlineStr">
        <is>
          <t>Bedsure</t>
        </is>
      </c>
      <c r="H522" s="109" t="inlineStr">
        <is>
          <t>Untiered</t>
        </is>
      </c>
      <c r="I522" s="109" t="inlineStr">
        <is>
          <t>Bedsure PureWoven 100% Rayon Derived from Bamboo, Queen Sheets, 4 Pieces</t>
        </is>
      </c>
      <c r="J522" s="109" t="inlineStr">
        <is>
          <t>https://images-na.ssl-images-amazon.com/images/I/81L2xb5ly6L.jpg</t>
        </is>
      </c>
      <c r="K522" s="109" t="inlineStr">
        <is>
          <t>B0BZ8T5BJ6</t>
        </is>
      </c>
      <c r="L522" s="109" t="inlineStr">
        <is>
          <t>B07YK8VTJV</t>
        </is>
      </c>
      <c r="M522" s="109" t="n">
        <v>131</v>
      </c>
      <c r="N522" s="109" t="n">
        <v>62.99</v>
      </c>
      <c r="O522" s="109" t="n">
        <v>69.98999999999999</v>
      </c>
      <c r="P522" s="109">
        <f>IF(AND(ISNUMBER(O522),ISNUMBER(N522),N(N522)&gt;0),O522/N522-1,"")</f>
        <v/>
      </c>
      <c r="Q522" s="109" t="n"/>
      <c r="R522" s="109">
        <f>IF(AND(ISNUMBER(N522),ISNUMBER(Q522),N(Q522)&gt;0),N522/Q522-1,"")</f>
        <v/>
      </c>
      <c r="S522" s="109" t="n">
        <v>256</v>
      </c>
      <c r="T522" s="109" t="n">
        <v>809</v>
      </c>
      <c r="U522" s="109" t="n">
        <v>4.4</v>
      </c>
      <c r="V522" s="109" t="n">
        <v>65061</v>
      </c>
      <c r="W522" s="109" t="n">
        <v>2166046</v>
      </c>
      <c r="X522" s="109" t="n">
        <v>0.5902383405984899</v>
      </c>
      <c r="Y522" s="109" t="n"/>
      <c r="Z522" s="109" t="n"/>
      <c r="AA522" s="109" t="n"/>
      <c r="AB522" s="109" t="n">
        <v>1.066623404715553</v>
      </c>
      <c r="AC522" s="109" t="inlineStr">
        <is>
          <t>US SL Cooling 6pc</t>
        </is>
      </c>
      <c r="AD522" s="109">
        <f>'US SL Cooling 6pc'!BC91</f>
        <v/>
      </c>
      <c r="AE522" s="109">
        <f>'US SL Cooling 6pc'!BF91</f>
        <v/>
      </c>
      <c r="AF522" s="109" t="inlineStr">
        <is>
          <t>Queen</t>
        </is>
      </c>
      <c r="AG522" s="109" t="n"/>
    </row>
    <row r="523">
      <c r="A523" s="109">
        <f>AND(OR(Dashboard!$C$4="All",Dashboard!$C$4=D523),OR(Dashboard!$C$5="All",Dashboard!$C$5=E523),OR(Dashboard!$C$6="All",Dashboard!$C$6=G523),OR(Dashboard!$C$7="All",Dashboard!$C$7=H523),OR(Dashboard!$C$8="All",Dashboard!$C$8=F523))</f>
        <v/>
      </c>
      <c r="B523" s="109">
        <f>IF(A523,B522+1,B522)</f>
        <v/>
      </c>
      <c r="C523" s="109" t="n">
        <v>76</v>
      </c>
      <c r="D523" s="109" t="inlineStr">
        <is>
          <t>SL Cooling 6pc</t>
        </is>
      </c>
      <c r="E523" s="109" t="inlineStr">
        <is>
          <t>US</t>
        </is>
      </c>
      <c r="F523" s="109" t="inlineStr">
        <is>
          <t>Cooling</t>
        </is>
      </c>
      <c r="G523" s="109" t="inlineStr">
        <is>
          <t>REST</t>
        </is>
      </c>
      <c r="H523" s="109" t="inlineStr">
        <is>
          <t>Untiered</t>
        </is>
      </c>
      <c r="I523" s="109" t="inlineStr">
        <is>
          <t>Cooling Sheets</t>
        </is>
      </c>
      <c r="J523" s="109" t="n"/>
      <c r="K523" s="109" t="inlineStr">
        <is>
          <t>B0HC6866B7</t>
        </is>
      </c>
      <c r="L523" s="109" t="inlineStr">
        <is>
          <t>B0D9JHBBCZ</t>
        </is>
      </c>
      <c r="M523" s="109" t="n">
        <v>69</v>
      </c>
      <c r="N523" s="109" t="n">
        <v>224.25</v>
      </c>
      <c r="O523" s="109" t="n">
        <v>299</v>
      </c>
      <c r="P523" s="109">
        <f>IF(AND(ISNUMBER(O523),ISNUMBER(N523),N(N523)&gt;0),O523/N523-1,"")</f>
        <v/>
      </c>
      <c r="Q523" s="109" t="n"/>
      <c r="R523" s="109">
        <f>IF(AND(ISNUMBER(N523),ISNUMBER(Q523),N(Q523)&gt;0),N523/Q523-1,"")</f>
        <v/>
      </c>
      <c r="S523" s="109" t="n">
        <v>5255</v>
      </c>
      <c r="T523" s="109" t="n">
        <v>81</v>
      </c>
      <c r="U523" s="109" t="n">
        <v>4.3</v>
      </c>
      <c r="V523" s="109" t="n">
        <v>1149</v>
      </c>
      <c r="W523" s="109" t="n">
        <v>522593</v>
      </c>
      <c r="X523" s="109" t="n">
        <v>0.2234137663535486</v>
      </c>
      <c r="Y523" s="109" t="n"/>
      <c r="Z523" s="109" t="n"/>
      <c r="AA523" s="109" t="n"/>
      <c r="AB523" s="109" t="n"/>
      <c r="AC523" s="109" t="inlineStr">
        <is>
          <t>US SL Cooling 6pc</t>
        </is>
      </c>
      <c r="AD523" s="109">
        <f>'US SL Cooling 6pc'!BC92</f>
        <v/>
      </c>
      <c r="AE523" s="109">
        <f>'US SL Cooling 6pc'!BF92</f>
        <v/>
      </c>
      <c r="AF523" s="109" t="n"/>
      <c r="AG523" s="109" t="n"/>
    </row>
    <row r="524">
      <c r="A524" s="109">
        <f>AND(OR(Dashboard!$C$4="All",Dashboard!$C$4=D524),OR(Dashboard!$C$5="All",Dashboard!$C$5=E524),OR(Dashboard!$C$6="All",Dashboard!$C$6=G524),OR(Dashboard!$C$7="All",Dashboard!$C$7=H524),OR(Dashboard!$C$8="All",Dashboard!$C$8=F524))</f>
        <v/>
      </c>
      <c r="B524" s="109">
        <f>IF(A524,B523+1,B523)</f>
        <v/>
      </c>
      <c r="C524" s="109" t="n">
        <v>76</v>
      </c>
      <c r="D524" s="109" t="inlineStr">
        <is>
          <t>SL Cooling 6pc</t>
        </is>
      </c>
      <c r="E524" s="109" t="inlineStr">
        <is>
          <t>US</t>
        </is>
      </c>
      <c r="F524" s="109" t="inlineStr">
        <is>
          <t>Cooling</t>
        </is>
      </c>
      <c r="G524" s="109" t="inlineStr">
        <is>
          <t>Breescape</t>
        </is>
      </c>
      <c r="H524" s="109" t="inlineStr">
        <is>
          <t>Untiered</t>
        </is>
      </c>
      <c r="I524" s="109" t="inlineStr">
        <is>
          <t>Cooling Sheets</t>
        </is>
      </c>
      <c r="J524" s="109" t="n"/>
      <c r="K524" s="109" t="inlineStr">
        <is>
          <t>B0H41M1N4B</t>
        </is>
      </c>
      <c r="L524" s="109" t="inlineStr">
        <is>
          <t>B0DSPZJKTB</t>
        </is>
      </c>
      <c r="M524" s="109" t="n">
        <v>26</v>
      </c>
      <c r="N524" s="109" t="n">
        <v>149.99</v>
      </c>
      <c r="O524" s="109" t="n">
        <v>179.99</v>
      </c>
      <c r="P524" s="109">
        <f>IF(AND(ISNUMBER(O524),ISNUMBER(N524),N(N524)&gt;0),O524/N524-1,"")</f>
        <v/>
      </c>
      <c r="Q524" s="109" t="n"/>
      <c r="R524" s="109">
        <f>IF(AND(ISNUMBER(N524),ISNUMBER(Q524),N(Q524)&gt;0),N524/Q524-1,"")</f>
        <v/>
      </c>
      <c r="S524" s="109" t="n">
        <v>49910</v>
      </c>
      <c r="T524" s="109" t="n">
        <v>35</v>
      </c>
      <c r="U524" s="109" t="n">
        <v>4.2</v>
      </c>
      <c r="V524" s="109" t="n">
        <v>595</v>
      </c>
      <c r="W524" s="109" t="n">
        <v>107224</v>
      </c>
      <c r="X524" s="109" t="n">
        <v>0.5282540960978878</v>
      </c>
      <c r="Y524" s="109" t="n"/>
      <c r="Z524" s="109" t="n"/>
      <c r="AA524" s="109" t="n"/>
      <c r="AB524" s="109" t="n">
        <v>1.443271767810026</v>
      </c>
      <c r="AC524" s="109" t="inlineStr">
        <is>
          <t>US SL Cooling 6pc</t>
        </is>
      </c>
      <c r="AD524" s="109">
        <f>'US SL Cooling 6pc'!BC93</f>
        <v/>
      </c>
      <c r="AE524" s="109">
        <f>'US SL Cooling 6pc'!BF93</f>
        <v/>
      </c>
      <c r="AF524" s="109" t="n"/>
      <c r="AG524" s="109" t="n"/>
    </row>
    <row r="525">
      <c r="A525" s="109">
        <f>AND(OR(Dashboard!$C$4="All",Dashboard!$C$4=D525),OR(Dashboard!$C$5="All",Dashboard!$C$5=E525),OR(Dashboard!$C$6="All",Dashboard!$C$6=G525),OR(Dashboard!$C$7="All",Dashboard!$C$7=H525),OR(Dashboard!$C$8="All",Dashboard!$C$8=F525))</f>
        <v/>
      </c>
      <c r="B525" s="109">
        <f>IF(A525,B524+1,B524)</f>
        <v/>
      </c>
      <c r="C525" s="109" t="n">
        <v>76</v>
      </c>
      <c r="D525" s="109" t="inlineStr">
        <is>
          <t>SL Cooling 6pc</t>
        </is>
      </c>
      <c r="E525" s="109" t="inlineStr">
        <is>
          <t>US</t>
        </is>
      </c>
      <c r="F525" s="109" t="inlineStr">
        <is>
          <t>Cooling</t>
        </is>
      </c>
      <c r="G525" s="109" t="inlineStr">
        <is>
          <t>Bedsure</t>
        </is>
      </c>
      <c r="H525" s="109" t="inlineStr">
        <is>
          <t>Untiered</t>
        </is>
      </c>
      <c r="I525" s="109" t="inlineStr">
        <is>
          <t>Cooling Sheets</t>
        </is>
      </c>
      <c r="J525" s="109" t="n"/>
      <c r="K525" s="109" t="inlineStr">
        <is>
          <t>B0CPDTJ5NN</t>
        </is>
      </c>
      <c r="L525" s="109" t="inlineStr">
        <is>
          <t>B0CPDR5DDM</t>
        </is>
      </c>
      <c r="M525" s="109" t="n">
        <v>1</v>
      </c>
      <c r="N525" s="109" t="n">
        <v>149.99</v>
      </c>
      <c r="O525" s="109" t="n"/>
      <c r="P525" s="109">
        <f>IF(AND(ISNUMBER(O525),ISNUMBER(N525),N(N525)&gt;0),O525/N525-1,"")</f>
        <v/>
      </c>
      <c r="Q525" s="109" t="n"/>
      <c r="R525" s="109">
        <f>IF(AND(ISNUMBER(N525),ISNUMBER(Q525),N(Q525)&gt;0),N525/Q525-1,"")</f>
        <v/>
      </c>
      <c r="S525" s="109" t="n">
        <v>463922</v>
      </c>
      <c r="T525" s="109" t="n">
        <v>5</v>
      </c>
      <c r="U525" s="109" t="n">
        <v>4.2</v>
      </c>
      <c r="V525" s="109" t="n">
        <v>512</v>
      </c>
      <c r="W525" s="109" t="n">
        <v>170</v>
      </c>
      <c r="X525" s="109" t="n">
        <v>1</v>
      </c>
      <c r="Y525" s="109" t="n"/>
      <c r="Z525" s="109" t="n"/>
      <c r="AA525" s="109" t="n"/>
      <c r="AB525" s="109" t="n"/>
      <c r="AC525" s="109" t="inlineStr">
        <is>
          <t>US SL Cooling 6pc</t>
        </is>
      </c>
      <c r="AD525" s="109">
        <f>'US SL Cooling 6pc'!BC94</f>
        <v/>
      </c>
      <c r="AE525" s="109">
        <f>'US SL Cooling 6pc'!BF94</f>
        <v/>
      </c>
      <c r="AF525" s="109" t="n"/>
      <c r="AG525" s="109" t="n"/>
    </row>
    <row r="526">
      <c r="A526" s="109">
        <f>AND(OR(Dashboard!$C$4="All",Dashboard!$C$4=D526),OR(Dashboard!$C$5="All",Dashboard!$C$5=E526),OR(Dashboard!$C$6="All",Dashboard!$C$6=G526),OR(Dashboard!$C$7="All",Dashboard!$C$7=H526),OR(Dashboard!$C$8="All",Dashboard!$C$8=F526))</f>
        <v/>
      </c>
      <c r="B526" s="109">
        <f>IF(A526,B525+1,B525)</f>
        <v/>
      </c>
      <c r="C526" s="109" t="n">
        <v>76</v>
      </c>
      <c r="D526" s="109" t="inlineStr">
        <is>
          <t>SL Cooling 6pc</t>
        </is>
      </c>
      <c r="E526" s="109" t="inlineStr">
        <is>
          <t>US</t>
        </is>
      </c>
      <c r="F526" s="109" t="inlineStr">
        <is>
          <t>Cooling</t>
        </is>
      </c>
      <c r="G526" s="109" t="inlineStr">
        <is>
          <t>DOWNCOOL</t>
        </is>
      </c>
      <c r="H526" s="109" t="inlineStr">
        <is>
          <t>Untiered</t>
        </is>
      </c>
      <c r="I526" s="109" t="inlineStr">
        <is>
          <t>Cooling Sheets</t>
        </is>
      </c>
      <c r="J526" s="109" t="n"/>
      <c r="K526" s="109" t="inlineStr">
        <is>
          <t>B0F93XRVSZ</t>
        </is>
      </c>
      <c r="L526" s="109" t="inlineStr">
        <is>
          <t>B0F93XRVSZ</t>
        </is>
      </c>
      <c r="M526" s="109" t="n"/>
      <c r="N526" s="109" t="n">
        <v>139.99</v>
      </c>
      <c r="O526" s="109" t="n"/>
      <c r="P526" s="109">
        <f>IF(AND(ISNUMBER(O526),ISNUMBER(N526),N(N526)&gt;0),O526/N526-1,"")</f>
        <v/>
      </c>
      <c r="Q526" s="109" t="n"/>
      <c r="R526" s="109">
        <f>IF(AND(ISNUMBER(N526),ISNUMBER(Q526),N(Q526)&gt;0),N526/Q526-1,"")</f>
        <v/>
      </c>
      <c r="S526" s="109" t="n">
        <v>2798999</v>
      </c>
      <c r="T526" s="109" t="n">
        <v>5</v>
      </c>
      <c r="U526" s="109" t="n">
        <v>4.2</v>
      </c>
      <c r="V526" s="109" t="n">
        <v>6</v>
      </c>
      <c r="W526" s="109" t="n"/>
      <c r="X526" s="109" t="n"/>
      <c r="Y526" s="109" t="n"/>
      <c r="Z526" s="109" t="n"/>
      <c r="AA526" s="109" t="n"/>
      <c r="AB526" s="109" t="n"/>
      <c r="AC526" s="109" t="inlineStr">
        <is>
          <t>US SL Cooling 6pc</t>
        </is>
      </c>
      <c r="AD526" s="109">
        <f>'US SL Cooling 6pc'!BC95</f>
        <v/>
      </c>
      <c r="AE526" s="109">
        <f>'US SL Cooling 6pc'!BF95</f>
        <v/>
      </c>
      <c r="AF526" s="109" t="n"/>
      <c r="AG526" s="109" t="n"/>
    </row>
    <row r="527">
      <c r="A527" s="109">
        <f>AND(OR(Dashboard!$C$4="All",Dashboard!$C$4=D527),OR(Dashboard!$C$5="All",Dashboard!$C$5=E527),OR(Dashboard!$C$6="All",Dashboard!$C$6=G527),OR(Dashboard!$C$7="All",Dashboard!$C$7=H527),OR(Dashboard!$C$8="All",Dashboard!$C$8=F527))</f>
        <v/>
      </c>
      <c r="B527" s="109">
        <f>IF(A527,B526+1,B526)</f>
        <v/>
      </c>
      <c r="C527" s="109" t="n">
        <v>76</v>
      </c>
      <c r="D527" s="109" t="inlineStr">
        <is>
          <t>SL Cooling 6pc</t>
        </is>
      </c>
      <c r="E527" s="109" t="inlineStr">
        <is>
          <t>US</t>
        </is>
      </c>
      <c r="F527" s="109" t="inlineStr">
        <is>
          <t>Cooling</t>
        </is>
      </c>
      <c r="G527" s="109" t="inlineStr">
        <is>
          <t>OMERAI</t>
        </is>
      </c>
      <c r="H527" s="109" t="inlineStr">
        <is>
          <t>Untiered</t>
        </is>
      </c>
      <c r="I527" s="109" t="inlineStr">
        <is>
          <t>Cooling Sheets</t>
        </is>
      </c>
      <c r="J527" s="109" t="n"/>
      <c r="K527" s="109" t="inlineStr">
        <is>
          <t>B0HDC7BMTC</t>
        </is>
      </c>
      <c r="L527" s="109" t="inlineStr">
        <is>
          <t>B0FX8K1CG9</t>
        </is>
      </c>
      <c r="M527" s="109" t="n">
        <v>10</v>
      </c>
      <c r="N527" s="109" t="n">
        <v>42.99</v>
      </c>
      <c r="O527" s="109" t="n">
        <v>59.99</v>
      </c>
      <c r="P527" s="109">
        <f>IF(AND(ISNUMBER(O527),ISNUMBER(N527),N(N527)&gt;0),O527/N527-1,"")</f>
        <v/>
      </c>
      <c r="Q527" s="109" t="n"/>
      <c r="R527" s="109">
        <f>IF(AND(ISNUMBER(N527),ISNUMBER(Q527),N(Q527)&gt;0),N527/Q527-1,"")</f>
        <v/>
      </c>
      <c r="S527" s="109" t="n">
        <v>115669</v>
      </c>
      <c r="T527" s="109" t="n">
        <v>5</v>
      </c>
      <c r="U527" s="109" t="n">
        <v>4.7</v>
      </c>
      <c r="V527" s="109" t="n">
        <v>4</v>
      </c>
      <c r="W527" s="109" t="n">
        <v>13712</v>
      </c>
      <c r="X527" s="109" t="n">
        <v>0.8852072199533255</v>
      </c>
      <c r="Y527" s="109" t="n"/>
      <c r="Z527" s="109" t="n"/>
      <c r="AA527" s="109" t="n"/>
      <c r="AB527" s="109" t="n"/>
      <c r="AC527" s="109" t="inlineStr">
        <is>
          <t>US SL Cooling 6pc</t>
        </is>
      </c>
      <c r="AD527" s="109">
        <f>'US SL Cooling 6pc'!BC96</f>
        <v/>
      </c>
      <c r="AE527" s="109">
        <f>'US SL Cooling 6pc'!BF96</f>
        <v/>
      </c>
      <c r="AF527" s="109" t="n"/>
      <c r="AG527" s="109" t="n"/>
    </row>
    <row r="528">
      <c r="A528" s="109">
        <f>AND(OR(Dashboard!$C$4="All",Dashboard!$C$4=D528),OR(Dashboard!$C$5="All",Dashboard!$C$5=E528),OR(Dashboard!$C$6="All",Dashboard!$C$6=G528),OR(Dashboard!$C$7="All",Dashboard!$C$7=H528),OR(Dashboard!$C$8="All",Dashboard!$C$8=F528))</f>
        <v/>
      </c>
      <c r="B528" s="109">
        <f>IF(A528,B527+1,B527)</f>
        <v/>
      </c>
      <c r="C528" s="109" t="n">
        <v>76</v>
      </c>
      <c r="D528" s="109" t="inlineStr">
        <is>
          <t>SL Cooling 6pc</t>
        </is>
      </c>
      <c r="E528" s="109" t="inlineStr">
        <is>
          <t>US</t>
        </is>
      </c>
      <c r="F528" s="109" t="inlineStr">
        <is>
          <t>Cooling</t>
        </is>
      </c>
      <c r="G528" s="109" t="inlineStr">
        <is>
          <t>David's Home</t>
        </is>
      </c>
      <c r="H528" s="109" t="inlineStr">
        <is>
          <t>Untiered</t>
        </is>
      </c>
      <c r="I528" s="109" t="inlineStr">
        <is>
          <t>Cooling Sheets</t>
        </is>
      </c>
      <c r="J528" s="109" t="n"/>
      <c r="K528" s="109" t="inlineStr">
        <is>
          <t>B0D1SRR2H4</t>
        </is>
      </c>
      <c r="L528" s="109" t="inlineStr">
        <is>
          <t>B0D1RBXBNG</t>
        </is>
      </c>
      <c r="M528" s="109" t="n"/>
      <c r="N528" s="109" t="n">
        <v>24.99</v>
      </c>
      <c r="O528" s="109" t="n"/>
      <c r="P528" s="109">
        <f>IF(AND(ISNUMBER(O528),ISNUMBER(N528),N(N528)&gt;0),O528/N528-1,"")</f>
        <v/>
      </c>
      <c r="Q528" s="109" t="n"/>
      <c r="R528" s="109">
        <f>IF(AND(ISNUMBER(N528),ISNUMBER(Q528),N(Q528)&gt;0),N528/Q528-1,"")</f>
        <v/>
      </c>
      <c r="S528" s="109" t="n">
        <v>758020</v>
      </c>
      <c r="T528" s="109" t="n"/>
      <c r="U528" s="109" t="n">
        <v>4.3</v>
      </c>
      <c r="V528" s="109" t="n">
        <v>169</v>
      </c>
      <c r="W528" s="109" t="n"/>
      <c r="X528" s="109" t="n"/>
      <c r="Y528" s="109" t="n"/>
      <c r="Z528" s="109" t="n"/>
      <c r="AA528" s="109" t="n"/>
      <c r="AB528" s="109" t="n"/>
      <c r="AC528" s="109" t="inlineStr">
        <is>
          <t>US SL Cooling 6pc</t>
        </is>
      </c>
      <c r="AD528" s="109">
        <f>'US SL Cooling 6pc'!BC97</f>
        <v/>
      </c>
      <c r="AE528" s="109">
        <f>'US SL Cooling 6pc'!BF97</f>
        <v/>
      </c>
      <c r="AF528" s="109" t="n"/>
      <c r="AG528" s="109" t="n"/>
    </row>
    <row r="529">
      <c r="A529" s="109">
        <f>AND(OR(Dashboard!$C$4="All",Dashboard!$C$4=D529),OR(Dashboard!$C$5="All",Dashboard!$C$5=E529),OR(Dashboard!$C$6="All",Dashboard!$C$6=G529),OR(Dashboard!$C$7="All",Dashboard!$C$7=H529),OR(Dashboard!$C$8="All",Dashboard!$C$8=F529))</f>
        <v/>
      </c>
      <c r="B529" s="109">
        <f>IF(A529,B528+1,B528)</f>
        <v/>
      </c>
      <c r="C529" s="109" t="n">
        <v>69</v>
      </c>
      <c r="D529" s="109" t="inlineStr">
        <is>
          <t>CL Cooling Sheets</t>
        </is>
      </c>
      <c r="E529" s="109" t="inlineStr">
        <is>
          <t>US</t>
        </is>
      </c>
      <c r="F529" s="109" t="inlineStr">
        <is>
          <t>Cooling</t>
        </is>
      </c>
      <c r="G529" s="109" t="inlineStr">
        <is>
          <t>Comfort Spaces</t>
        </is>
      </c>
      <c r="H529" s="109" t="inlineStr">
        <is>
          <t>Untiered</t>
        </is>
      </c>
      <c r="I529" s="109" t="inlineStr">
        <is>
          <t>Comfort Spaces Coolmax Moisture Wicking Fitted Sheet ONLY Super Soft, Fade Resis</t>
        </is>
      </c>
      <c r="J529" s="109" t="n"/>
      <c r="K529" s="109" t="inlineStr">
        <is>
          <t>B0DCGL5646</t>
        </is>
      </c>
      <c r="L529" s="109" t="inlineStr">
        <is>
          <t>B09GV8SK79</t>
        </is>
      </c>
      <c r="M529" s="109" t="n"/>
      <c r="N529" s="109" t="n">
        <v>15.95</v>
      </c>
      <c r="O529" s="109" t="n"/>
      <c r="P529" s="109">
        <f>IF(AND(ISNUMBER(O529),ISNUMBER(N529),N(N529)&gt;0),O529/N529-1,"")</f>
        <v/>
      </c>
      <c r="Q529" s="109" t="n">
        <v>79.98999999999999</v>
      </c>
      <c r="R529" s="109">
        <f>IF(AND(ISNUMBER(N529),ISNUMBER(Q529),N(Q529)&gt;0),N529/Q529-1,"")</f>
        <v/>
      </c>
      <c r="S529" s="109" t="n">
        <v>6671</v>
      </c>
      <c r="T529" s="109" t="n">
        <v>185</v>
      </c>
      <c r="U529" s="109" t="n">
        <v>4.2</v>
      </c>
      <c r="V529" s="109" t="n">
        <v>1336</v>
      </c>
      <c r="W529" s="109" t="n"/>
      <c r="X529" s="109" t="n"/>
      <c r="Y529" s="109" t="n"/>
      <c r="Z529" s="109" t="n"/>
      <c r="AA529" s="109" t="n"/>
      <c r="AB529" s="109" t="n"/>
      <c r="AC529" s="109" t="inlineStr">
        <is>
          <t>US CL Cooling Sheets</t>
        </is>
      </c>
      <c r="AD529" s="109">
        <f>'US CL Cooling Sheets'!BC91</f>
        <v/>
      </c>
      <c r="AE529" s="109">
        <f>'US CL Cooling Sheets'!BF91</f>
        <v/>
      </c>
      <c r="AF529" s="109" t="n"/>
      <c r="AG529" s="109" t="n"/>
    </row>
    <row r="530">
      <c r="A530" s="109">
        <f>AND(OR(Dashboard!$C$4="All",Dashboard!$C$4=D530),OR(Dashboard!$C$5="All",Dashboard!$C$5=E530),OR(Dashboard!$C$6="All",Dashboard!$C$6=G530),OR(Dashboard!$C$7="All",Dashboard!$C$7=H530),OR(Dashboard!$C$8="All",Dashboard!$C$8=F530))</f>
        <v/>
      </c>
      <c r="B530" s="109">
        <f>IF(A530,B529+1,B529)</f>
        <v/>
      </c>
      <c r="C530" s="109" t="n">
        <v>69</v>
      </c>
      <c r="D530" s="109" t="inlineStr">
        <is>
          <t>CL Cooling Sheets</t>
        </is>
      </c>
      <c r="E530" s="109" t="inlineStr">
        <is>
          <t>US</t>
        </is>
      </c>
      <c r="F530" s="109" t="inlineStr">
        <is>
          <t>Cooling</t>
        </is>
      </c>
      <c r="G530" s="109" t="inlineStr">
        <is>
          <t>REST</t>
        </is>
      </c>
      <c r="H530" s="109" t="inlineStr">
        <is>
          <t>Untiered</t>
        </is>
      </c>
      <c r="I530" s="109" t="inlineStr">
        <is>
          <t>Cooling Sheets</t>
        </is>
      </c>
      <c r="J530" s="109" t="n"/>
      <c r="K530" s="109" t="inlineStr">
        <is>
          <t>B0HC6866B7</t>
        </is>
      </c>
      <c r="L530" s="109" t="inlineStr">
        <is>
          <t>B0D9JHBBCZ</t>
        </is>
      </c>
      <c r="M530" s="109" t="n">
        <v>69</v>
      </c>
      <c r="N530" s="109" t="n">
        <v>224.25</v>
      </c>
      <c r="O530" s="109" t="n">
        <v>299</v>
      </c>
      <c r="P530" s="109">
        <f>IF(AND(ISNUMBER(O530),ISNUMBER(N530),N(N530)&gt;0),O530/N530-1,"")</f>
        <v/>
      </c>
      <c r="Q530" s="109" t="n">
        <v>79.98999999999999</v>
      </c>
      <c r="R530" s="109">
        <f>IF(AND(ISNUMBER(N530),ISNUMBER(Q530),N(Q530)&gt;0),N530/Q530-1,"")</f>
        <v/>
      </c>
      <c r="S530" s="109" t="n">
        <v>5255</v>
      </c>
      <c r="T530" s="109" t="n">
        <v>81</v>
      </c>
      <c r="U530" s="109" t="n">
        <v>4.3</v>
      </c>
      <c r="V530" s="109" t="n">
        <v>1149</v>
      </c>
      <c r="W530" s="109" t="n">
        <v>522593</v>
      </c>
      <c r="X530" s="109" t="n">
        <v>0.2234137663535486</v>
      </c>
      <c r="Y530" s="109" t="n"/>
      <c r="Z530" s="109" t="n"/>
      <c r="AA530" s="109" t="n"/>
      <c r="AB530" s="109" t="n"/>
      <c r="AC530" s="109" t="inlineStr">
        <is>
          <t>US CL Cooling Sheets</t>
        </is>
      </c>
      <c r="AD530" s="109">
        <f>'US CL Cooling Sheets'!BC92</f>
        <v/>
      </c>
      <c r="AE530" s="109">
        <f>'US CL Cooling Sheets'!BF92</f>
        <v/>
      </c>
      <c r="AF530" s="109" t="n"/>
      <c r="AG530" s="109" t="n"/>
    </row>
    <row r="531">
      <c r="A531" s="109">
        <f>AND(OR(Dashboard!$C$4="All",Dashboard!$C$4=D531),OR(Dashboard!$C$5="All",Dashboard!$C$5=E531),OR(Dashboard!$C$6="All",Dashboard!$C$6=G531),OR(Dashboard!$C$7="All",Dashboard!$C$7=H531),OR(Dashboard!$C$8="All",Dashboard!$C$8=F531))</f>
        <v/>
      </c>
      <c r="B531" s="109">
        <f>IF(A531,B530+1,B530)</f>
        <v/>
      </c>
      <c r="C531" s="109" t="n">
        <v>69</v>
      </c>
      <c r="D531" s="109" t="inlineStr">
        <is>
          <t>CL Cooling Sheets</t>
        </is>
      </c>
      <c r="E531" s="109" t="inlineStr">
        <is>
          <t>US</t>
        </is>
      </c>
      <c r="F531" s="109" t="inlineStr">
        <is>
          <t>Cooling</t>
        </is>
      </c>
      <c r="G531" s="109" t="inlineStr">
        <is>
          <t>Breescape</t>
        </is>
      </c>
      <c r="H531" s="109" t="inlineStr">
        <is>
          <t>Untiered</t>
        </is>
      </c>
      <c r="I531" s="109" t="inlineStr">
        <is>
          <t>Cooling Sheets</t>
        </is>
      </c>
      <c r="J531" s="109" t="n"/>
      <c r="K531" s="109" t="inlineStr">
        <is>
          <t>B0H41M1N4B</t>
        </is>
      </c>
      <c r="L531" s="109" t="inlineStr">
        <is>
          <t>B0DSPZJKTB</t>
        </is>
      </c>
      <c r="M531" s="109" t="n">
        <v>26</v>
      </c>
      <c r="N531" s="109" t="n">
        <v>149.99</v>
      </c>
      <c r="O531" s="109" t="n">
        <v>179.99</v>
      </c>
      <c r="P531" s="109">
        <f>IF(AND(ISNUMBER(O531),ISNUMBER(N531),N(N531)&gt;0),O531/N531-1,"")</f>
        <v/>
      </c>
      <c r="Q531" s="109" t="n">
        <v>79.98999999999999</v>
      </c>
      <c r="R531" s="109">
        <f>IF(AND(ISNUMBER(N531),ISNUMBER(Q531),N(Q531)&gt;0),N531/Q531-1,"")</f>
        <v/>
      </c>
      <c r="S531" s="109" t="n">
        <v>49910</v>
      </c>
      <c r="T531" s="109" t="n">
        <v>35</v>
      </c>
      <c r="U531" s="109" t="n">
        <v>4.2</v>
      </c>
      <c r="V531" s="109" t="n">
        <v>595</v>
      </c>
      <c r="W531" s="109" t="n">
        <v>107224</v>
      </c>
      <c r="X531" s="109" t="n">
        <v>0.5282540960978878</v>
      </c>
      <c r="Y531" s="109" t="n"/>
      <c r="Z531" s="109" t="n"/>
      <c r="AA531" s="109" t="n"/>
      <c r="AB531" s="109" t="n">
        <v>1.443271767810026</v>
      </c>
      <c r="AC531" s="109" t="inlineStr">
        <is>
          <t>US CL Cooling Sheets</t>
        </is>
      </c>
      <c r="AD531" s="109">
        <f>'US CL Cooling Sheets'!BC93</f>
        <v/>
      </c>
      <c r="AE531" s="109">
        <f>'US CL Cooling Sheets'!BF93</f>
        <v/>
      </c>
      <c r="AF531" s="109" t="n"/>
      <c r="AG531" s="109" t="n"/>
    </row>
    <row r="532">
      <c r="A532" s="109">
        <f>AND(OR(Dashboard!$C$4="All",Dashboard!$C$4=D532),OR(Dashboard!$C$5="All",Dashboard!$C$5=E532),OR(Dashboard!$C$6="All",Dashboard!$C$6=G532),OR(Dashboard!$C$7="All",Dashboard!$C$7=H532),OR(Dashboard!$C$8="All",Dashboard!$C$8=F532))</f>
        <v/>
      </c>
      <c r="B532" s="109">
        <f>IF(A532,B531+1,B531)</f>
        <v/>
      </c>
      <c r="C532" s="109" t="n">
        <v>69</v>
      </c>
      <c r="D532" s="109" t="inlineStr">
        <is>
          <t>CL Cooling Sheets</t>
        </is>
      </c>
      <c r="E532" s="109" t="inlineStr">
        <is>
          <t>US</t>
        </is>
      </c>
      <c r="F532" s="109" t="inlineStr">
        <is>
          <t>Cooling</t>
        </is>
      </c>
      <c r="G532" s="109" t="inlineStr">
        <is>
          <t>Degrees of Comfort</t>
        </is>
      </c>
      <c r="H532" s="109" t="inlineStr">
        <is>
          <t>Untiered</t>
        </is>
      </c>
      <c r="I532" s="109" t="inlineStr">
        <is>
          <t>Coolmax® Cooling Sheets for Hot Sleepers, Queen Size, Grey</t>
        </is>
      </c>
      <c r="J532" s="109" t="inlineStr">
        <is>
          <t>https://images-na.ssl-images-amazon.com/images/I/716hu1FzoSL.jpg</t>
        </is>
      </c>
      <c r="K532" s="109" t="inlineStr">
        <is>
          <t>B0DXT68BBR</t>
        </is>
      </c>
      <c r="L532" s="109" t="inlineStr">
        <is>
          <t>B08YS6WZRR</t>
        </is>
      </c>
      <c r="M532" s="109" t="n">
        <v>31</v>
      </c>
      <c r="N532" s="109" t="n">
        <v>24.99</v>
      </c>
      <c r="O532" s="109" t="n">
        <v>29.99</v>
      </c>
      <c r="P532" s="109">
        <f>IF(AND(ISNUMBER(O532),ISNUMBER(N532),N(N532)&gt;0),O532/N532-1,"")</f>
        <v/>
      </c>
      <c r="Q532" s="109" t="n">
        <v>79.98999999999999</v>
      </c>
      <c r="R532" s="109">
        <f>IF(AND(ISNUMBER(N532),ISNUMBER(Q532),N(Q532)&gt;0),N532/Q532-1,"")</f>
        <v/>
      </c>
      <c r="S532" s="109" t="n">
        <v>39599</v>
      </c>
      <c r="T532" s="109" t="n">
        <v>35</v>
      </c>
      <c r="U532" s="109" t="n">
        <v>4.1</v>
      </c>
      <c r="V532" s="109" t="n">
        <v>7328</v>
      </c>
      <c r="W532" s="109" t="n"/>
      <c r="X532" s="109" t="n"/>
      <c r="Y532" s="109" t="n"/>
      <c r="Z532" s="109" t="n"/>
      <c r="AA532" s="109" t="n"/>
      <c r="AB532" s="109" t="n"/>
      <c r="AC532" s="109" t="inlineStr">
        <is>
          <t>US CL Cooling Sheets</t>
        </is>
      </c>
      <c r="AD532" s="109">
        <f>'US CL Cooling Sheets'!BC94</f>
        <v/>
      </c>
      <c r="AE532" s="109">
        <f>'US CL Cooling Sheets'!BF94</f>
        <v/>
      </c>
      <c r="AF532" s="109" t="inlineStr">
        <is>
          <t>Queen</t>
        </is>
      </c>
      <c r="AG532" s="109" t="inlineStr">
        <is>
          <t>Grey</t>
        </is>
      </c>
    </row>
    <row r="533">
      <c r="A533" s="109">
        <f>AND(OR(Dashboard!$C$4="All",Dashboard!$C$4=D533),OR(Dashboard!$C$5="All",Dashboard!$C$5=E533),OR(Dashboard!$C$6="All",Dashboard!$C$6=G533),OR(Dashboard!$C$7="All",Dashboard!$C$7=H533),OR(Dashboard!$C$8="All",Dashboard!$C$8=F533))</f>
        <v/>
      </c>
      <c r="B533" s="109">
        <f>IF(A533,B532+1,B532)</f>
        <v/>
      </c>
      <c r="C533" s="109" t="n">
        <v>69</v>
      </c>
      <c r="D533" s="109" t="inlineStr">
        <is>
          <t>CL Cooling Sheets</t>
        </is>
      </c>
      <c r="E533" s="109" t="inlineStr">
        <is>
          <t>US</t>
        </is>
      </c>
      <c r="F533" s="109" t="inlineStr">
        <is>
          <t>Cooling</t>
        </is>
      </c>
      <c r="G533" s="109" t="inlineStr">
        <is>
          <t>REST</t>
        </is>
      </c>
      <c r="H533" s="109" t="inlineStr">
        <is>
          <t>Untiered</t>
        </is>
      </c>
      <c r="I533" s="109" t="inlineStr">
        <is>
          <t>Cooling Sheets 4/6 Pcs</t>
        </is>
      </c>
      <c r="J533" s="109" t="n"/>
      <c r="K533" s="109" t="inlineStr">
        <is>
          <t>B0C56VXVB3</t>
        </is>
      </c>
      <c r="L533" s="109" t="inlineStr">
        <is>
          <t>B0D25LDRPS</t>
        </is>
      </c>
      <c r="M533" s="109" t="n"/>
      <c r="N533" s="109" t="n">
        <v>164.25</v>
      </c>
      <c r="O533" s="109" t="n">
        <v>219</v>
      </c>
      <c r="P533" s="109">
        <f>IF(AND(ISNUMBER(O533),ISNUMBER(N533),N(N533)&gt;0),O533/N533-1,"")</f>
        <v/>
      </c>
      <c r="Q533" s="109" t="n">
        <v>79.98999999999999</v>
      </c>
      <c r="R533" s="109">
        <f>IF(AND(ISNUMBER(N533),ISNUMBER(Q533),N(Q533)&gt;0),N533/Q533-1,"")</f>
        <v/>
      </c>
      <c r="S533" s="109" t="n">
        <v>5255</v>
      </c>
      <c r="T533" s="109" t="n">
        <v>35</v>
      </c>
      <c r="U533" s="109" t="n">
        <v>4.3</v>
      </c>
      <c r="V533" s="109" t="n">
        <v>1149</v>
      </c>
      <c r="W533" s="109" t="n"/>
      <c r="X533" s="109" t="n"/>
      <c r="Y533" s="109" t="n"/>
      <c r="Z533" s="109" t="n"/>
      <c r="AA533" s="109" t="n"/>
      <c r="AB533" s="109" t="n"/>
      <c r="AC533" s="109" t="inlineStr">
        <is>
          <t>US CL Cooling Sheets</t>
        </is>
      </c>
      <c r="AD533" s="109">
        <f>'US CL Cooling Sheets'!BC95</f>
        <v/>
      </c>
      <c r="AE533" s="109">
        <f>'US CL Cooling Sheets'!BF95</f>
        <v/>
      </c>
      <c r="AF533" s="109" t="n"/>
      <c r="AG533" s="109" t="n"/>
    </row>
    <row r="534">
      <c r="A534" s="109">
        <f>AND(OR(Dashboard!$C$4="All",Dashboard!$C$4=D534),OR(Dashboard!$C$5="All",Dashboard!$C$5=E534),OR(Dashboard!$C$6="All",Dashboard!$C$6=G534),OR(Dashboard!$C$7="All",Dashboard!$C$7=H534),OR(Dashboard!$C$8="All",Dashboard!$C$8=F534))</f>
        <v/>
      </c>
      <c r="B534" s="109">
        <f>IF(A534,B533+1,B533)</f>
        <v/>
      </c>
      <c r="C534" s="109" t="n">
        <v>69</v>
      </c>
      <c r="D534" s="109" t="inlineStr">
        <is>
          <t>CL Cooling Sheets</t>
        </is>
      </c>
      <c r="E534" s="109" t="inlineStr">
        <is>
          <t>US</t>
        </is>
      </c>
      <c r="F534" s="109" t="inlineStr">
        <is>
          <t>Cooling</t>
        </is>
      </c>
      <c r="G534" s="109" t="inlineStr">
        <is>
          <t>Bedsure</t>
        </is>
      </c>
      <c r="H534" s="109" t="inlineStr">
        <is>
          <t>Untiered</t>
        </is>
      </c>
      <c r="I534" s="109" t="inlineStr">
        <is>
          <t>Cooling Sheets</t>
        </is>
      </c>
      <c r="J534" s="109" t="n"/>
      <c r="K534" s="109" t="inlineStr">
        <is>
          <t>B0CPDTJ5NN</t>
        </is>
      </c>
      <c r="L534" s="109" t="inlineStr">
        <is>
          <t>B0CPDR5DDM</t>
        </is>
      </c>
      <c r="M534" s="109" t="n">
        <v>1</v>
      </c>
      <c r="N534" s="109" t="n">
        <v>149.99</v>
      </c>
      <c r="O534" s="109" t="n"/>
      <c r="P534" s="109">
        <f>IF(AND(ISNUMBER(O534),ISNUMBER(N534),N(N534)&gt;0),O534/N534-1,"")</f>
        <v/>
      </c>
      <c r="Q534" s="109" t="n">
        <v>79.98999999999999</v>
      </c>
      <c r="R534" s="109">
        <f>IF(AND(ISNUMBER(N534),ISNUMBER(Q534),N(Q534)&gt;0),N534/Q534-1,"")</f>
        <v/>
      </c>
      <c r="S534" s="109" t="n">
        <v>463922</v>
      </c>
      <c r="T534" s="109" t="n">
        <v>5</v>
      </c>
      <c r="U534" s="109" t="n">
        <v>4.2</v>
      </c>
      <c r="V534" s="109" t="n">
        <v>512</v>
      </c>
      <c r="W534" s="109" t="n">
        <v>170</v>
      </c>
      <c r="X534" s="109" t="n">
        <v>1</v>
      </c>
      <c r="Y534" s="109" t="n"/>
      <c r="Z534" s="109" t="n"/>
      <c r="AA534" s="109" t="n"/>
      <c r="AB534" s="109" t="n"/>
      <c r="AC534" s="109" t="inlineStr">
        <is>
          <t>US CL Cooling Sheets</t>
        </is>
      </c>
      <c r="AD534" s="109">
        <f>'US CL Cooling Sheets'!BC96</f>
        <v/>
      </c>
      <c r="AE534" s="109">
        <f>'US CL Cooling Sheets'!BF96</f>
        <v/>
      </c>
      <c r="AF534" s="109" t="n"/>
      <c r="AG534" s="109" t="n"/>
    </row>
    <row r="535">
      <c r="A535" s="109">
        <f>AND(OR(Dashboard!$C$4="All",Dashboard!$C$4=D535),OR(Dashboard!$C$5="All",Dashboard!$C$5=E535),OR(Dashboard!$C$6="All",Dashboard!$C$6=G535),OR(Dashboard!$C$7="All",Dashboard!$C$7=H535),OR(Dashboard!$C$8="All",Dashboard!$C$8=F535))</f>
        <v/>
      </c>
      <c r="B535" s="109">
        <f>IF(A535,B534+1,B534)</f>
        <v/>
      </c>
      <c r="C535" s="109" t="n">
        <v>69</v>
      </c>
      <c r="D535" s="109" t="inlineStr">
        <is>
          <t>CL Cooling Sheets</t>
        </is>
      </c>
      <c r="E535" s="109" t="inlineStr">
        <is>
          <t>US</t>
        </is>
      </c>
      <c r="F535" s="109" t="inlineStr">
        <is>
          <t>Cooling</t>
        </is>
      </c>
      <c r="G535" s="109" t="inlineStr">
        <is>
          <t>Breescape</t>
        </is>
      </c>
      <c r="H535" s="109" t="inlineStr">
        <is>
          <t>Untiered</t>
        </is>
      </c>
      <c r="I535" s="109" t="inlineStr">
        <is>
          <t>Breescape Cooling Sheets King Size - BlendTek Dry &amp; Cool Technology Cooling Bed</t>
        </is>
      </c>
      <c r="J535" s="109" t="n"/>
      <c r="K535" s="109" t="inlineStr">
        <is>
          <t>B0DSPY326Y</t>
        </is>
      </c>
      <c r="L535" s="109" t="inlineStr">
        <is>
          <t>B0DSPYXPSP</t>
        </is>
      </c>
      <c r="M535" s="109" t="n"/>
      <c r="N535" s="109" t="n">
        <v>179.99</v>
      </c>
      <c r="O535" s="109" t="n"/>
      <c r="P535" s="109">
        <f>IF(AND(ISNUMBER(O535),ISNUMBER(N535),N(N535)&gt;0),O535/N535-1,"")</f>
        <v/>
      </c>
      <c r="Q535" s="109" t="n">
        <v>84.98999999999999</v>
      </c>
      <c r="R535" s="109">
        <f>IF(AND(ISNUMBER(N535),ISNUMBER(Q535),N(Q535)&gt;0),N535/Q535-1,"")</f>
        <v/>
      </c>
      <c r="S535" s="109" t="n">
        <v>422828</v>
      </c>
      <c r="T535" s="109" t="n">
        <v>5</v>
      </c>
      <c r="U535" s="109" t="n">
        <v>3.8</v>
      </c>
      <c r="V535" s="109" t="n">
        <v>73</v>
      </c>
      <c r="W535" s="109" t="n"/>
      <c r="X535" s="109" t="n"/>
      <c r="Y535" s="109" t="n"/>
      <c r="Z535" s="109" t="n"/>
      <c r="AA535" s="109" t="n"/>
      <c r="AB535" s="109" t="n"/>
      <c r="AC535" s="109" t="inlineStr">
        <is>
          <t>US CL Cooling Sheets</t>
        </is>
      </c>
      <c r="AD535" s="109">
        <f>'US CL Cooling Sheets'!BC97</f>
        <v/>
      </c>
      <c r="AE535" s="109">
        <f>'US CL Cooling Sheets'!BF97</f>
        <v/>
      </c>
      <c r="AF535" s="109" t="inlineStr">
        <is>
          <t>King</t>
        </is>
      </c>
      <c r="AG535" s="109" t="n"/>
    </row>
    <row r="536">
      <c r="A536" s="109">
        <f>AND(OR(Dashboard!$C$4="All",Dashboard!$C$4=D536),OR(Dashboard!$C$5="All",Dashboard!$C$5=E536),OR(Dashboard!$C$6="All",Dashboard!$C$6=G536),OR(Dashboard!$C$7="All",Dashboard!$C$7=H536),OR(Dashboard!$C$8="All",Dashboard!$C$8=F536))</f>
        <v/>
      </c>
      <c r="B536" s="109">
        <f>IF(A536,B535+1,B535)</f>
        <v/>
      </c>
      <c r="C536" s="109" t="n">
        <v>69</v>
      </c>
      <c r="D536" s="109" t="inlineStr">
        <is>
          <t>CL Cooling Sheets</t>
        </is>
      </c>
      <c r="E536" s="109" t="inlineStr">
        <is>
          <t>US</t>
        </is>
      </c>
      <c r="F536" s="109" t="inlineStr">
        <is>
          <t>Cooling</t>
        </is>
      </c>
      <c r="G536" s="109" t="inlineStr">
        <is>
          <t>Breescape</t>
        </is>
      </c>
      <c r="H536" s="109" t="inlineStr">
        <is>
          <t>Untiered</t>
        </is>
      </c>
      <c r="I536" s="109" t="inlineStr">
        <is>
          <t>Breescape Cooling Sheets King Size - BlendTek Dry &amp; Cool Technology Cooling Bed</t>
        </is>
      </c>
      <c r="J536" s="109" t="n"/>
      <c r="K536" s="109" t="inlineStr">
        <is>
          <t>B0H2797BXF</t>
        </is>
      </c>
      <c r="L536" s="109" t="inlineStr">
        <is>
          <t>B0DSQ26RH3</t>
        </is>
      </c>
      <c r="M536" s="109" t="n"/>
      <c r="N536" s="109" t="n">
        <v>136</v>
      </c>
      <c r="O536" s="109" t="n"/>
      <c r="P536" s="109">
        <f>IF(AND(ISNUMBER(O536),ISNUMBER(N536),N(N536)&gt;0),O536/N536-1,"")</f>
        <v/>
      </c>
      <c r="Q536" s="109" t="n">
        <v>84.98999999999999</v>
      </c>
      <c r="R536" s="109">
        <f>IF(AND(ISNUMBER(N536),ISNUMBER(Q536),N(Q536)&gt;0),N536/Q536-1,"")</f>
        <v/>
      </c>
      <c r="S536" s="109" t="n">
        <v>423704</v>
      </c>
      <c r="T536" s="109" t="n">
        <v>5</v>
      </c>
      <c r="U536" s="109" t="n">
        <v>3.8</v>
      </c>
      <c r="V536" s="109" t="n">
        <v>73</v>
      </c>
      <c r="W536" s="109" t="n"/>
      <c r="X536" s="109" t="n"/>
      <c r="Y536" s="109" t="n"/>
      <c r="Z536" s="109" t="n"/>
      <c r="AA536" s="109" t="n"/>
      <c r="AB536" s="109" t="n"/>
      <c r="AC536" s="109" t="inlineStr">
        <is>
          <t>US CL Cooling Sheets</t>
        </is>
      </c>
      <c r="AD536" s="109">
        <f>'US CL Cooling Sheets'!BC98</f>
        <v/>
      </c>
      <c r="AE536" s="109">
        <f>'US CL Cooling Sheets'!BF98</f>
        <v/>
      </c>
      <c r="AF536" s="109" t="inlineStr">
        <is>
          <t>King</t>
        </is>
      </c>
      <c r="AG536" s="109" t="n"/>
    </row>
    <row r="537">
      <c r="A537" s="109">
        <f>AND(OR(Dashboard!$C$4="All",Dashboard!$C$4=D537),OR(Dashboard!$C$5="All",Dashboard!$C$5=E537),OR(Dashboard!$C$6="All",Dashboard!$C$6=G537),OR(Dashboard!$C$7="All",Dashboard!$C$7=H537),OR(Dashboard!$C$8="All",Dashboard!$C$8=F537))</f>
        <v/>
      </c>
      <c r="B537" s="109">
        <f>IF(A537,B536+1,B536)</f>
        <v/>
      </c>
      <c r="C537" s="109" t="n">
        <v>69</v>
      </c>
      <c r="D537" s="109" t="inlineStr">
        <is>
          <t>CL Cooling Sheets</t>
        </is>
      </c>
      <c r="E537" s="109" t="inlineStr">
        <is>
          <t>US</t>
        </is>
      </c>
      <c r="F537" s="109" t="inlineStr">
        <is>
          <t>Cooling</t>
        </is>
      </c>
      <c r="G537" s="109" t="inlineStr">
        <is>
          <t>Brookstone</t>
        </is>
      </c>
      <c r="H537" s="109" t="inlineStr">
        <is>
          <t>Untiered</t>
        </is>
      </c>
      <c r="I537" s="109" t="inlineStr">
        <is>
          <t>Cooling Fitted Sheet</t>
        </is>
      </c>
      <c r="J537" s="109" t="n"/>
      <c r="K537" s="109" t="inlineStr">
        <is>
          <t>B0CXB579TZ</t>
        </is>
      </c>
      <c r="L537" s="109" t="inlineStr">
        <is>
          <t>B0CTKM53QJ</t>
        </is>
      </c>
      <c r="M537" s="109" t="n"/>
      <c r="N537" s="109" t="n">
        <v>49.99</v>
      </c>
      <c r="O537" s="109" t="n"/>
      <c r="P537" s="109">
        <f>IF(AND(ISNUMBER(O537),ISNUMBER(N537),N(N537)&gt;0),O537/N537-1,"")</f>
        <v/>
      </c>
      <c r="Q537" s="109" t="n">
        <v>79.98999999999999</v>
      </c>
      <c r="R537" s="109">
        <f>IF(AND(ISNUMBER(N537),ISNUMBER(Q537),N(Q537)&gt;0),N537/Q537-1,"")</f>
        <v/>
      </c>
      <c r="S537" s="109" t="n">
        <v>501090</v>
      </c>
      <c r="T537" s="109" t="n">
        <v>5</v>
      </c>
      <c r="U537" s="109" t="n">
        <v>4.1</v>
      </c>
      <c r="V537" s="109" t="n">
        <v>184</v>
      </c>
      <c r="W537" s="109" t="n"/>
      <c r="X537" s="109" t="n"/>
      <c r="Y537" s="109" t="n"/>
      <c r="Z537" s="109" t="n"/>
      <c r="AA537" s="109" t="n"/>
      <c r="AB537" s="109" t="n"/>
      <c r="AC537" s="109" t="inlineStr">
        <is>
          <t>US CL Cooling Sheets</t>
        </is>
      </c>
      <c r="AD537" s="109">
        <f>'US CL Cooling Sheets'!BC99</f>
        <v/>
      </c>
      <c r="AE537" s="109">
        <f>'US CL Cooling Sheets'!BF99</f>
        <v/>
      </c>
      <c r="AF537" s="109" t="n"/>
      <c r="AG537" s="109" t="n"/>
    </row>
    <row r="538">
      <c r="A538" s="109">
        <f>AND(OR(Dashboard!$C$4="All",Dashboard!$C$4=D538),OR(Dashboard!$C$5="All",Dashboard!$C$5=E538),OR(Dashboard!$C$6="All",Dashboard!$C$6=G538),OR(Dashboard!$C$7="All",Dashboard!$C$7=H538),OR(Dashboard!$C$8="All",Dashboard!$C$8=F538))</f>
        <v/>
      </c>
      <c r="B538" s="109">
        <f>IF(A538,B537+1,B537)</f>
        <v/>
      </c>
      <c r="C538" s="109" t="n">
        <v>69</v>
      </c>
      <c r="D538" s="109" t="inlineStr">
        <is>
          <t>CL Cooling Sheets</t>
        </is>
      </c>
      <c r="E538" s="109" t="inlineStr">
        <is>
          <t>US</t>
        </is>
      </c>
      <c r="F538" s="109" t="inlineStr">
        <is>
          <t>Cooling</t>
        </is>
      </c>
      <c r="G538" s="109" t="inlineStr">
        <is>
          <t>CGK Unlimited</t>
        </is>
      </c>
      <c r="H538" s="109" t="inlineStr">
        <is>
          <t>Untiered</t>
        </is>
      </c>
      <c r="I538" s="109" t="inlineStr">
        <is>
          <t>Cooling Sheets Set Twin XL Size - 3 Piece Summer Bed Sheets for Hot Sleepers &amp; N</t>
        </is>
      </c>
      <c r="J538" s="109" t="n"/>
      <c r="K538" s="109" t="inlineStr">
        <is>
          <t>B0FT4VV426</t>
        </is>
      </c>
      <c r="L538" s="109" t="inlineStr">
        <is>
          <t>B0FT4TC7NV</t>
        </is>
      </c>
      <c r="M538" s="109" t="n"/>
      <c r="N538" s="109" t="n">
        <v>57.99</v>
      </c>
      <c r="O538" s="109" t="n"/>
      <c r="P538" s="109">
        <f>IF(AND(ISNUMBER(O538),ISNUMBER(N538),N(N538)&gt;0),O538/N538-1,"")</f>
        <v/>
      </c>
      <c r="Q538" s="109" t="n"/>
      <c r="R538" s="109">
        <f>IF(AND(ISNUMBER(N538),ISNUMBER(Q538),N(Q538)&gt;0),N538/Q538-1,"")</f>
        <v/>
      </c>
      <c r="S538" s="109" t="n">
        <v>381427</v>
      </c>
      <c r="T538" s="109" t="n">
        <v>5</v>
      </c>
      <c r="U538" s="109" t="n">
        <v>4.1</v>
      </c>
      <c r="V538" s="109" t="n">
        <v>118</v>
      </c>
      <c r="W538" s="109" t="n"/>
      <c r="X538" s="109" t="n"/>
      <c r="Y538" s="109" t="n"/>
      <c r="Z538" s="109" t="n"/>
      <c r="AA538" s="109" t="n"/>
      <c r="AB538" s="109" t="n"/>
      <c r="AC538" s="109" t="inlineStr">
        <is>
          <t>US CL Cooling Sheets</t>
        </is>
      </c>
      <c r="AD538" s="109">
        <f>'US CL Cooling Sheets'!BC100</f>
        <v/>
      </c>
      <c r="AE538" s="109">
        <f>'US CL Cooling Sheets'!BF100</f>
        <v/>
      </c>
      <c r="AF538" s="109" t="inlineStr">
        <is>
          <t>Twin XL</t>
        </is>
      </c>
      <c r="AG538" s="109" t="n"/>
    </row>
    <row r="539">
      <c r="A539" s="109">
        <f>AND(OR(Dashboard!$C$4="All",Dashboard!$C$4=D539),OR(Dashboard!$C$5="All",Dashboard!$C$5=E539),OR(Dashboard!$C$6="All",Dashboard!$C$6=G539),OR(Dashboard!$C$7="All",Dashboard!$C$7=H539),OR(Dashboard!$C$8="All",Dashboard!$C$8=F539))</f>
        <v/>
      </c>
      <c r="B539" s="109">
        <f>IF(A539,B538+1,B538)</f>
        <v/>
      </c>
      <c r="C539" s="109" t="n">
        <v>69</v>
      </c>
      <c r="D539" s="109" t="inlineStr">
        <is>
          <t>CL Cooling Sheets</t>
        </is>
      </c>
      <c r="E539" s="109" t="inlineStr">
        <is>
          <t>US</t>
        </is>
      </c>
      <c r="F539" s="109" t="inlineStr">
        <is>
          <t>Cooling</t>
        </is>
      </c>
      <c r="G539" s="109" t="inlineStr">
        <is>
          <t>DOWNCOOL</t>
        </is>
      </c>
      <c r="H539" s="109" t="inlineStr">
        <is>
          <t>Untiered</t>
        </is>
      </c>
      <c r="I539" s="109" t="inlineStr">
        <is>
          <t>Cooling Sheets</t>
        </is>
      </c>
      <c r="J539" s="109" t="n"/>
      <c r="K539" s="109" t="inlineStr">
        <is>
          <t>B0F93XRVSZ</t>
        </is>
      </c>
      <c r="L539" s="109" t="inlineStr">
        <is>
          <t>B0F93XRVSZ</t>
        </is>
      </c>
      <c r="M539" s="109" t="n"/>
      <c r="N539" s="109" t="n">
        <v>139.99</v>
      </c>
      <c r="O539" s="109" t="n"/>
      <c r="P539" s="109">
        <f>IF(AND(ISNUMBER(O539),ISNUMBER(N539),N(N539)&gt;0),O539/N539-1,"")</f>
        <v/>
      </c>
      <c r="Q539" s="109" t="n">
        <v>79.98999999999999</v>
      </c>
      <c r="R539" s="109">
        <f>IF(AND(ISNUMBER(N539),ISNUMBER(Q539),N(Q539)&gt;0),N539/Q539-1,"")</f>
        <v/>
      </c>
      <c r="S539" s="109" t="n">
        <v>2798999</v>
      </c>
      <c r="T539" s="109" t="n">
        <v>5</v>
      </c>
      <c r="U539" s="109" t="n">
        <v>4.2</v>
      </c>
      <c r="V539" s="109" t="n">
        <v>6</v>
      </c>
      <c r="W539" s="109" t="n"/>
      <c r="X539" s="109" t="n"/>
      <c r="Y539" s="109" t="n"/>
      <c r="Z539" s="109" t="n"/>
      <c r="AA539" s="109" t="n"/>
      <c r="AB539" s="109" t="n"/>
      <c r="AC539" s="109" t="inlineStr">
        <is>
          <t>US CL Cooling Sheets</t>
        </is>
      </c>
      <c r="AD539" s="109">
        <f>'US CL Cooling Sheets'!BC101</f>
        <v/>
      </c>
      <c r="AE539" s="109">
        <f>'US CL Cooling Sheets'!BF101</f>
        <v/>
      </c>
      <c r="AF539" s="109" t="n"/>
      <c r="AG539" s="109" t="n"/>
    </row>
    <row r="540">
      <c r="A540" s="109">
        <f>AND(OR(Dashboard!$C$4="All",Dashboard!$C$4=D540),OR(Dashboard!$C$5="All",Dashboard!$C$5=E540),OR(Dashboard!$C$6="All",Dashboard!$C$6=G540),OR(Dashboard!$C$7="All",Dashboard!$C$7=H540),OR(Dashboard!$C$8="All",Dashboard!$C$8=F540))</f>
        <v/>
      </c>
      <c r="B540" s="109">
        <f>IF(A540,B539+1,B539)</f>
        <v/>
      </c>
      <c r="C540" s="109" t="n">
        <v>69</v>
      </c>
      <c r="D540" s="109" t="inlineStr">
        <is>
          <t>CL Cooling Sheets</t>
        </is>
      </c>
      <c r="E540" s="109" t="inlineStr">
        <is>
          <t>US</t>
        </is>
      </c>
      <c r="F540" s="109" t="inlineStr">
        <is>
          <t>Cooling</t>
        </is>
      </c>
      <c r="G540" s="109" t="inlineStr">
        <is>
          <t>Elegear</t>
        </is>
      </c>
      <c r="H540" s="109" t="inlineStr">
        <is>
          <t>Untiered</t>
        </is>
      </c>
      <c r="I540" s="109" t="inlineStr">
        <is>
          <t>Elegear Silver Infused Cooling Bed Sheets Queen, Arc-Chill® 3.0 Cool Tech, Silve</t>
        </is>
      </c>
      <c r="J540" s="109" t="n"/>
      <c r="K540" s="109" t="inlineStr">
        <is>
          <t>B0H7YWGBW3</t>
        </is>
      </c>
      <c r="L540" s="109" t="inlineStr">
        <is>
          <t>B0GCGXW1WT</t>
        </is>
      </c>
      <c r="M540" s="109" t="n">
        <v>8</v>
      </c>
      <c r="N540" s="109" t="n">
        <v>67.98999999999999</v>
      </c>
      <c r="O540" s="109" t="n">
        <v>79.98999999999999</v>
      </c>
      <c r="P540" s="109">
        <f>IF(AND(ISNUMBER(O540),ISNUMBER(N540),N(N540)&gt;0),O540/N540-1,"")</f>
        <v/>
      </c>
      <c r="Q540" s="109" t="n">
        <v>79.98999999999999</v>
      </c>
      <c r="R540" s="109">
        <f>IF(AND(ISNUMBER(N540),ISNUMBER(Q540),N(Q540)&gt;0),N540/Q540-1,"")</f>
        <v/>
      </c>
      <c r="S540" s="109" t="n">
        <v>159865</v>
      </c>
      <c r="T540" s="109" t="n">
        <v>5</v>
      </c>
      <c r="U540" s="109" t="n">
        <v>4.4</v>
      </c>
      <c r="V540" s="109" t="n">
        <v>131</v>
      </c>
      <c r="W540" s="109" t="n">
        <v>15624</v>
      </c>
      <c r="X540" s="109" t="n">
        <v>0.6086269521249359</v>
      </c>
      <c r="Y540" s="109" t="n"/>
      <c r="Z540" s="109" t="n"/>
      <c r="AA540" s="109" t="n"/>
      <c r="AB540" s="109" t="n">
        <v>0.4848484848484848</v>
      </c>
      <c r="AC540" s="109" t="inlineStr">
        <is>
          <t>US CL Cooling Sheets</t>
        </is>
      </c>
      <c r="AD540" s="109">
        <f>'US CL Cooling Sheets'!BC102</f>
        <v/>
      </c>
      <c r="AE540" s="109">
        <f>'US CL Cooling Sheets'!BF102</f>
        <v/>
      </c>
      <c r="AF540" s="109" t="inlineStr">
        <is>
          <t>Queen</t>
        </is>
      </c>
      <c r="AG540" s="109" t="inlineStr">
        <is>
          <t>Silver</t>
        </is>
      </c>
    </row>
    <row r="541">
      <c r="A541" s="109">
        <f>AND(OR(Dashboard!$C$4="All",Dashboard!$C$4=D541),OR(Dashboard!$C$5="All",Dashboard!$C$5=E541),OR(Dashboard!$C$6="All",Dashboard!$C$6=G541),OR(Dashboard!$C$7="All",Dashboard!$C$7=H541),OR(Dashboard!$C$8="All",Dashboard!$C$8=F541))</f>
        <v/>
      </c>
      <c r="B541" s="109">
        <f>IF(A541,B540+1,B540)</f>
        <v/>
      </c>
      <c r="C541" s="109" t="n">
        <v>69</v>
      </c>
      <c r="D541" s="109" t="inlineStr">
        <is>
          <t>CL Cooling Sheets</t>
        </is>
      </c>
      <c r="E541" s="109" t="inlineStr">
        <is>
          <t>US</t>
        </is>
      </c>
      <c r="F541" s="109" t="inlineStr">
        <is>
          <t>Cooling</t>
        </is>
      </c>
      <c r="G541" s="109" t="inlineStr">
        <is>
          <t>OMERAI</t>
        </is>
      </c>
      <c r="H541" s="109" t="inlineStr">
        <is>
          <t>Untiered</t>
        </is>
      </c>
      <c r="I541" s="109" t="inlineStr">
        <is>
          <t>Cooling Sheets</t>
        </is>
      </c>
      <c r="J541" s="109" t="n"/>
      <c r="K541" s="109" t="inlineStr">
        <is>
          <t>B0HDC7BMTC</t>
        </is>
      </c>
      <c r="L541" s="109" t="inlineStr">
        <is>
          <t>B0FX8K1CG9</t>
        </is>
      </c>
      <c r="M541" s="109" t="n">
        <v>10</v>
      </c>
      <c r="N541" s="109" t="n">
        <v>42.99</v>
      </c>
      <c r="O541" s="109" t="n">
        <v>59.99</v>
      </c>
      <c r="P541" s="109">
        <f>IF(AND(ISNUMBER(O541),ISNUMBER(N541),N(N541)&gt;0),O541/N541-1,"")</f>
        <v/>
      </c>
      <c r="Q541" s="109" t="n">
        <v>79.98999999999999</v>
      </c>
      <c r="R541" s="109">
        <f>IF(AND(ISNUMBER(N541),ISNUMBER(Q541),N(Q541)&gt;0),N541/Q541-1,"")</f>
        <v/>
      </c>
      <c r="S541" s="109" t="n">
        <v>115669</v>
      </c>
      <c r="T541" s="109" t="n">
        <v>5</v>
      </c>
      <c r="U541" s="109" t="n">
        <v>4.7</v>
      </c>
      <c r="V541" s="109" t="n">
        <v>4</v>
      </c>
      <c r="W541" s="109" t="n">
        <v>13712</v>
      </c>
      <c r="X541" s="109" t="n">
        <v>0.8852072199533255</v>
      </c>
      <c r="Y541" s="109" t="n"/>
      <c r="Z541" s="109" t="n"/>
      <c r="AA541" s="109" t="n"/>
      <c r="AB541" s="109" t="n"/>
      <c r="AC541" s="109" t="inlineStr">
        <is>
          <t>US CL Cooling Sheets</t>
        </is>
      </c>
      <c r="AD541" s="109">
        <f>'US CL Cooling Sheets'!BC103</f>
        <v/>
      </c>
      <c r="AE541" s="109">
        <f>'US CL Cooling Sheets'!BF103</f>
        <v/>
      </c>
      <c r="AF541" s="109" t="n"/>
      <c r="AG541" s="109" t="n"/>
    </row>
    <row r="542">
      <c r="A542" s="109">
        <f>AND(OR(Dashboard!$C$4="All",Dashboard!$C$4=D542),OR(Dashboard!$C$5="All",Dashboard!$C$5=E542),OR(Dashboard!$C$6="All",Dashboard!$C$6=G542),OR(Dashboard!$C$7="All",Dashboard!$C$7=H542),OR(Dashboard!$C$8="All",Dashboard!$C$8=F542))</f>
        <v/>
      </c>
      <c r="B542" s="109">
        <f>IF(A542,B541+1,B541)</f>
        <v/>
      </c>
      <c r="C542" s="109" t="n">
        <v>69</v>
      </c>
      <c r="D542" s="109" t="inlineStr">
        <is>
          <t>CL Cooling Sheets</t>
        </is>
      </c>
      <c r="E542" s="109" t="inlineStr">
        <is>
          <t>US</t>
        </is>
      </c>
      <c r="F542" s="109" t="inlineStr">
        <is>
          <t>Cooling</t>
        </is>
      </c>
      <c r="G542" s="109" t="inlineStr">
        <is>
          <t>SHEEX</t>
        </is>
      </c>
      <c r="H542" s="109" t="inlineStr">
        <is>
          <t>Untiered</t>
        </is>
      </c>
      <c r="I542" s="109" t="inlineStr">
        <is>
          <t>SHEEX - Original Performance Sheets Set (Queen) Graphite - Cooling Sheets - Mois</t>
        </is>
      </c>
      <c r="J542" s="109" t="n"/>
      <c r="K542" s="109" t="inlineStr">
        <is>
          <t>B081KX96XD</t>
        </is>
      </c>
      <c r="L542" s="109" t="inlineStr">
        <is>
          <t>B00EWJHJU4</t>
        </is>
      </c>
      <c r="M542" s="109" t="n"/>
      <c r="N542" s="109" t="n">
        <v>209.3</v>
      </c>
      <c r="O542" s="109" t="n"/>
      <c r="P542" s="109">
        <f>IF(AND(ISNUMBER(O542),ISNUMBER(N542),N(N542)&gt;0),O542/N542-1,"")</f>
        <v/>
      </c>
      <c r="Q542" s="109" t="n">
        <v>79.98999999999999</v>
      </c>
      <c r="R542" s="109">
        <f>IF(AND(ISNUMBER(N542),ISNUMBER(Q542),N(Q542)&gt;0),N542/Q542-1,"")</f>
        <v/>
      </c>
      <c r="S542" s="109" t="n">
        <v>74243</v>
      </c>
      <c r="T542" s="109" t="n">
        <v>5</v>
      </c>
      <c r="U542" s="109" t="n">
        <v>4.4</v>
      </c>
      <c r="V542" s="109" t="n">
        <v>3256</v>
      </c>
      <c r="W542" s="109" t="n"/>
      <c r="X542" s="109" t="n"/>
      <c r="Y542" s="109" t="n"/>
      <c r="Z542" s="109" t="n"/>
      <c r="AA542" s="109" t="n"/>
      <c r="AB542" s="109" t="n"/>
      <c r="AC542" s="109" t="inlineStr">
        <is>
          <t>US CL Cooling Sheets</t>
        </is>
      </c>
      <c r="AD542" s="109">
        <f>'US CL Cooling Sheets'!BC104</f>
        <v/>
      </c>
      <c r="AE542" s="109">
        <f>'US CL Cooling Sheets'!BF104</f>
        <v/>
      </c>
      <c r="AF542" s="109" t="inlineStr">
        <is>
          <t>Queen</t>
        </is>
      </c>
      <c r="AG542" s="109" t="inlineStr">
        <is>
          <t>Graphite</t>
        </is>
      </c>
    </row>
    <row r="543">
      <c r="A543" s="109">
        <f>AND(OR(Dashboard!$C$4="All",Dashboard!$C$4=D543),OR(Dashboard!$C$5="All",Dashboard!$C$5=E543),OR(Dashboard!$C$6="All",Dashboard!$C$6=G543),OR(Dashboard!$C$7="All",Dashboard!$C$7=H543),OR(Dashboard!$C$8="All",Dashboard!$C$8=F543))</f>
        <v/>
      </c>
      <c r="B543" s="109">
        <f>IF(A543,B542+1,B542)</f>
        <v/>
      </c>
      <c r="C543" s="109" t="n">
        <v>70</v>
      </c>
      <c r="D543" s="109" t="inlineStr">
        <is>
          <t>CL Pillowcases</t>
        </is>
      </c>
      <c r="E543" s="109" t="inlineStr">
        <is>
          <t>US</t>
        </is>
      </c>
      <c r="F543" s="109" t="inlineStr">
        <is>
          <t>Cooling</t>
        </is>
      </c>
      <c r="G543" s="109" t="inlineStr">
        <is>
          <t>Avolare</t>
        </is>
      </c>
      <c r="H543" s="109" t="inlineStr">
        <is>
          <t>Aspirational</t>
        </is>
      </c>
      <c r="I543" s="109" t="inlineStr">
        <is>
          <t>Avolare Cooling Pillow Cases Queen Size Set of 2,Arc-Chill 3.0 Cool Pillowcases</t>
        </is>
      </c>
      <c r="J543" s="109" t="n"/>
      <c r="K543" s="109" t="inlineStr">
        <is>
          <t>B0GRV9GZ9L</t>
        </is>
      </c>
      <c r="L543" s="109" t="inlineStr">
        <is>
          <t>B08TBL21VT</t>
        </is>
      </c>
      <c r="M543" s="109" t="n"/>
      <c r="N543" s="109" t="n">
        <v>15.99</v>
      </c>
      <c r="O543" s="109" t="n">
        <v>19.99</v>
      </c>
      <c r="P543" s="109">
        <f>IF(AND(ISNUMBER(O543),ISNUMBER(N543),N(N543)&gt;0),O543/N543-1,"")</f>
        <v/>
      </c>
      <c r="Q543" s="109" t="n">
        <v>19.99</v>
      </c>
      <c r="R543" s="109">
        <f>IF(AND(ISNUMBER(N543),ISNUMBER(Q543),N(Q543)&gt;0),N543/Q543-1,"")</f>
        <v/>
      </c>
      <c r="S543" s="109" t="n">
        <v>14178</v>
      </c>
      <c r="T543" s="109" t="n">
        <v>173</v>
      </c>
      <c r="U543" s="109" t="n">
        <v>4.4</v>
      </c>
      <c r="V543" s="109" t="n">
        <v>3832</v>
      </c>
      <c r="W543" s="109" t="n"/>
      <c r="X543" s="109" t="n"/>
      <c r="Y543" s="109" t="n"/>
      <c r="Z543" s="109" t="n"/>
      <c r="AA543" s="109" t="n"/>
      <c r="AB543" s="109" t="n">
        <v>1.099737532808399</v>
      </c>
      <c r="AC543" s="109" t="inlineStr">
        <is>
          <t>US CL Pillowcases</t>
        </is>
      </c>
      <c r="AD543" s="109">
        <f>'US CL Pillowcases'!BC42</f>
        <v/>
      </c>
      <c r="AE543" s="109">
        <f>'US CL Pillowcases'!BF42</f>
        <v/>
      </c>
      <c r="AF543" s="109" t="inlineStr">
        <is>
          <t>Queen</t>
        </is>
      </c>
      <c r="AG543" s="109" t="n"/>
    </row>
    <row r="544">
      <c r="A544" s="109">
        <f>AND(OR(Dashboard!$C$4="All",Dashboard!$C$4=D544),OR(Dashboard!$C$5="All",Dashboard!$C$5=E544),OR(Dashboard!$C$6="All",Dashboard!$C$6=G544),OR(Dashboard!$C$7="All",Dashboard!$C$7=H544),OR(Dashboard!$C$8="All",Dashboard!$C$8=F544))</f>
        <v/>
      </c>
      <c r="B544" s="109">
        <f>IF(A544,B543+1,B543)</f>
        <v/>
      </c>
      <c r="C544" s="109" t="n">
        <v>70</v>
      </c>
      <c r="D544" s="109" t="inlineStr">
        <is>
          <t>CL Pillowcases</t>
        </is>
      </c>
      <c r="E544" s="109" t="inlineStr">
        <is>
          <t>US</t>
        </is>
      </c>
      <c r="F544" s="109" t="inlineStr">
        <is>
          <t>Cooling</t>
        </is>
      </c>
      <c r="G544" s="109" t="inlineStr">
        <is>
          <t>Elegear</t>
        </is>
      </c>
      <c r="H544" s="109" t="inlineStr">
        <is>
          <t>Aspirational</t>
        </is>
      </c>
      <c r="I544" s="109" t="inlineStr">
        <is>
          <t>Elegear Cooling Pillow Cases for Hot Sleepers, Set of 2, Queen 20'' x 30''</t>
        </is>
      </c>
      <c r="J544" s="109" t="n"/>
      <c r="K544" s="109" t="inlineStr">
        <is>
          <t>B0HFSJ3HLW</t>
        </is>
      </c>
      <c r="L544" s="109" t="inlineStr">
        <is>
          <t>B07TMF54XC</t>
        </is>
      </c>
      <c r="M544" s="109" t="n">
        <v>19</v>
      </c>
      <c r="N544" s="109" t="n">
        <v>16.88</v>
      </c>
      <c r="O544" s="109" t="n"/>
      <c r="P544" s="109">
        <f>IF(AND(ISNUMBER(O544),ISNUMBER(N544),N(N544)&gt;0),O544/N544-1,"")</f>
        <v/>
      </c>
      <c r="Q544" s="109" t="n">
        <v>19.99</v>
      </c>
      <c r="R544" s="109">
        <f>IF(AND(ISNUMBER(N544),ISNUMBER(Q544),N(Q544)&gt;0),N544/Q544-1,"")</f>
        <v/>
      </c>
      <c r="S544" s="109" t="n">
        <v>29862</v>
      </c>
      <c r="T544" s="109" t="n">
        <v>35</v>
      </c>
      <c r="U544" s="109" t="n">
        <v>4.3</v>
      </c>
      <c r="V544" s="109" t="n">
        <v>8391</v>
      </c>
      <c r="W544" s="109" t="n">
        <v>12595</v>
      </c>
      <c r="X544" s="109" t="n">
        <v>0.8238290353314806</v>
      </c>
      <c r="Y544" s="109" t="n">
        <v>76</v>
      </c>
      <c r="Z544" s="109" t="n">
        <v>55</v>
      </c>
      <c r="AA544" s="109" t="n">
        <v>23</v>
      </c>
      <c r="AB544" s="109" t="n"/>
      <c r="AC544" s="109" t="inlineStr">
        <is>
          <t>US CL Pillowcases</t>
        </is>
      </c>
      <c r="AD544" s="109">
        <f>'US CL Pillowcases'!BC43</f>
        <v/>
      </c>
      <c r="AE544" s="109">
        <f>'US CL Pillowcases'!BF43</f>
        <v/>
      </c>
      <c r="AF544" s="109" t="inlineStr">
        <is>
          <t>Queen</t>
        </is>
      </c>
      <c r="AG544" s="109" t="n"/>
    </row>
    <row r="545">
      <c r="A545" s="109">
        <f>AND(OR(Dashboard!$C$4="All",Dashboard!$C$4=D545),OR(Dashboard!$C$5="All",Dashboard!$C$5=E545),OR(Dashboard!$C$6="All",Dashboard!$C$6=G545),OR(Dashboard!$C$7="All",Dashboard!$C$7=H545),OR(Dashboard!$C$8="All",Dashboard!$C$8=F545))</f>
        <v/>
      </c>
      <c r="B545" s="109">
        <f>IF(A545,B544+1,B544)</f>
        <v/>
      </c>
      <c r="C545" s="109" t="n">
        <v>70</v>
      </c>
      <c r="D545" s="109" t="inlineStr">
        <is>
          <t>CL Pillowcases</t>
        </is>
      </c>
      <c r="E545" s="109" t="inlineStr">
        <is>
          <t>US</t>
        </is>
      </c>
      <c r="F545" s="109" t="inlineStr">
        <is>
          <t>Cooling</t>
        </is>
      </c>
      <c r="G545" s="109" t="inlineStr">
        <is>
          <t>LUXEAR</t>
        </is>
      </c>
      <c r="H545" s="109" t="inlineStr">
        <is>
          <t>Aspirational</t>
        </is>
      </c>
      <c r="I545" s="109" t="inlineStr">
        <is>
          <t>LUXEAR 2 Pack Cooling Pillow Cases for Hot Sleepers, Arc-Chill Q-Max &gt; 0.5 Cool</t>
        </is>
      </c>
      <c r="J545" s="109" t="n"/>
      <c r="K545" s="109" t="inlineStr">
        <is>
          <t>B0FRGBT861</t>
        </is>
      </c>
      <c r="L545" s="109" t="inlineStr">
        <is>
          <t>B07V6SKZ7V</t>
        </is>
      </c>
      <c r="M545" s="109" t="n"/>
      <c r="N545" s="109" t="n">
        <v>15.95</v>
      </c>
      <c r="O545" s="109" t="n"/>
      <c r="P545" s="109">
        <f>IF(AND(ISNUMBER(O545),ISNUMBER(N545),N(N545)&gt;0),O545/N545-1,"")</f>
        <v/>
      </c>
      <c r="Q545" s="109" t="n">
        <v>19.99</v>
      </c>
      <c r="R545" s="109">
        <f>IF(AND(ISNUMBER(N545),ISNUMBER(Q545),N(Q545)&gt;0),N545/Q545-1,"")</f>
        <v/>
      </c>
      <c r="S545" s="109" t="n">
        <v>50724</v>
      </c>
      <c r="T545" s="109" t="n">
        <v>35</v>
      </c>
      <c r="U545" s="109" t="n">
        <v>4.2</v>
      </c>
      <c r="V545" s="109" t="n">
        <v>6718</v>
      </c>
      <c r="W545" s="109" t="n"/>
      <c r="X545" s="109" t="n"/>
      <c r="Y545" s="109" t="n"/>
      <c r="Z545" s="109" t="n"/>
      <c r="AA545" s="109" t="n"/>
      <c r="AB545" s="109" t="n"/>
      <c r="AC545" s="109" t="inlineStr">
        <is>
          <t>US CL Pillowcases</t>
        </is>
      </c>
      <c r="AD545" s="109">
        <f>'US CL Pillowcases'!BC44</f>
        <v/>
      </c>
      <c r="AE545" s="109">
        <f>'US CL Pillowcases'!BF44</f>
        <v/>
      </c>
      <c r="AF545" s="109" t="n"/>
      <c r="AG545" s="109" t="n"/>
    </row>
    <row r="546">
      <c r="A546" s="109">
        <f>AND(OR(Dashboard!$C$4="All",Dashboard!$C$4=D546),OR(Dashboard!$C$5="All",Dashboard!$C$5=E546),OR(Dashboard!$C$6="All",Dashboard!$C$6=G546),OR(Dashboard!$C$7="All",Dashboard!$C$7=H546),OR(Dashboard!$C$8="All",Dashboard!$C$8=F546))</f>
        <v/>
      </c>
      <c r="B546" s="109">
        <f>IF(A546,B545+1,B545)</f>
        <v/>
      </c>
      <c r="C546" s="109" t="n">
        <v>70</v>
      </c>
      <c r="D546" s="109" t="inlineStr">
        <is>
          <t>CL Pillowcases</t>
        </is>
      </c>
      <c r="E546" s="109" t="inlineStr">
        <is>
          <t>US</t>
        </is>
      </c>
      <c r="F546" s="109" t="inlineStr">
        <is>
          <t>Cooling</t>
        </is>
      </c>
      <c r="G546" s="109" t="inlineStr">
        <is>
          <t>REST</t>
        </is>
      </c>
      <c r="H546" s="109" t="inlineStr">
        <is>
          <t>Beatable</t>
        </is>
      </c>
      <c r="I546" s="109" t="inlineStr">
        <is>
          <t>REST® Evercool®+ Cooling Pillowcases for Hot Sleepers, Standard, 2PCS</t>
        </is>
      </c>
      <c r="J546" s="109" t="inlineStr">
        <is>
          <t>https://images-na.ssl-images-amazon.com/images/I/71eYQFtuPxL.jpg</t>
        </is>
      </c>
      <c r="K546" s="109" t="inlineStr">
        <is>
          <t>B0C13Y18JW</t>
        </is>
      </c>
      <c r="L546" s="109" t="inlineStr">
        <is>
          <t>B0C141VGM6</t>
        </is>
      </c>
      <c r="M546" s="109" t="n">
        <v>12</v>
      </c>
      <c r="N546" s="109" t="n">
        <v>59.25</v>
      </c>
      <c r="O546" s="109" t="n">
        <v>79</v>
      </c>
      <c r="P546" s="109">
        <f>IF(AND(ISNUMBER(O546),ISNUMBER(N546),N(N546)&gt;0),O546/N546-1,"")</f>
        <v/>
      </c>
      <c r="Q546" s="109" t="n">
        <v>17.99</v>
      </c>
      <c r="R546" s="109">
        <f>IF(AND(ISNUMBER(N546),ISNUMBER(Q546),N(Q546)&gt;0),N546/Q546-1,"")</f>
        <v/>
      </c>
      <c r="S546" s="109" t="n">
        <v>4369</v>
      </c>
      <c r="T546" s="109" t="n">
        <v>208</v>
      </c>
      <c r="U546" s="109" t="n">
        <v>4.4</v>
      </c>
      <c r="V546" s="109" t="n">
        <v>1226</v>
      </c>
      <c r="W546" s="109" t="n">
        <v>345367</v>
      </c>
      <c r="X546" s="109" t="n">
        <v>0.2641106081356929</v>
      </c>
      <c r="Y546" s="109" t="n">
        <v>59</v>
      </c>
      <c r="Z546" s="109" t="n">
        <v>179</v>
      </c>
      <c r="AA546" s="109" t="n">
        <v>1936</v>
      </c>
      <c r="AB546" s="109" t="n">
        <v>2.252856054836253</v>
      </c>
      <c r="AC546" s="109" t="inlineStr">
        <is>
          <t>US CL Pillowcases</t>
        </is>
      </c>
      <c r="AD546" s="109">
        <f>'US CL Pillowcases'!BC45</f>
        <v/>
      </c>
      <c r="AE546" s="109">
        <f>'US CL Pillowcases'!BF45</f>
        <v/>
      </c>
      <c r="AF546" s="109" t="inlineStr">
        <is>
          <t>Standard</t>
        </is>
      </c>
      <c r="AG546" s="109" t="n"/>
    </row>
    <row r="547">
      <c r="A547" s="109">
        <f>AND(OR(Dashboard!$C$4="All",Dashboard!$C$4=D547),OR(Dashboard!$C$5="All",Dashboard!$C$5=E547),OR(Dashboard!$C$6="All",Dashboard!$C$6=G547),OR(Dashboard!$C$7="All",Dashboard!$C$7=H547),OR(Dashboard!$C$8="All",Dashboard!$C$8=F547))</f>
        <v/>
      </c>
      <c r="B547" s="109">
        <f>IF(A547,B546+1,B546)</f>
        <v/>
      </c>
      <c r="C547" s="109" t="n">
        <v>70</v>
      </c>
      <c r="D547" s="109" t="inlineStr">
        <is>
          <t>CL Pillowcases</t>
        </is>
      </c>
      <c r="E547" s="109" t="inlineStr">
        <is>
          <t>US</t>
        </is>
      </c>
      <c r="F547" s="109" t="inlineStr">
        <is>
          <t>Cooling</t>
        </is>
      </c>
      <c r="G547" s="109" t="inlineStr">
        <is>
          <t>CHOSHOME</t>
        </is>
      </c>
      <c r="H547" s="109" t="inlineStr">
        <is>
          <t>Beatable</t>
        </is>
      </c>
      <c r="I547" s="109" t="inlineStr">
        <is>
          <t>CHOSHOME Cooling Pillow Cases Zipper Pillow Covers Q-Max &gt; 0.45 Zippered Pillowcases for Hot Sleepers, Soft, Breathable, Skin-Friendly, 2 Pack (Standard, 20" x 26", Grey)</t>
        </is>
      </c>
      <c r="J547" s="109" t="inlineStr">
        <is>
          <t>https://images-na.ssl-images-amazon.com/images/I/81mbqqKQImL.jpg</t>
        </is>
      </c>
      <c r="K547" s="109" t="inlineStr">
        <is>
          <t>B0B75178W1</t>
        </is>
      </c>
      <c r="L547" s="109" t="inlineStr">
        <is>
          <t>B08X2KBD67</t>
        </is>
      </c>
      <c r="M547" s="109" t="n">
        <v>54</v>
      </c>
      <c r="N547" s="109" t="n">
        <v>14.6</v>
      </c>
      <c r="O547" s="109" t="n"/>
      <c r="P547" s="109">
        <f>IF(AND(ISNUMBER(O547),ISNUMBER(N547),N(N547)&gt;0),O547/N547-1,"")</f>
        <v/>
      </c>
      <c r="Q547" s="109" t="n">
        <v>17.99</v>
      </c>
      <c r="R547" s="109">
        <f>IF(AND(ISNUMBER(N547),ISNUMBER(Q547),N(Q547)&gt;0),N547/Q547-1,"")</f>
        <v/>
      </c>
      <c r="S547" s="109" t="n">
        <v>28988</v>
      </c>
      <c r="T547" s="109" t="n">
        <v>104</v>
      </c>
      <c r="U547" s="109" t="n">
        <v>4.4</v>
      </c>
      <c r="V547" s="109" t="n">
        <v>1768</v>
      </c>
      <c r="W547" s="109" t="n">
        <v>17999</v>
      </c>
      <c r="X547" s="109" t="n">
        <v>0.8252617812100672</v>
      </c>
      <c r="Y547" s="109" t="n">
        <v>51</v>
      </c>
      <c r="Z547" s="109" t="n">
        <v>67</v>
      </c>
      <c r="AA547" s="109" t="n">
        <v>40</v>
      </c>
      <c r="AB547" s="109" t="n">
        <v>1.111111111111111</v>
      </c>
      <c r="AC547" s="109" t="inlineStr">
        <is>
          <t>US CL Pillowcases</t>
        </is>
      </c>
      <c r="AD547" s="109">
        <f>'US CL Pillowcases'!BC46</f>
        <v/>
      </c>
      <c r="AE547" s="109">
        <f>'US CL Pillowcases'!BF46</f>
        <v/>
      </c>
      <c r="AF547" s="109" t="inlineStr">
        <is>
          <t>Standard</t>
        </is>
      </c>
      <c r="AG547" s="109" t="inlineStr">
        <is>
          <t>Grey</t>
        </is>
      </c>
    </row>
    <row r="548">
      <c r="A548" s="109">
        <f>AND(OR(Dashboard!$C$4="All",Dashboard!$C$4=D548),OR(Dashboard!$C$5="All",Dashboard!$C$5=E548),OR(Dashboard!$C$6="All",Dashboard!$C$6=G548),OR(Dashboard!$C$7="All",Dashboard!$C$7=H548),OR(Dashboard!$C$8="All",Dashboard!$C$8=F548))</f>
        <v/>
      </c>
      <c r="B548" s="109">
        <f>IF(A548,B547+1,B547)</f>
        <v/>
      </c>
      <c r="C548" s="109" t="n">
        <v>70</v>
      </c>
      <c r="D548" s="109" t="inlineStr">
        <is>
          <t>CL Pillowcases</t>
        </is>
      </c>
      <c r="E548" s="109" t="inlineStr">
        <is>
          <t>US</t>
        </is>
      </c>
      <c r="F548" s="109" t="inlineStr">
        <is>
          <t>Cooling</t>
        </is>
      </c>
      <c r="G548" s="109" t="inlineStr">
        <is>
          <t>HOMFINE</t>
        </is>
      </c>
      <c r="H548" s="109" t="inlineStr">
        <is>
          <t>Beatable</t>
        </is>
      </c>
      <c r="I548" s="109" t="inlineStr">
        <is>
          <t>HOMFINE Cooling Pillowcases for Hot Sleepers King Size Set of 2, Grey</t>
        </is>
      </c>
      <c r="J548" s="109" t="inlineStr">
        <is>
          <t>https://images-na.ssl-images-amazon.com/images/I/818UAaS5dSL.jpg</t>
        </is>
      </c>
      <c r="K548" s="109" t="inlineStr">
        <is>
          <t>B0CN6YFBVJ</t>
        </is>
      </c>
      <c r="L548" s="109" t="inlineStr">
        <is>
          <t>B0BLT2MCT6</t>
        </is>
      </c>
      <c r="M548" s="109" t="n">
        <v>22</v>
      </c>
      <c r="N548" s="109" t="n">
        <v>11.99</v>
      </c>
      <c r="O548" s="109" t="n"/>
      <c r="P548" s="109">
        <f>IF(AND(ISNUMBER(O548),ISNUMBER(N548),N(N548)&gt;0),O548/N548-1,"")</f>
        <v/>
      </c>
      <c r="Q548" s="109" t="n">
        <v>20.99</v>
      </c>
      <c r="R548" s="109">
        <f>IF(AND(ISNUMBER(N548),ISNUMBER(Q548),N(Q548)&gt;0),N548/Q548-1,"")</f>
        <v/>
      </c>
      <c r="S548" s="109" t="n">
        <v>31417</v>
      </c>
      <c r="T548" s="109" t="n">
        <v>81</v>
      </c>
      <c r="U548" s="109" t="n">
        <v>4.3</v>
      </c>
      <c r="V548" s="109" t="n">
        <v>1309</v>
      </c>
      <c r="W548" s="109" t="n">
        <v>17008</v>
      </c>
      <c r="X548" s="109" t="n">
        <v>0.9595514640169331</v>
      </c>
      <c r="Y548" s="109" t="n">
        <v>102</v>
      </c>
      <c r="Z548" s="109" t="n">
        <v>82</v>
      </c>
      <c r="AA548" s="109" t="n">
        <v>26</v>
      </c>
      <c r="AB548" s="109" t="n">
        <v>0.8495145631067961</v>
      </c>
      <c r="AC548" s="109" t="inlineStr">
        <is>
          <t>US CL Pillowcases</t>
        </is>
      </c>
      <c r="AD548" s="109">
        <f>'US CL Pillowcases'!BC47</f>
        <v/>
      </c>
      <c r="AE548" s="109">
        <f>'US CL Pillowcases'!BF47</f>
        <v/>
      </c>
      <c r="AF548" s="109" t="inlineStr">
        <is>
          <t>King</t>
        </is>
      </c>
      <c r="AG548" s="109" t="inlineStr">
        <is>
          <t>Grey</t>
        </is>
      </c>
    </row>
    <row r="549">
      <c r="A549" s="109">
        <f>AND(OR(Dashboard!$C$4="All",Dashboard!$C$4=D549),OR(Dashboard!$C$5="All",Dashboard!$C$5=E549),OR(Dashboard!$C$6="All",Dashboard!$C$6=G549),OR(Dashboard!$C$7="All",Dashboard!$C$7=H549),OR(Dashboard!$C$8="All",Dashboard!$C$8=F549))</f>
        <v/>
      </c>
      <c r="B549" s="109">
        <f>IF(A549,B548+1,B548)</f>
        <v/>
      </c>
      <c r="C549" s="109" t="n">
        <v>70</v>
      </c>
      <c r="D549" s="109" t="inlineStr">
        <is>
          <t>CL Pillowcases</t>
        </is>
      </c>
      <c r="E549" s="109" t="inlineStr">
        <is>
          <t>US</t>
        </is>
      </c>
      <c r="F549" s="109" t="inlineStr">
        <is>
          <t>Cooling</t>
        </is>
      </c>
      <c r="G549" s="109" t="inlineStr">
        <is>
          <t>QUTOOL</t>
        </is>
      </c>
      <c r="H549" s="109" t="inlineStr">
        <is>
          <t>Beatable</t>
        </is>
      </c>
      <c r="I549" s="109" t="inlineStr">
        <is>
          <t>Luxury Cooling Pillowcases Queen Size 2 Pack, Q-Max&gt;0.4 Cool Touch for Hot Sleepers&amp;Night Sweats Beauty Sleep Anti-Frizz, Softer Than Silk Pillowcover Oeko-TEX Certified Light Gray</t>
        </is>
      </c>
      <c r="J549" s="109" t="inlineStr">
        <is>
          <t>https://images-na.ssl-images-amazon.com/images/I/61xlOGglCHL.jpg</t>
        </is>
      </c>
      <c r="K549" s="109" t="inlineStr">
        <is>
          <t>B0DL5R7SSB</t>
        </is>
      </c>
      <c r="L549" s="109" t="inlineStr">
        <is>
          <t>B0DLB4PQS8</t>
        </is>
      </c>
      <c r="M549" s="109" t="n">
        <v>22</v>
      </c>
      <c r="N549" s="109" t="n">
        <v>16.99</v>
      </c>
      <c r="O549" s="109" t="n"/>
      <c r="P549" s="109">
        <f>IF(AND(ISNUMBER(O549),ISNUMBER(N549),N(N549)&gt;0),O549/N549-1,"")</f>
        <v/>
      </c>
      <c r="Q549" s="109" t="n">
        <v>19.99</v>
      </c>
      <c r="R549" s="109">
        <f>IF(AND(ISNUMBER(N549),ISNUMBER(Q549),N(Q549)&gt;0),N549/Q549-1,"")</f>
        <v/>
      </c>
      <c r="S549" s="109" t="n">
        <v>39446</v>
      </c>
      <c r="T549" s="109" t="n">
        <v>35</v>
      </c>
      <c r="U549" s="109" t="n">
        <v>4.4</v>
      </c>
      <c r="V549" s="109" t="n">
        <v>769</v>
      </c>
      <c r="W549" s="109" t="n">
        <v>15503</v>
      </c>
      <c r="X549" s="109" t="n">
        <v>0.6025155131264917</v>
      </c>
      <c r="Y549" s="109" t="n">
        <v>49</v>
      </c>
      <c r="Z549" s="109" t="n">
        <v>33</v>
      </c>
      <c r="AA549" s="109" t="n">
        <v>67</v>
      </c>
      <c r="AB549" s="109" t="n"/>
      <c r="AC549" s="109" t="inlineStr">
        <is>
          <t>US CL Pillowcases</t>
        </is>
      </c>
      <c r="AD549" s="109">
        <f>'US CL Pillowcases'!BC48</f>
        <v/>
      </c>
      <c r="AE549" s="109">
        <f>'US CL Pillowcases'!BF48</f>
        <v/>
      </c>
      <c r="AF549" s="109" t="inlineStr">
        <is>
          <t>Queen</t>
        </is>
      </c>
      <c r="AG549" s="109" t="inlineStr">
        <is>
          <t>Gray</t>
        </is>
      </c>
    </row>
    <row r="550">
      <c r="A550" s="109">
        <f>AND(OR(Dashboard!$C$4="All",Dashboard!$C$4=D550),OR(Dashboard!$C$5="All",Dashboard!$C$5=E550),OR(Dashboard!$C$6="All",Dashboard!$C$6=G550),OR(Dashboard!$C$7="All",Dashboard!$C$7=H550),OR(Dashboard!$C$8="All",Dashboard!$C$8=F550))</f>
        <v/>
      </c>
      <c r="B550" s="109">
        <f>IF(A550,B549+1,B549)</f>
        <v/>
      </c>
      <c r="C550" s="109" t="n">
        <v>70</v>
      </c>
      <c r="D550" s="109" t="inlineStr">
        <is>
          <t>CL Pillowcases</t>
        </is>
      </c>
      <c r="E550" s="109" t="inlineStr">
        <is>
          <t>US</t>
        </is>
      </c>
      <c r="F550" s="109" t="inlineStr">
        <is>
          <t>Cooling</t>
        </is>
      </c>
      <c r="G550" s="109" t="inlineStr">
        <is>
          <t>Breescape</t>
        </is>
      </c>
      <c r="H550" s="109" t="inlineStr">
        <is>
          <t>Beatable</t>
        </is>
      </c>
      <c r="I550" s="109" t="inlineStr">
        <is>
          <t>Breescape Cooling Pillow Cases Queen Size Set of 2, BlendTek™ Cooling Technology</t>
        </is>
      </c>
      <c r="J550" s="109" t="n"/>
      <c r="K550" s="109" t="inlineStr">
        <is>
          <t>B0F53TNFSX</t>
        </is>
      </c>
      <c r="L550" s="109" t="inlineStr">
        <is>
          <t>B0DSQ12L6F</t>
        </is>
      </c>
      <c r="M550" s="109" t="n">
        <v>13</v>
      </c>
      <c r="N550" s="109" t="n">
        <v>54.99</v>
      </c>
      <c r="O550" s="109" t="n"/>
      <c r="P550" s="109">
        <f>IF(AND(ISNUMBER(O550),ISNUMBER(N550),N(N550)&gt;0),O550/N550-1,"")</f>
        <v/>
      </c>
      <c r="Q550" s="109" t="n">
        <v>19.99</v>
      </c>
      <c r="R550" s="109">
        <f>IF(AND(ISNUMBER(N550),ISNUMBER(Q550),N(Q550)&gt;0),N550/Q550-1,"")</f>
        <v/>
      </c>
      <c r="S550" s="109" t="n">
        <v>132996</v>
      </c>
      <c r="T550" s="109" t="n">
        <v>18</v>
      </c>
      <c r="U550" s="109" t="n">
        <v>4.4</v>
      </c>
      <c r="V550" s="109" t="n">
        <v>305</v>
      </c>
      <c r="W550" s="109" t="n">
        <v>25040</v>
      </c>
      <c r="X550" s="109" t="n">
        <v>0.3706715455271565</v>
      </c>
      <c r="Y550" s="109" t="n">
        <v>81</v>
      </c>
      <c r="Z550" s="109" t="n">
        <v>68</v>
      </c>
      <c r="AA550" s="109" t="n">
        <v>459</v>
      </c>
      <c r="AB550" s="109" t="n"/>
      <c r="AC550" s="109" t="inlineStr">
        <is>
          <t>US CL Pillowcases</t>
        </is>
      </c>
      <c r="AD550" s="109">
        <f>'US CL Pillowcases'!BC49</f>
        <v/>
      </c>
      <c r="AE550" s="109">
        <f>'US CL Pillowcases'!BF49</f>
        <v/>
      </c>
      <c r="AF550" s="109" t="inlineStr">
        <is>
          <t>Queen</t>
        </is>
      </c>
      <c r="AG550" s="109" t="n"/>
    </row>
    <row r="551">
      <c r="A551" s="109">
        <f>AND(OR(Dashboard!$C$4="All",Dashboard!$C$4=D551),OR(Dashboard!$C$5="All",Dashboard!$C$5=E551),OR(Dashboard!$C$6="All",Dashboard!$C$6=G551),OR(Dashboard!$C$7="All",Dashboard!$C$7=H551),OR(Dashboard!$C$8="All",Dashboard!$C$8=F551))</f>
        <v/>
      </c>
      <c r="B551" s="109">
        <f>IF(A551,B550+1,B550)</f>
        <v/>
      </c>
      <c r="C551" s="109" t="n">
        <v>70</v>
      </c>
      <c r="D551" s="109" t="inlineStr">
        <is>
          <t>CL Pillowcases</t>
        </is>
      </c>
      <c r="E551" s="109" t="inlineStr">
        <is>
          <t>US</t>
        </is>
      </c>
      <c r="F551" s="109" t="inlineStr">
        <is>
          <t>Cooling</t>
        </is>
      </c>
      <c r="G551" s="109" t="inlineStr">
        <is>
          <t>Fittia</t>
        </is>
      </c>
      <c r="H551" s="109" t="inlineStr">
        <is>
          <t>Beatable</t>
        </is>
      </c>
      <c r="I551" s="109" t="inlineStr">
        <is>
          <t>FITTIA Cooling Pillow Cases with Zipper, 2 Pack, Standard Size 20"x26"</t>
        </is>
      </c>
      <c r="J551" s="109" t="inlineStr">
        <is>
          <t>https://images-na.ssl-images-amazon.com/images/I/71dsthjuVUL.jpg</t>
        </is>
      </c>
      <c r="K551" s="109" t="inlineStr">
        <is>
          <t>B099JMGRBY</t>
        </is>
      </c>
      <c r="L551" s="109" t="inlineStr">
        <is>
          <t>B099J7KMK5</t>
        </is>
      </c>
      <c r="M551" s="109" t="n">
        <v>16</v>
      </c>
      <c r="N551" s="109" t="n">
        <v>19.99</v>
      </c>
      <c r="O551" s="109" t="n"/>
      <c r="P551" s="109">
        <f>IF(AND(ISNUMBER(O551),ISNUMBER(N551),N(N551)&gt;0),O551/N551-1,"")</f>
        <v/>
      </c>
      <c r="Q551" s="109" t="n">
        <v>17.99</v>
      </c>
      <c r="R551" s="109">
        <f>IF(AND(ISNUMBER(N551),ISNUMBER(Q551),N(Q551)&gt;0),N551/Q551-1,"")</f>
        <v/>
      </c>
      <c r="S551" s="109" t="n">
        <v>156607</v>
      </c>
      <c r="T551" s="109" t="n">
        <v>18</v>
      </c>
      <c r="U551" s="109" t="n">
        <v>4.3</v>
      </c>
      <c r="V551" s="109" t="n">
        <v>1335</v>
      </c>
      <c r="W551" s="109" t="n">
        <v>16144</v>
      </c>
      <c r="X551" s="109" t="n">
        <v>0.8876912784935578</v>
      </c>
      <c r="Y551" s="109" t="n">
        <v>37</v>
      </c>
      <c r="Z551" s="109" t="n">
        <v>44</v>
      </c>
      <c r="AA551" s="109" t="n">
        <v>20</v>
      </c>
      <c r="AB551" s="109" t="n">
        <v>1.175373134328358</v>
      </c>
      <c r="AC551" s="109" t="inlineStr">
        <is>
          <t>US CL Pillowcases</t>
        </is>
      </c>
      <c r="AD551" s="109">
        <f>'US CL Pillowcases'!BC50</f>
        <v/>
      </c>
      <c r="AE551" s="109">
        <f>'US CL Pillowcases'!BF50</f>
        <v/>
      </c>
      <c r="AF551" s="109" t="inlineStr">
        <is>
          <t>Standard</t>
        </is>
      </c>
      <c r="AG551" s="109" t="n"/>
    </row>
    <row r="552">
      <c r="A552" s="109">
        <f>AND(OR(Dashboard!$C$4="All",Dashboard!$C$4=D552),OR(Dashboard!$C$5="All",Dashboard!$C$5=E552),OR(Dashboard!$C$6="All",Dashboard!$C$6=G552),OR(Dashboard!$C$7="All",Dashboard!$C$7=H552),OR(Dashboard!$C$8="All",Dashboard!$C$8=F552))</f>
        <v/>
      </c>
      <c r="B552" s="109">
        <f>IF(A552,B551+1,B551)</f>
        <v/>
      </c>
      <c r="C552" s="109" t="n">
        <v>70</v>
      </c>
      <c r="D552" s="109" t="inlineStr">
        <is>
          <t>CL Pillowcases</t>
        </is>
      </c>
      <c r="E552" s="109" t="inlineStr">
        <is>
          <t>US</t>
        </is>
      </c>
      <c r="F552" s="109" t="inlineStr">
        <is>
          <t>Cooling</t>
        </is>
      </c>
      <c r="G552" s="109" t="inlineStr">
        <is>
          <t>Bedsure</t>
        </is>
      </c>
      <c r="H552" s="109" t="inlineStr">
        <is>
          <t>Beatable</t>
        </is>
      </c>
      <c r="I552" s="109" t="inlineStr">
        <is>
          <t>Bedsure Cooling Pillow Cases Queen Size Set of 2 for Hot Sleepers, Grey</t>
        </is>
      </c>
      <c r="J552" s="109" t="inlineStr">
        <is>
          <t>https://images-na.ssl-images-amazon.com/images/I/81lPRf0QezL.jpg</t>
        </is>
      </c>
      <c r="K552" s="109" t="inlineStr">
        <is>
          <t>B0GS2D7MBT</t>
        </is>
      </c>
      <c r="L552" s="109" t="inlineStr">
        <is>
          <t>B0CP3NX181</t>
        </is>
      </c>
      <c r="M552" s="109" t="n">
        <v>7</v>
      </c>
      <c r="N552" s="109" t="n">
        <v>18.99</v>
      </c>
      <c r="O552" s="109" t="n">
        <v>24.99</v>
      </c>
      <c r="P552" s="109">
        <f>IF(AND(ISNUMBER(O552),ISNUMBER(N552),N(N552)&gt;0),O552/N552-1,"")</f>
        <v/>
      </c>
      <c r="Q552" s="109" t="n">
        <v>19.99</v>
      </c>
      <c r="R552" s="109">
        <f>IF(AND(ISNUMBER(N552),ISNUMBER(Q552),N(Q552)&gt;0),N552/Q552-1,"")</f>
        <v/>
      </c>
      <c r="S552" s="109" t="n">
        <v>156798</v>
      </c>
      <c r="T552" s="109" t="n">
        <v>5</v>
      </c>
      <c r="U552" s="109" t="n">
        <v>4.5</v>
      </c>
      <c r="V552" s="109" t="n">
        <v>676</v>
      </c>
      <c r="W552" s="109" t="n">
        <v>38313</v>
      </c>
      <c r="X552" s="109" t="n">
        <v>0.4058418317542347</v>
      </c>
      <c r="Y552" s="109" t="n">
        <v>97</v>
      </c>
      <c r="Z552" s="109" t="n">
        <v>98</v>
      </c>
      <c r="AA552" s="109" t="n">
        <v>780</v>
      </c>
      <c r="AB552" s="109" t="n"/>
      <c r="AC552" s="109" t="inlineStr">
        <is>
          <t>US CL Pillowcases</t>
        </is>
      </c>
      <c r="AD552" s="109">
        <f>'US CL Pillowcases'!BC51</f>
        <v/>
      </c>
      <c r="AE552" s="109">
        <f>'US CL Pillowcases'!BF51</f>
        <v/>
      </c>
      <c r="AF552" s="109" t="inlineStr">
        <is>
          <t>Queen</t>
        </is>
      </c>
      <c r="AG552" s="109" t="inlineStr">
        <is>
          <t>Grey</t>
        </is>
      </c>
    </row>
    <row r="553">
      <c r="A553" s="109">
        <f>AND(OR(Dashboard!$C$4="All",Dashboard!$C$4=D553),OR(Dashboard!$C$5="All",Dashboard!$C$5=E553),OR(Dashboard!$C$6="All",Dashboard!$C$6=G553),OR(Dashboard!$C$7="All",Dashboard!$C$7=H553),OR(Dashboard!$C$8="All",Dashboard!$C$8=F553))</f>
        <v/>
      </c>
      <c r="B553" s="109">
        <f>IF(A553,B552+1,B552)</f>
        <v/>
      </c>
      <c r="C553" s="109" t="n">
        <v>70</v>
      </c>
      <c r="D553" s="109" t="inlineStr">
        <is>
          <t>CL Pillowcases</t>
        </is>
      </c>
      <c r="E553" s="109" t="inlineStr">
        <is>
          <t>US</t>
        </is>
      </c>
      <c r="F553" s="109" t="inlineStr">
        <is>
          <t>Cooling</t>
        </is>
      </c>
      <c r="G553" s="109" t="inlineStr">
        <is>
          <t>Coop Home Goods</t>
        </is>
      </c>
      <c r="H553" s="109" t="inlineStr">
        <is>
          <t>Beatable</t>
        </is>
      </c>
      <c r="I553" s="109" t="inlineStr">
        <is>
          <t>Coop Home Goods Cool Side Pillowcase, Queen Size Cooling Pillow Case for Hot Sle</t>
        </is>
      </c>
      <c r="J553" s="109" t="n"/>
      <c r="K553" s="109" t="inlineStr">
        <is>
          <t>B0DGH3JKZ5</t>
        </is>
      </c>
      <c r="L553" s="109" t="inlineStr">
        <is>
          <t>B08B448344</t>
        </is>
      </c>
      <c r="M553" s="109" t="n">
        <v>7</v>
      </c>
      <c r="N553" s="109" t="n">
        <v>25.5</v>
      </c>
      <c r="O553" s="109" t="n"/>
      <c r="P553" s="109">
        <f>IF(AND(ISNUMBER(O553),ISNUMBER(N553),N(N553)&gt;0),O553/N553-1,"")</f>
        <v/>
      </c>
      <c r="Q553" s="109" t="n">
        <v>19.99</v>
      </c>
      <c r="R553" s="109">
        <f>IF(AND(ISNUMBER(N553),ISNUMBER(Q553),N(Q553)&gt;0),N553/Q553-1,"")</f>
        <v/>
      </c>
      <c r="S553" s="109" t="n">
        <v>66369</v>
      </c>
      <c r="T553" s="109" t="n">
        <v>5</v>
      </c>
      <c r="U553" s="109" t="n">
        <v>4.3</v>
      </c>
      <c r="V553" s="109" t="n">
        <v>1158</v>
      </c>
      <c r="W553" s="109" t="n">
        <v>26180</v>
      </c>
      <c r="X553" s="109" t="n">
        <v>0.9925127425515661</v>
      </c>
      <c r="Y553" s="109" t="n">
        <v>24</v>
      </c>
      <c r="Z553" s="109" t="n">
        <v>15</v>
      </c>
      <c r="AA553" s="109" t="n">
        <v>15</v>
      </c>
      <c r="AB553" s="109" t="n">
        <v>0.6264367816091955</v>
      </c>
      <c r="AC553" s="109" t="inlineStr">
        <is>
          <t>US CL Pillowcases</t>
        </is>
      </c>
      <c r="AD553" s="109">
        <f>'US CL Pillowcases'!BC52</f>
        <v/>
      </c>
      <c r="AE553" s="109">
        <f>'US CL Pillowcases'!BF52</f>
        <v/>
      </c>
      <c r="AF553" s="109" t="inlineStr">
        <is>
          <t>Queen</t>
        </is>
      </c>
      <c r="AG553" s="109" t="n"/>
    </row>
    <row r="554">
      <c r="A554" s="109">
        <f>AND(OR(Dashboard!$C$4="All",Dashboard!$C$4=D554),OR(Dashboard!$C$5="All",Dashboard!$C$5=E554),OR(Dashboard!$C$6="All",Dashboard!$C$6=G554),OR(Dashboard!$C$7="All",Dashboard!$C$7=H554),OR(Dashboard!$C$8="All",Dashboard!$C$8=F554))</f>
        <v/>
      </c>
      <c r="B554" s="109">
        <f>IF(A554,B553+1,B553)</f>
        <v/>
      </c>
      <c r="C554" s="109" t="n">
        <v>70</v>
      </c>
      <c r="D554" s="109" t="inlineStr">
        <is>
          <t>CL Pillowcases</t>
        </is>
      </c>
      <c r="E554" s="109" t="inlineStr">
        <is>
          <t>US</t>
        </is>
      </c>
      <c r="F554" s="109" t="inlineStr">
        <is>
          <t>Cooling</t>
        </is>
      </c>
      <c r="G554" s="109" t="inlineStr">
        <is>
          <t>Marchpower</t>
        </is>
      </c>
      <c r="H554" s="109" t="inlineStr">
        <is>
          <t>Beatable</t>
        </is>
      </c>
      <c r="I554" s="109" t="inlineStr">
        <is>
          <t>Marchpower Cooling Pillow Cases for Hot Sleepers, Japanese Arc Chill Cooling Pil</t>
        </is>
      </c>
      <c r="J554" s="109" t="n"/>
      <c r="K554" s="109" t="inlineStr">
        <is>
          <t>B0CFY7SVV7</t>
        </is>
      </c>
      <c r="L554" s="109" t="inlineStr">
        <is>
          <t>B095GTMX4Y</t>
        </is>
      </c>
      <c r="M554" s="109" t="n">
        <v>9</v>
      </c>
      <c r="N554" s="109" t="n">
        <v>19.99</v>
      </c>
      <c r="O554" s="109" t="n"/>
      <c r="P554" s="109">
        <f>IF(AND(ISNUMBER(O554),ISNUMBER(N554),N(N554)&gt;0),O554/N554-1,"")</f>
        <v/>
      </c>
      <c r="Q554" s="109" t="n">
        <v>19.99</v>
      </c>
      <c r="R554" s="109">
        <f>IF(AND(ISNUMBER(N554),ISNUMBER(Q554),N(Q554)&gt;0),N554/Q554-1,"")</f>
        <v/>
      </c>
      <c r="S554" s="109" t="n">
        <v>265537</v>
      </c>
      <c r="T554" s="109" t="n">
        <v>5</v>
      </c>
      <c r="U554" s="109" t="n">
        <v>4.3</v>
      </c>
      <c r="V554" s="109" t="n">
        <v>1247</v>
      </c>
      <c r="W554" s="109" t="n">
        <v>5423</v>
      </c>
      <c r="X554" s="109" t="n">
        <v>0.9321121519454174</v>
      </c>
      <c r="Y554" s="109" t="n">
        <v>46</v>
      </c>
      <c r="Z554" s="109" t="n">
        <v>20</v>
      </c>
      <c r="AA554" s="109" t="n">
        <v>41</v>
      </c>
      <c r="AB554" s="109" t="n"/>
      <c r="AC554" s="109" t="inlineStr">
        <is>
          <t>US CL Pillowcases</t>
        </is>
      </c>
      <c r="AD554" s="109">
        <f>'US CL Pillowcases'!BC53</f>
        <v/>
      </c>
      <c r="AE554" s="109">
        <f>'US CL Pillowcases'!BF53</f>
        <v/>
      </c>
      <c r="AF554" s="109" t="n"/>
      <c r="AG554" s="109" t="n"/>
    </row>
    <row r="555">
      <c r="A555" s="109">
        <f>AND(OR(Dashboard!$C$4="All",Dashboard!$C$4=D555),OR(Dashboard!$C$5="All",Dashboard!$C$5=E555),OR(Dashboard!$C$6="All",Dashboard!$C$6=G555),OR(Dashboard!$C$7="All",Dashboard!$C$7=H555),OR(Dashboard!$C$8="All",Dashboard!$C$8=F555))</f>
        <v/>
      </c>
      <c r="B555" s="109">
        <f>IF(A555,B554+1,B554)</f>
        <v/>
      </c>
      <c r="C555" s="109" t="n">
        <v>70</v>
      </c>
      <c r="D555" s="109" t="inlineStr">
        <is>
          <t>CL Pillowcases</t>
        </is>
      </c>
      <c r="E555" s="109" t="inlineStr">
        <is>
          <t>US</t>
        </is>
      </c>
      <c r="F555" s="109" t="inlineStr">
        <is>
          <t>Cooling</t>
        </is>
      </c>
      <c r="G555" s="109" t="inlineStr">
        <is>
          <t>Rifens</t>
        </is>
      </c>
      <c r="H555" s="109" t="inlineStr">
        <is>
          <t>Beatable</t>
        </is>
      </c>
      <c r="I555" s="109" t="inlineStr">
        <is>
          <t>Ice Cooling Pillowcase for Hot Sleepers, Instantly Cool, Stay Cold All Night, Softer Than Silk Pillow Cases, Pillow Covers with Invisible Zipper, Gift for Men &amp; Women - Standard, Light Gray (1 Pack)</t>
        </is>
      </c>
      <c r="J555" s="109" t="inlineStr">
        <is>
          <t>https://images-na.ssl-images-amazon.com/images/I/71JIe-f4CUL.jpg</t>
        </is>
      </c>
      <c r="K555" s="109" t="inlineStr">
        <is>
          <t>B0DJ933TY2</t>
        </is>
      </c>
      <c r="L555" s="109" t="inlineStr">
        <is>
          <t>B0DJ933TY2</t>
        </is>
      </c>
      <c r="M555" s="109" t="n">
        <v>1</v>
      </c>
      <c r="N555" s="109" t="n">
        <v>18.99</v>
      </c>
      <c r="O555" s="109" t="n"/>
      <c r="P555" s="109">
        <f>IF(AND(ISNUMBER(O555),ISNUMBER(N555),N(N555)&gt;0),O555/N555-1,"")</f>
        <v/>
      </c>
      <c r="Q555" s="109" t="n">
        <v>17.99</v>
      </c>
      <c r="R555" s="109">
        <f>IF(AND(ISNUMBER(N555),ISNUMBER(Q555),N(Q555)&gt;0),N555/Q555-1,"")</f>
        <v/>
      </c>
      <c r="S555" s="109" t="n">
        <v>519777</v>
      </c>
      <c r="T555" s="109" t="n">
        <v>5</v>
      </c>
      <c r="U555" s="109" t="n">
        <v>4.6</v>
      </c>
      <c r="V555" s="109" t="n">
        <v>219</v>
      </c>
      <c r="W555" s="109" t="n">
        <v>8663</v>
      </c>
      <c r="X555" s="109" t="n">
        <v>1</v>
      </c>
      <c r="Y555" s="109" t="n">
        <v>28</v>
      </c>
      <c r="Z555" s="109" t="n">
        <v>20</v>
      </c>
      <c r="AA555" s="109" t="n">
        <v>0</v>
      </c>
      <c r="AB555" s="109" t="n"/>
      <c r="AC555" s="109" t="inlineStr">
        <is>
          <t>US CL Pillowcases</t>
        </is>
      </c>
      <c r="AD555" s="109">
        <f>'US CL Pillowcases'!BC54</f>
        <v/>
      </c>
      <c r="AE555" s="109">
        <f>'US CL Pillowcases'!BF54</f>
        <v/>
      </c>
      <c r="AF555" s="109" t="inlineStr">
        <is>
          <t>Standard</t>
        </is>
      </c>
      <c r="AG555" s="109" t="inlineStr">
        <is>
          <t>Gray</t>
        </is>
      </c>
    </row>
    <row r="556">
      <c r="A556" s="109">
        <f>AND(OR(Dashboard!$C$4="All",Dashboard!$C$4=D556),OR(Dashboard!$C$5="All",Dashboard!$C$5=E556),OR(Dashboard!$C$6="All",Dashboard!$C$6=G556),OR(Dashboard!$C$7="All",Dashboard!$C$7=H556),OR(Dashboard!$C$8="All",Dashboard!$C$8=F556))</f>
        <v/>
      </c>
      <c r="B556" s="109">
        <f>IF(A556,B555+1,B555)</f>
        <v/>
      </c>
      <c r="C556" s="109" t="n">
        <v>70</v>
      </c>
      <c r="D556" s="109" t="inlineStr">
        <is>
          <t>CL Pillowcases</t>
        </is>
      </c>
      <c r="E556" s="109" t="inlineStr">
        <is>
          <t>US</t>
        </is>
      </c>
      <c r="F556" s="109" t="inlineStr">
        <is>
          <t>Cooling</t>
        </is>
      </c>
      <c r="G556" s="109" t="inlineStr">
        <is>
          <t>Topcee</t>
        </is>
      </c>
      <c r="H556" s="109" t="inlineStr">
        <is>
          <t>Beatable</t>
        </is>
      </c>
      <c r="I556" s="109" t="inlineStr">
        <is>
          <t>Topcee Cooling Pillowcases, 2 Packs Queen Size Arc-Chill Q-Max&gt;0.5 Ultra Soft Co</t>
        </is>
      </c>
      <c r="J556" s="109" t="n"/>
      <c r="K556" s="109" t="inlineStr">
        <is>
          <t>B0BR9J5DGW</t>
        </is>
      </c>
      <c r="L556" s="109" t="inlineStr">
        <is>
          <t>B0BR9J5DGW</t>
        </is>
      </c>
      <c r="M556" s="109" t="n"/>
      <c r="N556" s="109" t="n">
        <v>18.95</v>
      </c>
      <c r="O556" s="109" t="n"/>
      <c r="P556" s="109">
        <f>IF(AND(ISNUMBER(O556),ISNUMBER(N556),N(N556)&gt;0),O556/N556-1,"")</f>
        <v/>
      </c>
      <c r="Q556" s="109" t="n">
        <v>19.99</v>
      </c>
      <c r="R556" s="109">
        <f>IF(AND(ISNUMBER(N556),ISNUMBER(Q556),N(Q556)&gt;0),N556/Q556-1,"")</f>
        <v/>
      </c>
      <c r="S556" s="109" t="n">
        <v>1292801</v>
      </c>
      <c r="T556" s="109" t="n">
        <v>5</v>
      </c>
      <c r="U556" s="109" t="n">
        <v>4.2</v>
      </c>
      <c r="V556" s="109" t="n">
        <v>227</v>
      </c>
      <c r="W556" s="109" t="n"/>
      <c r="X556" s="109" t="n"/>
      <c r="Y556" s="109" t="n"/>
      <c r="Z556" s="109" t="n"/>
      <c r="AA556" s="109" t="n"/>
      <c r="AB556" s="109" t="n"/>
      <c r="AC556" s="109" t="inlineStr">
        <is>
          <t>US CL Pillowcases</t>
        </is>
      </c>
      <c r="AD556" s="109">
        <f>'US CL Pillowcases'!BC55</f>
        <v/>
      </c>
      <c r="AE556" s="109">
        <f>'US CL Pillowcases'!BF55</f>
        <v/>
      </c>
      <c r="AF556" s="109" t="inlineStr">
        <is>
          <t>Queen</t>
        </is>
      </c>
      <c r="AG556" s="109" t="n"/>
    </row>
    <row r="557">
      <c r="A557" s="109">
        <f>AND(OR(Dashboard!$C$4="All",Dashboard!$C$4=D557),OR(Dashboard!$C$5="All",Dashboard!$C$5=E557),OR(Dashboard!$C$6="All",Dashboard!$C$6=G557),OR(Dashboard!$C$7="All",Dashboard!$C$7=H557),OR(Dashboard!$C$8="All",Dashboard!$C$8=F557))</f>
        <v/>
      </c>
      <c r="B557" s="109">
        <f>IF(A557,B556+1,B556)</f>
        <v/>
      </c>
      <c r="C557" s="109" t="n">
        <v>70</v>
      </c>
      <c r="D557" s="109" t="inlineStr">
        <is>
          <t>CL Pillowcases</t>
        </is>
      </c>
      <c r="E557" s="109" t="inlineStr">
        <is>
          <t>US</t>
        </is>
      </c>
      <c r="F557" s="109" t="inlineStr">
        <is>
          <t>Cooling</t>
        </is>
      </c>
      <c r="G557" s="109" t="inlineStr">
        <is>
          <t>Niagara Sleep Solution</t>
        </is>
      </c>
      <c r="H557" s="109" t="inlineStr">
        <is>
          <t>Poor</t>
        </is>
      </c>
      <c r="I557" s="109" t="inlineStr">
        <is>
          <t>Niagara Set of 2 Cooling Pillow Cases Standard Size, CoolSpan™ Technology Q-Max 0.4 Cooling Pillowcases for Hot Sleepers, Hidden Zipper Pillow Covers, Soft, Anti-Static (20x26'') - Light Grey</t>
        </is>
      </c>
      <c r="J557" s="109" t="inlineStr">
        <is>
          <t>https://images-na.ssl-images-amazon.com/images/I/81fWRYUTfVL.jpg</t>
        </is>
      </c>
      <c r="K557" s="109" t="inlineStr">
        <is>
          <t>B0CZB5B67X</t>
        </is>
      </c>
      <c r="L557" s="109" t="inlineStr">
        <is>
          <t>B0CZB5B67X</t>
        </is>
      </c>
      <c r="M557" s="109" t="n">
        <v>1</v>
      </c>
      <c r="N557" s="109" t="n">
        <v>14.6</v>
      </c>
      <c r="O557" s="109" t="n"/>
      <c r="P557" s="109">
        <f>IF(AND(ISNUMBER(O557),ISNUMBER(N557),N(N557)&gt;0),O557/N557-1,"")</f>
        <v/>
      </c>
      <c r="Q557" s="109" t="n">
        <v>17.99</v>
      </c>
      <c r="R557" s="109">
        <f>IF(AND(ISNUMBER(N557),ISNUMBER(Q557),N(Q557)&gt;0),N557/Q557-1,"")</f>
        <v/>
      </c>
      <c r="S557" s="109" t="n">
        <v>1393717</v>
      </c>
      <c r="T557" s="109" t="n">
        <v>5</v>
      </c>
      <c r="U557" s="109" t="n">
        <v>4.4</v>
      </c>
      <c r="V557" s="109" t="n">
        <v>109</v>
      </c>
      <c r="W557" s="109" t="n"/>
      <c r="X557" s="109" t="n"/>
      <c r="Y557" s="109" t="n"/>
      <c r="Z557" s="109" t="n"/>
      <c r="AA557" s="109" t="n"/>
      <c r="AB557" s="109" t="n"/>
      <c r="AC557" s="109" t="inlineStr">
        <is>
          <t>US CL Pillowcases</t>
        </is>
      </c>
      <c r="AD557" s="109">
        <f>'US CL Pillowcases'!BC56</f>
        <v/>
      </c>
      <c r="AE557" s="109">
        <f>'US CL Pillowcases'!BF56</f>
        <v/>
      </c>
      <c r="AF557" s="109" t="inlineStr">
        <is>
          <t>Standard</t>
        </is>
      </c>
      <c r="AG557" s="109" t="inlineStr">
        <is>
          <t>Grey</t>
        </is>
      </c>
    </row>
    <row r="558">
      <c r="A558" s="109">
        <f>AND(OR(Dashboard!$C$4="All",Dashboard!$C$4=D558),OR(Dashboard!$C$5="All",Dashboard!$C$5=E558),OR(Dashboard!$C$6="All",Dashboard!$C$6=G558),OR(Dashboard!$C$7="All",Dashboard!$C$7=H558),OR(Dashboard!$C$8="All",Dashboard!$C$8=F558))</f>
        <v/>
      </c>
      <c r="B558" s="109">
        <f>IF(A558,B557+1,B557)</f>
        <v/>
      </c>
      <c r="C558" s="109" t="n">
        <v>43</v>
      </c>
      <c r="D558" s="109" t="inlineStr">
        <is>
          <t>SL Cooling Pillowcase</t>
        </is>
      </c>
      <c r="E558" s="109" t="inlineStr">
        <is>
          <t>US</t>
        </is>
      </c>
      <c r="F558" s="109" t="inlineStr">
        <is>
          <t>Cooling</t>
        </is>
      </c>
      <c r="G558" s="109" t="inlineStr">
        <is>
          <t>Serta</t>
        </is>
      </c>
      <c r="H558" s="109" t="inlineStr">
        <is>
          <t>Aspirational</t>
        </is>
      </c>
      <c r="I558" s="109" t="inlineStr">
        <is>
          <t>Serta Power Chill Cooling Pillow Protectors, Standard/Queen (2 Pack)</t>
        </is>
      </c>
      <c r="J558" s="109" t="inlineStr">
        <is>
          <t>https://images-na.ssl-images-amazon.com/images/I/81Y85wfagkL.jpg</t>
        </is>
      </c>
      <c r="K558" s="109" t="inlineStr">
        <is>
          <t>B0D15BSQCT</t>
        </is>
      </c>
      <c r="L558" s="109" t="inlineStr">
        <is>
          <t>B098TRFLHZ</t>
        </is>
      </c>
      <c r="M558" s="109" t="n">
        <v>4</v>
      </c>
      <c r="N558" s="109" t="n">
        <v>19.1</v>
      </c>
      <c r="O558" s="109" t="n"/>
      <c r="P558" s="109">
        <f>IF(AND(ISNUMBER(O558),ISNUMBER(N558),N(N558)&gt;0),O558/N558-1,"")</f>
        <v/>
      </c>
      <c r="Q558" s="109" t="n">
        <v>17.99</v>
      </c>
      <c r="R558" s="109">
        <f>IF(AND(ISNUMBER(N558),ISNUMBER(Q558),N(Q558)&gt;0),N558/Q558-1,"")</f>
        <v/>
      </c>
      <c r="S558" s="109" t="n">
        <v>4285</v>
      </c>
      <c r="T558" s="109" t="n">
        <v>1040</v>
      </c>
      <c r="U558" s="109" t="n">
        <v>4.3</v>
      </c>
      <c r="V558" s="109" t="n">
        <v>3545</v>
      </c>
      <c r="W558" s="109" t="n">
        <v>290958</v>
      </c>
      <c r="X558" s="109" t="n">
        <v>0.6924335141154392</v>
      </c>
      <c r="Y558" s="109" t="n">
        <v>2</v>
      </c>
      <c r="Z558" s="109" t="n">
        <v>38</v>
      </c>
      <c r="AA558" s="109" t="n">
        <v>699</v>
      </c>
      <c r="AB558" s="109" t="n">
        <v>2.020360867406059</v>
      </c>
      <c r="AC558" s="109" t="inlineStr">
        <is>
          <t>US SL Cooling Pillowcase</t>
        </is>
      </c>
      <c r="AD558" s="109">
        <f>'US SL Cooling Pillowcase'!BC49</f>
        <v/>
      </c>
      <c r="AE558" s="109">
        <f>'US SL Cooling Pillowcase'!BF49</f>
        <v/>
      </c>
      <c r="AF558" s="109" t="inlineStr">
        <is>
          <t>Standard</t>
        </is>
      </c>
      <c r="AG558" s="109" t="n"/>
    </row>
    <row r="559">
      <c r="A559" s="109">
        <f>AND(OR(Dashboard!$C$4="All",Dashboard!$C$4=D559),OR(Dashboard!$C$5="All",Dashboard!$C$5=E559),OR(Dashboard!$C$6="All",Dashboard!$C$6=G559),OR(Dashboard!$C$7="All",Dashboard!$C$7=H559),OR(Dashboard!$C$8="All",Dashboard!$C$8=F559))</f>
        <v/>
      </c>
      <c r="B559" s="109">
        <f>IF(A559,B558+1,B558)</f>
        <v/>
      </c>
      <c r="C559" s="109" t="n">
        <v>43</v>
      </c>
      <c r="D559" s="109" t="inlineStr">
        <is>
          <t>SL Cooling Pillowcase</t>
        </is>
      </c>
      <c r="E559" s="109" t="inlineStr">
        <is>
          <t>US</t>
        </is>
      </c>
      <c r="F559" s="109" t="inlineStr">
        <is>
          <t>Cooling</t>
        </is>
      </c>
      <c r="G559" s="109" t="inlineStr">
        <is>
          <t>WISHSMILE</t>
        </is>
      </c>
      <c r="H559" s="109" t="inlineStr">
        <is>
          <t>Aspirational</t>
        </is>
      </c>
      <c r="I559" s="109" t="inlineStr">
        <is>
          <t>WishSmile Cooling Queen Pillowcases Set of 2 Breathable Cool Silky Soft Rayon De</t>
        </is>
      </c>
      <c r="J559" s="109" t="n"/>
      <c r="K559" s="109" t="inlineStr">
        <is>
          <t>B09BKQK7RZ</t>
        </is>
      </c>
      <c r="L559" s="109" t="inlineStr">
        <is>
          <t>B09BL2SMVG</t>
        </is>
      </c>
      <c r="M559" s="109" t="n">
        <v>41</v>
      </c>
      <c r="N559" s="109" t="n">
        <v>12.99</v>
      </c>
      <c r="O559" s="109" t="n"/>
      <c r="P559" s="109">
        <f>IF(AND(ISNUMBER(O559),ISNUMBER(N559),N(N559)&gt;0),O559/N559-1,"")</f>
        <v/>
      </c>
      <c r="Q559" s="109" t="n">
        <v>21.99</v>
      </c>
      <c r="R559" s="109">
        <f>IF(AND(ISNUMBER(N559),ISNUMBER(Q559),N(Q559)&gt;0),N559/Q559-1,"")</f>
        <v/>
      </c>
      <c r="S559" s="109" t="n">
        <v>2467</v>
      </c>
      <c r="T559" s="109" t="n">
        <v>809</v>
      </c>
      <c r="U559" s="109" t="n">
        <v>4.4</v>
      </c>
      <c r="V559" s="109" t="n">
        <v>7225</v>
      </c>
      <c r="W559" s="109" t="n">
        <v>151964</v>
      </c>
      <c r="X559" s="109" t="n">
        <v>0.8020060705167013</v>
      </c>
      <c r="Y559" s="109" t="n">
        <v>2</v>
      </c>
      <c r="Z559" s="109" t="n">
        <v>37</v>
      </c>
      <c r="AA559" s="109" t="n">
        <v>526</v>
      </c>
      <c r="AB559" s="109" t="n">
        <v>1.226522481502561</v>
      </c>
      <c r="AC559" s="109" t="inlineStr">
        <is>
          <t>US SL Cooling Pillowcase</t>
        </is>
      </c>
      <c r="AD559" s="109">
        <f>'US SL Cooling Pillowcase'!BC50</f>
        <v/>
      </c>
      <c r="AE559" s="109">
        <f>'US SL Cooling Pillowcase'!BF50</f>
        <v/>
      </c>
      <c r="AF559" s="109" t="inlineStr">
        <is>
          <t>Queen</t>
        </is>
      </c>
      <c r="AG559" s="109" t="n"/>
    </row>
    <row r="560">
      <c r="A560" s="109">
        <f>AND(OR(Dashboard!$C$4="All",Dashboard!$C$4=D560),OR(Dashboard!$C$5="All",Dashboard!$C$5=E560),OR(Dashboard!$C$6="All",Dashboard!$C$6=G560),OR(Dashboard!$C$7="All",Dashboard!$C$7=H560),OR(Dashboard!$C$8="All",Dashboard!$C$8=F560))</f>
        <v/>
      </c>
      <c r="B560" s="109">
        <f>IF(A560,B559+1,B559)</f>
        <v/>
      </c>
      <c r="C560" s="109" t="n">
        <v>43</v>
      </c>
      <c r="D560" s="109" t="inlineStr">
        <is>
          <t>SL Cooling Pillowcase</t>
        </is>
      </c>
      <c r="E560" s="109" t="inlineStr">
        <is>
          <t>US</t>
        </is>
      </c>
      <c r="F560" s="109" t="inlineStr">
        <is>
          <t>Cooling</t>
        </is>
      </c>
      <c r="G560" s="109" t="inlineStr">
        <is>
          <t>Avolare</t>
        </is>
      </c>
      <c r="H560" s="109" t="inlineStr">
        <is>
          <t>Aspirational</t>
        </is>
      </c>
      <c r="I560" s="109" t="inlineStr">
        <is>
          <t>Avolare Cooling Pillow Cases for Hot Sleepers Queen Size 2 Pack, Grey</t>
        </is>
      </c>
      <c r="J560" s="109" t="inlineStr">
        <is>
          <t>https://images-na.ssl-images-amazon.com/images/I/71xbyEBZ5WL.jpg</t>
        </is>
      </c>
      <c r="K560" s="109" t="inlineStr">
        <is>
          <t>B0H3PX4VQC</t>
        </is>
      </c>
      <c r="L560" s="109" t="inlineStr">
        <is>
          <t>B08TBL21VT</t>
        </is>
      </c>
      <c r="M560" s="109" t="n">
        <v>25</v>
      </c>
      <c r="N560" s="109" t="n">
        <v>15.99</v>
      </c>
      <c r="O560" s="109" t="n">
        <v>19.99</v>
      </c>
      <c r="P560" s="109">
        <f>IF(AND(ISNUMBER(O560),ISNUMBER(N560),N(N560)&gt;0),O560/N560-1,"")</f>
        <v/>
      </c>
      <c r="Q560" s="109" t="n">
        <v>21.99</v>
      </c>
      <c r="R560" s="109">
        <f>IF(AND(ISNUMBER(N560),ISNUMBER(Q560),N(Q560)&gt;0),N560/Q560-1,"")</f>
        <v/>
      </c>
      <c r="S560" s="109" t="n">
        <v>18613</v>
      </c>
      <c r="T560" s="109" t="n">
        <v>92</v>
      </c>
      <c r="U560" s="109" t="n">
        <v>4.4</v>
      </c>
      <c r="V560" s="109" t="n">
        <v>3872</v>
      </c>
      <c r="W560" s="109" t="n">
        <v>53763</v>
      </c>
      <c r="X560" s="109" t="n">
        <v>0.6823409073154402</v>
      </c>
      <c r="Y560" s="109" t="n">
        <v>3</v>
      </c>
      <c r="Z560" s="109" t="n">
        <v>38</v>
      </c>
      <c r="AA560" s="109" t="n">
        <v>191</v>
      </c>
      <c r="AB560" s="109" t="n">
        <v>1.099737532808399</v>
      </c>
      <c r="AC560" s="109" t="inlineStr">
        <is>
          <t>US SL Cooling Pillowcase</t>
        </is>
      </c>
      <c r="AD560" s="109">
        <f>'US SL Cooling Pillowcase'!BC51</f>
        <v/>
      </c>
      <c r="AE560" s="109">
        <f>'US SL Cooling Pillowcase'!BF51</f>
        <v/>
      </c>
      <c r="AF560" s="109" t="inlineStr">
        <is>
          <t>Queen</t>
        </is>
      </c>
      <c r="AG560" s="109" t="inlineStr">
        <is>
          <t>Grey</t>
        </is>
      </c>
    </row>
    <row r="561">
      <c r="A561" s="109">
        <f>AND(OR(Dashboard!$C$4="All",Dashboard!$C$4=D561),OR(Dashboard!$C$5="All",Dashboard!$C$5=E561),OR(Dashboard!$C$6="All",Dashboard!$C$6=G561),OR(Dashboard!$C$7="All",Dashboard!$C$7=H561),OR(Dashboard!$C$8="All",Dashboard!$C$8=F561))</f>
        <v/>
      </c>
      <c r="B561" s="109">
        <f>IF(A561,B560+1,B560)</f>
        <v/>
      </c>
      <c r="C561" s="109" t="n">
        <v>43</v>
      </c>
      <c r="D561" s="109" t="inlineStr">
        <is>
          <t>SL Cooling Pillowcase</t>
        </is>
      </c>
      <c r="E561" s="109" t="inlineStr">
        <is>
          <t>US</t>
        </is>
      </c>
      <c r="F561" s="109" t="inlineStr">
        <is>
          <t>Cooling</t>
        </is>
      </c>
      <c r="G561" s="109" t="inlineStr">
        <is>
          <t>Elegear</t>
        </is>
      </c>
      <c r="H561" s="109" t="inlineStr">
        <is>
          <t>Aspirational</t>
        </is>
      </c>
      <c r="I561" s="109" t="inlineStr">
        <is>
          <t>Elegear Cooling Pillow Cases for Hot Sleepers, Set of 2, Queen 20'' x 30''</t>
        </is>
      </c>
      <c r="J561" s="109" t="n"/>
      <c r="K561" s="109" t="inlineStr">
        <is>
          <t>B0HFSJ3HLW</t>
        </is>
      </c>
      <c r="L561" s="109" t="inlineStr">
        <is>
          <t>B07TMF54XC</t>
        </is>
      </c>
      <c r="M561" s="109" t="n">
        <v>19</v>
      </c>
      <c r="N561" s="109" t="n">
        <v>16.88</v>
      </c>
      <c r="O561" s="109" t="n"/>
      <c r="P561" s="109">
        <f>IF(AND(ISNUMBER(O561),ISNUMBER(N561),N(N561)&gt;0),O561/N561-1,"")</f>
        <v/>
      </c>
      <c r="Q561" s="109" t="n">
        <v>21.99</v>
      </c>
      <c r="R561" s="109">
        <f>IF(AND(ISNUMBER(N561),ISNUMBER(Q561),N(Q561)&gt;0),N561/Q561-1,"")</f>
        <v/>
      </c>
      <c r="S561" s="109" t="n">
        <v>29862</v>
      </c>
      <c r="T561" s="109" t="n">
        <v>35</v>
      </c>
      <c r="U561" s="109" t="n">
        <v>4.3</v>
      </c>
      <c r="V561" s="109" t="n">
        <v>8391</v>
      </c>
      <c r="W561" s="109" t="n">
        <v>12595</v>
      </c>
      <c r="X561" s="109" t="n">
        <v>0.8238290353314806</v>
      </c>
      <c r="Y561" s="109" t="n">
        <v>4</v>
      </c>
      <c r="Z561" s="109" t="n">
        <v>34</v>
      </c>
      <c r="AA561" s="109" t="n">
        <v>31</v>
      </c>
      <c r="AB561" s="109" t="n"/>
      <c r="AC561" s="109" t="inlineStr">
        <is>
          <t>US SL Cooling Pillowcase</t>
        </is>
      </c>
      <c r="AD561" s="109">
        <f>'US SL Cooling Pillowcase'!BC52</f>
        <v/>
      </c>
      <c r="AE561" s="109">
        <f>'US SL Cooling Pillowcase'!BF52</f>
        <v/>
      </c>
      <c r="AF561" s="109" t="inlineStr">
        <is>
          <t>Queen</t>
        </is>
      </c>
      <c r="AG561" s="109" t="n"/>
    </row>
    <row r="562">
      <c r="A562" s="109">
        <f>AND(OR(Dashboard!$C$4="All",Dashboard!$C$4=D562),OR(Dashboard!$C$5="All",Dashboard!$C$5=E562),OR(Dashboard!$C$6="All",Dashboard!$C$6=G562),OR(Dashboard!$C$7="All",Dashboard!$C$7=H562),OR(Dashboard!$C$8="All",Dashboard!$C$8=F562))</f>
        <v/>
      </c>
      <c r="B562" s="109">
        <f>IF(A562,B561+1,B561)</f>
        <v/>
      </c>
      <c r="C562" s="109" t="n">
        <v>43</v>
      </c>
      <c r="D562" s="109" t="inlineStr">
        <is>
          <t>SL Cooling Pillowcase</t>
        </is>
      </c>
      <c r="E562" s="109" t="inlineStr">
        <is>
          <t>US</t>
        </is>
      </c>
      <c r="F562" s="109" t="inlineStr">
        <is>
          <t>Cooling</t>
        </is>
      </c>
      <c r="G562" s="109" t="inlineStr">
        <is>
          <t>REST</t>
        </is>
      </c>
      <c r="H562" s="109" t="inlineStr">
        <is>
          <t>Beatable</t>
        </is>
      </c>
      <c r="I562" s="109" t="inlineStr">
        <is>
          <t>REST® Evercool®+ Cooling Pillowcases for Hot Sleepers, Standard, 2PCS</t>
        </is>
      </c>
      <c r="J562" s="109" t="inlineStr">
        <is>
          <t>https://images-na.ssl-images-amazon.com/images/I/71eYQFtuPxL.jpg</t>
        </is>
      </c>
      <c r="K562" s="109" t="inlineStr">
        <is>
          <t>B0C13Y18JW</t>
        </is>
      </c>
      <c r="L562" s="109" t="inlineStr">
        <is>
          <t>B0C141VGM6</t>
        </is>
      </c>
      <c r="M562" s="109" t="n">
        <v>12</v>
      </c>
      <c r="N562" s="109" t="n">
        <v>59.25</v>
      </c>
      <c r="O562" s="109" t="n">
        <v>79</v>
      </c>
      <c r="P562" s="109">
        <f>IF(AND(ISNUMBER(O562),ISNUMBER(N562),N(N562)&gt;0),O562/N562-1,"")</f>
        <v/>
      </c>
      <c r="Q562" s="109" t="n">
        <v>17.99</v>
      </c>
      <c r="R562" s="109">
        <f>IF(AND(ISNUMBER(N562),ISNUMBER(Q562),N(Q562)&gt;0),N562/Q562-1,"")</f>
        <v/>
      </c>
      <c r="S562" s="109" t="n">
        <v>4369</v>
      </c>
      <c r="T562" s="109" t="n">
        <v>208</v>
      </c>
      <c r="U562" s="109" t="n">
        <v>4.4</v>
      </c>
      <c r="V562" s="109" t="n">
        <v>1226</v>
      </c>
      <c r="W562" s="109" t="n">
        <v>345367</v>
      </c>
      <c r="X562" s="109" t="n">
        <v>0.2641106081356929</v>
      </c>
      <c r="Y562" s="109" t="n">
        <v>2</v>
      </c>
      <c r="Z562" s="109" t="n">
        <v>40</v>
      </c>
      <c r="AA562" s="109" t="n">
        <v>1942</v>
      </c>
      <c r="AB562" s="109" t="n">
        <v>2.252856054836253</v>
      </c>
      <c r="AC562" s="109" t="inlineStr">
        <is>
          <t>US SL Cooling Pillowcase</t>
        </is>
      </c>
      <c r="AD562" s="109">
        <f>'US SL Cooling Pillowcase'!BC53</f>
        <v/>
      </c>
      <c r="AE562" s="109">
        <f>'US SL Cooling Pillowcase'!BF53</f>
        <v/>
      </c>
      <c r="AF562" s="109" t="inlineStr">
        <is>
          <t>Standard</t>
        </is>
      </c>
      <c r="AG562" s="109" t="n"/>
    </row>
    <row r="563">
      <c r="A563" s="109">
        <f>AND(OR(Dashboard!$C$4="All",Dashboard!$C$4=D563),OR(Dashboard!$C$5="All",Dashboard!$C$5=E563),OR(Dashboard!$C$6="All",Dashboard!$C$6=G563),OR(Dashboard!$C$7="All",Dashboard!$C$7=H563),OR(Dashboard!$C$8="All",Dashboard!$C$8=F563))</f>
        <v/>
      </c>
      <c r="B563" s="109">
        <f>IF(A563,B562+1,B562)</f>
        <v/>
      </c>
      <c r="C563" s="109" t="n">
        <v>43</v>
      </c>
      <c r="D563" s="109" t="inlineStr">
        <is>
          <t>SL Cooling Pillowcase</t>
        </is>
      </c>
      <c r="E563" s="109" t="inlineStr">
        <is>
          <t>US</t>
        </is>
      </c>
      <c r="F563" s="109" t="inlineStr">
        <is>
          <t>Cooling</t>
        </is>
      </c>
      <c r="G563" s="109" t="inlineStr">
        <is>
          <t>Avolare</t>
        </is>
      </c>
      <c r="H563" s="109" t="inlineStr">
        <is>
          <t>Beatable</t>
        </is>
      </c>
      <c r="I563" s="109" t="inlineStr">
        <is>
          <t>Avolare Cooling Pillow Cases Queen Size Set of 2,Arc-Chill 3.0 Cool Pillowcases</t>
        </is>
      </c>
      <c r="J563" s="109" t="n"/>
      <c r="K563" s="109" t="inlineStr">
        <is>
          <t>B0GRV9GZ9L</t>
        </is>
      </c>
      <c r="L563" s="109" t="inlineStr">
        <is>
          <t>B08TBL21VT</t>
        </is>
      </c>
      <c r="M563" s="109" t="n"/>
      <c r="N563" s="109" t="n">
        <v>15.99</v>
      </c>
      <c r="O563" s="109" t="n">
        <v>19.99</v>
      </c>
      <c r="P563" s="109">
        <f>IF(AND(ISNUMBER(O563),ISNUMBER(N563),N(N563)&gt;0),O563/N563-1,"")</f>
        <v/>
      </c>
      <c r="Q563" s="109" t="n">
        <v>21.99</v>
      </c>
      <c r="R563" s="109">
        <f>IF(AND(ISNUMBER(N563),ISNUMBER(Q563),N(Q563)&gt;0),N563/Q563-1,"")</f>
        <v/>
      </c>
      <c r="S563" s="109" t="n">
        <v>14178</v>
      </c>
      <c r="T563" s="109" t="n">
        <v>173</v>
      </c>
      <c r="U563" s="109" t="n">
        <v>4.4</v>
      </c>
      <c r="V563" s="109" t="n">
        <v>3832</v>
      </c>
      <c r="W563" s="109" t="n"/>
      <c r="X563" s="109" t="n"/>
      <c r="Y563" s="109" t="n"/>
      <c r="Z563" s="109" t="n"/>
      <c r="AA563" s="109" t="n"/>
      <c r="AB563" s="109" t="n">
        <v>1.099737532808399</v>
      </c>
      <c r="AC563" s="109" t="inlineStr">
        <is>
          <t>US SL Cooling Pillowcase</t>
        </is>
      </c>
      <c r="AD563" s="109">
        <f>'US SL Cooling Pillowcase'!BC54</f>
        <v/>
      </c>
      <c r="AE563" s="109">
        <f>'US SL Cooling Pillowcase'!BF54</f>
        <v/>
      </c>
      <c r="AF563" s="109" t="inlineStr">
        <is>
          <t>Queen</t>
        </is>
      </c>
      <c r="AG563" s="109" t="n"/>
    </row>
    <row r="564">
      <c r="A564" s="109">
        <f>AND(OR(Dashboard!$C$4="All",Dashboard!$C$4=D564),OR(Dashboard!$C$5="All",Dashboard!$C$5=E564),OR(Dashboard!$C$6="All",Dashboard!$C$6=G564),OR(Dashboard!$C$7="All",Dashboard!$C$7=H564),OR(Dashboard!$C$8="All",Dashboard!$C$8=F564))</f>
        <v/>
      </c>
      <c r="B564" s="109">
        <f>IF(A564,B563+1,B563)</f>
        <v/>
      </c>
      <c r="C564" s="109" t="n">
        <v>43</v>
      </c>
      <c r="D564" s="109" t="inlineStr">
        <is>
          <t>SL Cooling Pillowcase</t>
        </is>
      </c>
      <c r="E564" s="109" t="inlineStr">
        <is>
          <t>US</t>
        </is>
      </c>
      <c r="F564" s="109" t="inlineStr">
        <is>
          <t>Cooling</t>
        </is>
      </c>
      <c r="G564" s="109" t="inlineStr">
        <is>
          <t>CHOSHOME</t>
        </is>
      </c>
      <c r="H564" s="109" t="inlineStr">
        <is>
          <t>Beatable</t>
        </is>
      </c>
      <c r="I564" s="109" t="inlineStr">
        <is>
          <t>CHOSHOME Cooling Pillow Cases Zipper Pillow Covers Q-Max &gt; 0.45 Zippered Pillowcases for Hot Sleepers, Soft, Breathable, Skin-Friendly, 2 Pack (Standard, 20" x 26", Grey)</t>
        </is>
      </c>
      <c r="J564" s="109" t="inlineStr">
        <is>
          <t>https://images-na.ssl-images-amazon.com/images/I/81mbqqKQImL.jpg</t>
        </is>
      </c>
      <c r="K564" s="109" t="inlineStr">
        <is>
          <t>B0B75178W1</t>
        </is>
      </c>
      <c r="L564" s="109" t="inlineStr">
        <is>
          <t>B08X2KBD67</t>
        </is>
      </c>
      <c r="M564" s="109" t="n">
        <v>54</v>
      </c>
      <c r="N564" s="109" t="n">
        <v>14.6</v>
      </c>
      <c r="O564" s="109" t="n"/>
      <c r="P564" s="109">
        <f>IF(AND(ISNUMBER(O564),ISNUMBER(N564),N(N564)&gt;0),O564/N564-1,"")</f>
        <v/>
      </c>
      <c r="Q564" s="109" t="n">
        <v>17.99</v>
      </c>
      <c r="R564" s="109">
        <f>IF(AND(ISNUMBER(N564),ISNUMBER(Q564),N(Q564)&gt;0),N564/Q564-1,"")</f>
        <v/>
      </c>
      <c r="S564" s="109" t="n">
        <v>28988</v>
      </c>
      <c r="T564" s="109" t="n">
        <v>104</v>
      </c>
      <c r="U564" s="109" t="n">
        <v>4.4</v>
      </c>
      <c r="V564" s="109" t="n">
        <v>1768</v>
      </c>
      <c r="W564" s="109" t="n">
        <v>17999</v>
      </c>
      <c r="X564" s="109" t="n">
        <v>0.8252617812100672</v>
      </c>
      <c r="Y564" s="109" t="n">
        <v>2</v>
      </c>
      <c r="Z564" s="109" t="n">
        <v>34</v>
      </c>
      <c r="AA564" s="109" t="n">
        <v>43</v>
      </c>
      <c r="AB564" s="109" t="n">
        <v>1.111111111111111</v>
      </c>
      <c r="AC564" s="109" t="inlineStr">
        <is>
          <t>US SL Cooling Pillowcase</t>
        </is>
      </c>
      <c r="AD564" s="109">
        <f>'US SL Cooling Pillowcase'!BC55</f>
        <v/>
      </c>
      <c r="AE564" s="109">
        <f>'US SL Cooling Pillowcase'!BF55</f>
        <v/>
      </c>
      <c r="AF564" s="109" t="inlineStr">
        <is>
          <t>Standard</t>
        </is>
      </c>
      <c r="AG564" s="109" t="inlineStr">
        <is>
          <t>Grey</t>
        </is>
      </c>
    </row>
    <row r="565">
      <c r="A565" s="109">
        <f>AND(OR(Dashboard!$C$4="All",Dashboard!$C$4=D565),OR(Dashboard!$C$5="All",Dashboard!$C$5=E565),OR(Dashboard!$C$6="All",Dashboard!$C$6=G565),OR(Dashboard!$C$7="All",Dashboard!$C$7=H565),OR(Dashboard!$C$8="All",Dashboard!$C$8=F565))</f>
        <v/>
      </c>
      <c r="B565" s="109">
        <f>IF(A565,B564+1,B564)</f>
        <v/>
      </c>
      <c r="C565" s="109" t="n">
        <v>43</v>
      </c>
      <c r="D565" s="109" t="inlineStr">
        <is>
          <t>SL Cooling Pillowcase</t>
        </is>
      </c>
      <c r="E565" s="109" t="inlineStr">
        <is>
          <t>US</t>
        </is>
      </c>
      <c r="F565" s="109" t="inlineStr">
        <is>
          <t>Cooling</t>
        </is>
      </c>
      <c r="G565" s="109" t="inlineStr">
        <is>
          <t>Coop Home Goods</t>
        </is>
      </c>
      <c r="H565" s="109" t="inlineStr">
        <is>
          <t>Beatable</t>
        </is>
      </c>
      <c r="I565" s="109" t="inlineStr">
        <is>
          <t>Coop Home Goods Cool+ Cooling Pillow Case Set of 2, Dove Grey Queen Size Pillow</t>
        </is>
      </c>
      <c r="J565" s="109" t="n"/>
      <c r="K565" s="109" t="inlineStr">
        <is>
          <t>B0D4BZDBY7</t>
        </is>
      </c>
      <c r="L565" s="109" t="inlineStr">
        <is>
          <t>B0GKDH5DJ9</t>
        </is>
      </c>
      <c r="M565" s="109" t="n">
        <v>14</v>
      </c>
      <c r="N565" s="109" t="n">
        <v>33.15</v>
      </c>
      <c r="O565" s="109" t="n">
        <v>39</v>
      </c>
      <c r="P565" s="109">
        <f>IF(AND(ISNUMBER(O565),ISNUMBER(N565),N(N565)&gt;0),O565/N565-1,"")</f>
        <v/>
      </c>
      <c r="Q565" s="109" t="n">
        <v>21.99</v>
      </c>
      <c r="R565" s="109">
        <f>IF(AND(ISNUMBER(N565),ISNUMBER(Q565),N(Q565)&gt;0),N565/Q565-1,"")</f>
        <v/>
      </c>
      <c r="S565" s="109" t="n">
        <v>16917</v>
      </c>
      <c r="T565" s="109" t="n">
        <v>104</v>
      </c>
      <c r="U565" s="109" t="n">
        <v>4.5</v>
      </c>
      <c r="V565" s="109" t="n">
        <v>507</v>
      </c>
      <c r="W565" s="109" t="n">
        <v>80590</v>
      </c>
      <c r="X565" s="109" t="n">
        <v>0.4567044707780124</v>
      </c>
      <c r="Y565" s="109" t="n">
        <v>5</v>
      </c>
      <c r="Z565" s="109" t="n">
        <v>32</v>
      </c>
      <c r="AA565" s="109" t="n">
        <v>710</v>
      </c>
      <c r="AB565" s="109" t="n"/>
      <c r="AC565" s="109" t="inlineStr">
        <is>
          <t>US SL Cooling Pillowcase</t>
        </is>
      </c>
      <c r="AD565" s="109">
        <f>'US SL Cooling Pillowcase'!BC56</f>
        <v/>
      </c>
      <c r="AE565" s="109">
        <f>'US SL Cooling Pillowcase'!BF56</f>
        <v/>
      </c>
      <c r="AF565" s="109" t="inlineStr">
        <is>
          <t>Queen</t>
        </is>
      </c>
      <c r="AG565" s="109" t="inlineStr">
        <is>
          <t>Grey</t>
        </is>
      </c>
    </row>
    <row r="566">
      <c r="A566" s="109">
        <f>AND(OR(Dashboard!$C$4="All",Dashboard!$C$4=D566),OR(Dashboard!$C$5="All",Dashboard!$C$5=E566),OR(Dashboard!$C$6="All",Dashboard!$C$6=G566),OR(Dashboard!$C$7="All",Dashboard!$C$7=H566),OR(Dashboard!$C$8="All",Dashboard!$C$8=F566))</f>
        <v/>
      </c>
      <c r="B566" s="109">
        <f>IF(A566,B565+1,B565)</f>
        <v/>
      </c>
      <c r="C566" s="109" t="n">
        <v>43</v>
      </c>
      <c r="D566" s="109" t="inlineStr">
        <is>
          <t>SL Cooling Pillowcase</t>
        </is>
      </c>
      <c r="E566" s="109" t="inlineStr">
        <is>
          <t>US</t>
        </is>
      </c>
      <c r="F566" s="109" t="inlineStr">
        <is>
          <t>Cooling</t>
        </is>
      </c>
      <c r="G566" s="109" t="inlineStr">
        <is>
          <t>ELIBABA</t>
        </is>
      </c>
      <c r="H566" s="109" t="inlineStr">
        <is>
          <t>Beatable</t>
        </is>
      </c>
      <c r="I566" s="109" t="inlineStr">
        <is>
          <t>Cooling Side Sleeper Pillow Cases - Curved Rayon Derived from Bamboo Pillowcase</t>
        </is>
      </c>
      <c r="J566" s="109" t="n"/>
      <c r="K566" s="109" t="inlineStr">
        <is>
          <t>B0HGLD1P8V</t>
        </is>
      </c>
      <c r="L566" s="109" t="inlineStr">
        <is>
          <t>B0CQK3KHHH</t>
        </is>
      </c>
      <c r="M566" s="109" t="n">
        <v>25</v>
      </c>
      <c r="N566" s="109" t="n">
        <v>17.99</v>
      </c>
      <c r="O566" s="109" t="n"/>
      <c r="P566" s="109">
        <f>IF(AND(ISNUMBER(O566),ISNUMBER(N566),N(N566)&gt;0),O566/N566-1,"")</f>
        <v/>
      </c>
      <c r="Q566" s="109" t="n">
        <v>21.99</v>
      </c>
      <c r="R566" s="109">
        <f>IF(AND(ISNUMBER(N566),ISNUMBER(Q566),N(Q566)&gt;0),N566/Q566-1,"")</f>
        <v/>
      </c>
      <c r="S566" s="109" t="n">
        <v>12744</v>
      </c>
      <c r="T566" s="109" t="n">
        <v>92</v>
      </c>
      <c r="U566" s="109" t="n">
        <v>4.2</v>
      </c>
      <c r="V566" s="109" t="n">
        <v>1630</v>
      </c>
      <c r="W566" s="109" t="n">
        <v>15537</v>
      </c>
      <c r="X566" s="109" t="n">
        <v>0.770486258608483</v>
      </c>
      <c r="Y566" s="109" t="n">
        <v>5</v>
      </c>
      <c r="Z566" s="109" t="n">
        <v>25</v>
      </c>
      <c r="AA566" s="109" t="n">
        <v>34</v>
      </c>
      <c r="AB566" s="109" t="n">
        <v>0.8564593301435407</v>
      </c>
      <c r="AC566" s="109" t="inlineStr">
        <is>
          <t>US SL Cooling Pillowcase</t>
        </is>
      </c>
      <c r="AD566" s="109">
        <f>'US SL Cooling Pillowcase'!BC57</f>
        <v/>
      </c>
      <c r="AE566" s="109">
        <f>'US SL Cooling Pillowcase'!BF57</f>
        <v/>
      </c>
      <c r="AF566" s="109" t="n"/>
      <c r="AG566" s="109" t="n"/>
    </row>
    <row r="567">
      <c r="A567" s="109">
        <f>AND(OR(Dashboard!$C$4="All",Dashboard!$C$4=D567),OR(Dashboard!$C$5="All",Dashboard!$C$5=E567),OR(Dashboard!$C$6="All",Dashboard!$C$6=G567),OR(Dashboard!$C$7="All",Dashboard!$C$7=H567),OR(Dashboard!$C$8="All",Dashboard!$C$8=F567))</f>
        <v/>
      </c>
      <c r="B567" s="109">
        <f>IF(A567,B566+1,B566)</f>
        <v/>
      </c>
      <c r="C567" s="109" t="n">
        <v>43</v>
      </c>
      <c r="D567" s="109" t="inlineStr">
        <is>
          <t>SL Cooling Pillowcase</t>
        </is>
      </c>
      <c r="E567" s="109" t="inlineStr">
        <is>
          <t>US</t>
        </is>
      </c>
      <c r="F567" s="109" t="inlineStr">
        <is>
          <t>Cooling</t>
        </is>
      </c>
      <c r="G567" s="109" t="inlineStr">
        <is>
          <t>HOMFINE</t>
        </is>
      </c>
      <c r="H567" s="109" t="inlineStr">
        <is>
          <t>Beatable</t>
        </is>
      </c>
      <c r="I567" s="109" t="inlineStr">
        <is>
          <t>HOMFINE Cooling Pillowcases for Hot Sleepers King Size Set of 2, Grey</t>
        </is>
      </c>
      <c r="J567" s="109" t="inlineStr">
        <is>
          <t>https://images-na.ssl-images-amazon.com/images/I/818UAaS5dSL.jpg</t>
        </is>
      </c>
      <c r="K567" s="109" t="inlineStr">
        <is>
          <t>B0CN6YFBVJ</t>
        </is>
      </c>
      <c r="L567" s="109" t="inlineStr">
        <is>
          <t>B0BLT2MCT6</t>
        </is>
      </c>
      <c r="M567" s="109" t="n">
        <v>22</v>
      </c>
      <c r="N567" s="109" t="n">
        <v>11.99</v>
      </c>
      <c r="O567" s="109" t="n"/>
      <c r="P567" s="109">
        <f>IF(AND(ISNUMBER(O567),ISNUMBER(N567),N(N567)&gt;0),O567/N567-1,"")</f>
        <v/>
      </c>
      <c r="Q567" s="109" t="n">
        <v>23.99</v>
      </c>
      <c r="R567" s="109">
        <f>IF(AND(ISNUMBER(N567),ISNUMBER(Q567),N(Q567)&gt;0),N567/Q567-1,"")</f>
        <v/>
      </c>
      <c r="S567" s="109" t="n">
        <v>31417</v>
      </c>
      <c r="T567" s="109" t="n">
        <v>81</v>
      </c>
      <c r="U567" s="109" t="n">
        <v>4.3</v>
      </c>
      <c r="V567" s="109" t="n">
        <v>1309</v>
      </c>
      <c r="W567" s="109" t="n">
        <v>17008</v>
      </c>
      <c r="X567" s="109" t="n">
        <v>0.9595514640169331</v>
      </c>
      <c r="Y567" s="109" t="n">
        <v>2</v>
      </c>
      <c r="Z567" s="109" t="n">
        <v>37</v>
      </c>
      <c r="AA567" s="109" t="n">
        <v>26</v>
      </c>
      <c r="AB567" s="109" t="n">
        <v>0.8495145631067961</v>
      </c>
      <c r="AC567" s="109" t="inlineStr">
        <is>
          <t>US SL Cooling Pillowcase</t>
        </is>
      </c>
      <c r="AD567" s="109">
        <f>'US SL Cooling Pillowcase'!BC58</f>
        <v/>
      </c>
      <c r="AE567" s="109">
        <f>'US SL Cooling Pillowcase'!BF58</f>
        <v/>
      </c>
      <c r="AF567" s="109" t="inlineStr">
        <is>
          <t>King</t>
        </is>
      </c>
      <c r="AG567" s="109" t="inlineStr">
        <is>
          <t>Grey</t>
        </is>
      </c>
    </row>
    <row r="568">
      <c r="A568" s="109">
        <f>AND(OR(Dashboard!$C$4="All",Dashboard!$C$4=D568),OR(Dashboard!$C$5="All",Dashboard!$C$5=E568),OR(Dashboard!$C$6="All",Dashboard!$C$6=G568),OR(Dashboard!$C$7="All",Dashboard!$C$7=H568),OR(Dashboard!$C$8="All",Dashboard!$C$8=F568))</f>
        <v/>
      </c>
      <c r="B568" s="109">
        <f>IF(A568,B567+1,B567)</f>
        <v/>
      </c>
      <c r="C568" s="109" t="n">
        <v>43</v>
      </c>
      <c r="D568" s="109" t="inlineStr">
        <is>
          <t>SL Cooling Pillowcase</t>
        </is>
      </c>
      <c r="E568" s="109" t="inlineStr">
        <is>
          <t>US</t>
        </is>
      </c>
      <c r="F568" s="109" t="inlineStr">
        <is>
          <t>Cooling</t>
        </is>
      </c>
      <c r="G568" s="109" t="inlineStr">
        <is>
          <t>Cozy Bliss</t>
        </is>
      </c>
      <c r="H568" s="109" t="inlineStr">
        <is>
          <t>Beatable</t>
        </is>
      </c>
      <c r="I568" s="109" t="inlineStr">
        <is>
          <t>Cozy Bliss 2 Pack Cooling Pillow Cases, Queen 20" x 30", Dark Gray</t>
        </is>
      </c>
      <c r="J568" s="109" t="n"/>
      <c r="K568" s="109" t="inlineStr">
        <is>
          <t>B0CP7J6RB8</t>
        </is>
      </c>
      <c r="L568" s="109" t="inlineStr">
        <is>
          <t>B0CH8B5HZB</t>
        </is>
      </c>
      <c r="M568" s="109" t="n">
        <v>18</v>
      </c>
      <c r="N568" s="109" t="n">
        <v>18.99</v>
      </c>
      <c r="O568" s="109" t="n"/>
      <c r="P568" s="109">
        <f>IF(AND(ISNUMBER(O568),ISNUMBER(N568),N(N568)&gt;0),O568/N568-1,"")</f>
        <v/>
      </c>
      <c r="Q568" s="109" t="n">
        <v>21.99</v>
      </c>
      <c r="R568" s="109">
        <f>IF(AND(ISNUMBER(N568),ISNUMBER(Q568),N(Q568)&gt;0),N568/Q568-1,"")</f>
        <v/>
      </c>
      <c r="S568" s="109" t="n">
        <v>54776</v>
      </c>
      <c r="T568" s="109" t="n">
        <v>35</v>
      </c>
      <c r="U568" s="109" t="n">
        <v>4.5</v>
      </c>
      <c r="V568" s="109" t="n">
        <v>707</v>
      </c>
      <c r="W568" s="109" t="n">
        <v>19441</v>
      </c>
      <c r="X568" s="109" t="n">
        <v>0.4621178951700017</v>
      </c>
      <c r="Y568" s="109" t="n">
        <v>6</v>
      </c>
      <c r="Z568" s="109" t="n">
        <v>24</v>
      </c>
      <c r="AA568" s="109" t="n">
        <v>301</v>
      </c>
      <c r="AB568" s="109" t="n">
        <v>0.5581395348837209</v>
      </c>
      <c r="AC568" s="109" t="inlineStr">
        <is>
          <t>US SL Cooling Pillowcase</t>
        </is>
      </c>
      <c r="AD568" s="109">
        <f>'US SL Cooling Pillowcase'!BC59</f>
        <v/>
      </c>
      <c r="AE568" s="109">
        <f>'US SL Cooling Pillowcase'!BF59</f>
        <v/>
      </c>
      <c r="AF568" s="109" t="inlineStr">
        <is>
          <t>Queen</t>
        </is>
      </c>
      <c r="AG568" s="109" t="inlineStr">
        <is>
          <t>Gray</t>
        </is>
      </c>
    </row>
    <row r="569">
      <c r="A569" s="109">
        <f>AND(OR(Dashboard!$C$4="All",Dashboard!$C$4=D569),OR(Dashboard!$C$5="All",Dashboard!$C$5=E569),OR(Dashboard!$C$6="All",Dashboard!$C$6=G569),OR(Dashboard!$C$7="All",Dashboard!$C$7=H569),OR(Dashboard!$C$8="All",Dashboard!$C$8=F569))</f>
        <v/>
      </c>
      <c r="B569" s="109">
        <f>IF(A569,B568+1,B568)</f>
        <v/>
      </c>
      <c r="C569" s="109" t="n">
        <v>43</v>
      </c>
      <c r="D569" s="109" t="inlineStr">
        <is>
          <t>SL Cooling Pillowcase</t>
        </is>
      </c>
      <c r="E569" s="109" t="inlineStr">
        <is>
          <t>US</t>
        </is>
      </c>
      <c r="F569" s="109" t="inlineStr">
        <is>
          <t>Cooling</t>
        </is>
      </c>
      <c r="G569" s="109" t="inlineStr">
        <is>
          <t>QUTOOL</t>
        </is>
      </c>
      <c r="H569" s="109" t="inlineStr">
        <is>
          <t>Beatable</t>
        </is>
      </c>
      <c r="I569" s="109" t="inlineStr">
        <is>
          <t>Luxury Cooling Pillowcases Queen Size 2 Pack, Q-Max&gt;0.4 Cool Touch for Hot Sleepers&amp;Night Sweats Beauty Sleep Anti-Frizz, Softer Than Silk Pillowcover Oeko-TEX Certified Light Gray</t>
        </is>
      </c>
      <c r="J569" s="109" t="inlineStr">
        <is>
          <t>https://images-na.ssl-images-amazon.com/images/I/61xlOGglCHL.jpg</t>
        </is>
      </c>
      <c r="K569" s="109" t="inlineStr">
        <is>
          <t>B0DL5R7SSB</t>
        </is>
      </c>
      <c r="L569" s="109" t="inlineStr">
        <is>
          <t>B0DLB4PQS8</t>
        </is>
      </c>
      <c r="M569" s="109" t="n">
        <v>22</v>
      </c>
      <c r="N569" s="109" t="n">
        <v>16.99</v>
      </c>
      <c r="O569" s="109" t="n"/>
      <c r="P569" s="109">
        <f>IF(AND(ISNUMBER(O569),ISNUMBER(N569),N(N569)&gt;0),O569/N569-1,"")</f>
        <v/>
      </c>
      <c r="Q569" s="109" t="n">
        <v>21.99</v>
      </c>
      <c r="R569" s="109">
        <f>IF(AND(ISNUMBER(N569),ISNUMBER(Q569),N(Q569)&gt;0),N569/Q569-1,"")</f>
        <v/>
      </c>
      <c r="S569" s="109" t="n">
        <v>39446</v>
      </c>
      <c r="T569" s="109" t="n">
        <v>35</v>
      </c>
      <c r="U569" s="109" t="n">
        <v>4.4</v>
      </c>
      <c r="V569" s="109" t="n">
        <v>769</v>
      </c>
      <c r="W569" s="109" t="n">
        <v>15503</v>
      </c>
      <c r="X569" s="109" t="n">
        <v>0.6025155131264917</v>
      </c>
      <c r="Y569" s="109" t="n">
        <v>3</v>
      </c>
      <c r="Z569" s="109" t="n">
        <v>31</v>
      </c>
      <c r="AA569" s="109" t="n">
        <v>71</v>
      </c>
      <c r="AB569" s="109" t="n"/>
      <c r="AC569" s="109" t="inlineStr">
        <is>
          <t>US SL Cooling Pillowcase</t>
        </is>
      </c>
      <c r="AD569" s="109">
        <f>'US SL Cooling Pillowcase'!BC60</f>
        <v/>
      </c>
      <c r="AE569" s="109">
        <f>'US SL Cooling Pillowcase'!BF60</f>
        <v/>
      </c>
      <c r="AF569" s="109" t="inlineStr">
        <is>
          <t>Queen</t>
        </is>
      </c>
      <c r="AG569" s="109" t="inlineStr">
        <is>
          <t>Gray</t>
        </is>
      </c>
    </row>
    <row r="570">
      <c r="A570" s="109">
        <f>AND(OR(Dashboard!$C$4="All",Dashboard!$C$4=D570),OR(Dashboard!$C$5="All",Dashboard!$C$5=E570),OR(Dashboard!$C$6="All",Dashboard!$C$6=G570),OR(Dashboard!$C$7="All",Dashboard!$C$7=H570),OR(Dashboard!$C$8="All",Dashboard!$C$8=F570))</f>
        <v/>
      </c>
      <c r="B570" s="109">
        <f>IF(A570,B569+1,B569)</f>
        <v/>
      </c>
      <c r="C570" s="109" t="n">
        <v>43</v>
      </c>
      <c r="D570" s="109" t="inlineStr">
        <is>
          <t>SL Cooling Pillowcase</t>
        </is>
      </c>
      <c r="E570" s="109" t="inlineStr">
        <is>
          <t>US</t>
        </is>
      </c>
      <c r="F570" s="109" t="inlineStr">
        <is>
          <t>Cooling</t>
        </is>
      </c>
      <c r="G570" s="109" t="inlineStr">
        <is>
          <t>Breescape</t>
        </is>
      </c>
      <c r="H570" s="109" t="inlineStr">
        <is>
          <t>Beatable</t>
        </is>
      </c>
      <c r="I570" s="109" t="inlineStr">
        <is>
          <t>Breescape Cooling Pillow Cases Queen Size Set of 2, BlendTek™ Cooling Technology</t>
        </is>
      </c>
      <c r="J570" s="109" t="n"/>
      <c r="K570" s="109" t="inlineStr">
        <is>
          <t>B0F53TNFSX</t>
        </is>
      </c>
      <c r="L570" s="109" t="inlineStr">
        <is>
          <t>B0DSQ12L6F</t>
        </is>
      </c>
      <c r="M570" s="109" t="n">
        <v>13</v>
      </c>
      <c r="N570" s="109" t="n">
        <v>54.99</v>
      </c>
      <c r="O570" s="109" t="n"/>
      <c r="P570" s="109">
        <f>IF(AND(ISNUMBER(O570),ISNUMBER(N570),N(N570)&gt;0),O570/N570-1,"")</f>
        <v/>
      </c>
      <c r="Q570" s="109" t="n">
        <v>21.99</v>
      </c>
      <c r="R570" s="109">
        <f>IF(AND(ISNUMBER(N570),ISNUMBER(Q570),N(Q570)&gt;0),N570/Q570-1,"")</f>
        <v/>
      </c>
      <c r="S570" s="109" t="n">
        <v>132996</v>
      </c>
      <c r="T570" s="109" t="n">
        <v>18</v>
      </c>
      <c r="U570" s="109" t="n">
        <v>4.4</v>
      </c>
      <c r="V570" s="109" t="n">
        <v>305</v>
      </c>
      <c r="W570" s="109" t="n">
        <v>25040</v>
      </c>
      <c r="X570" s="109" t="n">
        <v>0.3706715455271565</v>
      </c>
      <c r="Y570" s="109" t="n">
        <v>1</v>
      </c>
      <c r="Z570" s="109" t="n">
        <v>32</v>
      </c>
      <c r="AA570" s="109" t="n">
        <v>467</v>
      </c>
      <c r="AB570" s="109" t="n"/>
      <c r="AC570" s="109" t="inlineStr">
        <is>
          <t>US SL Cooling Pillowcase</t>
        </is>
      </c>
      <c r="AD570" s="109">
        <f>'US SL Cooling Pillowcase'!BC61</f>
        <v/>
      </c>
      <c r="AE570" s="109">
        <f>'US SL Cooling Pillowcase'!BF61</f>
        <v/>
      </c>
      <c r="AF570" s="109" t="inlineStr">
        <is>
          <t>Queen</t>
        </is>
      </c>
      <c r="AG570" s="109" t="n"/>
    </row>
    <row r="571">
      <c r="A571" s="109">
        <f>AND(OR(Dashboard!$C$4="All",Dashboard!$C$4=D571),OR(Dashboard!$C$5="All",Dashboard!$C$5=E571),OR(Dashboard!$C$6="All",Dashboard!$C$6=G571),OR(Dashboard!$C$7="All",Dashboard!$C$7=H571),OR(Dashboard!$C$8="All",Dashboard!$C$8=F571))</f>
        <v/>
      </c>
      <c r="B571" s="109">
        <f>IF(A571,B570+1,B570)</f>
        <v/>
      </c>
      <c r="C571" s="109" t="n">
        <v>43</v>
      </c>
      <c r="D571" s="109" t="inlineStr">
        <is>
          <t>SL Cooling Pillowcase</t>
        </is>
      </c>
      <c r="E571" s="109" t="inlineStr">
        <is>
          <t>US</t>
        </is>
      </c>
      <c r="F571" s="109" t="inlineStr">
        <is>
          <t>Cooling</t>
        </is>
      </c>
      <c r="G571" s="109" t="inlineStr">
        <is>
          <t>Fittia</t>
        </is>
      </c>
      <c r="H571" s="109" t="inlineStr">
        <is>
          <t>Beatable</t>
        </is>
      </c>
      <c r="I571" s="109" t="inlineStr">
        <is>
          <t>FITTIA Cooling Pillow Cases with Zipper, 2 Pack, Standard Size 20"x26"</t>
        </is>
      </c>
      <c r="J571" s="109" t="inlineStr">
        <is>
          <t>https://images-na.ssl-images-amazon.com/images/I/71dsthjuVUL.jpg</t>
        </is>
      </c>
      <c r="K571" s="109" t="inlineStr">
        <is>
          <t>B099JMGRBY</t>
        </is>
      </c>
      <c r="L571" s="109" t="inlineStr">
        <is>
          <t>B099J7KMK5</t>
        </is>
      </c>
      <c r="M571" s="109" t="n">
        <v>16</v>
      </c>
      <c r="N571" s="109" t="n">
        <v>19.99</v>
      </c>
      <c r="O571" s="109" t="n"/>
      <c r="P571" s="109">
        <f>IF(AND(ISNUMBER(O571),ISNUMBER(N571),N(N571)&gt;0),O571/N571-1,"")</f>
        <v/>
      </c>
      <c r="Q571" s="109" t="n">
        <v>17.99</v>
      </c>
      <c r="R571" s="109">
        <f>IF(AND(ISNUMBER(N571),ISNUMBER(Q571),N(Q571)&gt;0),N571/Q571-1,"")</f>
        <v/>
      </c>
      <c r="S571" s="109" t="n">
        <v>156607</v>
      </c>
      <c r="T571" s="109" t="n">
        <v>18</v>
      </c>
      <c r="U571" s="109" t="n">
        <v>4.3</v>
      </c>
      <c r="V571" s="109" t="n">
        <v>1335</v>
      </c>
      <c r="W571" s="109" t="n">
        <v>16144</v>
      </c>
      <c r="X571" s="109" t="n">
        <v>0.8876912784935578</v>
      </c>
      <c r="Y571" s="109" t="n">
        <v>5</v>
      </c>
      <c r="Z571" s="109" t="n">
        <v>25</v>
      </c>
      <c r="AA571" s="109" t="n">
        <v>24</v>
      </c>
      <c r="AB571" s="109" t="n">
        <v>1.175373134328358</v>
      </c>
      <c r="AC571" s="109" t="inlineStr">
        <is>
          <t>US SL Cooling Pillowcase</t>
        </is>
      </c>
      <c r="AD571" s="109">
        <f>'US SL Cooling Pillowcase'!BC62</f>
        <v/>
      </c>
      <c r="AE571" s="109">
        <f>'US SL Cooling Pillowcase'!BF62</f>
        <v/>
      </c>
      <c r="AF571" s="109" t="inlineStr">
        <is>
          <t>Standard</t>
        </is>
      </c>
      <c r="AG571" s="109" t="n"/>
    </row>
    <row r="572">
      <c r="A572" s="109">
        <f>AND(OR(Dashboard!$C$4="All",Dashboard!$C$4=D572),OR(Dashboard!$C$5="All",Dashboard!$C$5=E572),OR(Dashboard!$C$6="All",Dashboard!$C$6=G572),OR(Dashboard!$C$7="All",Dashboard!$C$7=H572),OR(Dashboard!$C$8="All",Dashboard!$C$8=F572))</f>
        <v/>
      </c>
      <c r="B572" s="109">
        <f>IF(A572,B571+1,B571)</f>
        <v/>
      </c>
      <c r="C572" s="109" t="n">
        <v>43</v>
      </c>
      <c r="D572" s="109" t="inlineStr">
        <is>
          <t>SL Cooling Pillowcase</t>
        </is>
      </c>
      <c r="E572" s="109" t="inlineStr">
        <is>
          <t>US</t>
        </is>
      </c>
      <c r="F572" s="109" t="inlineStr">
        <is>
          <t>Cooling</t>
        </is>
      </c>
      <c r="G572" s="109" t="inlineStr">
        <is>
          <t>Bedsure</t>
        </is>
      </c>
      <c r="H572" s="109" t="inlineStr">
        <is>
          <t>Beatable</t>
        </is>
      </c>
      <c r="I572" s="109" t="inlineStr">
        <is>
          <t>Bedsure Cooling Pillow Cases Queen Size Set of 2 for Hot Sleepers, Grey</t>
        </is>
      </c>
      <c r="J572" s="109" t="inlineStr">
        <is>
          <t>https://images-na.ssl-images-amazon.com/images/I/81lPRf0QezL.jpg</t>
        </is>
      </c>
      <c r="K572" s="109" t="inlineStr">
        <is>
          <t>B0GS2D7MBT</t>
        </is>
      </c>
      <c r="L572" s="109" t="inlineStr">
        <is>
          <t>B0CP3NX181</t>
        </is>
      </c>
      <c r="M572" s="109" t="n">
        <v>7</v>
      </c>
      <c r="N572" s="109" t="n">
        <v>18.99</v>
      </c>
      <c r="O572" s="109" t="n">
        <v>24.99</v>
      </c>
      <c r="P572" s="109">
        <f>IF(AND(ISNUMBER(O572),ISNUMBER(N572),N(N572)&gt;0),O572/N572-1,"")</f>
        <v/>
      </c>
      <c r="Q572" s="109" t="n">
        <v>21.99</v>
      </c>
      <c r="R572" s="109">
        <f>IF(AND(ISNUMBER(N572),ISNUMBER(Q572),N(Q572)&gt;0),N572/Q572-1,"")</f>
        <v/>
      </c>
      <c r="S572" s="109" t="n">
        <v>156798</v>
      </c>
      <c r="T572" s="109" t="n">
        <v>5</v>
      </c>
      <c r="U572" s="109" t="n">
        <v>4.5</v>
      </c>
      <c r="V572" s="109" t="n">
        <v>676</v>
      </c>
      <c r="W572" s="109" t="n">
        <v>38313</v>
      </c>
      <c r="X572" s="109" t="n">
        <v>0.4058418317542347</v>
      </c>
      <c r="Y572" s="109" t="n">
        <v>2</v>
      </c>
      <c r="Z572" s="109" t="n">
        <v>36</v>
      </c>
      <c r="AA572" s="109" t="n">
        <v>785</v>
      </c>
      <c r="AB572" s="109" t="n"/>
      <c r="AC572" s="109" t="inlineStr">
        <is>
          <t>US SL Cooling Pillowcase</t>
        </is>
      </c>
      <c r="AD572" s="109">
        <f>'US SL Cooling Pillowcase'!BC63</f>
        <v/>
      </c>
      <c r="AE572" s="109">
        <f>'US SL Cooling Pillowcase'!BF63</f>
        <v/>
      </c>
      <c r="AF572" s="109" t="inlineStr">
        <is>
          <t>Queen</t>
        </is>
      </c>
      <c r="AG572" s="109" t="inlineStr">
        <is>
          <t>Grey</t>
        </is>
      </c>
    </row>
    <row r="573">
      <c r="A573" s="109">
        <f>AND(OR(Dashboard!$C$4="All",Dashboard!$C$4=D573),OR(Dashboard!$C$5="All",Dashboard!$C$5=E573),OR(Dashboard!$C$6="All",Dashboard!$C$6=G573),OR(Dashboard!$C$7="All",Dashboard!$C$7=H573),OR(Dashboard!$C$8="All",Dashboard!$C$8=F573))</f>
        <v/>
      </c>
      <c r="B573" s="109">
        <f>IF(A573,B572+1,B572)</f>
        <v/>
      </c>
      <c r="C573" s="109" t="n">
        <v>43</v>
      </c>
      <c r="D573" s="109" t="inlineStr">
        <is>
          <t>SL Cooling Pillowcase</t>
        </is>
      </c>
      <c r="E573" s="109" t="inlineStr">
        <is>
          <t>US</t>
        </is>
      </c>
      <c r="F573" s="109" t="inlineStr">
        <is>
          <t>Cooling</t>
        </is>
      </c>
      <c r="G573" s="109" t="inlineStr">
        <is>
          <t>Coop Home Goods</t>
        </is>
      </c>
      <c r="H573" s="109" t="inlineStr">
        <is>
          <t>Beatable</t>
        </is>
      </c>
      <c r="I573" s="109" t="inlineStr">
        <is>
          <t>Coop Home Goods Cool Side Pillowcase, Queen Size Cooling Pillow Case for Hot Sle</t>
        </is>
      </c>
      <c r="J573" s="109" t="n"/>
      <c r="K573" s="109" t="inlineStr">
        <is>
          <t>B0DGH3JKZ5</t>
        </is>
      </c>
      <c r="L573" s="109" t="inlineStr">
        <is>
          <t>B08B448344</t>
        </is>
      </c>
      <c r="M573" s="109" t="n">
        <v>7</v>
      </c>
      <c r="N573" s="109" t="n">
        <v>25.5</v>
      </c>
      <c r="O573" s="109" t="n"/>
      <c r="P573" s="109">
        <f>IF(AND(ISNUMBER(O573),ISNUMBER(N573),N(N573)&gt;0),O573/N573-1,"")</f>
        <v/>
      </c>
      <c r="Q573" s="109" t="n">
        <v>21.99</v>
      </c>
      <c r="R573" s="109">
        <f>IF(AND(ISNUMBER(N573),ISNUMBER(Q573),N(Q573)&gt;0),N573/Q573-1,"")</f>
        <v/>
      </c>
      <c r="S573" s="109" t="n">
        <v>66369</v>
      </c>
      <c r="T573" s="109" t="n">
        <v>5</v>
      </c>
      <c r="U573" s="109" t="n">
        <v>4.3</v>
      </c>
      <c r="V573" s="109" t="n">
        <v>1158</v>
      </c>
      <c r="W573" s="109" t="n">
        <v>26180</v>
      </c>
      <c r="X573" s="109" t="n">
        <v>0.9925127425515661</v>
      </c>
      <c r="Y573" s="109" t="n">
        <v>3</v>
      </c>
      <c r="Z573" s="109" t="n">
        <v>22</v>
      </c>
      <c r="AA573" s="109" t="n">
        <v>15</v>
      </c>
      <c r="AB573" s="109" t="n">
        <v>0.6264367816091955</v>
      </c>
      <c r="AC573" s="109" t="inlineStr">
        <is>
          <t>US SL Cooling Pillowcase</t>
        </is>
      </c>
      <c r="AD573" s="109">
        <f>'US SL Cooling Pillowcase'!BC64</f>
        <v/>
      </c>
      <c r="AE573" s="109">
        <f>'US SL Cooling Pillowcase'!BF64</f>
        <v/>
      </c>
      <c r="AF573" s="109" t="inlineStr">
        <is>
          <t>Queen</t>
        </is>
      </c>
      <c r="AG573" s="109" t="n"/>
    </row>
    <row r="574">
      <c r="A574" s="109">
        <f>AND(OR(Dashboard!$C$4="All",Dashboard!$C$4=D574),OR(Dashboard!$C$5="All",Dashboard!$C$5=E574),OR(Dashboard!$C$6="All",Dashboard!$C$6=G574),OR(Dashboard!$C$7="All",Dashboard!$C$7=H574),OR(Dashboard!$C$8="All",Dashboard!$C$8=F574))</f>
        <v/>
      </c>
      <c r="B574" s="109">
        <f>IF(A574,B573+1,B573)</f>
        <v/>
      </c>
      <c r="C574" s="109" t="n">
        <v>43</v>
      </c>
      <c r="D574" s="109" t="inlineStr">
        <is>
          <t>SL Cooling Pillowcase</t>
        </is>
      </c>
      <c r="E574" s="109" t="inlineStr">
        <is>
          <t>US</t>
        </is>
      </c>
      <c r="F574" s="109" t="inlineStr">
        <is>
          <t>Cooling</t>
        </is>
      </c>
      <c r="G574" s="109" t="inlineStr">
        <is>
          <t>Marchpower</t>
        </is>
      </c>
      <c r="H574" s="109" t="inlineStr">
        <is>
          <t>Beatable</t>
        </is>
      </c>
      <c r="I574" s="109" t="inlineStr">
        <is>
          <t>Marchpower Cooling Pillow Cases for Hot Sleepers, Japanese Arc Chill Cooling Pil</t>
        </is>
      </c>
      <c r="J574" s="109" t="n"/>
      <c r="K574" s="109" t="inlineStr">
        <is>
          <t>B0CFY7SVV7</t>
        </is>
      </c>
      <c r="L574" s="109" t="inlineStr">
        <is>
          <t>B095GTMX4Y</t>
        </is>
      </c>
      <c r="M574" s="109" t="n">
        <v>9</v>
      </c>
      <c r="N574" s="109" t="n">
        <v>19.99</v>
      </c>
      <c r="O574" s="109" t="n"/>
      <c r="P574" s="109">
        <f>IF(AND(ISNUMBER(O574),ISNUMBER(N574),N(N574)&gt;0),O574/N574-1,"")</f>
        <v/>
      </c>
      <c r="Q574" s="109" t="n">
        <v>21.99</v>
      </c>
      <c r="R574" s="109">
        <f>IF(AND(ISNUMBER(N574),ISNUMBER(Q574),N(Q574)&gt;0),N574/Q574-1,"")</f>
        <v/>
      </c>
      <c r="S574" s="109" t="n">
        <v>265537</v>
      </c>
      <c r="T574" s="109" t="n">
        <v>5</v>
      </c>
      <c r="U574" s="109" t="n">
        <v>4.3</v>
      </c>
      <c r="V574" s="109" t="n">
        <v>1247</v>
      </c>
      <c r="W574" s="109" t="n">
        <v>5423</v>
      </c>
      <c r="X574" s="109" t="n">
        <v>0.9321121519454174</v>
      </c>
      <c r="Y574" s="109" t="n">
        <v>4</v>
      </c>
      <c r="Z574" s="109" t="n">
        <v>26</v>
      </c>
      <c r="AA574" s="109" t="n">
        <v>42</v>
      </c>
      <c r="AB574" s="109" t="n"/>
      <c r="AC574" s="109" t="inlineStr">
        <is>
          <t>US SL Cooling Pillowcase</t>
        </is>
      </c>
      <c r="AD574" s="109">
        <f>'US SL Cooling Pillowcase'!BC65</f>
        <v/>
      </c>
      <c r="AE574" s="109">
        <f>'US SL Cooling Pillowcase'!BF65</f>
        <v/>
      </c>
      <c r="AF574" s="109" t="n"/>
      <c r="AG574" s="109" t="n"/>
    </row>
    <row r="575">
      <c r="A575" s="109">
        <f>AND(OR(Dashboard!$C$4="All",Dashboard!$C$4=D575),OR(Dashboard!$C$5="All",Dashboard!$C$5=E575),OR(Dashboard!$C$6="All",Dashboard!$C$6=G575),OR(Dashboard!$C$7="All",Dashboard!$C$7=H575),OR(Dashboard!$C$8="All",Dashboard!$C$8=F575))</f>
        <v/>
      </c>
      <c r="B575" s="109">
        <f>IF(A575,B574+1,B574)</f>
        <v/>
      </c>
      <c r="C575" s="109" t="n">
        <v>43</v>
      </c>
      <c r="D575" s="109" t="inlineStr">
        <is>
          <t>SL Cooling Pillowcase</t>
        </is>
      </c>
      <c r="E575" s="109" t="inlineStr">
        <is>
          <t>US</t>
        </is>
      </c>
      <c r="F575" s="109" t="inlineStr">
        <is>
          <t>Cooling</t>
        </is>
      </c>
      <c r="G575" s="109" t="inlineStr">
        <is>
          <t>Niagara Sleep Solution</t>
        </is>
      </c>
      <c r="H575" s="109" t="inlineStr">
        <is>
          <t>Beatable</t>
        </is>
      </c>
      <c r="I575" s="109" t="inlineStr">
        <is>
          <t>Niagara Set of 2 Cooling Pillow Cases Standard Size, CoolSpan™ Technology Q-Max 0.4 Cooling Pillowcases for Hot Sleepers, Hidden Zipper Pillow Covers, Soft, Anti-Static (20x26'') - Light Grey</t>
        </is>
      </c>
      <c r="J575" s="109" t="inlineStr">
        <is>
          <t>https://images-na.ssl-images-amazon.com/images/I/81fWRYUTfVL.jpg</t>
        </is>
      </c>
      <c r="K575" s="109" t="inlineStr">
        <is>
          <t>B0CZB5B67X</t>
        </is>
      </c>
      <c r="L575" s="109" t="inlineStr">
        <is>
          <t>B0CZB5B67X</t>
        </is>
      </c>
      <c r="M575" s="109" t="n">
        <v>1</v>
      </c>
      <c r="N575" s="109" t="n">
        <v>14.6</v>
      </c>
      <c r="O575" s="109" t="n"/>
      <c r="P575" s="109">
        <f>IF(AND(ISNUMBER(O575),ISNUMBER(N575),N(N575)&gt;0),O575/N575-1,"")</f>
        <v/>
      </c>
      <c r="Q575" s="109" t="n">
        <v>17.99</v>
      </c>
      <c r="R575" s="109">
        <f>IF(AND(ISNUMBER(N575),ISNUMBER(Q575),N(Q575)&gt;0),N575/Q575-1,"")</f>
        <v/>
      </c>
      <c r="S575" s="109" t="n">
        <v>1393717</v>
      </c>
      <c r="T575" s="109" t="n">
        <v>5</v>
      </c>
      <c r="U575" s="109" t="n">
        <v>4.4</v>
      </c>
      <c r="V575" s="109" t="n">
        <v>109</v>
      </c>
      <c r="W575" s="109" t="n"/>
      <c r="X575" s="109" t="n"/>
      <c r="Y575" s="109" t="n"/>
      <c r="Z575" s="109" t="n"/>
      <c r="AA575" s="109" t="n"/>
      <c r="AB575" s="109" t="n"/>
      <c r="AC575" s="109" t="inlineStr">
        <is>
          <t>US SL Cooling Pillowcase</t>
        </is>
      </c>
      <c r="AD575" s="109">
        <f>'US SL Cooling Pillowcase'!BC66</f>
        <v/>
      </c>
      <c r="AE575" s="109">
        <f>'US SL Cooling Pillowcase'!BF66</f>
        <v/>
      </c>
      <c r="AF575" s="109" t="inlineStr">
        <is>
          <t>Standard</t>
        </is>
      </c>
      <c r="AG575" s="109" t="inlineStr">
        <is>
          <t>Grey</t>
        </is>
      </c>
    </row>
    <row r="576">
      <c r="A576" s="109">
        <f>AND(OR(Dashboard!$C$4="All",Dashboard!$C$4=D576),OR(Dashboard!$C$5="All",Dashboard!$C$5=E576),OR(Dashboard!$C$6="All",Dashboard!$C$6=G576),OR(Dashboard!$C$7="All",Dashboard!$C$7=H576),OR(Dashboard!$C$8="All",Dashboard!$C$8=F576))</f>
        <v/>
      </c>
      <c r="B576" s="109">
        <f>IF(A576,B575+1,B575)</f>
        <v/>
      </c>
      <c r="C576" s="109" t="n">
        <v>43</v>
      </c>
      <c r="D576" s="109" t="inlineStr">
        <is>
          <t>SL Cooling Pillowcase</t>
        </is>
      </c>
      <c r="E576" s="109" t="inlineStr">
        <is>
          <t>US</t>
        </is>
      </c>
      <c r="F576" s="109" t="inlineStr">
        <is>
          <t>Cooling</t>
        </is>
      </c>
      <c r="G576" s="109" t="inlineStr">
        <is>
          <t>Rifens</t>
        </is>
      </c>
      <c r="H576" s="109" t="inlineStr">
        <is>
          <t>Beatable</t>
        </is>
      </c>
      <c r="I576" s="109" t="inlineStr">
        <is>
          <t>Ice Cooling Pillowcase for Hot Sleepers, Instantly Cool, Stay Cold All Night, Softer Than Silk Pillow Cases, Pillow Covers with Invisible Zipper, Gift for Men &amp; Women - Standard, Light Gray (1 Pack)</t>
        </is>
      </c>
      <c r="J576" s="109" t="inlineStr">
        <is>
          <t>https://images-na.ssl-images-amazon.com/images/I/71JIe-f4CUL.jpg</t>
        </is>
      </c>
      <c r="K576" s="109" t="inlineStr">
        <is>
          <t>B0DJ933TY2</t>
        </is>
      </c>
      <c r="L576" s="109" t="inlineStr">
        <is>
          <t>B0DJ933TY2</t>
        </is>
      </c>
      <c r="M576" s="109" t="n">
        <v>1</v>
      </c>
      <c r="N576" s="109" t="n">
        <v>18.99</v>
      </c>
      <c r="O576" s="109" t="n"/>
      <c r="P576" s="109">
        <f>IF(AND(ISNUMBER(O576),ISNUMBER(N576),N(N576)&gt;0),O576/N576-1,"")</f>
        <v/>
      </c>
      <c r="Q576" s="109" t="n">
        <v>17.99</v>
      </c>
      <c r="R576" s="109">
        <f>IF(AND(ISNUMBER(N576),ISNUMBER(Q576),N(Q576)&gt;0),N576/Q576-1,"")</f>
        <v/>
      </c>
      <c r="S576" s="109" t="n">
        <v>519777</v>
      </c>
      <c r="T576" s="109" t="n">
        <v>5</v>
      </c>
      <c r="U576" s="109" t="n">
        <v>4.6</v>
      </c>
      <c r="V576" s="109" t="n">
        <v>219</v>
      </c>
      <c r="W576" s="109" t="n">
        <v>8663</v>
      </c>
      <c r="X576" s="109" t="n">
        <v>1</v>
      </c>
      <c r="Y576" s="109" t="n">
        <v>4</v>
      </c>
      <c r="Z576" s="109" t="n">
        <v>23</v>
      </c>
      <c r="AA576" s="109" t="n">
        <v>0</v>
      </c>
      <c r="AB576" s="109" t="n"/>
      <c r="AC576" s="109" t="inlineStr">
        <is>
          <t>US SL Cooling Pillowcase</t>
        </is>
      </c>
      <c r="AD576" s="109">
        <f>'US SL Cooling Pillowcase'!BC67</f>
        <v/>
      </c>
      <c r="AE576" s="109">
        <f>'US SL Cooling Pillowcase'!BF67</f>
        <v/>
      </c>
      <c r="AF576" s="109" t="inlineStr">
        <is>
          <t>Standard</t>
        </is>
      </c>
      <c r="AG576" s="109" t="inlineStr">
        <is>
          <t>Gray</t>
        </is>
      </c>
    </row>
    <row r="577">
      <c r="A577" s="109">
        <f>AND(OR(Dashboard!$C$4="All",Dashboard!$C$4=D577),OR(Dashboard!$C$5="All",Dashboard!$C$5=E577),OR(Dashboard!$C$6="All",Dashboard!$C$6=G577),OR(Dashboard!$C$7="All",Dashboard!$C$7=H577),OR(Dashboard!$C$8="All",Dashboard!$C$8=F577))</f>
        <v/>
      </c>
      <c r="B577" s="109">
        <f>IF(A577,B576+1,B576)</f>
        <v/>
      </c>
      <c r="C577" s="109" t="n">
        <v>43</v>
      </c>
      <c r="D577" s="109" t="inlineStr">
        <is>
          <t>SL Cooling Pillowcase</t>
        </is>
      </c>
      <c r="E577" s="109" t="inlineStr">
        <is>
          <t>US</t>
        </is>
      </c>
      <c r="F577" s="109" t="inlineStr">
        <is>
          <t>Cooling</t>
        </is>
      </c>
      <c r="G577" s="109" t="inlineStr">
        <is>
          <t>Topcee</t>
        </is>
      </c>
      <c r="H577" s="109" t="inlineStr">
        <is>
          <t>Beatable</t>
        </is>
      </c>
      <c r="I577" s="109" t="inlineStr">
        <is>
          <t>Topcee Cooling Pillowcases, 2 Packs Queen Size Arc-Chill Q-Max&gt;0.5 Ultra Soft Co</t>
        </is>
      </c>
      <c r="J577" s="109" t="n"/>
      <c r="K577" s="109" t="inlineStr">
        <is>
          <t>B0BR9J5DGW</t>
        </is>
      </c>
      <c r="L577" s="109" t="inlineStr">
        <is>
          <t>B0BR9J5DGW</t>
        </is>
      </c>
      <c r="M577" s="109" t="n"/>
      <c r="N577" s="109" t="n">
        <v>18.95</v>
      </c>
      <c r="O577" s="109" t="n"/>
      <c r="P577" s="109">
        <f>IF(AND(ISNUMBER(O577),ISNUMBER(N577),N(N577)&gt;0),O577/N577-1,"")</f>
        <v/>
      </c>
      <c r="Q577" s="109" t="n">
        <v>21.99</v>
      </c>
      <c r="R577" s="109">
        <f>IF(AND(ISNUMBER(N577),ISNUMBER(Q577),N(Q577)&gt;0),N577/Q577-1,"")</f>
        <v/>
      </c>
      <c r="S577" s="109" t="n">
        <v>1292801</v>
      </c>
      <c r="T577" s="109" t="n">
        <v>5</v>
      </c>
      <c r="U577" s="109" t="n">
        <v>4.2</v>
      </c>
      <c r="V577" s="109" t="n">
        <v>227</v>
      </c>
      <c r="W577" s="109" t="n"/>
      <c r="X577" s="109" t="n"/>
      <c r="Y577" s="109" t="n"/>
      <c r="Z577" s="109" t="n"/>
      <c r="AA577" s="109" t="n"/>
      <c r="AB577" s="109" t="n"/>
      <c r="AC577" s="109" t="inlineStr">
        <is>
          <t>US SL Cooling Pillowcase</t>
        </is>
      </c>
      <c r="AD577" s="109">
        <f>'US SL Cooling Pillowcase'!BC68</f>
        <v/>
      </c>
      <c r="AE577" s="109">
        <f>'US SL Cooling Pillowcase'!BF68</f>
        <v/>
      </c>
      <c r="AF577" s="109" t="inlineStr">
        <is>
          <t>Queen</t>
        </is>
      </c>
      <c r="AG577" s="109" t="n"/>
    </row>
    <row r="578">
      <c r="A578" s="109">
        <f>AND(OR(Dashboard!$C$4="All",Dashboard!$C$4=D578),OR(Dashboard!$C$5="All",Dashboard!$C$5=E578),OR(Dashboard!$C$6="All",Dashboard!$C$6=G578),OR(Dashboard!$C$7="All",Dashboard!$C$7=H578),OR(Dashboard!$C$8="All",Dashboard!$C$8=F578))</f>
        <v/>
      </c>
      <c r="B578" s="109">
        <f>IF(A578,B577+1,B577)</f>
        <v/>
      </c>
      <c r="C578" s="109" t="n">
        <v>43</v>
      </c>
      <c r="D578" s="109" t="inlineStr">
        <is>
          <t>SL Cooling Pillowcase</t>
        </is>
      </c>
      <c r="E578" s="109" t="inlineStr">
        <is>
          <t>US</t>
        </is>
      </c>
      <c r="F578" s="109" t="inlineStr">
        <is>
          <t>Cooling</t>
        </is>
      </c>
      <c r="G578" s="109" t="inlineStr">
        <is>
          <t>LUXEAR</t>
        </is>
      </c>
      <c r="H578" s="109" t="inlineStr">
        <is>
          <t>Untiered</t>
        </is>
      </c>
      <c r="I578" s="109" t="inlineStr">
        <is>
          <t>LUXEAR 2 Pack Cooling Pillow Cases for Hot Sleepers, Arc-Chill Q-Max &gt; 0.5 Cool</t>
        </is>
      </c>
      <c r="J578" s="109" t="n"/>
      <c r="K578" s="109" t="inlineStr">
        <is>
          <t>B0FRGBT861</t>
        </is>
      </c>
      <c r="L578" s="109" t="inlineStr">
        <is>
          <t>B07V6SKZ7V</t>
        </is>
      </c>
      <c r="M578" s="109" t="n"/>
      <c r="N578" s="109" t="n">
        <v>15.95</v>
      </c>
      <c r="O578" s="109" t="n"/>
      <c r="P578" s="109">
        <f>IF(AND(ISNUMBER(O578),ISNUMBER(N578),N(N578)&gt;0),O578/N578-1,"")</f>
        <v/>
      </c>
      <c r="Q578" s="109" t="n">
        <v>21.99</v>
      </c>
      <c r="R578" s="109">
        <f>IF(AND(ISNUMBER(N578),ISNUMBER(Q578),N(Q578)&gt;0),N578/Q578-1,"")</f>
        <v/>
      </c>
      <c r="S578" s="109" t="n">
        <v>50724</v>
      </c>
      <c r="T578" s="109" t="n">
        <v>35</v>
      </c>
      <c r="U578" s="109" t="n">
        <v>4.2</v>
      </c>
      <c r="V578" s="109" t="n">
        <v>6718</v>
      </c>
      <c r="W578" s="109" t="n"/>
      <c r="X578" s="109" t="n"/>
      <c r="Y578" s="109" t="n"/>
      <c r="Z578" s="109" t="n"/>
      <c r="AA578" s="109" t="n"/>
      <c r="AB578" s="109" t="n"/>
      <c r="AC578" s="109" t="inlineStr">
        <is>
          <t>US SL Cooling Pillowcase</t>
        </is>
      </c>
      <c r="AD578" s="109">
        <f>'US SL Cooling Pillowcase'!BC69</f>
        <v/>
      </c>
      <c r="AE578" s="109">
        <f>'US SL Cooling Pillowcase'!BF69</f>
        <v/>
      </c>
      <c r="AF578" s="109" t="n"/>
      <c r="AG578" s="109" t="n"/>
    </row>
    <row r="579">
      <c r="A579" s="109">
        <f>AND(OR(Dashboard!$C$4="All",Dashboard!$C$4=D579),OR(Dashboard!$C$5="All",Dashboard!$C$5=E579),OR(Dashboard!$C$6="All",Dashboard!$C$6=G579),OR(Dashboard!$C$7="All",Dashboard!$C$7=H579),OR(Dashboard!$C$8="All",Dashboard!$C$8=F579))</f>
        <v/>
      </c>
      <c r="B579" s="109">
        <f>IF(A579,B578+1,B578)</f>
        <v/>
      </c>
      <c r="C579" s="109" t="n">
        <v>42</v>
      </c>
      <c r="D579" s="109" t="inlineStr">
        <is>
          <t>SL Cooling Comforter</t>
        </is>
      </c>
      <c r="E579" s="109" t="inlineStr">
        <is>
          <t>US</t>
        </is>
      </c>
      <c r="F579" s="109" t="inlineStr">
        <is>
          <t>Cooling</t>
        </is>
      </c>
      <c r="G579" s="109" t="inlineStr">
        <is>
          <t>Cozy Bliss</t>
        </is>
      </c>
      <c r="H579" s="109" t="inlineStr">
        <is>
          <t>Aspirational</t>
        </is>
      </c>
      <c r="I579" s="109" t="inlineStr">
        <is>
          <t>SL Cooling Comforter</t>
        </is>
      </c>
      <c r="J579" s="109" t="n"/>
      <c r="K579" s="109" t="inlineStr">
        <is>
          <t>B0BVQMYKYS</t>
        </is>
      </c>
      <c r="L579" s="109" t="inlineStr">
        <is>
          <t>B0BVQMB99W</t>
        </is>
      </c>
      <c r="M579" s="109" t="n">
        <v>26</v>
      </c>
      <c r="N579" s="109" t="n">
        <v>59.99</v>
      </c>
      <c r="O579" s="109" t="n">
        <v>79.98999999999999</v>
      </c>
      <c r="P579" s="109">
        <f>IF(AND(ISNUMBER(O579),ISNUMBER(N579),N(N579)&gt;0),O579/N579-1,"")</f>
        <v/>
      </c>
      <c r="Q579" s="109" t="n">
        <v>69.98999999999999</v>
      </c>
      <c r="R579" s="109">
        <f>IF(AND(ISNUMBER(N579),ISNUMBER(Q579),N(Q579)&gt;0),N579/Q579-1,"")</f>
        <v/>
      </c>
      <c r="S579" s="109" t="n">
        <v>7806</v>
      </c>
      <c r="T579" s="109" t="n">
        <v>104</v>
      </c>
      <c r="U579" s="109" t="n">
        <v>4.5</v>
      </c>
      <c r="V579" s="109" t="n">
        <v>2707</v>
      </c>
      <c r="W579" s="109" t="n">
        <v>338464</v>
      </c>
      <c r="X579" s="109" t="n">
        <v>0.6728438451356722</v>
      </c>
      <c r="Y579" s="109" t="n">
        <v>13</v>
      </c>
      <c r="Z579" s="109" t="n">
        <v>225</v>
      </c>
      <c r="AA579" s="109" t="n">
        <v>819</v>
      </c>
      <c r="AB579" s="109" t="n">
        <v>0.4224883566200932</v>
      </c>
      <c r="AC579" s="109" t="inlineStr">
        <is>
          <t>US SL Cooling Comforter</t>
        </is>
      </c>
      <c r="AD579" s="109">
        <f>'US SL Cooling Comforter'!BC59</f>
        <v/>
      </c>
      <c r="AE579" s="109">
        <f>'US SL Cooling Comforter'!BF59</f>
        <v/>
      </c>
      <c r="AF579" s="109" t="n"/>
      <c r="AG579" s="109" t="n"/>
    </row>
    <row r="580">
      <c r="A580" s="109">
        <f>AND(OR(Dashboard!$C$4="All",Dashboard!$C$4=D580),OR(Dashboard!$C$5="All",Dashboard!$C$5=E580),OR(Dashboard!$C$6="All",Dashboard!$C$6=G580),OR(Dashboard!$C$7="All",Dashboard!$C$7=H580),OR(Dashboard!$C$8="All",Dashboard!$C$8=F580))</f>
        <v/>
      </c>
      <c r="B580" s="109">
        <f>IF(A580,B579+1,B579)</f>
        <v/>
      </c>
      <c r="C580" s="109" t="n">
        <v>42</v>
      </c>
      <c r="D580" s="109" t="inlineStr">
        <is>
          <t>SL Cooling Comforter</t>
        </is>
      </c>
      <c r="E580" s="109" t="inlineStr">
        <is>
          <t>US</t>
        </is>
      </c>
      <c r="F580" s="109" t="inlineStr">
        <is>
          <t>Cooling</t>
        </is>
      </c>
      <c r="G580" s="109" t="inlineStr">
        <is>
          <t>REST</t>
        </is>
      </c>
      <c r="H580" s="109" t="inlineStr">
        <is>
          <t>Beatable</t>
        </is>
      </c>
      <c r="I580" s="109" t="inlineStr">
        <is>
          <t>SL Cooling Comforter</t>
        </is>
      </c>
      <c r="J580" s="109" t="n"/>
      <c r="K580" s="109" t="inlineStr">
        <is>
          <t>B0B5TLCZ4X</t>
        </is>
      </c>
      <c r="L580" s="109" t="inlineStr">
        <is>
          <t>B0B5TG8ZVW</t>
        </is>
      </c>
      <c r="M580" s="109" t="n">
        <v>18</v>
      </c>
      <c r="N580" s="109" t="n">
        <v>186.75</v>
      </c>
      <c r="O580" s="109" t="n">
        <v>249</v>
      </c>
      <c r="P580" s="109">
        <f>IF(AND(ISNUMBER(O580),ISNUMBER(N580),N(N580)&gt;0),O580/N580-1,"")</f>
        <v/>
      </c>
      <c r="Q580" s="109" t="n">
        <v>69.98999999999999</v>
      </c>
      <c r="R580" s="109">
        <f>IF(AND(ISNUMBER(N580),ISNUMBER(Q580),N(Q580)&gt;0),N580/Q580-1,"")</f>
        <v/>
      </c>
      <c r="S580" s="109" t="n">
        <v>2263</v>
      </c>
      <c r="T580" s="109" t="n">
        <v>220</v>
      </c>
      <c r="U580" s="109" t="n">
        <v>4.3</v>
      </c>
      <c r="V580" s="109" t="n">
        <v>4110</v>
      </c>
      <c r="W580" s="109" t="n">
        <v>1443297</v>
      </c>
      <c r="X580" s="109" t="n">
        <v>0.3077375513148022</v>
      </c>
      <c r="Y580" s="109" t="n">
        <v>7</v>
      </c>
      <c r="Z580" s="109" t="n">
        <v>254</v>
      </c>
      <c r="AA580" s="109" t="n">
        <v>2643</v>
      </c>
      <c r="AB580" s="109" t="n">
        <v>1.413290113452188</v>
      </c>
      <c r="AC580" s="109" t="inlineStr">
        <is>
          <t>US SL Cooling Comforter</t>
        </is>
      </c>
      <c r="AD580" s="109">
        <f>'US SL Cooling Comforter'!BC60</f>
        <v/>
      </c>
      <c r="AE580" s="109">
        <f>'US SL Cooling Comforter'!BF60</f>
        <v/>
      </c>
      <c r="AF580" s="109" t="n"/>
      <c r="AG580" s="109" t="n"/>
    </row>
    <row r="581">
      <c r="A581" s="109">
        <f>AND(OR(Dashboard!$C$4="All",Dashboard!$C$4=D581),OR(Dashboard!$C$5="All",Dashboard!$C$5=E581),OR(Dashboard!$C$6="All",Dashboard!$C$6=G581),OR(Dashboard!$C$7="All",Dashboard!$C$7=H581),OR(Dashboard!$C$8="All",Dashboard!$C$8=F581))</f>
        <v/>
      </c>
      <c r="B581" s="109">
        <f>IF(A581,B580+1,B580)</f>
        <v/>
      </c>
      <c r="C581" s="109" t="n">
        <v>42</v>
      </c>
      <c r="D581" s="109" t="inlineStr">
        <is>
          <t>SL Cooling Comforter</t>
        </is>
      </c>
      <c r="E581" s="109" t="inlineStr">
        <is>
          <t>US</t>
        </is>
      </c>
      <c r="F581" s="109" t="inlineStr">
        <is>
          <t>Cooling</t>
        </is>
      </c>
      <c r="G581" s="109" t="inlineStr">
        <is>
          <t>Bedsure</t>
        </is>
      </c>
      <c r="H581" s="109" t="inlineStr">
        <is>
          <t>Beatable</t>
        </is>
      </c>
      <c r="I581" s="109" t="inlineStr">
        <is>
          <t>Cooling Comforter</t>
        </is>
      </c>
      <c r="J581" s="109" t="n"/>
      <c r="K581" s="109" t="inlineStr">
        <is>
          <t>B0G3WWQ7DL</t>
        </is>
      </c>
      <c r="L581" s="109" t="inlineStr">
        <is>
          <t>B0G3W85TSH</t>
        </is>
      </c>
      <c r="M581" s="109" t="n">
        <v>6</v>
      </c>
      <c r="N581" s="109" t="n">
        <v>44.99</v>
      </c>
      <c r="O581" s="109" t="n">
        <v>59.99</v>
      </c>
      <c r="P581" s="109">
        <f>IF(AND(ISNUMBER(O581),ISNUMBER(N581),N(N581)&gt;0),O581/N581-1,"")</f>
        <v/>
      </c>
      <c r="Q581" s="109" t="n">
        <v>69.98999999999999</v>
      </c>
      <c r="R581" s="109">
        <f>IF(AND(ISNUMBER(N581),ISNUMBER(Q581),N(Q581)&gt;0),N581/Q581-1,"")</f>
        <v/>
      </c>
      <c r="S581" s="109" t="n">
        <v>58503</v>
      </c>
      <c r="T581" s="109" t="n">
        <v>185</v>
      </c>
      <c r="U581" s="109" t="n">
        <v>4.5</v>
      </c>
      <c r="V581" s="109" t="n">
        <v>142</v>
      </c>
      <c r="W581" s="109" t="n">
        <v>68067</v>
      </c>
      <c r="X581" s="109" t="n">
        <v>0.4309867248446382</v>
      </c>
      <c r="Y581" s="109" t="n">
        <v>30</v>
      </c>
      <c r="Z581" s="109" t="n">
        <v>147</v>
      </c>
      <c r="AA581" s="109" t="n">
        <v>118</v>
      </c>
      <c r="AB581" s="109" t="n">
        <v>1.660633484162896</v>
      </c>
      <c r="AC581" s="109" t="inlineStr">
        <is>
          <t>US SL Cooling Comforter</t>
        </is>
      </c>
      <c r="AD581" s="109">
        <f>'US SL Cooling Comforter'!BC61</f>
        <v/>
      </c>
      <c r="AE581" s="109">
        <f>'US SL Cooling Comforter'!BF61</f>
        <v/>
      </c>
      <c r="AF581" s="109" t="n"/>
      <c r="AG581" s="109" t="n"/>
    </row>
    <row r="582">
      <c r="A582" s="109">
        <f>AND(OR(Dashboard!$C$4="All",Dashboard!$C$4=D582),OR(Dashboard!$C$5="All",Dashboard!$C$5=E582),OR(Dashboard!$C$6="All",Dashboard!$C$6=G582),OR(Dashboard!$C$7="All",Dashboard!$C$7=H582),OR(Dashboard!$C$8="All",Dashboard!$C$8=F582))</f>
        <v/>
      </c>
      <c r="B582" s="109">
        <f>IF(A582,B581+1,B581)</f>
        <v/>
      </c>
      <c r="C582" s="109" t="n">
        <v>42</v>
      </c>
      <c r="D582" s="109" t="inlineStr">
        <is>
          <t>SL Cooling Comforter</t>
        </is>
      </c>
      <c r="E582" s="109" t="inlineStr">
        <is>
          <t>US</t>
        </is>
      </c>
      <c r="F582" s="109" t="inlineStr">
        <is>
          <t>Cooling</t>
        </is>
      </c>
      <c r="G582" s="109" t="inlineStr">
        <is>
          <t>HOMFINE</t>
        </is>
      </c>
      <c r="H582" s="109" t="inlineStr">
        <is>
          <t>Beatable</t>
        </is>
      </c>
      <c r="I582" s="109" t="inlineStr">
        <is>
          <t>Cooling Comforter</t>
        </is>
      </c>
      <c r="J582" s="109" t="n"/>
      <c r="K582" s="109" t="inlineStr">
        <is>
          <t>B0BNT8CPJF</t>
        </is>
      </c>
      <c r="L582" s="109" t="inlineStr">
        <is>
          <t>B0C3RB67HV</t>
        </is>
      </c>
      <c r="M582" s="109" t="n">
        <v>17</v>
      </c>
      <c r="N582" s="109" t="n">
        <v>51.99</v>
      </c>
      <c r="O582" s="109" t="n"/>
      <c r="P582" s="109">
        <f>IF(AND(ISNUMBER(O582),ISNUMBER(N582),N(N582)&gt;0),O582/N582-1,"")</f>
        <v/>
      </c>
      <c r="Q582" s="109" t="n">
        <v>69.98999999999999</v>
      </c>
      <c r="R582" s="109">
        <f>IF(AND(ISNUMBER(N582),ISNUMBER(Q582),N(Q582)&gt;0),N582/Q582-1,"")</f>
        <v/>
      </c>
      <c r="S582" s="109" t="n">
        <v>15665</v>
      </c>
      <c r="T582" s="109" t="n">
        <v>185</v>
      </c>
      <c r="U582" s="109" t="n">
        <v>4.5</v>
      </c>
      <c r="V582" s="109" t="n">
        <v>1560</v>
      </c>
      <c r="W582" s="109" t="n">
        <v>273765</v>
      </c>
      <c r="X582" s="109" t="n">
        <v>0.4184264584588973</v>
      </c>
      <c r="Y582" s="109" t="n">
        <v>26</v>
      </c>
      <c r="Z582" s="109" t="n">
        <v>184</v>
      </c>
      <c r="AA582" s="109" t="n">
        <v>461</v>
      </c>
      <c r="AB582" s="109" t="n">
        <v>1.540563459907661</v>
      </c>
      <c r="AC582" s="109" t="inlineStr">
        <is>
          <t>US SL Cooling Comforter</t>
        </is>
      </c>
      <c r="AD582" s="109">
        <f>'US SL Cooling Comforter'!BC62</f>
        <v/>
      </c>
      <c r="AE582" s="109">
        <f>'US SL Cooling Comforter'!BF62</f>
        <v/>
      </c>
      <c r="AF582" s="109" t="n"/>
      <c r="AG582" s="109" t="n"/>
    </row>
    <row r="583">
      <c r="A583" s="109">
        <f>AND(OR(Dashboard!$C$4="All",Dashboard!$C$4=D583),OR(Dashboard!$C$5="All",Dashboard!$C$5=E583),OR(Dashboard!$C$6="All",Dashboard!$C$6=G583),OR(Dashboard!$C$7="All",Dashboard!$C$7=H583),OR(Dashboard!$C$8="All",Dashboard!$C$8=F583))</f>
        <v/>
      </c>
      <c r="B583" s="109">
        <f>IF(A583,B582+1,B582)</f>
        <v/>
      </c>
      <c r="C583" s="109" t="n">
        <v>42</v>
      </c>
      <c r="D583" s="109" t="inlineStr">
        <is>
          <t>SL Cooling Comforter</t>
        </is>
      </c>
      <c r="E583" s="109" t="inlineStr">
        <is>
          <t>US</t>
        </is>
      </c>
      <c r="F583" s="109" t="inlineStr">
        <is>
          <t>Cooling</t>
        </is>
      </c>
      <c r="G583" s="109" t="inlineStr">
        <is>
          <t>bedsmile</t>
        </is>
      </c>
      <c r="H583" s="109" t="inlineStr">
        <is>
          <t>Beatable</t>
        </is>
      </c>
      <c r="I583" s="109" t="inlineStr">
        <is>
          <t>SL Cooling Comforter</t>
        </is>
      </c>
      <c r="J583" s="109" t="n"/>
      <c r="K583" s="109" t="inlineStr">
        <is>
          <t>B0DWNGWXVQ</t>
        </is>
      </c>
      <c r="L583" s="109" t="inlineStr">
        <is>
          <t>B0DWNFHNXL</t>
        </is>
      </c>
      <c r="M583" s="109" t="n">
        <v>19</v>
      </c>
      <c r="N583" s="109" t="n">
        <v>44.99</v>
      </c>
      <c r="O583" s="109" t="n"/>
      <c r="P583" s="109">
        <f>IF(AND(ISNUMBER(O583),ISNUMBER(N583),N(N583)&gt;0),O583/N583-1,"")</f>
        <v/>
      </c>
      <c r="Q583" s="109" t="n">
        <v>69.98999999999999</v>
      </c>
      <c r="R583" s="109">
        <f>IF(AND(ISNUMBER(N583),ISNUMBER(Q583),N(Q583)&gt;0),N583/Q583-1,"")</f>
        <v/>
      </c>
      <c r="S583" s="109" t="n">
        <v>25690</v>
      </c>
      <c r="T583" s="109" t="n">
        <v>92</v>
      </c>
      <c r="U583" s="109" t="n">
        <v>4.3</v>
      </c>
      <c r="V583" s="109" t="n">
        <v>741</v>
      </c>
      <c r="W583" s="109" t="n">
        <v>150494</v>
      </c>
      <c r="X583" s="109" t="n">
        <v>0.7684716287692533</v>
      </c>
      <c r="Y583" s="109" t="n">
        <v>15</v>
      </c>
      <c r="Z583" s="109" t="n">
        <v>190</v>
      </c>
      <c r="AA583" s="109" t="n">
        <v>309</v>
      </c>
      <c r="AB583" s="109" t="n"/>
      <c r="AC583" s="109" t="inlineStr">
        <is>
          <t>US SL Cooling Comforter</t>
        </is>
      </c>
      <c r="AD583" s="109">
        <f>'US SL Cooling Comforter'!BC63</f>
        <v/>
      </c>
      <c r="AE583" s="109">
        <f>'US SL Cooling Comforter'!BF63</f>
        <v/>
      </c>
      <c r="AF583" s="109" t="n"/>
      <c r="AG583" s="109" t="n"/>
    </row>
    <row r="584">
      <c r="A584" s="109">
        <f>AND(OR(Dashboard!$C$4="All",Dashboard!$C$4=D584),OR(Dashboard!$C$5="All",Dashboard!$C$5=E584),OR(Dashboard!$C$6="All",Dashboard!$C$6=G584),OR(Dashboard!$C$7="All",Dashboard!$C$7=H584),OR(Dashboard!$C$8="All",Dashboard!$C$8=F584))</f>
        <v/>
      </c>
      <c r="B584" s="109">
        <f>IF(A584,B583+1,B583)</f>
        <v/>
      </c>
      <c r="C584" s="109" t="n">
        <v>42</v>
      </c>
      <c r="D584" s="109" t="inlineStr">
        <is>
          <t>SL Cooling Comforter</t>
        </is>
      </c>
      <c r="E584" s="109" t="inlineStr">
        <is>
          <t>US</t>
        </is>
      </c>
      <c r="F584" s="109" t="inlineStr">
        <is>
          <t>Cooling</t>
        </is>
      </c>
      <c r="G584" s="109" t="inlineStr">
        <is>
          <t>Cozy Bliss</t>
        </is>
      </c>
      <c r="H584" s="109" t="inlineStr">
        <is>
          <t>Beatable</t>
        </is>
      </c>
      <c r="I584" s="109" t="inlineStr">
        <is>
          <t>SL  Cooling Comforter</t>
        </is>
      </c>
      <c r="J584" s="109" t="n"/>
      <c r="K584" s="109" t="inlineStr">
        <is>
          <t>B0DVSHCVND</t>
        </is>
      </c>
      <c r="L584" s="109" t="inlineStr">
        <is>
          <t>B0DMCWVMVH</t>
        </is>
      </c>
      <c r="M584" s="109" t="n">
        <v>14</v>
      </c>
      <c r="N584" s="109" t="n">
        <v>49.99</v>
      </c>
      <c r="O584" s="109" t="n"/>
      <c r="P584" s="109">
        <f>IF(AND(ISNUMBER(O584),ISNUMBER(N584),N(N584)&gt;0),O584/N584-1,"")</f>
        <v/>
      </c>
      <c r="Q584" s="109" t="n">
        <v>69.98999999999999</v>
      </c>
      <c r="R584" s="109">
        <f>IF(AND(ISNUMBER(N584),ISNUMBER(Q584),N(Q584)&gt;0),N584/Q584-1,"")</f>
        <v/>
      </c>
      <c r="S584" s="109" t="n">
        <v>69052</v>
      </c>
      <c r="T584" s="109" t="n">
        <v>81</v>
      </c>
      <c r="U584" s="109" t="n">
        <v>4.5</v>
      </c>
      <c r="V584" s="109" t="n">
        <v>442</v>
      </c>
      <c r="W584" s="109" t="n">
        <v>80120</v>
      </c>
      <c r="X584" s="109" t="n">
        <v>0.4955746293060403</v>
      </c>
      <c r="Y584" s="109" t="n">
        <v>32</v>
      </c>
      <c r="Z584" s="109" t="n">
        <v>155</v>
      </c>
      <c r="AA584" s="109" t="n">
        <v>292</v>
      </c>
      <c r="AB584" s="109" t="n"/>
      <c r="AC584" s="109" t="inlineStr">
        <is>
          <t>US SL Cooling Comforter</t>
        </is>
      </c>
      <c r="AD584" s="109">
        <f>'US SL Cooling Comforter'!BC64</f>
        <v/>
      </c>
      <c r="AE584" s="109">
        <f>'US SL Cooling Comforter'!BF64</f>
        <v/>
      </c>
      <c r="AF584" s="109" t="n"/>
      <c r="AG584" s="109" t="n"/>
    </row>
    <row r="585">
      <c r="A585" s="109">
        <f>AND(OR(Dashboard!$C$4="All",Dashboard!$C$4=D585),OR(Dashboard!$C$5="All",Dashboard!$C$5=E585),OR(Dashboard!$C$6="All",Dashboard!$C$6=G585),OR(Dashboard!$C$7="All",Dashboard!$C$7=H585),OR(Dashboard!$C$8="All",Dashboard!$C$8=F585))</f>
        <v/>
      </c>
      <c r="B585" s="109">
        <f>IF(A585,B584+1,B584)</f>
        <v/>
      </c>
      <c r="C585" s="109" t="n">
        <v>42</v>
      </c>
      <c r="D585" s="109" t="inlineStr">
        <is>
          <t>SL Cooling Comforter</t>
        </is>
      </c>
      <c r="E585" s="109" t="inlineStr">
        <is>
          <t>US</t>
        </is>
      </c>
      <c r="F585" s="109" t="inlineStr">
        <is>
          <t>Cooling</t>
        </is>
      </c>
      <c r="G585" s="109" t="inlineStr">
        <is>
          <t>EASELAND</t>
        </is>
      </c>
      <c r="H585" s="109" t="inlineStr">
        <is>
          <t>Beatable</t>
        </is>
      </c>
      <c r="I585" s="109" t="inlineStr">
        <is>
          <t>SL Cooling Comforter</t>
        </is>
      </c>
      <c r="J585" s="109" t="n"/>
      <c r="K585" s="109" t="inlineStr">
        <is>
          <t>B0BQ6XYWKB</t>
        </is>
      </c>
      <c r="L585" s="109" t="inlineStr">
        <is>
          <t>B0BQ6YY21S</t>
        </is>
      </c>
      <c r="M585" s="109" t="n">
        <v>9</v>
      </c>
      <c r="N585" s="109" t="n">
        <v>48.9</v>
      </c>
      <c r="O585" s="109" t="n"/>
      <c r="P585" s="109">
        <f>IF(AND(ISNUMBER(O585),ISNUMBER(N585),N(N585)&gt;0),O585/N585-1,"")</f>
        <v/>
      </c>
      <c r="Q585" s="109" t="n">
        <v>69.98999999999999</v>
      </c>
      <c r="R585" s="109">
        <f>IF(AND(ISNUMBER(N585),ISNUMBER(Q585),N(Q585)&gt;0),N585/Q585-1,"")</f>
        <v/>
      </c>
      <c r="S585" s="109" t="n">
        <v>33756</v>
      </c>
      <c r="T585" s="109" t="n">
        <v>81</v>
      </c>
      <c r="U585" s="109" t="n">
        <v>4.4</v>
      </c>
      <c r="V585" s="109" t="n">
        <v>1093</v>
      </c>
      <c r="W585" s="109" t="n">
        <v>110161</v>
      </c>
      <c r="X585" s="109" t="n">
        <v>0.8081959241473839</v>
      </c>
      <c r="Y585" s="109" t="n">
        <v>34</v>
      </c>
      <c r="Z585" s="109" t="n">
        <v>186</v>
      </c>
      <c r="AA585" s="109" t="n">
        <v>401</v>
      </c>
      <c r="AB585" s="109" t="n">
        <v>0.8732339089481946</v>
      </c>
      <c r="AC585" s="109" t="inlineStr">
        <is>
          <t>US SL Cooling Comforter</t>
        </is>
      </c>
      <c r="AD585" s="109">
        <f>'US SL Cooling Comforter'!BC65</f>
        <v/>
      </c>
      <c r="AE585" s="109">
        <f>'US SL Cooling Comforter'!BF65</f>
        <v/>
      </c>
      <c r="AF585" s="109" t="n"/>
      <c r="AG585" s="109" t="n"/>
    </row>
    <row r="586">
      <c r="A586" s="109">
        <f>AND(OR(Dashboard!$C$4="All",Dashboard!$C$4=D586),OR(Dashboard!$C$5="All",Dashboard!$C$5=E586),OR(Dashboard!$C$6="All",Dashboard!$C$6=G586),OR(Dashboard!$C$7="All",Dashboard!$C$7=H586),OR(Dashboard!$C$8="All",Dashboard!$C$8=F586))</f>
        <v/>
      </c>
      <c r="B586" s="109">
        <f>IF(A586,B585+1,B585)</f>
        <v/>
      </c>
      <c r="C586" s="109" t="n">
        <v>42</v>
      </c>
      <c r="D586" s="109" t="inlineStr">
        <is>
          <t>SL Cooling Comforter</t>
        </is>
      </c>
      <c r="E586" s="109" t="inlineStr">
        <is>
          <t>US</t>
        </is>
      </c>
      <c r="F586" s="109" t="inlineStr">
        <is>
          <t>Cooling</t>
        </is>
      </c>
      <c r="G586" s="109" t="inlineStr">
        <is>
          <t>Elegear</t>
        </is>
      </c>
      <c r="H586" s="109" t="inlineStr">
        <is>
          <t>Beatable</t>
        </is>
      </c>
      <c r="I586" s="109" t="inlineStr">
        <is>
          <t>SL Cooling Comforter</t>
        </is>
      </c>
      <c r="J586" s="109" t="n"/>
      <c r="K586" s="109" t="inlineStr">
        <is>
          <t>B0D4J5Q1TK</t>
        </is>
      </c>
      <c r="L586" s="109" t="inlineStr">
        <is>
          <t>B094C72SZ4</t>
        </is>
      </c>
      <c r="M586" s="109" t="n">
        <v>14</v>
      </c>
      <c r="N586" s="109" t="n">
        <v>39.98</v>
      </c>
      <c r="O586" s="109" t="n">
        <v>44.89</v>
      </c>
      <c r="P586" s="109">
        <f>IF(AND(ISNUMBER(O586),ISNUMBER(N586),N(N586)&gt;0),O586/N586-1,"")</f>
        <v/>
      </c>
      <c r="Q586" s="109" t="n">
        <v>69.98999999999999</v>
      </c>
      <c r="R586" s="109">
        <f>IF(AND(ISNUMBER(N586),ISNUMBER(Q586),N(Q586)&gt;0),N586/Q586-1,"")</f>
        <v/>
      </c>
      <c r="S586" s="109" t="n">
        <v>90652</v>
      </c>
      <c r="T586" s="109" t="n">
        <v>35</v>
      </c>
      <c r="U586" s="109" t="n">
        <v>4.2</v>
      </c>
      <c r="V586" s="109" t="n">
        <v>1487</v>
      </c>
      <c r="W586" s="109" t="n">
        <v>25258</v>
      </c>
      <c r="X586" s="109" t="n">
        <v>0.8588992715179345</v>
      </c>
      <c r="Y586" s="109" t="n">
        <v>63</v>
      </c>
      <c r="Z586" s="109" t="n">
        <v>83</v>
      </c>
      <c r="AA586" s="109" t="n">
        <v>138</v>
      </c>
      <c r="AB586" s="109" t="n"/>
      <c r="AC586" s="109" t="inlineStr">
        <is>
          <t>US SL Cooling Comforter</t>
        </is>
      </c>
      <c r="AD586" s="109">
        <f>'US SL Cooling Comforter'!BC66</f>
        <v/>
      </c>
      <c r="AE586" s="109">
        <f>'US SL Cooling Comforter'!BF66</f>
        <v/>
      </c>
      <c r="AF586" s="109" t="n"/>
      <c r="AG586" s="109" t="n"/>
    </row>
    <row r="587">
      <c r="A587" s="109">
        <f>AND(OR(Dashboard!$C$4="All",Dashboard!$C$4=D587),OR(Dashboard!$C$5="All",Dashboard!$C$5=E587),OR(Dashboard!$C$6="All",Dashboard!$C$6=G587),OR(Dashboard!$C$7="All",Dashboard!$C$7=H587),OR(Dashboard!$C$8="All",Dashboard!$C$8=F587))</f>
        <v/>
      </c>
      <c r="B587" s="109">
        <f>IF(A587,B586+1,B586)</f>
        <v/>
      </c>
      <c r="C587" s="109" t="n">
        <v>42</v>
      </c>
      <c r="D587" s="109" t="inlineStr">
        <is>
          <t>SL Cooling Comforter</t>
        </is>
      </c>
      <c r="E587" s="109" t="inlineStr">
        <is>
          <t>US</t>
        </is>
      </c>
      <c r="F587" s="109" t="inlineStr">
        <is>
          <t>Cooling</t>
        </is>
      </c>
      <c r="G587" s="109" t="inlineStr">
        <is>
          <t>Gehtmnl</t>
        </is>
      </c>
      <c r="H587" s="109" t="inlineStr">
        <is>
          <t>Beatable</t>
        </is>
      </c>
      <c r="I587" s="109" t="inlineStr">
        <is>
          <t>SL Cooling Comforter</t>
        </is>
      </c>
      <c r="J587" s="109" t="n"/>
      <c r="K587" s="109" t="inlineStr">
        <is>
          <t>B0GJTG1NBW</t>
        </is>
      </c>
      <c r="L587" s="109" t="inlineStr">
        <is>
          <t>B0GKHZKQ9W</t>
        </is>
      </c>
      <c r="M587" s="109" t="n">
        <v>16</v>
      </c>
      <c r="N587" s="109" t="n">
        <v>59.99</v>
      </c>
      <c r="O587" s="109" t="n"/>
      <c r="P587" s="109">
        <f>IF(AND(ISNUMBER(O587),ISNUMBER(N587),N(N587)&gt;0),O587/N587-1,"")</f>
        <v/>
      </c>
      <c r="Q587" s="109" t="n">
        <v>69.98999999999999</v>
      </c>
      <c r="R587" s="109">
        <f>IF(AND(ISNUMBER(N587),ISNUMBER(Q587),N(Q587)&gt;0),N587/Q587-1,"")</f>
        <v/>
      </c>
      <c r="S587" s="109" t="n">
        <v>74902</v>
      </c>
      <c r="T587" s="109" t="n">
        <v>35</v>
      </c>
      <c r="U587" s="109" t="n">
        <v>4.4</v>
      </c>
      <c r="V587" s="109" t="n">
        <v>655</v>
      </c>
      <c r="W587" s="109" t="n">
        <v>69715</v>
      </c>
      <c r="X587" s="109" t="n">
        <v>0.7072078304525564</v>
      </c>
      <c r="Y587" s="109" t="n">
        <v>52</v>
      </c>
      <c r="Z587" s="109" t="n">
        <v>114</v>
      </c>
      <c r="AA587" s="109" t="n">
        <v>256</v>
      </c>
      <c r="AB587" s="109" t="n">
        <v>1.454662104362703</v>
      </c>
      <c r="AC587" s="109" t="inlineStr">
        <is>
          <t>US SL Cooling Comforter</t>
        </is>
      </c>
      <c r="AD587" s="109">
        <f>'US SL Cooling Comforter'!BC67</f>
        <v/>
      </c>
      <c r="AE587" s="109">
        <f>'US SL Cooling Comforter'!BF67</f>
        <v/>
      </c>
      <c r="AF587" s="109" t="n"/>
      <c r="AG587" s="109" t="n"/>
    </row>
    <row r="588">
      <c r="A588" s="109">
        <f>AND(OR(Dashboard!$C$4="All",Dashboard!$C$4=D588),OR(Dashboard!$C$5="All",Dashboard!$C$5=E588),OR(Dashboard!$C$6="All",Dashboard!$C$6=G588),OR(Dashboard!$C$7="All",Dashboard!$C$7=H588),OR(Dashboard!$C$8="All",Dashboard!$C$8=F588))</f>
        <v/>
      </c>
      <c r="B588" s="109">
        <f>IF(A588,B587+1,B587)</f>
        <v/>
      </c>
      <c r="C588" s="109" t="n">
        <v>42</v>
      </c>
      <c r="D588" s="109" t="inlineStr">
        <is>
          <t>SL Cooling Comforter</t>
        </is>
      </c>
      <c r="E588" s="109" t="inlineStr">
        <is>
          <t>US</t>
        </is>
      </c>
      <c r="F588" s="109" t="inlineStr">
        <is>
          <t>Cooling</t>
        </is>
      </c>
      <c r="G588" s="109" t="inlineStr">
        <is>
          <t>Vine Voice</t>
        </is>
      </c>
      <c r="H588" s="109" t="inlineStr">
        <is>
          <t>Beatable</t>
        </is>
      </c>
      <c r="I588" s="109" t="inlineStr">
        <is>
          <t>SL Cooling Comforter</t>
        </is>
      </c>
      <c r="J588" s="109" t="n"/>
      <c r="K588" s="109" t="inlineStr">
        <is>
          <t>B0GVYJX6MB</t>
        </is>
      </c>
      <c r="L588" s="109" t="inlineStr">
        <is>
          <t>B0GK9776YF</t>
        </is>
      </c>
      <c r="M588" s="109" t="n">
        <v>39</v>
      </c>
      <c r="N588" s="109" t="n">
        <v>51.43</v>
      </c>
      <c r="O588" s="109" t="n"/>
      <c r="P588" s="109">
        <f>IF(AND(ISNUMBER(O588),ISNUMBER(N588),N(N588)&gt;0),O588/N588-1,"")</f>
        <v/>
      </c>
      <c r="Q588" s="109" t="n">
        <v>69.98999999999999</v>
      </c>
      <c r="R588" s="109">
        <f>IF(AND(ISNUMBER(N588),ISNUMBER(Q588),N(Q588)&gt;0),N588/Q588-1,"")</f>
        <v/>
      </c>
      <c r="S588" s="109" t="n">
        <v>28045</v>
      </c>
      <c r="T588" s="109" t="n">
        <v>35</v>
      </c>
      <c r="U588" s="109" t="n">
        <v>4.4</v>
      </c>
      <c r="V588" s="109" t="n">
        <v>888</v>
      </c>
      <c r="W588" s="109" t="n">
        <v>149817</v>
      </c>
      <c r="X588" s="109" t="n">
        <v>0.7796245933372051</v>
      </c>
      <c r="Y588" s="109" t="n">
        <v>11</v>
      </c>
      <c r="Z588" s="109" t="n">
        <v>189</v>
      </c>
      <c r="AA588" s="109" t="n">
        <v>292</v>
      </c>
      <c r="AB588" s="109" t="n"/>
      <c r="AC588" s="109" t="inlineStr">
        <is>
          <t>US SL Cooling Comforter</t>
        </is>
      </c>
      <c r="AD588" s="109">
        <f>'US SL Cooling Comforter'!BC68</f>
        <v/>
      </c>
      <c r="AE588" s="109">
        <f>'US SL Cooling Comforter'!BF68</f>
        <v/>
      </c>
      <c r="AF588" s="109" t="n"/>
      <c r="AG588" s="109" t="n"/>
    </row>
    <row r="589">
      <c r="A589" s="109">
        <f>AND(OR(Dashboard!$C$4="All",Dashboard!$C$4=D589),OR(Dashboard!$C$5="All",Dashboard!$C$5=E589),OR(Dashboard!$C$6="All",Dashboard!$C$6=G589),OR(Dashboard!$C$7="All",Dashboard!$C$7=H589),OR(Dashboard!$C$8="All",Dashboard!$C$8=F589))</f>
        <v/>
      </c>
      <c r="B589" s="109">
        <f>IF(A589,B588+1,B588)</f>
        <v/>
      </c>
      <c r="C589" s="109" t="n">
        <v>42</v>
      </c>
      <c r="D589" s="109" t="inlineStr">
        <is>
          <t>SL Cooling Comforter</t>
        </is>
      </c>
      <c r="E589" s="109" t="inlineStr">
        <is>
          <t>US</t>
        </is>
      </c>
      <c r="F589" s="109" t="inlineStr">
        <is>
          <t>Cooling</t>
        </is>
      </c>
      <c r="G589" s="109" t="inlineStr">
        <is>
          <t>Breescape</t>
        </is>
      </c>
      <c r="H589" s="109" t="inlineStr">
        <is>
          <t>Beatable</t>
        </is>
      </c>
      <c r="I589" s="109" t="inlineStr">
        <is>
          <t>SL Cooling Comforter</t>
        </is>
      </c>
      <c r="J589" s="109" t="n"/>
      <c r="K589" s="109" t="inlineStr">
        <is>
          <t>B0F38CR981</t>
        </is>
      </c>
      <c r="L589" s="109" t="inlineStr">
        <is>
          <t>B0DSPZQ9JG</t>
        </is>
      </c>
      <c r="M589" s="109" t="n">
        <v>19</v>
      </c>
      <c r="N589" s="109" t="n">
        <v>149.99</v>
      </c>
      <c r="O589" s="109" t="n"/>
      <c r="P589" s="109">
        <f>IF(AND(ISNUMBER(O589),ISNUMBER(N589),N(N589)&gt;0),O589/N589-1,"")</f>
        <v/>
      </c>
      <c r="Q589" s="109" t="n">
        <v>69.98999999999999</v>
      </c>
      <c r="R589" s="109">
        <f>IF(AND(ISNUMBER(N589),ISNUMBER(Q589),N(Q589)&gt;0),N589/Q589-1,"")</f>
        <v/>
      </c>
      <c r="S589" s="109" t="n">
        <v>110181</v>
      </c>
      <c r="T589" s="109" t="n">
        <v>18</v>
      </c>
      <c r="U589" s="109" t="n">
        <v>4.4</v>
      </c>
      <c r="V589" s="109" t="n">
        <v>343</v>
      </c>
      <c r="W589" s="109" t="n">
        <v>87874</v>
      </c>
      <c r="X589" s="109" t="n">
        <v>0.2855783553724651</v>
      </c>
      <c r="Y589" s="109" t="n">
        <v>47</v>
      </c>
      <c r="Z589" s="109" t="n">
        <v>183</v>
      </c>
      <c r="AA589" s="109" t="n">
        <v>1556</v>
      </c>
      <c r="AB589" s="109" t="n">
        <v>1.336633663366336</v>
      </c>
      <c r="AC589" s="109" t="inlineStr">
        <is>
          <t>US SL Cooling Comforter</t>
        </is>
      </c>
      <c r="AD589" s="109">
        <f>'US SL Cooling Comforter'!BC69</f>
        <v/>
      </c>
      <c r="AE589" s="109">
        <f>'US SL Cooling Comforter'!BF69</f>
        <v/>
      </c>
      <c r="AF589" s="109" t="n"/>
      <c r="AG589" s="109" t="n"/>
    </row>
    <row r="590">
      <c r="A590" s="109">
        <f>AND(OR(Dashboard!$C$4="All",Dashboard!$C$4=D590),OR(Dashboard!$C$5="All",Dashboard!$C$5=E590),OR(Dashboard!$C$6="All",Dashboard!$C$6=G590),OR(Dashboard!$C$7="All",Dashboard!$C$7=H590),OR(Dashboard!$C$8="All",Dashboard!$C$8=F590))</f>
        <v/>
      </c>
      <c r="B590" s="109">
        <f>IF(A590,B589+1,B589)</f>
        <v/>
      </c>
      <c r="C590" s="109" t="n">
        <v>42</v>
      </c>
      <c r="D590" s="109" t="inlineStr">
        <is>
          <t>SL Cooling Comforter</t>
        </is>
      </c>
      <c r="E590" s="109" t="inlineStr">
        <is>
          <t>US</t>
        </is>
      </c>
      <c r="F590" s="109" t="inlineStr">
        <is>
          <t>Cooling</t>
        </is>
      </c>
      <c r="G590" s="109" t="inlineStr">
        <is>
          <t>Bedsure</t>
        </is>
      </c>
      <c r="H590" s="109" t="inlineStr">
        <is>
          <t>Beatable</t>
        </is>
      </c>
      <c r="I590" s="109" t="inlineStr">
        <is>
          <t>SL Cooling Comforter</t>
        </is>
      </c>
      <c r="J590" s="109" t="n"/>
      <c r="K590" s="109" t="inlineStr">
        <is>
          <t>B0DYZMVM53</t>
        </is>
      </c>
      <c r="L590" s="109" t="inlineStr">
        <is>
          <t>B0DFW11ZMW</t>
        </is>
      </c>
      <c r="M590" s="109" t="n">
        <v>5</v>
      </c>
      <c r="N590" s="109" t="n">
        <v>59.99</v>
      </c>
      <c r="O590" s="109" t="n"/>
      <c r="P590" s="109">
        <f>IF(AND(ISNUMBER(O590),ISNUMBER(N590),N(N590)&gt;0),O590/N590-1,"")</f>
        <v/>
      </c>
      <c r="Q590" s="109" t="n">
        <v>69.98999999999999</v>
      </c>
      <c r="R590" s="109">
        <f>IF(AND(ISNUMBER(N590),ISNUMBER(Q590),N(Q590)&gt;0),N590/Q590-1,"")</f>
        <v/>
      </c>
      <c r="S590" s="109" t="n">
        <v>225567</v>
      </c>
      <c r="T590" s="109" t="n">
        <v>5</v>
      </c>
      <c r="U590" s="109" t="n">
        <v>4.4</v>
      </c>
      <c r="V590" s="109" t="n">
        <v>282</v>
      </c>
      <c r="W590" s="109" t="n">
        <v>18504</v>
      </c>
      <c r="X590" s="109" t="n">
        <v>0.9711953307392996</v>
      </c>
      <c r="Y590" s="109" t="n">
        <v>41</v>
      </c>
      <c r="Z590" s="109" t="n">
        <v>52</v>
      </c>
      <c r="AA590" s="109" t="n">
        <v>1</v>
      </c>
      <c r="AB590" s="109" t="n"/>
      <c r="AC590" s="109" t="inlineStr">
        <is>
          <t>US SL Cooling Comforter</t>
        </is>
      </c>
      <c r="AD590" s="109">
        <f>'US SL Cooling Comforter'!BC70</f>
        <v/>
      </c>
      <c r="AE590" s="109">
        <f>'US SL Cooling Comforter'!BF70</f>
        <v/>
      </c>
      <c r="AF590" s="109" t="n"/>
      <c r="AG590" s="109" t="n"/>
    </row>
    <row r="591">
      <c r="A591" s="109">
        <f>AND(OR(Dashboard!$C$4="All",Dashboard!$C$4=D591),OR(Dashboard!$C$5="All",Dashboard!$C$5=E591),OR(Dashboard!$C$6="All",Dashboard!$C$6=G591),OR(Dashboard!$C$7="All",Dashboard!$C$7=H591),OR(Dashboard!$C$8="All",Dashboard!$C$8=F591))</f>
        <v/>
      </c>
      <c r="B591" s="109">
        <f>IF(A591,B590+1,B590)</f>
        <v/>
      </c>
      <c r="C591" s="109" t="n">
        <v>42</v>
      </c>
      <c r="D591" s="109" t="inlineStr">
        <is>
          <t>SL Cooling Comforter</t>
        </is>
      </c>
      <c r="E591" s="109" t="inlineStr">
        <is>
          <t>US</t>
        </is>
      </c>
      <c r="F591" s="109" t="inlineStr">
        <is>
          <t>Cooling</t>
        </is>
      </c>
      <c r="G591" s="109" t="inlineStr">
        <is>
          <t>Bedtter</t>
        </is>
      </c>
      <c r="H591" s="109" t="inlineStr">
        <is>
          <t>Beatable</t>
        </is>
      </c>
      <c r="I591" s="109" t="inlineStr">
        <is>
          <t>Cooling Comforter</t>
        </is>
      </c>
      <c r="J591" s="109" t="n"/>
      <c r="K591" s="109" t="inlineStr">
        <is>
          <t>B0FKTNLQHJ</t>
        </is>
      </c>
      <c r="L591" s="109" t="inlineStr">
        <is>
          <t>B0F7GKNYTQ</t>
        </is>
      </c>
      <c r="M591" s="109" t="n">
        <v>17</v>
      </c>
      <c r="N591" s="109" t="n">
        <v>44.99</v>
      </c>
      <c r="O591" s="109" t="n"/>
      <c r="P591" s="109">
        <f>IF(AND(ISNUMBER(O591),ISNUMBER(N591),N(N591)&gt;0),O591/N591-1,"")</f>
        <v/>
      </c>
      <c r="Q591" s="109" t="n">
        <v>69.98999999999999</v>
      </c>
      <c r="R591" s="109">
        <f>IF(AND(ISNUMBER(N591),ISNUMBER(Q591),N(Q591)&gt;0),N591/Q591-1,"")</f>
        <v/>
      </c>
      <c r="S591" s="109" t="n">
        <v>2319142</v>
      </c>
      <c r="T591" s="109" t="n">
        <v>5</v>
      </c>
      <c r="U591" s="109" t="n">
        <v>4.5</v>
      </c>
      <c r="V591" s="109" t="n">
        <v>12</v>
      </c>
      <c r="W591" s="109" t="n">
        <v>178117</v>
      </c>
      <c r="X591" s="109" t="n">
        <v>0.2390197437639301</v>
      </c>
      <c r="Y591" s="109" t="n">
        <v>38</v>
      </c>
      <c r="Z591" s="109" t="n">
        <v>181</v>
      </c>
      <c r="AA591" s="109" t="n">
        <v>1057</v>
      </c>
      <c r="AB591" s="109" t="n"/>
      <c r="AC591" s="109" t="inlineStr">
        <is>
          <t>US SL Cooling Comforter</t>
        </is>
      </c>
      <c r="AD591" s="109">
        <f>'US SL Cooling Comforter'!BC71</f>
        <v/>
      </c>
      <c r="AE591" s="109">
        <f>'US SL Cooling Comforter'!BF71</f>
        <v/>
      </c>
      <c r="AF591" s="109" t="n"/>
      <c r="AG591" s="109" t="n"/>
    </row>
    <row r="592">
      <c r="A592" s="109">
        <f>AND(OR(Dashboard!$C$4="All",Dashboard!$C$4=D592),OR(Dashboard!$C$5="All",Dashboard!$C$5=E592),OR(Dashboard!$C$6="All",Dashboard!$C$6=G592),OR(Dashboard!$C$7="All",Dashboard!$C$7=H592),OR(Dashboard!$C$8="All",Dashboard!$C$8=F592))</f>
        <v/>
      </c>
      <c r="B592" s="109">
        <f>IF(A592,B591+1,B591)</f>
        <v/>
      </c>
      <c r="C592" s="109" t="n">
        <v>42</v>
      </c>
      <c r="D592" s="109" t="inlineStr">
        <is>
          <t>SL Cooling Comforter</t>
        </is>
      </c>
      <c r="E592" s="109" t="inlineStr">
        <is>
          <t>US</t>
        </is>
      </c>
      <c r="F592" s="109" t="inlineStr">
        <is>
          <t>Cooling</t>
        </is>
      </c>
      <c r="G592" s="109" t="inlineStr">
        <is>
          <t>Bedsure</t>
        </is>
      </c>
      <c r="H592" s="109" t="inlineStr">
        <is>
          <t>Untiered</t>
        </is>
      </c>
      <c r="I592" s="109" t="inlineStr">
        <is>
          <t>SL Cooling Comforter</t>
        </is>
      </c>
      <c r="J592" s="109" t="n"/>
      <c r="K592" s="109" t="inlineStr">
        <is>
          <t>B099J44BKW</t>
        </is>
      </c>
      <c r="L592" s="109" t="inlineStr">
        <is>
          <t>B0BN5TKJ8D</t>
        </is>
      </c>
      <c r="M592" s="109" t="n">
        <v>18</v>
      </c>
      <c r="N592" s="109" t="n">
        <v>39.99</v>
      </c>
      <c r="O592" s="109" t="n"/>
      <c r="P592" s="109">
        <f>IF(AND(ISNUMBER(O592),ISNUMBER(N592),N(N592)&gt;0),O592/N592-1,"")</f>
        <v/>
      </c>
      <c r="Q592" s="109" t="n">
        <v>69.98999999999999</v>
      </c>
      <c r="R592" s="109">
        <f>IF(AND(ISNUMBER(N592),ISNUMBER(Q592),N(Q592)&gt;0),N592/Q592-1,"")</f>
        <v/>
      </c>
      <c r="S592" s="109" t="n">
        <v>12115</v>
      </c>
      <c r="T592" s="109" t="n">
        <v>347</v>
      </c>
      <c r="U592" s="109" t="n">
        <v>4.4</v>
      </c>
      <c r="V592" s="109" t="n">
        <v>3538</v>
      </c>
      <c r="W592" s="109" t="n">
        <v>643949</v>
      </c>
      <c r="X592" s="109" t="n">
        <v>0.7308647324555207</v>
      </c>
      <c r="Y592" s="109" t="n">
        <v>17</v>
      </c>
      <c r="Z592" s="109" t="n">
        <v>176</v>
      </c>
      <c r="AA592" s="109" t="n">
        <v>1401</v>
      </c>
      <c r="AB592" s="109" t="n">
        <v>1.066945606694561</v>
      </c>
      <c r="AC592" s="109" t="inlineStr">
        <is>
          <t>US SL Cooling Comforter</t>
        </is>
      </c>
      <c r="AD592" s="109">
        <f>'US SL Cooling Comforter'!BC72</f>
        <v/>
      </c>
      <c r="AE592" s="109">
        <f>'US SL Cooling Comforter'!BF72</f>
        <v/>
      </c>
      <c r="AF592" s="109" t="n"/>
      <c r="AG592" s="109" t="n"/>
    </row>
    <row r="593">
      <c r="A593" s="109">
        <f>AND(OR(Dashboard!$C$4="All",Dashboard!$C$4=D593),OR(Dashboard!$C$5="All",Dashboard!$C$5=E593),OR(Dashboard!$C$6="All",Dashboard!$C$6=G593),OR(Dashboard!$C$7="All",Dashboard!$C$7=H593),OR(Dashboard!$C$8="All",Dashboard!$C$8=F593))</f>
        <v/>
      </c>
      <c r="B593" s="109">
        <f>IF(A593,B592+1,B592)</f>
        <v/>
      </c>
      <c r="C593" s="109" t="n">
        <v>42</v>
      </c>
      <c r="D593" s="109" t="inlineStr">
        <is>
          <t>SL Cooling Comforter</t>
        </is>
      </c>
      <c r="E593" s="109" t="inlineStr">
        <is>
          <t>US</t>
        </is>
      </c>
      <c r="F593" s="109" t="inlineStr">
        <is>
          <t>Cooling</t>
        </is>
      </c>
      <c r="G593" s="109" t="inlineStr">
        <is>
          <t>DOWNCOOL</t>
        </is>
      </c>
      <c r="H593" s="109" t="inlineStr">
        <is>
          <t>Untiered</t>
        </is>
      </c>
      <c r="I593" s="109" t="inlineStr">
        <is>
          <t>SL Cooling Comforter</t>
        </is>
      </c>
      <c r="J593" s="109" t="n"/>
      <c r="K593" s="109" t="inlineStr">
        <is>
          <t>B0F5WP36DB</t>
        </is>
      </c>
      <c r="L593" s="109" t="inlineStr">
        <is>
          <t>B0G7YZWPHK</t>
        </is>
      </c>
      <c r="M593" s="109" t="n"/>
      <c r="N593" s="109" t="n">
        <v>31.99</v>
      </c>
      <c r="O593" s="109" t="n">
        <v>39.99</v>
      </c>
      <c r="P593" s="109">
        <f>IF(AND(ISNUMBER(O593),ISNUMBER(N593),N(N593)&gt;0),O593/N593-1,"")</f>
        <v/>
      </c>
      <c r="Q593" s="109" t="n">
        <v>69.98999999999999</v>
      </c>
      <c r="R593" s="109">
        <f>IF(AND(ISNUMBER(N593),ISNUMBER(Q593),N(Q593)&gt;0),N593/Q593-1,"")</f>
        <v/>
      </c>
      <c r="S593" s="109" t="n">
        <v>14419</v>
      </c>
      <c r="T593" s="109" t="n">
        <v>104</v>
      </c>
      <c r="U593" s="109" t="n">
        <v>4.4</v>
      </c>
      <c r="V593" s="109" t="n">
        <v>904</v>
      </c>
      <c r="W593" s="109" t="n"/>
      <c r="X593" s="109" t="n"/>
      <c r="Y593" s="109" t="n"/>
      <c r="Z593" s="109" t="n"/>
      <c r="AA593" s="109" t="n"/>
      <c r="AB593" s="109" t="n"/>
      <c r="AC593" s="109" t="inlineStr">
        <is>
          <t>US SL Cooling Comforter</t>
        </is>
      </c>
      <c r="AD593" s="109">
        <f>'US SL Cooling Comforter'!BC73</f>
        <v/>
      </c>
      <c r="AE593" s="109">
        <f>'US SL Cooling Comforter'!BF73</f>
        <v/>
      </c>
      <c r="AF593" s="109" t="n"/>
      <c r="AG593" s="109" t="n"/>
    </row>
    <row r="594">
      <c r="A594" s="109">
        <f>AND(OR(Dashboard!$C$4="All",Dashboard!$C$4=D594),OR(Dashboard!$C$5="All",Dashboard!$C$5=E594),OR(Dashboard!$C$6="All",Dashboard!$C$6=G594),OR(Dashboard!$C$7="All",Dashboard!$C$7=H594),OR(Dashboard!$C$8="All",Dashboard!$C$8=F594))</f>
        <v/>
      </c>
      <c r="B594" s="109">
        <f>IF(A594,B593+1,B593)</f>
        <v/>
      </c>
      <c r="C594" s="109" t="n">
        <v>42</v>
      </c>
      <c r="D594" s="109" t="inlineStr">
        <is>
          <t>SL Cooling Comforter</t>
        </is>
      </c>
      <c r="E594" s="109" t="inlineStr">
        <is>
          <t>US</t>
        </is>
      </c>
      <c r="F594" s="109" t="inlineStr">
        <is>
          <t>Cooling</t>
        </is>
      </c>
      <c r="G594" s="109" t="inlineStr">
        <is>
          <t>jiaao</t>
        </is>
      </c>
      <c r="H594" s="109" t="inlineStr">
        <is>
          <t>Untiered</t>
        </is>
      </c>
      <c r="I594" s="109" t="inlineStr">
        <is>
          <t>Cooling Comforter</t>
        </is>
      </c>
      <c r="J594" s="109" t="n"/>
      <c r="K594" s="109" t="inlineStr">
        <is>
          <t>B0GXZLZ3KB</t>
        </is>
      </c>
      <c r="L594" s="109" t="inlineStr">
        <is>
          <t>B0GR4L84HS</t>
        </is>
      </c>
      <c r="M594" s="109" t="n">
        <v>1</v>
      </c>
      <c r="N594" s="109" t="n">
        <v>40</v>
      </c>
      <c r="O594" s="109" t="n"/>
      <c r="P594" s="109">
        <f>IF(AND(ISNUMBER(O594),ISNUMBER(N594),N(N594)&gt;0),O594/N594-1,"")</f>
        <v/>
      </c>
      <c r="Q594" s="109" t="n">
        <v>69.98999999999999</v>
      </c>
      <c r="R594" s="109">
        <f>IF(AND(ISNUMBER(N594),ISNUMBER(Q594),N(Q594)&gt;0),N594/Q594-1,"")</f>
        <v/>
      </c>
      <c r="S594" s="109" t="n">
        <v>764449</v>
      </c>
      <c r="T594" s="109" t="n">
        <v>5</v>
      </c>
      <c r="U594" s="109" t="n">
        <v>4</v>
      </c>
      <c r="V594" s="109" t="n">
        <v>83</v>
      </c>
      <c r="W594" s="109" t="n">
        <v>19888</v>
      </c>
      <c r="X594" s="109" t="n">
        <v>1</v>
      </c>
      <c r="Y594" s="109" t="n">
        <v>38</v>
      </c>
      <c r="Z594" s="109" t="n">
        <v>70</v>
      </c>
      <c r="AA594" s="109" t="n">
        <v>0</v>
      </c>
      <c r="AB594" s="109" t="n"/>
      <c r="AC594" s="109" t="inlineStr">
        <is>
          <t>US SL Cooling Comforter</t>
        </is>
      </c>
      <c r="AD594" s="109">
        <f>'US SL Cooling Comforter'!BC74</f>
        <v/>
      </c>
      <c r="AE594" s="109">
        <f>'US SL Cooling Comforter'!BF74</f>
        <v/>
      </c>
      <c r="AF594" s="109" t="n"/>
      <c r="AG594" s="109" t="n"/>
    </row>
    <row r="595">
      <c r="A595" s="109">
        <f>AND(OR(Dashboard!$C$4="All",Dashboard!$C$4=D595),OR(Dashboard!$C$5="All",Dashboard!$C$5=E595),OR(Dashboard!$C$6="All",Dashboard!$C$6=G595),OR(Dashboard!$C$7="All",Dashboard!$C$7=H595),OR(Dashboard!$C$8="All",Dashboard!$C$8=F595))</f>
        <v/>
      </c>
      <c r="B595" s="109">
        <f>IF(A595,B594+1,B594)</f>
        <v/>
      </c>
      <c r="C595" s="109" t="n">
        <v>42</v>
      </c>
      <c r="D595" s="109" t="inlineStr">
        <is>
          <t>SL Cooling Comforter</t>
        </is>
      </c>
      <c r="E595" s="109" t="inlineStr">
        <is>
          <t>US</t>
        </is>
      </c>
      <c r="F595" s="109" t="inlineStr">
        <is>
          <t>Cooling</t>
        </is>
      </c>
      <c r="G595" s="109" t="inlineStr">
        <is>
          <t>MASVIS</t>
        </is>
      </c>
      <c r="H595" s="109" t="inlineStr">
        <is>
          <t>Untiered</t>
        </is>
      </c>
      <c r="I595" s="109" t="inlineStr">
        <is>
          <t>SL Cooling Comforter</t>
        </is>
      </c>
      <c r="J595" s="109" t="n"/>
      <c r="K595" s="109" t="inlineStr">
        <is>
          <t>B0GBWB3NSS</t>
        </is>
      </c>
      <c r="L595" s="109" t="inlineStr">
        <is>
          <t>B0GBV12MKL</t>
        </is>
      </c>
      <c r="M595" s="109" t="n"/>
      <c r="N595" s="109" t="n">
        <v>23.99</v>
      </c>
      <c r="O595" s="109" t="n"/>
      <c r="P595" s="109">
        <f>IF(AND(ISNUMBER(O595),ISNUMBER(N595),N(N595)&gt;0),O595/N595-1,"")</f>
        <v/>
      </c>
      <c r="Q595" s="109" t="n">
        <v>69.98999999999999</v>
      </c>
      <c r="R595" s="109">
        <f>IF(AND(ISNUMBER(N595),ISNUMBER(Q595),N(Q595)&gt;0),N595/Q595-1,"")</f>
        <v/>
      </c>
      <c r="S595" s="109" t="n">
        <v>469677</v>
      </c>
      <c r="T595" s="109" t="n">
        <v>5</v>
      </c>
      <c r="U595" s="109" t="n">
        <v>4.5</v>
      </c>
      <c r="V595" s="109" t="n">
        <v>204</v>
      </c>
      <c r="W595" s="109" t="n"/>
      <c r="X595" s="109" t="n"/>
      <c r="Y595" s="109" t="n"/>
      <c r="Z595" s="109" t="n"/>
      <c r="AA595" s="109" t="n"/>
      <c r="AB595" s="109" t="n"/>
      <c r="AC595" s="109" t="inlineStr">
        <is>
          <t>US SL Cooling Comforter</t>
        </is>
      </c>
      <c r="AD595" s="109">
        <f>'US SL Cooling Comforter'!BC75</f>
        <v/>
      </c>
      <c r="AE595" s="109">
        <f>'US SL Cooling Comforter'!BF75</f>
        <v/>
      </c>
      <c r="AF595" s="109" t="n"/>
      <c r="AG595" s="109" t="n"/>
    </row>
    <row r="596">
      <c r="A596" s="109">
        <f>AND(OR(Dashboard!$C$4="All",Dashboard!$C$4=D596),OR(Dashboard!$C$5="All",Dashboard!$C$5=E596),OR(Dashboard!$C$6="All",Dashboard!$C$6=G596),OR(Dashboard!$C$7="All",Dashboard!$C$7=H596),OR(Dashboard!$C$8="All",Dashboard!$C$8=F596))</f>
        <v/>
      </c>
      <c r="B596" s="109">
        <f>IF(A596,B595+1,B595)</f>
        <v/>
      </c>
      <c r="C596" s="109" t="n">
        <v>42</v>
      </c>
      <c r="D596" s="109" t="inlineStr">
        <is>
          <t>SL Cooling Comforter</t>
        </is>
      </c>
      <c r="E596" s="109" t="inlineStr">
        <is>
          <t>US</t>
        </is>
      </c>
      <c r="F596" s="109" t="inlineStr">
        <is>
          <t>Cooling</t>
        </is>
      </c>
      <c r="G596" s="109" t="inlineStr">
        <is>
          <t>Wolliwa</t>
        </is>
      </c>
      <c r="H596" s="109" t="inlineStr">
        <is>
          <t>Untiered</t>
        </is>
      </c>
      <c r="I596" s="109" t="inlineStr">
        <is>
          <t>SL Cooling Comforter</t>
        </is>
      </c>
      <c r="J596" s="109" t="n"/>
      <c r="K596" s="109" t="inlineStr">
        <is>
          <t>B0FDWBSS6T</t>
        </is>
      </c>
      <c r="L596" s="109" t="inlineStr">
        <is>
          <t>B0DYNVCJG9</t>
        </is>
      </c>
      <c r="M596" s="109" t="n"/>
      <c r="N596" s="109" t="n">
        <v>28.99</v>
      </c>
      <c r="O596" s="109" t="n"/>
      <c r="P596" s="109">
        <f>IF(AND(ISNUMBER(O596),ISNUMBER(N596),N(N596)&gt;0),O596/N596-1,"")</f>
        <v/>
      </c>
      <c r="Q596" s="109" t="n">
        <v>69.98999999999999</v>
      </c>
      <c r="R596" s="109">
        <f>IF(AND(ISNUMBER(N596),ISNUMBER(Q596),N(Q596)&gt;0),N596/Q596-1,"")</f>
        <v/>
      </c>
      <c r="S596" s="109" t="n">
        <v>587105</v>
      </c>
      <c r="T596" s="109" t="n">
        <v>5</v>
      </c>
      <c r="U596" s="109" t="n">
        <v>4.5</v>
      </c>
      <c r="V596" s="109" t="n">
        <v>384</v>
      </c>
      <c r="W596" s="109" t="n"/>
      <c r="X596" s="109" t="n"/>
      <c r="Y596" s="109" t="n"/>
      <c r="Z596" s="109" t="n"/>
      <c r="AA596" s="109" t="n"/>
      <c r="AB596" s="109" t="n"/>
      <c r="AC596" s="109" t="inlineStr">
        <is>
          <t>US SL Cooling Comforter</t>
        </is>
      </c>
      <c r="AD596" s="109">
        <f>'US SL Cooling Comforter'!BC76</f>
        <v/>
      </c>
      <c r="AE596" s="109">
        <f>'US SL Cooling Comforter'!BF76</f>
        <v/>
      </c>
      <c r="AF596" s="109" t="n"/>
      <c r="AG596" s="109" t="n"/>
    </row>
    <row r="597">
      <c r="A597" s="109">
        <f>AND(OR(Dashboard!$C$4="All",Dashboard!$C$4=D597),OR(Dashboard!$C$5="All",Dashboard!$C$5=E597),OR(Dashboard!$C$6="All",Dashboard!$C$6=G597),OR(Dashboard!$C$7="All",Dashboard!$C$7=H597),OR(Dashboard!$C$8="All",Dashboard!$C$8=F597))</f>
        <v/>
      </c>
      <c r="B597" s="109">
        <f>IF(A597,B596+1,B596)</f>
        <v/>
      </c>
      <c r="C597" s="109" t="n">
        <v>44</v>
      </c>
      <c r="D597" s="109" t="inlineStr">
        <is>
          <t>SL Cooling Fitted</t>
        </is>
      </c>
      <c r="E597" s="109" t="inlineStr">
        <is>
          <t>US</t>
        </is>
      </c>
      <c r="F597" s="109" t="inlineStr">
        <is>
          <t>Cooling</t>
        </is>
      </c>
      <c r="G597" s="109" t="inlineStr">
        <is>
          <t>Pure Bamboo</t>
        </is>
      </c>
      <c r="H597" s="109" t="inlineStr">
        <is>
          <t>Aspirational</t>
        </is>
      </c>
      <c r="I597" s="109" t="inlineStr">
        <is>
          <t>Pure Bamboo King Sheets, Genuine 100% Organic Viscose Derived from Bamboo Bed Sheet Set, Luxuriously Soft &amp; Cooling, Double Stitching, 2 Year Quality Promise (King, Ivory)</t>
        </is>
      </c>
      <c r="J597" s="109" t="inlineStr">
        <is>
          <t>https://images-na.ssl-images-amazon.com/images/I/91dfner9BkL.jpg</t>
        </is>
      </c>
      <c r="K597" s="109" t="inlineStr">
        <is>
          <t>B0CZQ52MTQ</t>
        </is>
      </c>
      <c r="L597" s="109" t="inlineStr">
        <is>
          <t>B07DZTQ4JC</t>
        </is>
      </c>
      <c r="M597" s="109" t="n">
        <v>181</v>
      </c>
      <c r="N597" s="109" t="n">
        <v>109.99</v>
      </c>
      <c r="O597" s="109" t="n"/>
      <c r="P597" s="109">
        <f>IF(AND(ISNUMBER(O597),ISNUMBER(N597),N(N597)&gt;0),O597/N597-1,"")</f>
        <v/>
      </c>
      <c r="Q597" s="109" t="n">
        <v>39.99</v>
      </c>
      <c r="R597" s="109">
        <f>IF(AND(ISNUMBER(N597),ISNUMBER(Q597),N(Q597)&gt;0),N597/Q597-1,"")</f>
        <v/>
      </c>
      <c r="S597" s="109" t="n">
        <v>304</v>
      </c>
      <c r="T597" s="109" t="n">
        <v>809</v>
      </c>
      <c r="U597" s="109" t="n">
        <v>4.5</v>
      </c>
      <c r="V597" s="109" t="n">
        <v>21927</v>
      </c>
      <c r="W597" s="109" t="n">
        <v>2565055</v>
      </c>
      <c r="X597" s="109" t="n">
        <v>0.4648594811807159</v>
      </c>
      <c r="Y597" s="109" t="n">
        <v>56</v>
      </c>
      <c r="Z597" s="109" t="n">
        <v>287</v>
      </c>
      <c r="AA597" s="109" t="n">
        <v>3797</v>
      </c>
      <c r="AB597" s="109" t="n">
        <v>1.180104147961932</v>
      </c>
      <c r="AC597" s="109" t="inlineStr">
        <is>
          <t>US SL Cooling Fitted</t>
        </is>
      </c>
      <c r="AD597" s="109">
        <f>'US SL Cooling Fitted'!BC102</f>
        <v/>
      </c>
      <c r="AE597" s="109">
        <f>'US SL Cooling Fitted'!BF102</f>
        <v/>
      </c>
      <c r="AF597" s="109" t="inlineStr">
        <is>
          <t>King</t>
        </is>
      </c>
      <c r="AG597" s="109" t="inlineStr">
        <is>
          <t>Ivory</t>
        </is>
      </c>
    </row>
    <row r="598">
      <c r="A598" s="109">
        <f>AND(OR(Dashboard!$C$4="All",Dashboard!$C$4=D598),OR(Dashboard!$C$5="All",Dashboard!$C$5=E598),OR(Dashboard!$C$6="All",Dashboard!$C$6=G598),OR(Dashboard!$C$7="All",Dashboard!$C$7=H598),OR(Dashboard!$C$8="All",Dashboard!$C$8=F598))</f>
        <v/>
      </c>
      <c r="B598" s="109">
        <f>IF(A598,B597+1,B597)</f>
        <v/>
      </c>
      <c r="C598" s="109" t="n">
        <v>44</v>
      </c>
      <c r="D598" s="109" t="inlineStr">
        <is>
          <t>SL Cooling Fitted</t>
        </is>
      </c>
      <c r="E598" s="109" t="inlineStr">
        <is>
          <t>US</t>
        </is>
      </c>
      <c r="F598" s="109" t="inlineStr">
        <is>
          <t>Cooling</t>
        </is>
      </c>
      <c r="G598" s="109" t="inlineStr">
        <is>
          <t>Bedsure</t>
        </is>
      </c>
      <c r="H598" s="109" t="inlineStr">
        <is>
          <t>Beatable</t>
        </is>
      </c>
      <c r="I598" s="109" t="inlineStr">
        <is>
          <t>Bedsure PureWoven Organically Grown Bamboo Viscose Queen Sheet Set, 4PCS</t>
        </is>
      </c>
      <c r="J598" s="109" t="inlineStr">
        <is>
          <t>https://images-na.ssl-images-amazon.com/images/I/81suQgVR0GL.jpg</t>
        </is>
      </c>
      <c r="K598" s="109" t="inlineStr">
        <is>
          <t>B0FB8XS4D1</t>
        </is>
      </c>
      <c r="L598" s="109" t="inlineStr">
        <is>
          <t>B0FB8XR43Q</t>
        </is>
      </c>
      <c r="M598" s="109" t="n">
        <v>39</v>
      </c>
      <c r="N598" s="109" t="n">
        <v>89.98999999999999</v>
      </c>
      <c r="O598" s="109" t="n">
        <v>119.99</v>
      </c>
      <c r="P598" s="109">
        <f>IF(AND(ISNUMBER(O598),ISNUMBER(N598),N(N598)&gt;0),O598/N598-1,"")</f>
        <v/>
      </c>
      <c r="Q598" s="109" t="n">
        <v>37.99</v>
      </c>
      <c r="R598" s="109">
        <f>IF(AND(ISNUMBER(N598),ISNUMBER(Q598),N(Q598)&gt;0),N598/Q598-1,"")</f>
        <v/>
      </c>
      <c r="S598" s="109" t="n">
        <v>8938</v>
      </c>
      <c r="T598" s="109" t="n">
        <v>104</v>
      </c>
      <c r="U598" s="109" t="n">
        <v>4.5</v>
      </c>
      <c r="V598" s="109" t="n">
        <v>588</v>
      </c>
      <c r="W598" s="109" t="n">
        <v>840292</v>
      </c>
      <c r="X598" s="109" t="n">
        <v>0.1404099194089678</v>
      </c>
      <c r="Y598" s="109" t="n">
        <v>58</v>
      </c>
      <c r="Z598" s="109" t="n">
        <v>268</v>
      </c>
      <c r="AA598" s="109" t="n">
        <v>2465</v>
      </c>
      <c r="AB598" s="109" t="n">
        <v>1.764832022873481</v>
      </c>
      <c r="AC598" s="109" t="inlineStr">
        <is>
          <t>US SL Cooling Fitted</t>
        </is>
      </c>
      <c r="AD598" s="109">
        <f>'US SL Cooling Fitted'!BC103</f>
        <v/>
      </c>
      <c r="AE598" s="109">
        <f>'US SL Cooling Fitted'!BF103</f>
        <v/>
      </c>
      <c r="AF598" s="109" t="inlineStr">
        <is>
          <t>Queen</t>
        </is>
      </c>
      <c r="AG598" s="109" t="n"/>
    </row>
    <row r="599">
      <c r="A599" s="109">
        <f>AND(OR(Dashboard!$C$4="All",Dashboard!$C$4=D599),OR(Dashboard!$C$5="All",Dashboard!$C$5=E599),OR(Dashboard!$C$6="All",Dashboard!$C$6=G599),OR(Dashboard!$C$7="All",Dashboard!$C$7=H599),OR(Dashboard!$C$8="All",Dashboard!$C$8=F599))</f>
        <v/>
      </c>
      <c r="B599" s="109">
        <f>IF(A599,B598+1,B598)</f>
        <v/>
      </c>
      <c r="C599" s="109" t="n">
        <v>44</v>
      </c>
      <c r="D599" s="109" t="inlineStr">
        <is>
          <t>SL Cooling Fitted</t>
        </is>
      </c>
      <c r="E599" s="109" t="inlineStr">
        <is>
          <t>US</t>
        </is>
      </c>
      <c r="F599" s="109" t="inlineStr">
        <is>
          <t>Cooling</t>
        </is>
      </c>
      <c r="G599" s="109" t="inlineStr">
        <is>
          <t>Zaizaihome</t>
        </is>
      </c>
      <c r="H599" s="109" t="inlineStr">
        <is>
          <t>Beatable</t>
        </is>
      </c>
      <c r="I599" s="109" t="inlineStr">
        <is>
          <t>Bamboo Viscose Cooling Fitted Sheet King Size Only</t>
        </is>
      </c>
      <c r="J599" s="109" t="inlineStr">
        <is>
          <t>https://images-na.ssl-images-amazon.com/images/I/81UgXZwkGpL.jpg</t>
        </is>
      </c>
      <c r="K599" s="109" t="inlineStr">
        <is>
          <t>B0CXPDKH51</t>
        </is>
      </c>
      <c r="L599" s="109" t="inlineStr">
        <is>
          <t>B0CXPKK5DD</t>
        </is>
      </c>
      <c r="M599" s="109" t="n">
        <v>79</v>
      </c>
      <c r="N599" s="109" t="n">
        <v>29.99</v>
      </c>
      <c r="O599" s="109" t="n"/>
      <c r="P599" s="109">
        <f>IF(AND(ISNUMBER(O599),ISNUMBER(N599),N(N599)&gt;0),O599/N599-1,"")</f>
        <v/>
      </c>
      <c r="Q599" s="109" t="n">
        <v>39.99</v>
      </c>
      <c r="R599" s="109">
        <f>IF(AND(ISNUMBER(N599),ISNUMBER(Q599),N(Q599)&gt;0),N599/Q599-1,"")</f>
        <v/>
      </c>
      <c r="S599" s="109" t="n">
        <v>9600</v>
      </c>
      <c r="T599" s="109" t="n">
        <v>81</v>
      </c>
      <c r="U599" s="109" t="n">
        <v>4.3</v>
      </c>
      <c r="V599" s="109" t="n">
        <v>1029</v>
      </c>
      <c r="W599" s="109" t="n">
        <v>80454</v>
      </c>
      <c r="X599" s="109" t="n">
        <v>0.9934371106470778</v>
      </c>
      <c r="Y599" s="109" t="n">
        <v>39</v>
      </c>
      <c r="Z599" s="109" t="n">
        <v>214</v>
      </c>
      <c r="AA599" s="109" t="n">
        <v>39</v>
      </c>
      <c r="AB599" s="109" t="n">
        <v>0.9810017271157168</v>
      </c>
      <c r="AC599" s="109" t="inlineStr">
        <is>
          <t>US SL Cooling Fitted</t>
        </is>
      </c>
      <c r="AD599" s="109">
        <f>'US SL Cooling Fitted'!BC104</f>
        <v/>
      </c>
      <c r="AE599" s="109">
        <f>'US SL Cooling Fitted'!BF104</f>
        <v/>
      </c>
      <c r="AF599" s="109" t="inlineStr">
        <is>
          <t>King</t>
        </is>
      </c>
      <c r="AG599" s="109" t="n"/>
    </row>
    <row r="600">
      <c r="A600" s="109">
        <f>AND(OR(Dashboard!$C$4="All",Dashboard!$C$4=D600),OR(Dashboard!$C$5="All",Dashboard!$C$5=E600),OR(Dashboard!$C$6="All",Dashboard!$C$6=G600),OR(Dashboard!$C$7="All",Dashboard!$C$7=H600),OR(Dashboard!$C$8="All",Dashboard!$C$8=F600))</f>
        <v/>
      </c>
      <c r="B600" s="109">
        <f>IF(A600,B599+1,B599)</f>
        <v/>
      </c>
      <c r="C600" s="109" t="n">
        <v>44</v>
      </c>
      <c r="D600" s="109" t="inlineStr">
        <is>
          <t>SL Cooling Fitted</t>
        </is>
      </c>
      <c r="E600" s="109" t="inlineStr">
        <is>
          <t>US</t>
        </is>
      </c>
      <c r="F600" s="109" t="inlineStr">
        <is>
          <t>Cooling</t>
        </is>
      </c>
      <c r="G600" s="109" t="inlineStr"/>
      <c r="H600" s="109" t="inlineStr">
        <is>
          <t>Beatable</t>
        </is>
      </c>
      <c r="I600" s="109" t="inlineStr">
        <is>
          <t>Bedsure PureWoven Queen Fitted Sheet Qnly, 100% Rayon Derived from Bamboo</t>
        </is>
      </c>
      <c r="J600" s="109" t="inlineStr">
        <is>
          <t>https://images-na.ssl-images-amazon.com/images/I/81OVUx9lkCL.jpg</t>
        </is>
      </c>
      <c r="K600" s="109" t="inlineStr">
        <is>
          <t>B0FW3SSM8K</t>
        </is>
      </c>
      <c r="L600" s="109" t="inlineStr">
        <is>
          <t>B0FW38KM4S</t>
        </is>
      </c>
      <c r="M600" s="109" t="n">
        <v>24</v>
      </c>
      <c r="N600" s="109" t="n">
        <v>44.99</v>
      </c>
      <c r="O600" s="109" t="n"/>
      <c r="P600" s="109">
        <f>IF(AND(ISNUMBER(O600),ISNUMBER(N600),N(N600)&gt;0),O600/N600-1,"")</f>
        <v/>
      </c>
      <c r="Q600" s="109" t="n">
        <v>37.99</v>
      </c>
      <c r="R600" s="109">
        <f>IF(AND(ISNUMBER(N600),ISNUMBER(Q600),N(Q600)&gt;0),N600/Q600-1,"")</f>
        <v/>
      </c>
      <c r="S600" s="109" t="n">
        <v>19075</v>
      </c>
      <c r="T600" s="109" t="n">
        <v>81</v>
      </c>
      <c r="U600" s="109" t="n">
        <v>4.4</v>
      </c>
      <c r="V600" s="109" t="n">
        <v>168</v>
      </c>
      <c r="W600" s="109" t="n">
        <v>95724</v>
      </c>
      <c r="X600" s="109" t="n">
        <v>0.3728984204588193</v>
      </c>
      <c r="Y600" s="109" t="n">
        <v>56</v>
      </c>
      <c r="Z600" s="109" t="n">
        <v>240</v>
      </c>
      <c r="AA600" s="109" t="n">
        <v>438</v>
      </c>
      <c r="AB600" s="109" t="n">
        <v>1.177319587628866</v>
      </c>
      <c r="AC600" s="109" t="inlineStr">
        <is>
          <t>US SL Cooling Fitted</t>
        </is>
      </c>
      <c r="AD600" s="109">
        <f>'US SL Cooling Fitted'!BC105</f>
        <v/>
      </c>
      <c r="AE600" s="109">
        <f>'US SL Cooling Fitted'!BF105</f>
        <v/>
      </c>
      <c r="AF600" s="109" t="inlineStr">
        <is>
          <t>Queen</t>
        </is>
      </c>
      <c r="AG600" s="109" t="n"/>
    </row>
    <row r="601">
      <c r="A601" s="109">
        <f>AND(OR(Dashboard!$C$4="All",Dashboard!$C$4=D601),OR(Dashboard!$C$5="All",Dashboard!$C$5=E601),OR(Dashboard!$C$6="All",Dashboard!$C$6=G601),OR(Dashboard!$C$7="All",Dashboard!$C$7=H601),OR(Dashboard!$C$8="All",Dashboard!$C$8=F601))</f>
        <v/>
      </c>
      <c r="B601" s="109">
        <f>IF(A601,B600+1,B600)</f>
        <v/>
      </c>
      <c r="C601" s="109" t="n">
        <v>44</v>
      </c>
      <c r="D601" s="109" t="inlineStr">
        <is>
          <t>SL Cooling Fitted</t>
        </is>
      </c>
      <c r="E601" s="109" t="inlineStr">
        <is>
          <t>US</t>
        </is>
      </c>
      <c r="F601" s="109" t="inlineStr">
        <is>
          <t>Cooling</t>
        </is>
      </c>
      <c r="G601" s="109" t="inlineStr">
        <is>
          <t>REST</t>
        </is>
      </c>
      <c r="H601" s="109" t="inlineStr">
        <is>
          <t>Beatable</t>
        </is>
      </c>
      <c r="I601" s="109" t="inlineStr">
        <is>
          <t>REST® Evercool®+ Fitted Sheet, Full Size, Light Blue, 15" Deep (up to 18’’), Bre</t>
        </is>
      </c>
      <c r="J601" s="109" t="n"/>
      <c r="K601" s="109" t="inlineStr">
        <is>
          <t>B0C14HFDS1</t>
        </is>
      </c>
      <c r="L601" s="109" t="inlineStr">
        <is>
          <t>B0D4Y6RKLL</t>
        </is>
      </c>
      <c r="M601" s="109" t="n">
        <v>36</v>
      </c>
      <c r="N601" s="109" t="n">
        <v>111.2</v>
      </c>
      <c r="O601" s="109" t="n">
        <v>139</v>
      </c>
      <c r="P601" s="109">
        <f>IF(AND(ISNUMBER(O601),ISNUMBER(N601),N(N601)&gt;0),O601/N601-1,"")</f>
        <v/>
      </c>
      <c r="Q601" s="109" t="n">
        <v>35.99</v>
      </c>
      <c r="R601" s="109">
        <f>IF(AND(ISNUMBER(N601),ISNUMBER(Q601),N(Q601)&gt;0),N601/Q601-1,"")</f>
        <v/>
      </c>
      <c r="S601" s="109" t="n">
        <v>22651</v>
      </c>
      <c r="T601" s="109" t="n">
        <v>35</v>
      </c>
      <c r="U601" s="109" t="n">
        <v>4.4</v>
      </c>
      <c r="V601" s="109" t="n">
        <v>663</v>
      </c>
      <c r="W601" s="109" t="n">
        <v>110996</v>
      </c>
      <c r="X601" s="109" t="n">
        <v>0.5327084201232477</v>
      </c>
      <c r="Y601" s="109" t="n">
        <v>102</v>
      </c>
      <c r="Z601" s="109" t="n">
        <v>119</v>
      </c>
      <c r="AA601" s="109" t="n">
        <v>766</v>
      </c>
      <c r="AB601" s="109" t="n"/>
      <c r="AC601" s="109" t="inlineStr">
        <is>
          <t>US SL Cooling Fitted</t>
        </is>
      </c>
      <c r="AD601" s="109">
        <f>'US SL Cooling Fitted'!BC106</f>
        <v/>
      </c>
      <c r="AE601" s="109">
        <f>'US SL Cooling Fitted'!BF106</f>
        <v/>
      </c>
      <c r="AF601" s="109" t="inlineStr">
        <is>
          <t>Full</t>
        </is>
      </c>
      <c r="AG601" s="109" t="inlineStr">
        <is>
          <t>Light Blue</t>
        </is>
      </c>
    </row>
    <row r="602">
      <c r="A602" s="109">
        <f>AND(OR(Dashboard!$C$4="All",Dashboard!$C$4=D602),OR(Dashboard!$C$5="All",Dashboard!$C$5=E602),OR(Dashboard!$C$6="All",Dashboard!$C$6=G602),OR(Dashboard!$C$7="All",Dashboard!$C$7=H602),OR(Dashboard!$C$8="All",Dashboard!$C$8=F602))</f>
        <v/>
      </c>
      <c r="B602" s="109">
        <f>IF(A602,B601+1,B601)</f>
        <v/>
      </c>
      <c r="C602" s="109" t="n">
        <v>44</v>
      </c>
      <c r="D602" s="109" t="inlineStr">
        <is>
          <t>SL Cooling Fitted</t>
        </is>
      </c>
      <c r="E602" s="109" t="inlineStr">
        <is>
          <t>US</t>
        </is>
      </c>
      <c r="F602" s="109" t="inlineStr">
        <is>
          <t>Cooling</t>
        </is>
      </c>
      <c r="G602" s="109" t="inlineStr">
        <is>
          <t>Cozy Bliss</t>
        </is>
      </c>
      <c r="H602" s="109" t="inlineStr">
        <is>
          <t>Beatable</t>
        </is>
      </c>
      <c r="I602" s="109" t="inlineStr">
        <is>
          <t>Cooling Fitted Sheet</t>
        </is>
      </c>
      <c r="J602" s="109" t="n"/>
      <c r="K602" s="109" t="inlineStr">
        <is>
          <t>B0DT14Y4VJ</t>
        </is>
      </c>
      <c r="L602" s="109" t="inlineStr">
        <is>
          <t>B0DMNMPVJP</t>
        </is>
      </c>
      <c r="M602" s="109" t="n">
        <v>23</v>
      </c>
      <c r="N602" s="109" t="n">
        <v>74.98999999999999</v>
      </c>
      <c r="O602" s="109" t="n"/>
      <c r="P602" s="109">
        <f>IF(AND(ISNUMBER(O602),ISNUMBER(N602),N(N602)&gt;0),O602/N602-1,"")</f>
        <v/>
      </c>
      <c r="Q602" s="109" t="n">
        <v>37.99</v>
      </c>
      <c r="R602" s="109">
        <f>IF(AND(ISNUMBER(N602),ISNUMBER(Q602),N(Q602)&gt;0),N602/Q602-1,"")</f>
        <v/>
      </c>
      <c r="S602" s="109" t="n">
        <v>100300</v>
      </c>
      <c r="T602" s="109" t="n">
        <v>5</v>
      </c>
      <c r="U602" s="109" t="n">
        <v>4.5</v>
      </c>
      <c r="V602" s="109" t="n">
        <v>456</v>
      </c>
      <c r="W602" s="109" t="n">
        <v>14965</v>
      </c>
      <c r="X602" s="109" t="n">
        <v>0.8178404944871368</v>
      </c>
      <c r="Y602" s="109" t="n">
        <v>83</v>
      </c>
      <c r="Z602" s="109" t="n">
        <v>29</v>
      </c>
      <c r="AA602" s="109" t="n">
        <v>67</v>
      </c>
      <c r="AB602" s="109" t="n"/>
      <c r="AC602" s="109" t="inlineStr">
        <is>
          <t>US SL Cooling Fitted</t>
        </is>
      </c>
      <c r="AD602" s="109">
        <f>'US SL Cooling Fitted'!BC107</f>
        <v/>
      </c>
      <c r="AE602" s="109">
        <f>'US SL Cooling Fitted'!BF107</f>
        <v/>
      </c>
      <c r="AF602" s="109" t="n"/>
      <c r="AG602" s="109" t="n"/>
    </row>
    <row r="603">
      <c r="A603" s="109">
        <f>AND(OR(Dashboard!$C$4="All",Dashboard!$C$4=D603),OR(Dashboard!$C$5="All",Dashboard!$C$5=E603),OR(Dashboard!$C$6="All",Dashboard!$C$6=G603),OR(Dashboard!$C$7="All",Dashboard!$C$7=H603),OR(Dashboard!$C$8="All",Dashboard!$C$8=F603))</f>
        <v/>
      </c>
      <c r="B603" s="109">
        <f>IF(A603,B602+1,B602)</f>
        <v/>
      </c>
      <c r="C603" s="109" t="n">
        <v>44</v>
      </c>
      <c r="D603" s="109" t="inlineStr">
        <is>
          <t>SL Cooling Fitted</t>
        </is>
      </c>
      <c r="E603" s="109" t="inlineStr">
        <is>
          <t>US</t>
        </is>
      </c>
      <c r="F603" s="109" t="inlineStr">
        <is>
          <t>Cooling</t>
        </is>
      </c>
      <c r="G603" s="109" t="inlineStr">
        <is>
          <t>OMERAI</t>
        </is>
      </c>
      <c r="H603" s="109" t="inlineStr">
        <is>
          <t>Beatable</t>
        </is>
      </c>
      <c r="I603" s="109" t="inlineStr">
        <is>
          <t>Cooling Sheets</t>
        </is>
      </c>
      <c r="J603" s="109" t="n"/>
      <c r="K603" s="109" t="inlineStr">
        <is>
          <t>B0HDC7BMTC</t>
        </is>
      </c>
      <c r="L603" s="109" t="inlineStr">
        <is>
          <t>B0FX8K1CG9</t>
        </is>
      </c>
      <c r="M603" s="109" t="n">
        <v>10</v>
      </c>
      <c r="N603" s="109" t="n">
        <v>42.99</v>
      </c>
      <c r="O603" s="109" t="n">
        <v>59.99</v>
      </c>
      <c r="P603" s="109">
        <f>IF(AND(ISNUMBER(O603),ISNUMBER(N603),N(N603)&gt;0),O603/N603-1,"")</f>
        <v/>
      </c>
      <c r="Q603" s="109" t="n">
        <v>37.99</v>
      </c>
      <c r="R603" s="109">
        <f>IF(AND(ISNUMBER(N603),ISNUMBER(Q603),N(Q603)&gt;0),N603/Q603-1,"")</f>
        <v/>
      </c>
      <c r="S603" s="109" t="n">
        <v>115669</v>
      </c>
      <c r="T603" s="109" t="n">
        <v>5</v>
      </c>
      <c r="U603" s="109" t="n">
        <v>4.7</v>
      </c>
      <c r="V603" s="109" t="n">
        <v>4</v>
      </c>
      <c r="W603" s="109" t="n">
        <v>13712</v>
      </c>
      <c r="X603" s="109" t="n">
        <v>0.8852072199533255</v>
      </c>
      <c r="Y603" s="109" t="n">
        <v>40</v>
      </c>
      <c r="Z603" s="109" t="n">
        <v>65</v>
      </c>
      <c r="AA603" s="109" t="n">
        <v>56</v>
      </c>
      <c r="AB603" s="109" t="n"/>
      <c r="AC603" s="109" t="inlineStr">
        <is>
          <t>US SL Cooling Fitted</t>
        </is>
      </c>
      <c r="AD603" s="109">
        <f>'US SL Cooling Fitted'!BC108</f>
        <v/>
      </c>
      <c r="AE603" s="109">
        <f>'US SL Cooling Fitted'!BF108</f>
        <v/>
      </c>
      <c r="AF603" s="109" t="n"/>
      <c r="AG603" s="109" t="n"/>
    </row>
    <row r="604">
      <c r="A604" s="109">
        <f>AND(OR(Dashboard!$C$4="All",Dashboard!$C$4=D604),OR(Dashboard!$C$5="All",Dashboard!$C$5=E604),OR(Dashboard!$C$6="All",Dashboard!$C$6=G604),OR(Dashboard!$C$7="All",Dashboard!$C$7=H604),OR(Dashboard!$C$8="All",Dashboard!$C$8=F604))</f>
        <v/>
      </c>
      <c r="B604" s="109">
        <f>IF(A604,B603+1,B603)</f>
        <v/>
      </c>
      <c r="C604" s="109" t="n">
        <v>44</v>
      </c>
      <c r="D604" s="109" t="inlineStr">
        <is>
          <t>SL Cooling Fitted</t>
        </is>
      </c>
      <c r="E604" s="109" t="inlineStr">
        <is>
          <t>US</t>
        </is>
      </c>
      <c r="F604" s="109" t="inlineStr">
        <is>
          <t>Cooling</t>
        </is>
      </c>
      <c r="G604" s="109" t="inlineStr">
        <is>
          <t>Bedsure</t>
        </is>
      </c>
      <c r="H604" s="109" t="inlineStr">
        <is>
          <t>Poor</t>
        </is>
      </c>
      <c r="I604" s="109" t="inlineStr">
        <is>
          <t>Cooling Fitted Sheet</t>
        </is>
      </c>
      <c r="J604" s="109" t="n"/>
      <c r="K604" s="109" t="inlineStr">
        <is>
          <t>B0GNMKSLRZ</t>
        </is>
      </c>
      <c r="L604" s="109" t="inlineStr">
        <is>
          <t>B0FQPCYCVQ</t>
        </is>
      </c>
      <c r="M604" s="109" t="n"/>
      <c r="N604" s="109" t="n">
        <v>29.99</v>
      </c>
      <c r="O604" s="109" t="n"/>
      <c r="P604" s="109">
        <f>IF(AND(ISNUMBER(O604),ISNUMBER(N604),N(N604)&gt;0),O604/N604-1,"")</f>
        <v/>
      </c>
      <c r="Q604" s="109" t="n">
        <v>37.99</v>
      </c>
      <c r="R604" s="109">
        <f>IF(AND(ISNUMBER(N604),ISNUMBER(Q604),N(Q604)&gt;0),N604/Q604-1,"")</f>
        <v/>
      </c>
      <c r="S604" s="109" t="n">
        <v>616342</v>
      </c>
      <c r="T604" s="109" t="n">
        <v>5</v>
      </c>
      <c r="U604" s="109" t="n">
        <v>4.3</v>
      </c>
      <c r="V604" s="109" t="n">
        <v>111</v>
      </c>
      <c r="W604" s="109" t="n"/>
      <c r="X604" s="109" t="n"/>
      <c r="Y604" s="109" t="n"/>
      <c r="Z604" s="109" t="n"/>
      <c r="AA604" s="109" t="n"/>
      <c r="AB604" s="109" t="n"/>
      <c r="AC604" s="109" t="inlineStr">
        <is>
          <t>US SL Cooling Fitted</t>
        </is>
      </c>
      <c r="AD604" s="109">
        <f>'US SL Cooling Fitted'!BC109</f>
        <v/>
      </c>
      <c r="AE604" s="109">
        <f>'US SL Cooling Fitted'!BF109</f>
        <v/>
      </c>
      <c r="AF604" s="109" t="n"/>
      <c r="AG604" s="109" t="n"/>
    </row>
    <row r="605">
      <c r="A605" s="109">
        <f>AND(OR(Dashboard!$C$4="All",Dashboard!$C$4=D605),OR(Dashboard!$C$5="All",Dashboard!$C$5=E605),OR(Dashboard!$C$6="All",Dashboard!$C$6=G605),OR(Dashboard!$C$7="All",Dashboard!$C$7=H605),OR(Dashboard!$C$8="All",Dashboard!$C$8=F605))</f>
        <v/>
      </c>
      <c r="B605" s="109">
        <f>IF(A605,B604+1,B604)</f>
        <v/>
      </c>
      <c r="C605" s="109" t="n">
        <v>44</v>
      </c>
      <c r="D605" s="109" t="inlineStr">
        <is>
          <t>SL Cooling Fitted</t>
        </is>
      </c>
      <c r="E605" s="109" t="inlineStr">
        <is>
          <t>US</t>
        </is>
      </c>
      <c r="F605" s="109" t="inlineStr">
        <is>
          <t>Cooling</t>
        </is>
      </c>
      <c r="G605" s="109" t="inlineStr">
        <is>
          <t>Bedsure</t>
        </is>
      </c>
      <c r="H605" s="109" t="inlineStr">
        <is>
          <t>Untiered</t>
        </is>
      </c>
      <c r="I605" s="109" t="inlineStr">
        <is>
          <t>Bedsure PureWoven 100% Rayon Derived from Bamboo, Queen Sheets, 4 Pieces</t>
        </is>
      </c>
      <c r="J605" s="109" t="inlineStr">
        <is>
          <t>https://images-na.ssl-images-amazon.com/images/I/81L2xb5ly6L.jpg</t>
        </is>
      </c>
      <c r="K605" s="109" t="inlineStr">
        <is>
          <t>B0BZ8T5BJ6</t>
        </is>
      </c>
      <c r="L605" s="109" t="inlineStr">
        <is>
          <t>B07YK8VTJV</t>
        </is>
      </c>
      <c r="M605" s="109" t="n">
        <v>131</v>
      </c>
      <c r="N605" s="109" t="n">
        <v>62.99</v>
      </c>
      <c r="O605" s="109" t="n">
        <v>69.98999999999999</v>
      </c>
      <c r="P605" s="109">
        <f>IF(AND(ISNUMBER(O605),ISNUMBER(N605),N(N605)&gt;0),O605/N605-1,"")</f>
        <v/>
      </c>
      <c r="Q605" s="109" t="n">
        <v>37.99</v>
      </c>
      <c r="R605" s="109">
        <f>IF(AND(ISNUMBER(N605),ISNUMBER(Q605),N(Q605)&gt;0),N605/Q605-1,"")</f>
        <v/>
      </c>
      <c r="S605" s="109" t="n">
        <v>256</v>
      </c>
      <c r="T605" s="109" t="n">
        <v>809</v>
      </c>
      <c r="U605" s="109" t="n">
        <v>4.4</v>
      </c>
      <c r="V605" s="109" t="n">
        <v>65061</v>
      </c>
      <c r="W605" s="109" t="n">
        <v>2166046</v>
      </c>
      <c r="X605" s="109" t="n">
        <v>0.5902383405984899</v>
      </c>
      <c r="Y605" s="109" t="n">
        <v>47</v>
      </c>
      <c r="Z605" s="109" t="n">
        <v>301</v>
      </c>
      <c r="AA605" s="109" t="n">
        <v>3470</v>
      </c>
      <c r="AB605" s="109" t="n">
        <v>1.066623404715553</v>
      </c>
      <c r="AC605" s="109" t="inlineStr">
        <is>
          <t>US SL Cooling Fitted</t>
        </is>
      </c>
      <c r="AD605" s="109">
        <f>'US SL Cooling Fitted'!BC110</f>
        <v/>
      </c>
      <c r="AE605" s="109">
        <f>'US SL Cooling Fitted'!BF110</f>
        <v/>
      </c>
      <c r="AF605" s="109" t="inlineStr">
        <is>
          <t>Queen</t>
        </is>
      </c>
      <c r="AG605" s="109" t="n"/>
    </row>
    <row r="606">
      <c r="A606" s="109">
        <f>AND(OR(Dashboard!$C$4="All",Dashboard!$C$4=D606),OR(Dashboard!$C$5="All",Dashboard!$C$5=E606),OR(Dashboard!$C$6="All",Dashboard!$C$6=G606),OR(Dashboard!$C$7="All",Dashboard!$C$7=H606),OR(Dashboard!$C$8="All",Dashboard!$C$8=F606))</f>
        <v/>
      </c>
      <c r="B606" s="109">
        <f>IF(A606,B605+1,B605)</f>
        <v/>
      </c>
      <c r="C606" s="109" t="n">
        <v>44</v>
      </c>
      <c r="D606" s="109" t="inlineStr">
        <is>
          <t>SL Cooling Fitted</t>
        </is>
      </c>
      <c r="E606" s="109" t="inlineStr">
        <is>
          <t>US</t>
        </is>
      </c>
      <c r="F606" s="109" t="inlineStr">
        <is>
          <t>Cooling</t>
        </is>
      </c>
      <c r="G606" s="109" t="inlineStr">
        <is>
          <t>REST</t>
        </is>
      </c>
      <c r="H606" s="109" t="inlineStr">
        <is>
          <t>Untiered</t>
        </is>
      </c>
      <c r="I606" s="109" t="inlineStr">
        <is>
          <t>Cooling Sheets</t>
        </is>
      </c>
      <c r="J606" s="109" t="n"/>
      <c r="K606" s="109" t="inlineStr">
        <is>
          <t>B0HC6866B7</t>
        </is>
      </c>
      <c r="L606" s="109" t="inlineStr">
        <is>
          <t>B0D9JHBBCZ</t>
        </is>
      </c>
      <c r="M606" s="109" t="n">
        <v>69</v>
      </c>
      <c r="N606" s="109" t="n">
        <v>224.25</v>
      </c>
      <c r="O606" s="109" t="n">
        <v>299</v>
      </c>
      <c r="P606" s="109">
        <f>IF(AND(ISNUMBER(O606),ISNUMBER(N606),N(N606)&gt;0),O606/N606-1,"")</f>
        <v/>
      </c>
      <c r="Q606" s="109" t="n">
        <v>37.99</v>
      </c>
      <c r="R606" s="109">
        <f>IF(AND(ISNUMBER(N606),ISNUMBER(Q606),N(Q606)&gt;0),N606/Q606-1,"")</f>
        <v/>
      </c>
      <c r="S606" s="109" t="n">
        <v>5255</v>
      </c>
      <c r="T606" s="109" t="n">
        <v>81</v>
      </c>
      <c r="U606" s="109" t="n">
        <v>4.3</v>
      </c>
      <c r="V606" s="109" t="n">
        <v>1149</v>
      </c>
      <c r="W606" s="109" t="n">
        <v>522593</v>
      </c>
      <c r="X606" s="109" t="n">
        <v>0.2234137663535486</v>
      </c>
      <c r="Y606" s="109" t="n">
        <v>69</v>
      </c>
      <c r="Z606" s="109" t="n">
        <v>162</v>
      </c>
      <c r="AA606" s="109" t="n">
        <v>3287</v>
      </c>
      <c r="AB606" s="109" t="n"/>
      <c r="AC606" s="109" t="inlineStr">
        <is>
          <t>US SL Cooling Fitted</t>
        </is>
      </c>
      <c r="AD606" s="109">
        <f>'US SL Cooling Fitted'!BC111</f>
        <v/>
      </c>
      <c r="AE606" s="109">
        <f>'US SL Cooling Fitted'!BF111</f>
        <v/>
      </c>
      <c r="AF606" s="109" t="n"/>
      <c r="AG606" s="109" t="n"/>
    </row>
    <row r="607">
      <c r="A607" s="109">
        <f>AND(OR(Dashboard!$C$4="All",Dashboard!$C$4=D607),OR(Dashboard!$C$5="All",Dashboard!$C$5=E607),OR(Dashboard!$C$6="All",Dashboard!$C$6=G607),OR(Dashboard!$C$7="All",Dashboard!$C$7=H607),OR(Dashboard!$C$8="All",Dashboard!$C$8=F607))</f>
        <v/>
      </c>
      <c r="B607" s="109">
        <f>IF(A607,B606+1,B606)</f>
        <v/>
      </c>
      <c r="C607" s="109" t="n">
        <v>44</v>
      </c>
      <c r="D607" s="109" t="inlineStr">
        <is>
          <t>SL Cooling Fitted</t>
        </is>
      </c>
      <c r="E607" s="109" t="inlineStr">
        <is>
          <t>US</t>
        </is>
      </c>
      <c r="F607" s="109" t="inlineStr">
        <is>
          <t>Cooling</t>
        </is>
      </c>
      <c r="G607" s="109" t="inlineStr">
        <is>
          <t>BC BELLA COTERIE</t>
        </is>
      </c>
      <c r="H607" s="109" t="inlineStr">
        <is>
          <t>Untiered</t>
        </is>
      </c>
      <c r="I607" s="109" t="inlineStr">
        <is>
          <t>Bella Coterie | Luxury Bamboo Viscose King Size Fitted Sheet Only</t>
        </is>
      </c>
      <c r="J607" s="109" t="inlineStr">
        <is>
          <t>https://images-na.ssl-images-amazon.com/images/I/71AIQ3TCTsL.jpg</t>
        </is>
      </c>
      <c r="K607" s="109" t="inlineStr">
        <is>
          <t>B0FP7WBFNJ</t>
        </is>
      </c>
      <c r="L607" s="109" t="inlineStr">
        <is>
          <t>B0CZXZCTJP</t>
        </is>
      </c>
      <c r="M607" s="109" t="n">
        <v>126</v>
      </c>
      <c r="N607" s="109" t="n">
        <v>54.99</v>
      </c>
      <c r="O607" s="109" t="n"/>
      <c r="P607" s="109">
        <f>IF(AND(ISNUMBER(O607),ISNUMBER(N607),N(N607)&gt;0),O607/N607-1,"")</f>
        <v/>
      </c>
      <c r="Q607" s="109" t="n">
        <v>39.99</v>
      </c>
      <c r="R607" s="109">
        <f>IF(AND(ISNUMBER(N607),ISNUMBER(Q607),N(Q607)&gt;0),N607/Q607-1,"")</f>
        <v/>
      </c>
      <c r="S607" s="109" t="n">
        <v>13383</v>
      </c>
      <c r="T607" s="109" t="n">
        <v>35</v>
      </c>
      <c r="U607" s="109" t="n">
        <v>4.5</v>
      </c>
      <c r="V607" s="109" t="n">
        <v>331</v>
      </c>
      <c r="W607" s="109" t="n">
        <v>157609</v>
      </c>
      <c r="X607" s="109" t="n">
        <v>0.3003846861537098</v>
      </c>
      <c r="Y607" s="109" t="n">
        <v>67</v>
      </c>
      <c r="Z607" s="109" t="n">
        <v>227</v>
      </c>
      <c r="AA607" s="109" t="n">
        <v>950</v>
      </c>
      <c r="AB607" s="109" t="n">
        <v>1.303030303030303</v>
      </c>
      <c r="AC607" s="109" t="inlineStr">
        <is>
          <t>US SL Cooling Fitted</t>
        </is>
      </c>
      <c r="AD607" s="109">
        <f>'US SL Cooling Fitted'!BC112</f>
        <v/>
      </c>
      <c r="AE607" s="109">
        <f>'US SL Cooling Fitted'!BF112</f>
        <v/>
      </c>
      <c r="AF607" s="109" t="inlineStr">
        <is>
          <t>King</t>
        </is>
      </c>
      <c r="AG607" s="109" t="n"/>
    </row>
    <row r="608">
      <c r="A608" s="109">
        <f>AND(OR(Dashboard!$C$4="All",Dashboard!$C$4=D608),OR(Dashboard!$C$5="All",Dashboard!$C$5=E608),OR(Dashboard!$C$6="All",Dashboard!$C$6=G608),OR(Dashboard!$C$7="All",Dashboard!$C$7=H608),OR(Dashboard!$C$8="All",Dashboard!$C$8=F608))</f>
        <v/>
      </c>
      <c r="B608" s="109">
        <f>IF(A608,B607+1,B607)</f>
        <v/>
      </c>
      <c r="C608" s="109" t="n">
        <v>46</v>
      </c>
      <c r="D608" s="109" t="inlineStr">
        <is>
          <t>SL Quilt Set</t>
        </is>
      </c>
      <c r="E608" s="109" t="inlineStr">
        <is>
          <t>US</t>
        </is>
      </c>
      <c r="F608" s="109" t="inlineStr">
        <is>
          <t>Other</t>
        </is>
      </c>
      <c r="G608" s="109" t="inlineStr">
        <is>
          <t>Love's cabin</t>
        </is>
      </c>
      <c r="H608" s="109" t="inlineStr">
        <is>
          <t>Aspirational</t>
        </is>
      </c>
      <c r="I608" s="109" t="inlineStr">
        <is>
          <t>Love's cabin Quilts for Queen Bed Blue Bedspreads - Soft Bed Summer Lightweight Bedspread Comforter - Modern Style Coin Pattern Coverlet for All Season - 3 Pieces (1 Quilt, 2 Pillow Shams)</t>
        </is>
      </c>
      <c r="J608" s="109" t="inlineStr">
        <is>
          <t>https://images-na.ssl-images-amazon.com/images/I/91rbRjfsNlL.jpg</t>
        </is>
      </c>
      <c r="K608" s="109" t="inlineStr">
        <is>
          <t>B0859YNTXN</t>
        </is>
      </c>
      <c r="L608" s="109" t="inlineStr">
        <is>
          <t>B08LDD8HBW</t>
        </is>
      </c>
      <c r="M608" s="109" t="n">
        <v>280</v>
      </c>
      <c r="N608" s="109" t="n">
        <v>25.99</v>
      </c>
      <c r="O608" s="109" t="n">
        <v>31.99</v>
      </c>
      <c r="P608" s="109">
        <f>IF(AND(ISNUMBER(O608),ISNUMBER(N608),N(N608)&gt;0),O608/N608-1,"")</f>
        <v/>
      </c>
      <c r="Q608" s="109" t="n">
        <v>41.99</v>
      </c>
      <c r="R608" s="109">
        <f>IF(AND(ISNUMBER(N608),ISNUMBER(Q608),N(Q608)&gt;0),N608/Q608-1,"")</f>
        <v/>
      </c>
      <c r="S608" s="109" t="n">
        <v>368</v>
      </c>
      <c r="T608" s="109" t="n">
        <v>809</v>
      </c>
      <c r="U608" s="109" t="n">
        <v>4.6</v>
      </c>
      <c r="V608" s="109" t="n">
        <v>9469</v>
      </c>
      <c r="W608" s="109" t="n"/>
      <c r="X608" s="109" t="n"/>
      <c r="Y608" s="109" t="n"/>
      <c r="Z608" s="109" t="n"/>
      <c r="AA608" s="109" t="n"/>
      <c r="AB608" s="109" t="n">
        <v>0.9342541687491479</v>
      </c>
      <c r="AC608" s="109" t="inlineStr">
        <is>
          <t>US SL Quilt Set</t>
        </is>
      </c>
      <c r="AD608" s="109">
        <f>'US SL Quilt Set'!BC57</f>
        <v/>
      </c>
      <c r="AE608" s="109">
        <f>'US SL Quilt Set'!BF57</f>
        <v/>
      </c>
      <c r="AF608" s="109" t="inlineStr">
        <is>
          <t>Queen</t>
        </is>
      </c>
      <c r="AG608" s="109" t="inlineStr">
        <is>
          <t>Blue</t>
        </is>
      </c>
    </row>
    <row r="609">
      <c r="A609" s="109">
        <f>AND(OR(Dashboard!$C$4="All",Dashboard!$C$4=D609),OR(Dashboard!$C$5="All",Dashboard!$C$5=E609),OR(Dashboard!$C$6="All",Dashboard!$C$6=G609),OR(Dashboard!$C$7="All",Dashboard!$C$7=H609),OR(Dashboard!$C$8="All",Dashboard!$C$8=F609))</f>
        <v/>
      </c>
      <c r="B609" s="109">
        <f>IF(A609,B608+1,B608)</f>
        <v/>
      </c>
      <c r="C609" s="109" t="n">
        <v>46</v>
      </c>
      <c r="D609" s="109" t="inlineStr">
        <is>
          <t>SL Quilt Set</t>
        </is>
      </c>
      <c r="E609" s="109" t="inlineStr">
        <is>
          <t>US</t>
        </is>
      </c>
      <c r="F609" s="109" t="inlineStr">
        <is>
          <t>Other</t>
        </is>
      </c>
      <c r="G609" s="109" t="inlineStr">
        <is>
          <t>FLYMME</t>
        </is>
      </c>
      <c r="H609" s="109" t="inlineStr">
        <is>
          <t>Aspirational</t>
        </is>
      </c>
      <c r="I609" s="109" t="inlineStr">
        <is>
          <t>FLYMME Quilts Queen Size - Ultra Soft Navy Blue Quilt Lightweight Microfiber Bedspreads, Classic Basket Weave Pattern Bedspread Bed Coverlet 3 Pieces for All-Season (1 Quilt, 2 Pillow Shams)</t>
        </is>
      </c>
      <c r="J609" s="109" t="inlineStr">
        <is>
          <t>https://images-na.ssl-images-amazon.com/images/I/81FerbiIQ9L.jpg</t>
        </is>
      </c>
      <c r="K609" s="109" t="inlineStr">
        <is>
          <t>B0DS2L4CG2</t>
        </is>
      </c>
      <c r="L609" s="109" t="inlineStr">
        <is>
          <t>B0D8JF6DDS</t>
        </is>
      </c>
      <c r="M609" s="109" t="n">
        <v>113</v>
      </c>
      <c r="N609" s="109" t="n">
        <v>27.99</v>
      </c>
      <c r="O609" s="109" t="n"/>
      <c r="P609" s="109">
        <f>IF(AND(ISNUMBER(O609),ISNUMBER(N609),N(N609)&gt;0),O609/N609-1,"")</f>
        <v/>
      </c>
      <c r="Q609" s="109" t="n">
        <v>41.99</v>
      </c>
      <c r="R609" s="109">
        <f>IF(AND(ISNUMBER(N609),ISNUMBER(Q609),N(Q609)&gt;0),N609/Q609-1,"")</f>
        <v/>
      </c>
      <c r="S609" s="109" t="n">
        <v>9598</v>
      </c>
      <c r="T609" s="109" t="n">
        <v>347</v>
      </c>
      <c r="U609" s="109" t="n">
        <v>4.3</v>
      </c>
      <c r="V609" s="109" t="n">
        <v>1454</v>
      </c>
      <c r="W609" s="109" t="n"/>
      <c r="X609" s="109" t="n"/>
      <c r="Y609" s="109" t="n"/>
      <c r="Z609" s="109" t="n"/>
      <c r="AA609" s="109" t="n"/>
      <c r="AB609" s="109" t="n">
        <v>1.132025914901068</v>
      </c>
      <c r="AC609" s="109" t="inlineStr">
        <is>
          <t>US SL Quilt Set</t>
        </is>
      </c>
      <c r="AD609" s="109">
        <f>'US SL Quilt Set'!BC58</f>
        <v/>
      </c>
      <c r="AE609" s="109">
        <f>'US SL Quilt Set'!BF58</f>
        <v/>
      </c>
      <c r="AF609" s="109" t="inlineStr">
        <is>
          <t>Queen</t>
        </is>
      </c>
      <c r="AG609" s="109" t="inlineStr">
        <is>
          <t>Navy</t>
        </is>
      </c>
    </row>
    <row r="610">
      <c r="A610" s="109">
        <f>AND(OR(Dashboard!$C$4="All",Dashboard!$C$4=D610),OR(Dashboard!$C$5="All",Dashboard!$C$5=E610),OR(Dashboard!$C$6="All",Dashboard!$C$6=G610),OR(Dashboard!$C$7="All",Dashboard!$C$7=H610),OR(Dashboard!$C$8="All",Dashboard!$C$8=F610))</f>
        <v/>
      </c>
      <c r="B610" s="109">
        <f>IF(A610,B609+1,B609)</f>
        <v/>
      </c>
      <c r="C610" s="109" t="n">
        <v>46</v>
      </c>
      <c r="D610" s="109" t="inlineStr">
        <is>
          <t>SL Quilt Set</t>
        </is>
      </c>
      <c r="E610" s="109" t="inlineStr">
        <is>
          <t>US</t>
        </is>
      </c>
      <c r="F610" s="109" t="inlineStr">
        <is>
          <t>Other</t>
        </is>
      </c>
      <c r="G610" s="109" t="inlineStr">
        <is>
          <t>HORIMOTE HOME</t>
        </is>
      </c>
      <c r="H610" s="109" t="inlineStr">
        <is>
          <t>Aspirational</t>
        </is>
      </c>
      <c r="I610" s="109" t="inlineStr">
        <is>
          <t>HORIMOTE HOME Quilt Set Queen Size Navy Blue, Classic Geometric Diamond Stitched Pattern, Ultra Soft Microfiber Lightweight Bedding Bedspread Coverlet for All Season with 1 Quilt 2 Pillow Shams</t>
        </is>
      </c>
      <c r="J610" s="109" t="inlineStr">
        <is>
          <t>https://images-na.ssl-images-amazon.com/images/I/71vQq9x6aXL.jpg</t>
        </is>
      </c>
      <c r="K610" s="109" t="inlineStr">
        <is>
          <t>B0BS5MVH9Q</t>
        </is>
      </c>
      <c r="L610" s="109" t="inlineStr">
        <is>
          <t>B085DLHZQ1</t>
        </is>
      </c>
      <c r="M610" s="109" t="n">
        <v>81</v>
      </c>
      <c r="N610" s="109" t="n">
        <v>29.99</v>
      </c>
      <c r="O610" s="109" t="n"/>
      <c r="P610" s="109">
        <f>IF(AND(ISNUMBER(O610),ISNUMBER(N610),N(N610)&gt;0),O610/N610-1,"")</f>
        <v/>
      </c>
      <c r="Q610" s="109" t="n">
        <v>41.99</v>
      </c>
      <c r="R610" s="109">
        <f>IF(AND(ISNUMBER(N610),ISNUMBER(Q610),N(Q610)&gt;0),N610/Q610-1,"")</f>
        <v/>
      </c>
      <c r="S610" s="109" t="n">
        <v>5785</v>
      </c>
      <c r="T610" s="109" t="n">
        <v>185</v>
      </c>
      <c r="U610" s="109" t="n">
        <v>4.6</v>
      </c>
      <c r="V610" s="109" t="n">
        <v>9080</v>
      </c>
      <c r="W610" s="109" t="n"/>
      <c r="X610" s="109" t="n"/>
      <c r="Y610" s="109" t="n"/>
      <c r="Z610" s="109" t="n"/>
      <c r="AA610" s="109" t="n"/>
      <c r="AB610" s="109" t="n">
        <v>1.138737985791893</v>
      </c>
      <c r="AC610" s="109" t="inlineStr">
        <is>
          <t>US SL Quilt Set</t>
        </is>
      </c>
      <c r="AD610" s="109">
        <f>'US SL Quilt Set'!BC59</f>
        <v/>
      </c>
      <c r="AE610" s="109">
        <f>'US SL Quilt Set'!BF59</f>
        <v/>
      </c>
      <c r="AF610" s="109" t="inlineStr">
        <is>
          <t>Queen</t>
        </is>
      </c>
      <c r="AG610" s="109" t="inlineStr">
        <is>
          <t>Navy</t>
        </is>
      </c>
    </row>
    <row r="611">
      <c r="A611" s="109">
        <f>AND(OR(Dashboard!$C$4="All",Dashboard!$C$4=D611),OR(Dashboard!$C$5="All",Dashboard!$C$5=E611),OR(Dashboard!$C$6="All",Dashboard!$C$6=G611),OR(Dashboard!$C$7="All",Dashboard!$C$7=H611),OR(Dashboard!$C$8="All",Dashboard!$C$8=F611))</f>
        <v/>
      </c>
      <c r="B611" s="109">
        <f>IF(A611,B610+1,B610)</f>
        <v/>
      </c>
      <c r="C611" s="109" t="n">
        <v>46</v>
      </c>
      <c r="D611" s="109" t="inlineStr">
        <is>
          <t>SL Quilt Set</t>
        </is>
      </c>
      <c r="E611" s="109" t="inlineStr">
        <is>
          <t>US</t>
        </is>
      </c>
      <c r="F611" s="109" t="inlineStr">
        <is>
          <t>Other</t>
        </is>
      </c>
      <c r="G611" s="109" t="inlineStr">
        <is>
          <t>Exclusivo Mezcla</t>
        </is>
      </c>
      <c r="H611" s="109" t="inlineStr">
        <is>
          <t>Aspirational</t>
        </is>
      </c>
      <c r="I611" s="109" t="inlineStr">
        <is>
          <t>Exclusivo Mezcla Reversible Full Queen Quilt Bedding Set, Grey</t>
        </is>
      </c>
      <c r="J611" s="109" t="inlineStr">
        <is>
          <t>https://images-na.ssl-images-amazon.com/images/I/81j7fsOEGfL.jpg</t>
        </is>
      </c>
      <c r="K611" s="109" t="inlineStr">
        <is>
          <t>B07TZHQQ2L</t>
        </is>
      </c>
      <c r="L611" s="109" t="inlineStr">
        <is>
          <t>B07S6N5C5P</t>
        </is>
      </c>
      <c r="M611" s="109" t="n">
        <v>96</v>
      </c>
      <c r="N611" s="109" t="n">
        <v>25.19</v>
      </c>
      <c r="O611" s="109" t="n">
        <v>27.99</v>
      </c>
      <c r="P611" s="109">
        <f>IF(AND(ISNUMBER(O611),ISNUMBER(N611),N(N611)&gt;0),O611/N611-1,"")</f>
        <v/>
      </c>
      <c r="Q611" s="109" t="n">
        <v>29.02125</v>
      </c>
      <c r="R611" s="109">
        <f>IF(AND(ISNUMBER(N611),ISNUMBER(Q611),N(Q611)&gt;0),N611/Q611-1,"")</f>
        <v/>
      </c>
      <c r="S611" s="109" t="n">
        <v>6071</v>
      </c>
      <c r="T611" s="109" t="n">
        <v>104</v>
      </c>
      <c r="U611" s="109" t="n">
        <v>4.5</v>
      </c>
      <c r="V611" s="109" t="n">
        <v>17360</v>
      </c>
      <c r="W611" s="109" t="n"/>
      <c r="X611" s="109" t="n"/>
      <c r="Y611" s="109" t="n"/>
      <c r="Z611" s="109" t="n"/>
      <c r="AA611" s="109" t="n"/>
      <c r="AB611" s="109" t="n">
        <v>1.14822247706422</v>
      </c>
      <c r="AC611" s="109" t="inlineStr">
        <is>
          <t>US SL Quilt Set</t>
        </is>
      </c>
      <c r="AD611" s="109">
        <f>'US SL Quilt Set'!BC60</f>
        <v/>
      </c>
      <c r="AE611" s="109">
        <f>'US SL Quilt Set'!BF60</f>
        <v/>
      </c>
      <c r="AF611" s="109" t="inlineStr">
        <is>
          <t>Full</t>
        </is>
      </c>
      <c r="AG611" s="109" t="inlineStr">
        <is>
          <t>Grey</t>
        </is>
      </c>
    </row>
    <row r="612">
      <c r="A612" s="109">
        <f>AND(OR(Dashboard!$C$4="All",Dashboard!$C$4=D612),OR(Dashboard!$C$5="All",Dashboard!$C$5=E612),OR(Dashboard!$C$6="All",Dashboard!$C$6=G612),OR(Dashboard!$C$7="All",Dashboard!$C$7=H612),OR(Dashboard!$C$8="All",Dashboard!$C$8=F612))</f>
        <v/>
      </c>
      <c r="B612" s="109">
        <f>IF(A612,B611+1,B611)</f>
        <v/>
      </c>
      <c r="C612" s="109" t="n">
        <v>46</v>
      </c>
      <c r="D612" s="109" t="inlineStr">
        <is>
          <t>SL Quilt Set</t>
        </is>
      </c>
      <c r="E612" s="109" t="inlineStr">
        <is>
          <t>US</t>
        </is>
      </c>
      <c r="F612" s="109" t="inlineStr">
        <is>
          <t>Other</t>
        </is>
      </c>
      <c r="G612" s="109" t="inlineStr">
        <is>
          <t>Maple&amp;Stone</t>
        </is>
      </c>
      <c r="H612" s="109" t="inlineStr">
        <is>
          <t>Aspirational</t>
        </is>
      </c>
      <c r="I612" s="109" t="inlineStr">
        <is>
          <t>Maple&amp;Stone White Quilt Set Queen Size, Lightweight Bedspread</t>
        </is>
      </c>
      <c r="J612" s="109" t="inlineStr">
        <is>
          <t>https://images-na.ssl-images-amazon.com/images/I/71PwPZaCa+L.jpg</t>
        </is>
      </c>
      <c r="K612" s="109" t="inlineStr">
        <is>
          <t>B09HGJGKYD</t>
        </is>
      </c>
      <c r="L612" s="109" t="inlineStr">
        <is>
          <t>B09P3NKL53</t>
        </is>
      </c>
      <c r="M612" s="109" t="n">
        <v>63</v>
      </c>
      <c r="N612" s="109" t="n">
        <v>29.99</v>
      </c>
      <c r="O612" s="109" t="n"/>
      <c r="P612" s="109">
        <f>IF(AND(ISNUMBER(O612),ISNUMBER(N612),N(N612)&gt;0),O612/N612-1,"")</f>
        <v/>
      </c>
      <c r="Q612" s="109" t="n">
        <v>41.99</v>
      </c>
      <c r="R612" s="109">
        <f>IF(AND(ISNUMBER(N612),ISNUMBER(Q612),N(Q612)&gt;0),N612/Q612-1,"")</f>
        <v/>
      </c>
      <c r="S612" s="109" t="n">
        <v>25352</v>
      </c>
      <c r="T612" s="109" t="n">
        <v>104</v>
      </c>
      <c r="U612" s="109" t="n">
        <v>4.4</v>
      </c>
      <c r="V612" s="109" t="n">
        <v>2762</v>
      </c>
      <c r="W612" s="109" t="n"/>
      <c r="X612" s="109" t="n"/>
      <c r="Y612" s="109" t="n"/>
      <c r="Z612" s="109" t="n"/>
      <c r="AA612" s="109" t="n"/>
      <c r="AB612" s="109" t="n">
        <v>1.059339177343223</v>
      </c>
      <c r="AC612" s="109" t="inlineStr">
        <is>
          <t>US SL Quilt Set</t>
        </is>
      </c>
      <c r="AD612" s="109">
        <f>'US SL Quilt Set'!BC61</f>
        <v/>
      </c>
      <c r="AE612" s="109">
        <f>'US SL Quilt Set'!BF61</f>
        <v/>
      </c>
      <c r="AF612" s="109" t="inlineStr">
        <is>
          <t>Queen</t>
        </is>
      </c>
      <c r="AG612" s="109" t="inlineStr">
        <is>
          <t>White</t>
        </is>
      </c>
    </row>
    <row r="613">
      <c r="A613" s="109">
        <f>AND(OR(Dashboard!$C$4="All",Dashboard!$C$4=D613),OR(Dashboard!$C$5="All",Dashboard!$C$5=E613),OR(Dashboard!$C$6="All",Dashboard!$C$6=G613),OR(Dashboard!$C$7="All",Dashboard!$C$7=H613),OR(Dashboard!$C$8="All",Dashboard!$C$8=F613))</f>
        <v/>
      </c>
      <c r="B613" s="109">
        <f>IF(A613,B612+1,B612)</f>
        <v/>
      </c>
      <c r="C613" s="109" t="n">
        <v>46</v>
      </c>
      <c r="D613" s="109" t="inlineStr">
        <is>
          <t>SL Quilt Set</t>
        </is>
      </c>
      <c r="E613" s="109" t="inlineStr">
        <is>
          <t>US</t>
        </is>
      </c>
      <c r="F613" s="109" t="inlineStr">
        <is>
          <t>Other</t>
        </is>
      </c>
      <c r="G613" s="109" t="inlineStr">
        <is>
          <t>Mybedsoul</t>
        </is>
      </c>
      <c r="H613" s="109" t="inlineStr">
        <is>
          <t>Aspirational</t>
        </is>
      </c>
      <c r="I613" s="109" t="inlineStr">
        <is>
          <t>Mybedsoul Boho Quilts Queen Size, Patchwork Floral Bedding Set, Blue</t>
        </is>
      </c>
      <c r="J613" s="109" t="inlineStr">
        <is>
          <t>https://images-na.ssl-images-amazon.com/images/I/9146yXrH8xL.jpg</t>
        </is>
      </c>
      <c r="K613" s="109" t="inlineStr">
        <is>
          <t>B0B4JBJGT9</t>
        </is>
      </c>
      <c r="L613" s="109" t="inlineStr">
        <is>
          <t>B0BGS9VP2S</t>
        </is>
      </c>
      <c r="M613" s="109" t="n">
        <v>79</v>
      </c>
      <c r="N613" s="109" t="n">
        <v>35.99</v>
      </c>
      <c r="O613" s="109" t="n"/>
      <c r="P613" s="109">
        <f>IF(AND(ISNUMBER(O613),ISNUMBER(N613),N(N613)&gt;0),O613/N613-1,"")</f>
        <v/>
      </c>
      <c r="Q613" s="109" t="n">
        <v>41.99</v>
      </c>
      <c r="R613" s="109">
        <f>IF(AND(ISNUMBER(N613),ISNUMBER(Q613),N(Q613)&gt;0),N613/Q613-1,"")</f>
        <v/>
      </c>
      <c r="S613" s="109" t="n">
        <v>7768</v>
      </c>
      <c r="T613" s="109" t="n">
        <v>92</v>
      </c>
      <c r="U613" s="109" t="n">
        <v>4.6</v>
      </c>
      <c r="V613" s="109" t="n">
        <v>4352</v>
      </c>
      <c r="W613" s="109" t="n"/>
      <c r="X613" s="109" t="n"/>
      <c r="Y613" s="109" t="n"/>
      <c r="Z613" s="109" t="n"/>
      <c r="AA613" s="109" t="n"/>
      <c r="AB613" s="109" t="n">
        <v>1.341538461538462</v>
      </c>
      <c r="AC613" s="109" t="inlineStr">
        <is>
          <t>US SL Quilt Set</t>
        </is>
      </c>
      <c r="AD613" s="109">
        <f>'US SL Quilt Set'!BC62</f>
        <v/>
      </c>
      <c r="AE613" s="109">
        <f>'US SL Quilt Set'!BF62</f>
        <v/>
      </c>
      <c r="AF613" s="109" t="inlineStr">
        <is>
          <t>Queen</t>
        </is>
      </c>
      <c r="AG613" s="109" t="inlineStr">
        <is>
          <t>Blue</t>
        </is>
      </c>
    </row>
    <row r="614">
      <c r="A614" s="109">
        <f>AND(OR(Dashboard!$C$4="All",Dashboard!$C$4=D614),OR(Dashboard!$C$5="All",Dashboard!$C$5=E614),OR(Dashboard!$C$6="All",Dashboard!$C$6=G614),OR(Dashboard!$C$7="All",Dashboard!$C$7=H614),OR(Dashboard!$C$8="All",Dashboard!$C$8=F614))</f>
        <v/>
      </c>
      <c r="B614" s="109">
        <f>IF(A614,B613+1,B613)</f>
        <v/>
      </c>
      <c r="C614" s="109" t="n">
        <v>46</v>
      </c>
      <c r="D614" s="109" t="inlineStr">
        <is>
          <t>SL Quilt Set</t>
        </is>
      </c>
      <c r="E614" s="109" t="inlineStr">
        <is>
          <t>US</t>
        </is>
      </c>
      <c r="F614" s="109" t="inlineStr">
        <is>
          <t>Other</t>
        </is>
      </c>
      <c r="G614" s="109" t="inlineStr">
        <is>
          <t>Hansleep</t>
        </is>
      </c>
      <c r="H614" s="109" t="inlineStr">
        <is>
          <t>Aspirational</t>
        </is>
      </c>
      <c r="I614" s="109" t="inlineStr">
        <is>
          <t>Bamboo Sheets</t>
        </is>
      </c>
      <c r="J614" s="109" t="n"/>
      <c r="K614" s="109" t="inlineStr">
        <is>
          <t>B089VRY7KD</t>
        </is>
      </c>
      <c r="L614" s="109" t="inlineStr">
        <is>
          <t>B089VT34WN</t>
        </is>
      </c>
      <c r="M614" s="109" t="n"/>
      <c r="N614" s="109" t="n">
        <v>36.99</v>
      </c>
      <c r="O614" s="109" t="n"/>
      <c r="P614" s="109">
        <f>IF(AND(ISNUMBER(O614),ISNUMBER(N614),N(N614)&gt;0),O614/N614-1,"")</f>
        <v/>
      </c>
      <c r="Q614" s="109" t="n">
        <v>41.99</v>
      </c>
      <c r="R614" s="109">
        <f>IF(AND(ISNUMBER(N614),ISNUMBER(Q614),N(Q614)&gt;0),N614/Q614-1,"")</f>
        <v/>
      </c>
      <c r="S614" s="109" t="n">
        <v>32750</v>
      </c>
      <c r="T614" s="109" t="n">
        <v>35</v>
      </c>
      <c r="U614" s="109" t="n">
        <v>4.6</v>
      </c>
      <c r="V614" s="109" t="n">
        <v>5920</v>
      </c>
      <c r="W614" s="109" t="n"/>
      <c r="X614" s="109" t="n"/>
      <c r="Y614" s="109" t="n"/>
      <c r="Z614" s="109" t="n"/>
      <c r="AA614" s="109" t="n"/>
      <c r="AB614" s="109" t="n"/>
      <c r="AC614" s="109" t="inlineStr">
        <is>
          <t>US SL Quilt Set</t>
        </is>
      </c>
      <c r="AD614" s="109">
        <f>'US SL Quilt Set'!BC63</f>
        <v/>
      </c>
      <c r="AE614" s="109">
        <f>'US SL Quilt Set'!BF63</f>
        <v/>
      </c>
      <c r="AF614" s="109" t="n"/>
      <c r="AG614" s="109" t="n"/>
    </row>
    <row r="615">
      <c r="A615" s="109">
        <f>AND(OR(Dashboard!$C$4="All",Dashboard!$C$4=D615),OR(Dashboard!$C$5="All",Dashboard!$C$5=E615),OR(Dashboard!$C$6="All",Dashboard!$C$6=G615),OR(Dashboard!$C$7="All",Dashboard!$C$7=H615),OR(Dashboard!$C$8="All",Dashboard!$C$8=F615))</f>
        <v/>
      </c>
      <c r="B615" s="109">
        <f>IF(A615,B614+1,B614)</f>
        <v/>
      </c>
      <c r="C615" s="109" t="n">
        <v>46</v>
      </c>
      <c r="D615" s="109" t="inlineStr">
        <is>
          <t>SL Quilt Set</t>
        </is>
      </c>
      <c r="E615" s="109" t="inlineStr">
        <is>
          <t>US</t>
        </is>
      </c>
      <c r="F615" s="109" t="inlineStr">
        <is>
          <t>Other</t>
        </is>
      </c>
      <c r="G615" s="109" t="inlineStr">
        <is>
          <t>Wake In Cloud</t>
        </is>
      </c>
      <c r="H615" s="109" t="inlineStr">
        <is>
          <t>Aspirational</t>
        </is>
      </c>
      <c r="I615" s="109" t="inlineStr">
        <is>
          <t>Bamboo Sheets</t>
        </is>
      </c>
      <c r="J615" s="109" t="n"/>
      <c r="K615" s="109" t="inlineStr">
        <is>
          <t>B0D7V5YL6V</t>
        </is>
      </c>
      <c r="L615" s="109" t="inlineStr">
        <is>
          <t>B0CRPTW9GV</t>
        </is>
      </c>
      <c r="M615" s="109" t="n"/>
      <c r="N615" s="109" t="n">
        <v>27.99</v>
      </c>
      <c r="O615" s="109" t="n"/>
      <c r="P615" s="109">
        <f>IF(AND(ISNUMBER(O615),ISNUMBER(N615),N(N615)&gt;0),O615/N615-1,"")</f>
        <v/>
      </c>
      <c r="Q615" s="109" t="n">
        <v>41.99</v>
      </c>
      <c r="R615" s="109">
        <f>IF(AND(ISNUMBER(N615),ISNUMBER(Q615),N(Q615)&gt;0),N615/Q615-1,"")</f>
        <v/>
      </c>
      <c r="S615" s="109" t="n">
        <v>32539</v>
      </c>
      <c r="T615" s="109" t="n">
        <v>18</v>
      </c>
      <c r="U615" s="109" t="n">
        <v>4.6</v>
      </c>
      <c r="V615" s="109" t="n">
        <v>512</v>
      </c>
      <c r="W615" s="109" t="n"/>
      <c r="X615" s="109" t="n"/>
      <c r="Y615" s="109" t="n"/>
      <c r="Z615" s="109" t="n"/>
      <c r="AA615" s="109" t="n"/>
      <c r="AB615" s="109" t="n"/>
      <c r="AC615" s="109" t="inlineStr">
        <is>
          <t>US SL Quilt Set</t>
        </is>
      </c>
      <c r="AD615" s="109">
        <f>'US SL Quilt Set'!BC64</f>
        <v/>
      </c>
      <c r="AE615" s="109">
        <f>'US SL Quilt Set'!BF64</f>
        <v/>
      </c>
      <c r="AF615" s="109" t="n"/>
      <c r="AG615" s="109" t="n"/>
    </row>
    <row r="616">
      <c r="A616" s="109">
        <f>AND(OR(Dashboard!$C$4="All",Dashboard!$C$4=D616),OR(Dashboard!$C$5="All",Dashboard!$C$5=E616),OR(Dashboard!$C$6="All",Dashboard!$C$6=G616),OR(Dashboard!$C$7="All",Dashboard!$C$7=H616),OR(Dashboard!$C$8="All",Dashboard!$C$8=F616))</f>
        <v/>
      </c>
      <c r="B616" s="109">
        <f>IF(A616,B615+1,B615)</f>
        <v/>
      </c>
      <c r="C616" s="109" t="n">
        <v>46</v>
      </c>
      <c r="D616" s="109" t="inlineStr">
        <is>
          <t>SL Quilt Set</t>
        </is>
      </c>
      <c r="E616" s="109" t="inlineStr">
        <is>
          <t>US</t>
        </is>
      </c>
      <c r="F616" s="109" t="inlineStr">
        <is>
          <t>Other</t>
        </is>
      </c>
      <c r="G616" s="109" t="inlineStr">
        <is>
          <t>WDCOZY</t>
        </is>
      </c>
      <c r="H616" s="109" t="inlineStr">
        <is>
          <t>Beatable</t>
        </is>
      </c>
      <c r="I616" s="109" t="inlineStr">
        <is>
          <t>WDCOZY Beige Queen Size Quilts Bedding Sets with 2 Pillow Shams, Neutral Lightweight Soft Bedspread Coverlet, Quilted Blanket Thin Comforter Bed Cover for All Season, 3 Pieces, 90x90 inches</t>
        </is>
      </c>
      <c r="J616" s="109" t="inlineStr">
        <is>
          <t>https://images-na.ssl-images-amazon.com/images/I/81Vj1MSRN6L.jpg</t>
        </is>
      </c>
      <c r="K616" s="109" t="inlineStr">
        <is>
          <t>B0CRH88PXZ</t>
        </is>
      </c>
      <c r="L616" s="109" t="inlineStr">
        <is>
          <t>B0DJ6XGCFD</t>
        </is>
      </c>
      <c r="M616" s="109" t="n">
        <v>79</v>
      </c>
      <c r="N616" s="109" t="n">
        <v>44.99</v>
      </c>
      <c r="O616" s="109" t="n"/>
      <c r="P616" s="109">
        <f>IF(AND(ISNUMBER(O616),ISNUMBER(N616),N(N616)&gt;0),O616/N616-1,"")</f>
        <v/>
      </c>
      <c r="Q616" s="109" t="n">
        <v>41.99</v>
      </c>
      <c r="R616" s="109">
        <f>IF(AND(ISNUMBER(N616),ISNUMBER(Q616),N(Q616)&gt;0),N616/Q616-1,"")</f>
        <v/>
      </c>
      <c r="S616" s="109" t="n">
        <v>479</v>
      </c>
      <c r="T616" s="109" t="n">
        <v>347</v>
      </c>
      <c r="U616" s="109" t="n">
        <v>4.4</v>
      </c>
      <c r="V616" s="109" t="n">
        <v>5513</v>
      </c>
      <c r="W616" s="109" t="n">
        <v>691328</v>
      </c>
      <c r="X616" s="109" t="n">
        <v>0.9625961895077294</v>
      </c>
      <c r="Y616" s="109" t="n">
        <v>11</v>
      </c>
      <c r="Z616" s="109" t="n">
        <v>355</v>
      </c>
      <c r="AA616" s="109" t="n">
        <v>225</v>
      </c>
      <c r="AB616" s="109" t="n"/>
      <c r="AC616" s="109" t="inlineStr">
        <is>
          <t>US SL Quilt Set</t>
        </is>
      </c>
      <c r="AD616" s="109">
        <f>'US SL Quilt Set'!BC65</f>
        <v/>
      </c>
      <c r="AE616" s="109">
        <f>'US SL Quilt Set'!BF65</f>
        <v/>
      </c>
      <c r="AF616" s="109" t="inlineStr">
        <is>
          <t>Queen</t>
        </is>
      </c>
      <c r="AG616" s="109" t="inlineStr">
        <is>
          <t>Beige</t>
        </is>
      </c>
    </row>
    <row r="617">
      <c r="A617" s="109">
        <f>AND(OR(Dashboard!$C$4="All",Dashboard!$C$4=D617),OR(Dashboard!$C$5="All",Dashboard!$C$5=E617),OR(Dashboard!$C$6="All",Dashboard!$C$6=G617),OR(Dashboard!$C$7="All",Dashboard!$C$7=H617),OR(Dashboard!$C$8="All",Dashboard!$C$8=F617))</f>
        <v/>
      </c>
      <c r="B617" s="109">
        <f>IF(A617,B616+1,B616)</f>
        <v/>
      </c>
      <c r="C617" s="109" t="n">
        <v>46</v>
      </c>
      <c r="D617" s="109" t="inlineStr">
        <is>
          <t>SL Quilt Set</t>
        </is>
      </c>
      <c r="E617" s="109" t="inlineStr">
        <is>
          <t>US</t>
        </is>
      </c>
      <c r="F617" s="109" t="inlineStr">
        <is>
          <t>Other</t>
        </is>
      </c>
      <c r="G617" s="109" t="inlineStr">
        <is>
          <t>WRENSONGE</t>
        </is>
      </c>
      <c r="H617" s="109" t="inlineStr">
        <is>
          <t>Beatable</t>
        </is>
      </c>
      <c r="I617" s="109" t="inlineStr">
        <is>
          <t>Queen Quilt-Lightweight Bedspreads Olive Green Queen Size Quilt Bedding Set</t>
        </is>
      </c>
      <c r="J617" s="109" t="inlineStr">
        <is>
          <t>https://images-na.ssl-images-amazon.com/images/I/71ghS2nS1bL.jpg</t>
        </is>
      </c>
      <c r="K617" s="109" t="inlineStr">
        <is>
          <t>B0CQSZMYXD</t>
        </is>
      </c>
      <c r="L617" s="109" t="inlineStr">
        <is>
          <t>B0CQT8LKMK</t>
        </is>
      </c>
      <c r="M617" s="109" t="n">
        <v>73</v>
      </c>
      <c r="N617" s="109" t="n">
        <v>39.99</v>
      </c>
      <c r="O617" s="109" t="n"/>
      <c r="P617" s="109">
        <f>IF(AND(ISNUMBER(O617),ISNUMBER(N617),N(N617)&gt;0),O617/N617-1,"")</f>
        <v/>
      </c>
      <c r="Q617" s="109" t="n">
        <v>41.99</v>
      </c>
      <c r="R617" s="109">
        <f>IF(AND(ISNUMBER(N617),ISNUMBER(Q617),N(Q617)&gt;0),N617/Q617-1,"")</f>
        <v/>
      </c>
      <c r="S617" s="109" t="n">
        <v>5766</v>
      </c>
      <c r="T617" s="109" t="n">
        <v>220</v>
      </c>
      <c r="U617" s="109" t="n">
        <v>4.5</v>
      </c>
      <c r="V617" s="109" t="n">
        <v>942</v>
      </c>
      <c r="W617" s="109" t="n"/>
      <c r="X617" s="109" t="n"/>
      <c r="Y617" s="109" t="n"/>
      <c r="Z617" s="109" t="n"/>
      <c r="AA617" s="109" t="n"/>
      <c r="AB617" s="109" t="n">
        <v>1.010340370529944</v>
      </c>
      <c r="AC617" s="109" t="inlineStr">
        <is>
          <t>US SL Quilt Set</t>
        </is>
      </c>
      <c r="AD617" s="109">
        <f>'US SL Quilt Set'!BC66</f>
        <v/>
      </c>
      <c r="AE617" s="109">
        <f>'US SL Quilt Set'!BF66</f>
        <v/>
      </c>
      <c r="AF617" s="109" t="inlineStr">
        <is>
          <t>Queen</t>
        </is>
      </c>
      <c r="AG617" s="109" t="inlineStr">
        <is>
          <t>Green</t>
        </is>
      </c>
    </row>
    <row r="618">
      <c r="A618" s="109">
        <f>AND(OR(Dashboard!$C$4="All",Dashboard!$C$4=D618),OR(Dashboard!$C$5="All",Dashboard!$C$5=E618),OR(Dashboard!$C$6="All",Dashboard!$C$6=G618),OR(Dashboard!$C$7="All",Dashboard!$C$7=H618),OR(Dashboard!$C$8="All",Dashboard!$C$8=F618))</f>
        <v/>
      </c>
      <c r="B618" s="109">
        <f>IF(A618,B617+1,B617)</f>
        <v/>
      </c>
      <c r="C618" s="109" t="n">
        <v>46</v>
      </c>
      <c r="D618" s="109" t="inlineStr">
        <is>
          <t>SL Quilt Set</t>
        </is>
      </c>
      <c r="E618" s="109" t="inlineStr">
        <is>
          <t>US</t>
        </is>
      </c>
      <c r="F618" s="109" t="inlineStr">
        <is>
          <t>Other</t>
        </is>
      </c>
      <c r="G618" s="109" t="inlineStr">
        <is>
          <t>akkialla</t>
        </is>
      </c>
      <c r="H618" s="109" t="inlineStr">
        <is>
          <t>Beatable</t>
        </is>
      </c>
      <c r="I618" s="109" t="inlineStr">
        <is>
          <t>akkialla Full/Queen Size Quilt Bedding Set,Beige Lightweight Microfiber Soft Bedspread,Modern Style Geoetric Pattern Coverlet Set for All Seasons,3 Piece(1 Quilt,2 Pillow Shams)</t>
        </is>
      </c>
      <c r="J618" s="109" t="inlineStr">
        <is>
          <t>https://images-na.ssl-images-amazon.com/images/I/81fj2tyxBwL.jpg</t>
        </is>
      </c>
      <c r="K618" s="109" t="inlineStr">
        <is>
          <t>B0DKDSQXBH</t>
        </is>
      </c>
      <c r="L618" s="109" t="inlineStr">
        <is>
          <t>B0DD3YKGCZ</t>
        </is>
      </c>
      <c r="M618" s="109" t="n">
        <v>116</v>
      </c>
      <c r="N618" s="109" t="n">
        <v>27.99</v>
      </c>
      <c r="O618" s="109" t="n"/>
      <c r="P618" s="109">
        <f>IF(AND(ISNUMBER(O618),ISNUMBER(N618),N(N618)&gt;0),O618/N618-1,"")</f>
        <v/>
      </c>
      <c r="Q618" s="109" t="n">
        <v>29.02125</v>
      </c>
      <c r="R618" s="109">
        <f>IF(AND(ISNUMBER(N618),ISNUMBER(Q618),N(Q618)&gt;0),N618/Q618-1,"")</f>
        <v/>
      </c>
      <c r="S618" s="109" t="n">
        <v>9638</v>
      </c>
      <c r="T618" s="109" t="n">
        <v>197</v>
      </c>
      <c r="U618" s="109" t="n">
        <v>4.4</v>
      </c>
      <c r="V618" s="109" t="n">
        <v>1378</v>
      </c>
      <c r="W618" s="109" t="n"/>
      <c r="X618" s="109" t="n"/>
      <c r="Y618" s="109" t="n"/>
      <c r="Z618" s="109" t="n"/>
      <c r="AA618" s="109" t="n"/>
      <c r="AB618" s="109" t="n">
        <v>1.10208030962748</v>
      </c>
      <c r="AC618" s="109" t="inlineStr">
        <is>
          <t>US SL Quilt Set</t>
        </is>
      </c>
      <c r="AD618" s="109">
        <f>'US SL Quilt Set'!BC67</f>
        <v/>
      </c>
      <c r="AE618" s="109">
        <f>'US SL Quilt Set'!BF67</f>
        <v/>
      </c>
      <c r="AF618" s="109" t="inlineStr">
        <is>
          <t>Full</t>
        </is>
      </c>
      <c r="AG618" s="109" t="inlineStr">
        <is>
          <t>Beige</t>
        </is>
      </c>
    </row>
    <row r="619">
      <c r="A619" s="109">
        <f>AND(OR(Dashboard!$C$4="All",Dashboard!$C$4=D619),OR(Dashboard!$C$5="All",Dashboard!$C$5=E619),OR(Dashboard!$C$6="All",Dashboard!$C$6=G619),OR(Dashboard!$C$7="All",Dashboard!$C$7=H619),OR(Dashboard!$C$8="All",Dashboard!$C$8=F619))</f>
        <v/>
      </c>
      <c r="B619" s="109">
        <f>IF(A619,B618+1,B618)</f>
        <v/>
      </c>
      <c r="C619" s="109" t="n">
        <v>46</v>
      </c>
      <c r="D619" s="109" t="inlineStr">
        <is>
          <t>SL Quilt Set</t>
        </is>
      </c>
      <c r="E619" s="109" t="inlineStr">
        <is>
          <t>US</t>
        </is>
      </c>
      <c r="F619" s="109" t="inlineStr">
        <is>
          <t>Other</t>
        </is>
      </c>
      <c r="G619" s="109" t="inlineStr">
        <is>
          <t>EverGrace</t>
        </is>
      </c>
      <c r="H619" s="109" t="inlineStr">
        <is>
          <t>Beatable</t>
        </is>
      </c>
      <c r="I619" s="109" t="inlineStr">
        <is>
          <t>EverGrace Striped Channel Velvet Quilt Set, King Size, Urban Taupe</t>
        </is>
      </c>
      <c r="J619" s="109" t="inlineStr">
        <is>
          <t>https://images-na.ssl-images-amazon.com/images/I/71Wz8MFCVVL.jpg</t>
        </is>
      </c>
      <c r="K619" s="109" t="inlineStr">
        <is>
          <t>B0C4L25XW9</t>
        </is>
      </c>
      <c r="L619" s="109" t="inlineStr">
        <is>
          <t>B0D14LPTLP</t>
        </is>
      </c>
      <c r="M619" s="109" t="n">
        <v>30</v>
      </c>
      <c r="N619" s="109" t="n">
        <v>88.34</v>
      </c>
      <c r="O619" s="109" t="n">
        <v>92.98999999999999</v>
      </c>
      <c r="P619" s="109">
        <f>IF(AND(ISNUMBER(O619),ISNUMBER(N619),N(N619)&gt;0),O619/N619-1,"")</f>
        <v/>
      </c>
      <c r="Q619" s="109" t="n">
        <v>44.99</v>
      </c>
      <c r="R619" s="109">
        <f>IF(AND(ISNUMBER(N619),ISNUMBER(Q619),N(Q619)&gt;0),N619/Q619-1,"")</f>
        <v/>
      </c>
      <c r="S619" s="109" t="n">
        <v>7973</v>
      </c>
      <c r="T619" s="109" t="n">
        <v>173</v>
      </c>
      <c r="U619" s="109" t="n">
        <v>4.5</v>
      </c>
      <c r="V619" s="109" t="n">
        <v>1097</v>
      </c>
      <c r="W619" s="109" t="n"/>
      <c r="X619" s="109" t="n"/>
      <c r="Y619" s="109" t="n"/>
      <c r="Z619" s="109" t="n"/>
      <c r="AA619" s="109" t="n"/>
      <c r="AB619" s="109" t="n">
        <v>1.72992700729927</v>
      </c>
      <c r="AC619" s="109" t="inlineStr">
        <is>
          <t>US SL Quilt Set</t>
        </is>
      </c>
      <c r="AD619" s="109">
        <f>'US SL Quilt Set'!BC68</f>
        <v/>
      </c>
      <c r="AE619" s="109">
        <f>'US SL Quilt Set'!BF68</f>
        <v/>
      </c>
      <c r="AF619" s="109" t="inlineStr">
        <is>
          <t>King</t>
        </is>
      </c>
      <c r="AG619" s="109" t="inlineStr">
        <is>
          <t>Taupe</t>
        </is>
      </c>
    </row>
    <row r="620">
      <c r="A620" s="109">
        <f>AND(OR(Dashboard!$C$4="All",Dashboard!$C$4=D620),OR(Dashboard!$C$5="All",Dashboard!$C$5=E620),OR(Dashboard!$C$6="All",Dashboard!$C$6=G620),OR(Dashboard!$C$7="All",Dashboard!$C$7=H620),OR(Dashboard!$C$8="All",Dashboard!$C$8=F620))</f>
        <v/>
      </c>
      <c r="B620" s="109">
        <f>IF(A620,B619+1,B619)</f>
        <v/>
      </c>
      <c r="C620" s="109" t="n">
        <v>46</v>
      </c>
      <c r="D620" s="109" t="inlineStr">
        <is>
          <t>SL Quilt Set</t>
        </is>
      </c>
      <c r="E620" s="109" t="inlineStr">
        <is>
          <t>US</t>
        </is>
      </c>
      <c r="F620" s="109" t="inlineStr">
        <is>
          <t>Other</t>
        </is>
      </c>
      <c r="G620" s="109" t="inlineStr">
        <is>
          <t>Bedsure</t>
        </is>
      </c>
      <c r="H620" s="109" t="inlineStr">
        <is>
          <t>Beatable</t>
        </is>
      </c>
      <c r="I620" s="109" t="inlineStr">
        <is>
          <t>Bamboo Sheets</t>
        </is>
      </c>
      <c r="J620" s="109" t="n"/>
      <c r="K620" s="109" t="inlineStr">
        <is>
          <t>B0D14LL4GY</t>
        </is>
      </c>
      <c r="L620" s="109" t="inlineStr">
        <is>
          <t>B0FH51CVXT</t>
        </is>
      </c>
      <c r="M620" s="109" t="n"/>
      <c r="N620" s="109" t="n">
        <v>46.99</v>
      </c>
      <c r="O620" s="109" t="n"/>
      <c r="P620" s="109">
        <f>IF(AND(ISNUMBER(O620),ISNUMBER(N620),N(N620)&gt;0),O620/N620-1,"")</f>
        <v/>
      </c>
      <c r="Q620" s="109" t="n">
        <v>41.99</v>
      </c>
      <c r="R620" s="109">
        <f>IF(AND(ISNUMBER(N620),ISNUMBER(Q620),N(Q620)&gt;0),N620/Q620-1,"")</f>
        <v/>
      </c>
      <c r="S620" s="109" t="n">
        <v>41764</v>
      </c>
      <c r="T620" s="109" t="n">
        <v>81</v>
      </c>
      <c r="U620" s="109" t="n">
        <v>4.6</v>
      </c>
      <c r="V620" s="109" t="n">
        <v>1294</v>
      </c>
      <c r="W620" s="109" t="n"/>
      <c r="X620" s="109" t="n"/>
      <c r="Y620" s="109" t="n"/>
      <c r="Z620" s="109" t="n"/>
      <c r="AA620" s="109" t="n"/>
      <c r="AB620" s="109" t="n">
        <v>0.9979818365287589</v>
      </c>
      <c r="AC620" s="109" t="inlineStr">
        <is>
          <t>US SL Quilt Set</t>
        </is>
      </c>
      <c r="AD620" s="109">
        <f>'US SL Quilt Set'!BC69</f>
        <v/>
      </c>
      <c r="AE620" s="109">
        <f>'US SL Quilt Set'!BF69</f>
        <v/>
      </c>
      <c r="AF620" s="109" t="n"/>
      <c r="AG620" s="109" t="n"/>
    </row>
    <row r="621">
      <c r="A621" s="109">
        <f>AND(OR(Dashboard!$C$4="All",Dashboard!$C$4=D621),OR(Dashboard!$C$5="All",Dashboard!$C$5=E621),OR(Dashboard!$C$6="All",Dashboard!$C$6=G621),OR(Dashboard!$C$7="All",Dashboard!$C$7=H621),OR(Dashboard!$C$8="All",Dashboard!$C$8=F621))</f>
        <v/>
      </c>
      <c r="B621" s="109">
        <f>IF(A621,B620+1,B620)</f>
        <v/>
      </c>
      <c r="C621" s="109" t="n">
        <v>46</v>
      </c>
      <c r="D621" s="109" t="inlineStr">
        <is>
          <t>SL Quilt Set</t>
        </is>
      </c>
      <c r="E621" s="109" t="inlineStr">
        <is>
          <t>US</t>
        </is>
      </c>
      <c r="F621" s="109" t="inlineStr">
        <is>
          <t>Other</t>
        </is>
      </c>
      <c r="G621" s="109" t="inlineStr">
        <is>
          <t>Joyreap</t>
        </is>
      </c>
      <c r="H621" s="109" t="inlineStr">
        <is>
          <t>Beatable</t>
        </is>
      </c>
      <c r="I621" s="109" t="inlineStr">
        <is>
          <t>Bamboo Sheets</t>
        </is>
      </c>
      <c r="J621" s="109" t="n"/>
      <c r="K621" s="109" t="inlineStr">
        <is>
          <t>B0D1KPS93N</t>
        </is>
      </c>
      <c r="L621" s="109" t="inlineStr">
        <is>
          <t>B0D1KHV9TM</t>
        </is>
      </c>
      <c r="M621" s="109" t="n"/>
      <c r="N621" s="109" t="n">
        <v>29.99</v>
      </c>
      <c r="O621" s="109" t="n"/>
      <c r="P621" s="109">
        <f>IF(AND(ISNUMBER(O621),ISNUMBER(N621),N(N621)&gt;0),O621/N621-1,"")</f>
        <v/>
      </c>
      <c r="Q621" s="109" t="n">
        <v>41.99</v>
      </c>
      <c r="R621" s="109">
        <f>IF(AND(ISNUMBER(N621),ISNUMBER(Q621),N(Q621)&gt;0),N621/Q621-1,"")</f>
        <v/>
      </c>
      <c r="S621" s="109" t="n">
        <v>25190</v>
      </c>
      <c r="T621" s="109" t="n">
        <v>81</v>
      </c>
      <c r="U621" s="109" t="n">
        <v>4.6</v>
      </c>
      <c r="V621" s="109" t="n">
        <v>1595</v>
      </c>
      <c r="W621" s="109" t="n"/>
      <c r="X621" s="109" t="n"/>
      <c r="Y621" s="109" t="n"/>
      <c r="Z621" s="109" t="n"/>
      <c r="AA621" s="109" t="n"/>
      <c r="AB621" s="109" t="n">
        <v>1.020408163265306</v>
      </c>
      <c r="AC621" s="109" t="inlineStr">
        <is>
          <t>US SL Quilt Set</t>
        </is>
      </c>
      <c r="AD621" s="109">
        <f>'US SL Quilt Set'!BC70</f>
        <v/>
      </c>
      <c r="AE621" s="109">
        <f>'US SL Quilt Set'!BF70</f>
        <v/>
      </c>
      <c r="AF621" s="109" t="n"/>
      <c r="AG621" s="109" t="n"/>
    </row>
    <row r="622">
      <c r="A622" s="109">
        <f>AND(OR(Dashboard!$C$4="All",Dashboard!$C$4=D622),OR(Dashboard!$C$5="All",Dashboard!$C$5=E622),OR(Dashboard!$C$6="All",Dashboard!$C$6=G622),OR(Dashboard!$C$7="All",Dashboard!$C$7=H622),OR(Dashboard!$C$8="All",Dashboard!$C$8=F622))</f>
        <v/>
      </c>
      <c r="B622" s="109">
        <f>IF(A622,B621+1,B621)</f>
        <v/>
      </c>
      <c r="C622" s="109" t="n">
        <v>46</v>
      </c>
      <c r="D622" s="109" t="inlineStr">
        <is>
          <t>SL Quilt Set</t>
        </is>
      </c>
      <c r="E622" s="109" t="inlineStr">
        <is>
          <t>US</t>
        </is>
      </c>
      <c r="F622" s="109" t="inlineStr">
        <is>
          <t>Other</t>
        </is>
      </c>
      <c r="G622" s="109" t="inlineStr">
        <is>
          <t>Tyrot</t>
        </is>
      </c>
      <c r="H622" s="109" t="inlineStr">
        <is>
          <t>Beatable</t>
        </is>
      </c>
      <c r="I622" s="109" t="inlineStr">
        <is>
          <t>Tyrot 3 Piece Black Boho Floral King Quilt Bedding Sets</t>
        </is>
      </c>
      <c r="J622" s="109" t="inlineStr">
        <is>
          <t>https://images-na.ssl-images-amazon.com/images/I/81S6ZErX1dL.jpg</t>
        </is>
      </c>
      <c r="K622" s="109" t="inlineStr">
        <is>
          <t>B0CY5H7RHH</t>
        </is>
      </c>
      <c r="L622" s="109" t="inlineStr">
        <is>
          <t>B0CY5BYX7W</t>
        </is>
      </c>
      <c r="M622" s="109" t="n">
        <v>23</v>
      </c>
      <c r="N622" s="109" t="n">
        <v>52.99</v>
      </c>
      <c r="O622" s="109" t="n"/>
      <c r="P622" s="109">
        <f>IF(AND(ISNUMBER(O622),ISNUMBER(N622),N(N622)&gt;0),O622/N622-1,"")</f>
        <v/>
      </c>
      <c r="Q622" s="109" t="n">
        <v>44.99</v>
      </c>
      <c r="R622" s="109">
        <f>IF(AND(ISNUMBER(N622),ISNUMBER(Q622),N(Q622)&gt;0),N622/Q622-1,"")</f>
        <v/>
      </c>
      <c r="S622" s="109" t="n">
        <v>18942</v>
      </c>
      <c r="T622" s="109" t="n">
        <v>81</v>
      </c>
      <c r="U622" s="109" t="n">
        <v>4.7</v>
      </c>
      <c r="V622" s="109" t="n">
        <v>1849</v>
      </c>
      <c r="W622" s="109" t="n"/>
      <c r="X622" s="109" t="n"/>
      <c r="Y622" s="109" t="n"/>
      <c r="Z622" s="109" t="n"/>
      <c r="AA622" s="109" t="n"/>
      <c r="AB622" s="109" t="n"/>
      <c r="AC622" s="109" t="inlineStr">
        <is>
          <t>US SL Quilt Set</t>
        </is>
      </c>
      <c r="AD622" s="109">
        <f>'US SL Quilt Set'!BC71</f>
        <v/>
      </c>
      <c r="AE622" s="109">
        <f>'US SL Quilt Set'!BF71</f>
        <v/>
      </c>
      <c r="AF622" s="109" t="inlineStr">
        <is>
          <t>King</t>
        </is>
      </c>
      <c r="AG622" s="109" t="inlineStr">
        <is>
          <t>Black</t>
        </is>
      </c>
    </row>
    <row r="623">
      <c r="A623" s="109">
        <f>AND(OR(Dashboard!$C$4="All",Dashboard!$C$4=D623),OR(Dashboard!$C$5="All",Dashboard!$C$5=E623),OR(Dashboard!$C$6="All",Dashboard!$C$6=G623),OR(Dashboard!$C$7="All",Dashboard!$C$7=H623),OR(Dashboard!$C$8="All",Dashboard!$C$8=F623))</f>
        <v/>
      </c>
      <c r="B623" s="109">
        <f>IF(A623,B622+1,B622)</f>
        <v/>
      </c>
      <c r="C623" s="109" t="n">
        <v>46</v>
      </c>
      <c r="D623" s="109" t="inlineStr">
        <is>
          <t>SL Quilt Set</t>
        </is>
      </c>
      <c r="E623" s="109" t="inlineStr">
        <is>
          <t>US</t>
        </is>
      </c>
      <c r="F623" s="109" t="inlineStr">
        <is>
          <t>Other</t>
        </is>
      </c>
      <c r="G623" s="109" t="inlineStr">
        <is>
          <t>Luxudecor</t>
        </is>
      </c>
      <c r="H623" s="109" t="inlineStr">
        <is>
          <t>Beatable</t>
        </is>
      </c>
      <c r="I623" s="109" t="inlineStr">
        <is>
          <t>Luxudecor Quilts Queen Size Boho Sage Green Quilt Bedspreads Bedding Set, 3 Pieces Summer Queen Coverlet Sets with 2 Shams,Soft Lightweight Striped Patchwork Quilt for Bed 96"x90"</t>
        </is>
      </c>
      <c r="J623" s="109" t="inlineStr">
        <is>
          <t>https://images-na.ssl-images-amazon.com/images/I/71b4fXGePgL.jpg</t>
        </is>
      </c>
      <c r="K623" s="109" t="inlineStr">
        <is>
          <t>B0GDXK4KHR</t>
        </is>
      </c>
      <c r="L623" s="109" t="inlineStr">
        <is>
          <t>B0FWQB61X1</t>
        </is>
      </c>
      <c r="M623" s="109" t="n">
        <v>2</v>
      </c>
      <c r="N623" s="109" t="n">
        <v>33.99</v>
      </c>
      <c r="O623" s="109" t="n"/>
      <c r="P623" s="109">
        <f>IF(AND(ISNUMBER(O623),ISNUMBER(N623),N(N623)&gt;0),O623/N623-1,"")</f>
        <v/>
      </c>
      <c r="Q623" s="109" t="n">
        <v>41.99</v>
      </c>
      <c r="R623" s="109">
        <f>IF(AND(ISNUMBER(N623),ISNUMBER(Q623),N(Q623)&gt;0),N623/Q623-1,"")</f>
        <v/>
      </c>
      <c r="S623" s="109" t="n">
        <v>1652676</v>
      </c>
      <c r="T623" s="109" t="n">
        <v>5</v>
      </c>
      <c r="U623" s="109" t="n">
        <v>4.6</v>
      </c>
      <c r="V623" s="109" t="n">
        <v>40</v>
      </c>
      <c r="W623" s="109" t="n"/>
      <c r="X623" s="109" t="n"/>
      <c r="Y623" s="109" t="n"/>
      <c r="Z623" s="109" t="n"/>
      <c r="AA623" s="109" t="n"/>
      <c r="AB623" s="109" t="n"/>
      <c r="AC623" s="109" t="inlineStr">
        <is>
          <t>US SL Quilt Set</t>
        </is>
      </c>
      <c r="AD623" s="109">
        <f>'US SL Quilt Set'!BC72</f>
        <v/>
      </c>
      <c r="AE623" s="109">
        <f>'US SL Quilt Set'!BF72</f>
        <v/>
      </c>
      <c r="AF623" s="109" t="inlineStr">
        <is>
          <t>Queen</t>
        </is>
      </c>
      <c r="AG623" s="109" t="inlineStr">
        <is>
          <t>Green</t>
        </is>
      </c>
    </row>
    <row r="624">
      <c r="A624" s="109">
        <f>AND(OR(Dashboard!$C$4="All",Dashboard!$C$4=D624),OR(Dashboard!$C$5="All",Dashboard!$C$5=E624),OR(Dashboard!$C$6="All",Dashboard!$C$6=G624),OR(Dashboard!$C$7="All",Dashboard!$C$7=H624),OR(Dashboard!$C$8="All",Dashboard!$C$8=F624))</f>
        <v/>
      </c>
      <c r="B624" s="109">
        <f>IF(A624,B623+1,B623)</f>
        <v/>
      </c>
      <c r="C624" s="109" t="n">
        <v>46</v>
      </c>
      <c r="D624" s="109" t="inlineStr">
        <is>
          <t>SL Quilt Set</t>
        </is>
      </c>
      <c r="E624" s="109" t="inlineStr">
        <is>
          <t>US</t>
        </is>
      </c>
      <c r="F624" s="109" t="inlineStr">
        <is>
          <t>Other</t>
        </is>
      </c>
      <c r="G624" s="109" t="inlineStr">
        <is>
          <t>Ycosy</t>
        </is>
      </c>
      <c r="H624" s="109" t="inlineStr">
        <is>
          <t>Beatable</t>
        </is>
      </c>
      <c r="I624" s="109" t="inlineStr">
        <is>
          <t>Bamboo Sheets</t>
        </is>
      </c>
      <c r="J624" s="109" t="n"/>
      <c r="K624" s="109" t="inlineStr">
        <is>
          <t>B08MX8D8KK</t>
        </is>
      </c>
      <c r="L624" s="109" t="inlineStr">
        <is>
          <t>B0FC6F4RYY</t>
        </is>
      </c>
      <c r="M624" s="109" t="n"/>
      <c r="N624" s="109" t="n">
        <v>32.99</v>
      </c>
      <c r="O624" s="109" t="n"/>
      <c r="P624" s="109">
        <f>IF(AND(ISNUMBER(O624),ISNUMBER(N624),N(N624)&gt;0),O624/N624-1,"")</f>
        <v/>
      </c>
      <c r="Q624" s="109" t="n">
        <v>41.99</v>
      </c>
      <c r="R624" s="109">
        <f>IF(AND(ISNUMBER(N624),ISNUMBER(Q624),N(Q624)&gt;0),N624/Q624-1,"")</f>
        <v/>
      </c>
      <c r="S624" s="109" t="n">
        <v>642294</v>
      </c>
      <c r="T624" s="109" t="n">
        <v>5</v>
      </c>
      <c r="U624" s="109" t="n">
        <v>4.5</v>
      </c>
      <c r="V624" s="109" t="n">
        <v>1264</v>
      </c>
      <c r="W624" s="109" t="n"/>
      <c r="X624" s="109" t="n"/>
      <c r="Y624" s="109" t="n"/>
      <c r="Z624" s="109" t="n"/>
      <c r="AA624" s="109" t="n"/>
      <c r="AB624" s="109" t="n"/>
      <c r="AC624" s="109" t="inlineStr">
        <is>
          <t>US SL Quilt Set</t>
        </is>
      </c>
      <c r="AD624" s="109">
        <f>'US SL Quilt Set'!BC73</f>
        <v/>
      </c>
      <c r="AE624" s="109">
        <f>'US SL Quilt Set'!BF73</f>
        <v/>
      </c>
      <c r="AF624" s="109" t="n"/>
      <c r="AG624" s="109" t="n"/>
    </row>
    <row r="625">
      <c r="A625" s="109">
        <f>AND(OR(Dashboard!$C$4="All",Dashboard!$C$4=D625),OR(Dashboard!$C$5="All",Dashboard!$C$5=E625),OR(Dashboard!$C$6="All",Dashboard!$C$6=G625),OR(Dashboard!$C$7="All",Dashboard!$C$7=H625),OR(Dashboard!$C$8="All",Dashboard!$C$8=F625))</f>
        <v/>
      </c>
      <c r="B625" s="109">
        <f>IF(A625,B624+1,B624)</f>
        <v/>
      </c>
      <c r="C625" s="109" t="n">
        <v>46</v>
      </c>
      <c r="D625" s="109" t="inlineStr">
        <is>
          <t>SL Quilt Set</t>
        </is>
      </c>
      <c r="E625" s="109" t="inlineStr">
        <is>
          <t>US</t>
        </is>
      </c>
      <c r="F625" s="109" t="inlineStr">
        <is>
          <t>Other</t>
        </is>
      </c>
      <c r="G625" s="109" t="inlineStr">
        <is>
          <t>Anibedding</t>
        </is>
      </c>
      <c r="H625" s="109" t="inlineStr">
        <is>
          <t>Poor</t>
        </is>
      </c>
      <c r="I625" s="109" t="inlineStr">
        <is>
          <t>Bamboo Sheets</t>
        </is>
      </c>
      <c r="J625" s="109" t="n"/>
      <c r="K625" s="109" t="inlineStr">
        <is>
          <t>B0F82F4MD4</t>
        </is>
      </c>
      <c r="L625" s="109" t="inlineStr">
        <is>
          <t>B0F8N6XCJ5</t>
        </is>
      </c>
      <c r="M625" s="109" t="n"/>
      <c r="N625" s="109" t="n">
        <v>35.88</v>
      </c>
      <c r="O625" s="109" t="n"/>
      <c r="P625" s="109">
        <f>IF(AND(ISNUMBER(O625),ISNUMBER(N625),N(N625)&gt;0),O625/N625-1,"")</f>
        <v/>
      </c>
      <c r="Q625" s="109" t="n">
        <v>41.99</v>
      </c>
      <c r="R625" s="109">
        <f>IF(AND(ISNUMBER(N625),ISNUMBER(Q625),N(Q625)&gt;0),N625/Q625-1,"")</f>
        <v/>
      </c>
      <c r="S625" s="109" t="n">
        <v>55055</v>
      </c>
      <c r="T625" s="109" t="n">
        <v>35</v>
      </c>
      <c r="U625" s="109" t="n">
        <v>4.6</v>
      </c>
      <c r="V625" s="109" t="n">
        <v>361</v>
      </c>
      <c r="W625" s="109" t="n"/>
      <c r="X625" s="109" t="n"/>
      <c r="Y625" s="109" t="n"/>
      <c r="Z625" s="109" t="n"/>
      <c r="AA625" s="109" t="n"/>
      <c r="AB625" s="109" t="n"/>
      <c r="AC625" s="109" t="inlineStr">
        <is>
          <t>US SL Quilt Set</t>
        </is>
      </c>
      <c r="AD625" s="109">
        <f>'US SL Quilt Set'!BC74</f>
        <v/>
      </c>
      <c r="AE625" s="109">
        <f>'US SL Quilt Set'!BF74</f>
        <v/>
      </c>
      <c r="AF625" s="109" t="n"/>
      <c r="AG625" s="109" t="n"/>
    </row>
    <row r="626">
      <c r="A626" s="109">
        <f>AND(OR(Dashboard!$C$4="All",Dashboard!$C$4=D626),OR(Dashboard!$C$5="All",Dashboard!$C$5=E626),OR(Dashboard!$C$6="All",Dashboard!$C$6=G626),OR(Dashboard!$C$7="All",Dashboard!$C$7=H626),OR(Dashboard!$C$8="All",Dashboard!$C$8=F626))</f>
        <v/>
      </c>
      <c r="B626" s="109">
        <f>IF(A626,B625+1,B625)</f>
        <v/>
      </c>
      <c r="C626" s="109" t="n">
        <v>46</v>
      </c>
      <c r="D626" s="109" t="inlineStr">
        <is>
          <t>SL Quilt Set</t>
        </is>
      </c>
      <c r="E626" s="109" t="inlineStr">
        <is>
          <t>US</t>
        </is>
      </c>
      <c r="F626" s="109" t="inlineStr">
        <is>
          <t>Other</t>
        </is>
      </c>
      <c r="G626" s="109" t="inlineStr">
        <is>
          <t>DJY</t>
        </is>
      </c>
      <c r="H626" s="109" t="inlineStr">
        <is>
          <t>Poor</t>
        </is>
      </c>
      <c r="I626" s="109" t="inlineStr">
        <is>
          <t>Bamboo Sheets</t>
        </is>
      </c>
      <c r="J626" s="109" t="n"/>
      <c r="K626" s="109" t="inlineStr">
        <is>
          <t>B0DHCGW8HR</t>
        </is>
      </c>
      <c r="L626" s="109" t="inlineStr">
        <is>
          <t>B0DHCG7VDK</t>
        </is>
      </c>
      <c r="M626" s="109" t="n"/>
      <c r="N626" s="109" t="n">
        <v>36.98</v>
      </c>
      <c r="O626" s="109" t="n"/>
      <c r="P626" s="109">
        <f>IF(AND(ISNUMBER(O626),ISNUMBER(N626),N(N626)&gt;0),O626/N626-1,"")</f>
        <v/>
      </c>
      <c r="Q626" s="109" t="n">
        <v>41.99</v>
      </c>
      <c r="R626" s="109">
        <f>IF(AND(ISNUMBER(N626),ISNUMBER(Q626),N(Q626)&gt;0),N626/Q626-1,"")</f>
        <v/>
      </c>
      <c r="S626" s="109" t="n">
        <v>159647</v>
      </c>
      <c r="T626" s="109" t="n">
        <v>5</v>
      </c>
      <c r="U626" s="109" t="n">
        <v>4.6</v>
      </c>
      <c r="V626" s="109" t="n">
        <v>424</v>
      </c>
      <c r="W626" s="109" t="n"/>
      <c r="X626" s="109" t="n"/>
      <c r="Y626" s="109" t="n"/>
      <c r="Z626" s="109" t="n"/>
      <c r="AA626" s="109" t="n"/>
      <c r="AB626" s="109" t="n"/>
      <c r="AC626" s="109" t="inlineStr">
        <is>
          <t>US SL Quilt Set</t>
        </is>
      </c>
      <c r="AD626" s="109">
        <f>'US SL Quilt Set'!BC75</f>
        <v/>
      </c>
      <c r="AE626" s="109">
        <f>'US SL Quilt Set'!BF75</f>
        <v/>
      </c>
      <c r="AF626" s="109" t="n"/>
      <c r="AG626" s="109" t="n"/>
    </row>
    <row r="627">
      <c r="A627" s="109">
        <f>AND(OR(Dashboard!$C$4="All",Dashboard!$C$4=D627),OR(Dashboard!$C$5="All",Dashboard!$C$5=E627),OR(Dashboard!$C$6="All",Dashboard!$C$6=G627),OR(Dashboard!$C$7="All",Dashboard!$C$7=H627),OR(Dashboard!$C$8="All",Dashboard!$C$8=F627))</f>
        <v/>
      </c>
      <c r="B627" s="109">
        <f>IF(A627,B626+1,B626)</f>
        <v/>
      </c>
      <c r="C627" s="109" t="n">
        <v>53</v>
      </c>
      <c r="D627" s="109" t="inlineStr">
        <is>
          <t>DC Linen Curtains</t>
        </is>
      </c>
      <c r="E627" s="109" t="inlineStr">
        <is>
          <t>US</t>
        </is>
      </c>
      <c r="F627" s="109" t="inlineStr">
        <is>
          <t>Other</t>
        </is>
      </c>
      <c r="G627" s="109" t="inlineStr">
        <is>
          <t>MIULEE</t>
        </is>
      </c>
      <c r="H627" s="109" t="inlineStr">
        <is>
          <t>Aspirational</t>
        </is>
      </c>
      <c r="I627" s="109" t="inlineStr">
        <is>
          <t>MIULEE 100% Blackout Linen Curtains for Bedroom 52x84 Inches Natural Beige</t>
        </is>
      </c>
      <c r="J627" s="109" t="inlineStr">
        <is>
          <t>https://images-na.ssl-images-amazon.com/images/I/812kUwGK2qL.jpg</t>
        </is>
      </c>
      <c r="K627" s="109" t="inlineStr">
        <is>
          <t>B0H7XKHWFT</t>
        </is>
      </c>
      <c r="L627" s="109" t="inlineStr">
        <is>
          <t>B08SBYPF14</t>
        </is>
      </c>
      <c r="M627" s="109" t="n">
        <v>487</v>
      </c>
      <c r="N627" s="109" t="n">
        <v>25.95</v>
      </c>
      <c r="O627" s="109" t="n"/>
      <c r="P627" s="109">
        <f>IF(AND(ISNUMBER(O627),ISNUMBER(N627),N(N627)&gt;0),O627/N627-1,"")</f>
        <v/>
      </c>
      <c r="Q627" s="109" t="n">
        <v>29.82333333333333</v>
      </c>
      <c r="R627" s="109">
        <f>IF(AND(ISNUMBER(N627),ISNUMBER(Q627),N(Q627)&gt;0),N627/Q627-1,"")</f>
        <v/>
      </c>
      <c r="S627" s="109" t="n">
        <v>143</v>
      </c>
      <c r="T627" s="109" t="n">
        <v>3464</v>
      </c>
      <c r="U627" s="109" t="n">
        <v>4.6</v>
      </c>
      <c r="V627" s="109" t="n">
        <v>10414</v>
      </c>
      <c r="W627" s="109" t="n"/>
      <c r="X627" s="109" t="n"/>
      <c r="Y627" s="109" t="n"/>
      <c r="Z627" s="109" t="n"/>
      <c r="AA627" s="109" t="n"/>
      <c r="AB627" s="109" t="n">
        <v>0.8301788448382579</v>
      </c>
      <c r="AC627" s="109" t="inlineStr">
        <is>
          <t>US DC Linen Curtains</t>
        </is>
      </c>
      <c r="AD627" s="109">
        <f>'US DC Linen Curtains'!BC78</f>
        <v/>
      </c>
      <c r="AE627" s="109">
        <f>'US DC Linen Curtains'!BF78</f>
        <v/>
      </c>
      <c r="AF627" s="109" t="n"/>
      <c r="AG627" s="109" t="inlineStr">
        <is>
          <t>Beige</t>
        </is>
      </c>
    </row>
    <row r="628">
      <c r="A628" s="109">
        <f>AND(OR(Dashboard!$C$4="All",Dashboard!$C$4=D628),OR(Dashboard!$C$5="All",Dashboard!$C$5=E628),OR(Dashboard!$C$6="All",Dashboard!$C$6=G628),OR(Dashboard!$C$7="All",Dashboard!$C$7=H628),OR(Dashboard!$C$8="All",Dashboard!$C$8=F628))</f>
        <v/>
      </c>
      <c r="B628" s="109">
        <f>IF(A628,B627+1,B627)</f>
        <v/>
      </c>
      <c r="C628" s="109" t="n">
        <v>53</v>
      </c>
      <c r="D628" s="109" t="inlineStr">
        <is>
          <t>DC Linen Curtains</t>
        </is>
      </c>
      <c r="E628" s="109" t="inlineStr">
        <is>
          <t>US</t>
        </is>
      </c>
      <c r="F628" s="109" t="inlineStr">
        <is>
          <t>Other</t>
        </is>
      </c>
      <c r="G628" s="109" t="inlineStr">
        <is>
          <t>100% Blackout Shield</t>
        </is>
      </c>
      <c r="H628" s="109" t="inlineStr">
        <is>
          <t>Aspirational</t>
        </is>
      </c>
      <c r="I628" s="109" t="inlineStr">
        <is>
          <t>Linen Total Blackout Curtains for Bedroom Living Room 84 Inch, Cream</t>
        </is>
      </c>
      <c r="J628" s="109" t="inlineStr">
        <is>
          <t>https://images-na.ssl-images-amazon.com/images/I/7121kw+gfyL.jpg</t>
        </is>
      </c>
      <c r="K628" s="109" t="inlineStr">
        <is>
          <t>B0D6GLVXHM</t>
        </is>
      </c>
      <c r="L628" s="109" t="inlineStr">
        <is>
          <t>B0BR3STN87</t>
        </is>
      </c>
      <c r="M628" s="109" t="n">
        <v>286</v>
      </c>
      <c r="N628" s="109" t="n">
        <v>32.97</v>
      </c>
      <c r="O628" s="109" t="n">
        <v>39.99</v>
      </c>
      <c r="P628" s="109">
        <f>IF(AND(ISNUMBER(O628),ISNUMBER(N628),N(N628)&gt;0),O628/N628-1,"")</f>
        <v/>
      </c>
      <c r="Q628" s="109" t="n">
        <v>29.82333333333333</v>
      </c>
      <c r="R628" s="109">
        <f>IF(AND(ISNUMBER(N628),ISNUMBER(Q628),N(Q628)&gt;0),N628/Q628-1,"")</f>
        <v/>
      </c>
      <c r="S628" s="109" t="n">
        <v>84</v>
      </c>
      <c r="T628" s="109" t="n">
        <v>2079</v>
      </c>
      <c r="U628" s="109" t="n">
        <v>4.5</v>
      </c>
      <c r="V628" s="109" t="n">
        <v>9093</v>
      </c>
      <c r="W628" s="109" t="n"/>
      <c r="X628" s="109" t="n"/>
      <c r="Y628" s="109" t="n"/>
      <c r="Z628" s="109" t="n"/>
      <c r="AA628" s="109" t="n"/>
      <c r="AB628" s="109" t="n">
        <v>0.8692836478488202</v>
      </c>
      <c r="AC628" s="109" t="inlineStr">
        <is>
          <t>US DC Linen Curtains</t>
        </is>
      </c>
      <c r="AD628" s="109">
        <f>'US DC Linen Curtains'!BC79</f>
        <v/>
      </c>
      <c r="AE628" s="109">
        <f>'US DC Linen Curtains'!BF79</f>
        <v/>
      </c>
      <c r="AF628" s="109" t="n"/>
      <c r="AG628" s="109" t="inlineStr">
        <is>
          <t>Cream</t>
        </is>
      </c>
    </row>
    <row r="629">
      <c r="A629" s="109">
        <f>AND(OR(Dashboard!$C$4="All",Dashboard!$C$4=D629),OR(Dashboard!$C$5="All",Dashboard!$C$5=E629),OR(Dashboard!$C$6="All",Dashboard!$C$6=G629),OR(Dashboard!$C$7="All",Dashboard!$C$7=H629),OR(Dashboard!$C$8="All",Dashboard!$C$8=F629))</f>
        <v/>
      </c>
      <c r="B629" s="109">
        <f>IF(A629,B628+1,B628)</f>
        <v/>
      </c>
      <c r="C629" s="109" t="n">
        <v>53</v>
      </c>
      <c r="D629" s="109" t="inlineStr">
        <is>
          <t>DC Linen Curtains</t>
        </is>
      </c>
      <c r="E629" s="109" t="inlineStr">
        <is>
          <t>US</t>
        </is>
      </c>
      <c r="F629" s="109" t="inlineStr">
        <is>
          <t>Other</t>
        </is>
      </c>
      <c r="G629" s="109" t="inlineStr">
        <is>
          <t>Nanspring</t>
        </is>
      </c>
      <c r="H629" s="109" t="inlineStr">
        <is>
          <t>Aspirational</t>
        </is>
      </c>
      <c r="I629" s="109" t="inlineStr">
        <is>
          <t>Cream Linen Back Tab Curtains 84 Inch Length for Living Room 2 Panel Set Neutral</t>
        </is>
      </c>
      <c r="J629" s="109" t="n"/>
      <c r="K629" s="109" t="inlineStr">
        <is>
          <t>B0BWJC73QX</t>
        </is>
      </c>
      <c r="L629" s="109" t="inlineStr">
        <is>
          <t>B0BWJDW3BX</t>
        </is>
      </c>
      <c r="M629" s="109" t="n"/>
      <c r="N629" s="109" t="n">
        <v>13.98</v>
      </c>
      <c r="O629" s="109" t="n"/>
      <c r="P629" s="109">
        <f>IF(AND(ISNUMBER(O629),ISNUMBER(N629),N(N629)&gt;0),O629/N629-1,"")</f>
        <v/>
      </c>
      <c r="Q629" s="109" t="n">
        <v>29.82333333333333</v>
      </c>
      <c r="R629" s="109">
        <f>IF(AND(ISNUMBER(N629),ISNUMBER(Q629),N(Q629)&gt;0),N629/Q629-1,"")</f>
        <v/>
      </c>
      <c r="S629" s="109" t="n">
        <v>278</v>
      </c>
      <c r="T629" s="109" t="n">
        <v>2079</v>
      </c>
      <c r="U629" s="109" t="n">
        <v>4.7</v>
      </c>
      <c r="V629" s="109" t="n">
        <v>7261</v>
      </c>
      <c r="W629" s="109" t="n"/>
      <c r="X629" s="109" t="n"/>
      <c r="Y629" s="109" t="n"/>
      <c r="Z629" s="109" t="n"/>
      <c r="AA629" s="109" t="n"/>
      <c r="AB629" s="109" t="n"/>
      <c r="AC629" s="109" t="inlineStr">
        <is>
          <t>US DC Linen Curtains</t>
        </is>
      </c>
      <c r="AD629" s="109">
        <f>'US DC Linen Curtains'!BC80</f>
        <v/>
      </c>
      <c r="AE629" s="109">
        <f>'US DC Linen Curtains'!BF80</f>
        <v/>
      </c>
      <c r="AF629" s="109" t="n"/>
      <c r="AG629" s="109" t="inlineStr">
        <is>
          <t>Cream</t>
        </is>
      </c>
    </row>
    <row r="630">
      <c r="A630" s="109">
        <f>AND(OR(Dashboard!$C$4="All",Dashboard!$C$4=D630),OR(Dashboard!$C$5="All",Dashboard!$C$5=E630),OR(Dashboard!$C$6="All",Dashboard!$C$6=G630),OR(Dashboard!$C$7="All",Dashboard!$C$7=H630),OR(Dashboard!$C$8="All",Dashboard!$C$8=F630))</f>
        <v/>
      </c>
      <c r="B630" s="109">
        <f>IF(A630,B629+1,B629)</f>
        <v/>
      </c>
      <c r="C630" s="109" t="n">
        <v>53</v>
      </c>
      <c r="D630" s="109" t="inlineStr">
        <is>
          <t>DC Linen Curtains</t>
        </is>
      </c>
      <c r="E630" s="109" t="inlineStr">
        <is>
          <t>US</t>
        </is>
      </c>
      <c r="F630" s="109" t="inlineStr">
        <is>
          <t>Other</t>
        </is>
      </c>
      <c r="G630" s="109" t="inlineStr">
        <is>
          <t>H.VERSAILTEX</t>
        </is>
      </c>
      <c r="H630" s="109" t="inlineStr">
        <is>
          <t>Aspirational</t>
        </is>
      </c>
      <c r="I630" s="109" t="inlineStr">
        <is>
          <t>H.VERSAILTEX 100% Blackout Linen Curtains 84" L 2 Panels Natural</t>
        </is>
      </c>
      <c r="J630" s="109" t="inlineStr">
        <is>
          <t>https://images-na.ssl-images-amazon.com/images/I/71vhA-t8PDL.jpg</t>
        </is>
      </c>
      <c r="K630" s="109" t="inlineStr">
        <is>
          <t>B0FGK6NVTC</t>
        </is>
      </c>
      <c r="L630" s="109" t="inlineStr">
        <is>
          <t>B07C9HL1G1</t>
        </is>
      </c>
      <c r="M630" s="109" t="n">
        <v>381</v>
      </c>
      <c r="N630" s="109" t="n">
        <v>27.95</v>
      </c>
      <c r="O630" s="109" t="n"/>
      <c r="P630" s="109">
        <f>IF(AND(ISNUMBER(O630),ISNUMBER(N630),N(N630)&gt;0),O630/N630-1,"")</f>
        <v/>
      </c>
      <c r="Q630" s="109" t="n">
        <v>29.82333333333333</v>
      </c>
      <c r="R630" s="109">
        <f>IF(AND(ISNUMBER(N630),ISNUMBER(Q630),N(Q630)&gt;0),N630/Q630-1,"")</f>
        <v/>
      </c>
      <c r="S630" s="109" t="n">
        <v>358</v>
      </c>
      <c r="T630" s="109" t="n">
        <v>809</v>
      </c>
      <c r="U630" s="109" t="n">
        <v>4.6</v>
      </c>
      <c r="V630" s="109" t="n">
        <v>25977</v>
      </c>
      <c r="W630" s="109" t="n"/>
      <c r="X630" s="109" t="n"/>
      <c r="Y630" s="109" t="n"/>
      <c r="Z630" s="109" t="n"/>
      <c r="AA630" s="109" t="n"/>
      <c r="AB630" s="109" t="n">
        <v>0.9676046059033409</v>
      </c>
      <c r="AC630" s="109" t="inlineStr">
        <is>
          <t>US DC Linen Curtains</t>
        </is>
      </c>
      <c r="AD630" s="109">
        <f>'US DC Linen Curtains'!BC81</f>
        <v/>
      </c>
      <c r="AE630" s="109">
        <f>'US DC Linen Curtains'!BF81</f>
        <v/>
      </c>
      <c r="AF630" s="109" t="n"/>
      <c r="AG630" s="109" t="inlineStr">
        <is>
          <t>Linen</t>
        </is>
      </c>
    </row>
    <row r="631">
      <c r="A631" s="109">
        <f>AND(OR(Dashboard!$C$4="All",Dashboard!$C$4=D631),OR(Dashboard!$C$5="All",Dashboard!$C$5=E631),OR(Dashboard!$C$6="All",Dashboard!$C$6=G631),OR(Dashboard!$C$7="All",Dashboard!$C$7=H631),OR(Dashboard!$C$8="All",Dashboard!$C$8=F631))</f>
        <v/>
      </c>
      <c r="B631" s="109">
        <f>IF(A631,B630+1,B630)</f>
        <v/>
      </c>
      <c r="C631" s="109" t="n">
        <v>53</v>
      </c>
      <c r="D631" s="109" t="inlineStr">
        <is>
          <t>DC Linen Curtains</t>
        </is>
      </c>
      <c r="E631" s="109" t="inlineStr">
        <is>
          <t>US</t>
        </is>
      </c>
      <c r="F631" s="109" t="inlineStr">
        <is>
          <t>Other</t>
        </is>
      </c>
      <c r="G631" s="109" t="inlineStr">
        <is>
          <t>INOVADAY</t>
        </is>
      </c>
      <c r="H631" s="109" t="inlineStr">
        <is>
          <t>Aspirational</t>
        </is>
      </c>
      <c r="I631" s="109" t="inlineStr">
        <is>
          <t>INOVADAY 100% Blackout Curtains for Bedroom Black Out Curtains 84 Inch Long</t>
        </is>
      </c>
      <c r="J631" s="109" t="inlineStr">
        <is>
          <t>https://images-na.ssl-images-amazon.com/images/I/71cQmB+zfDL.jpg</t>
        </is>
      </c>
      <c r="K631" s="109" t="inlineStr">
        <is>
          <t>B09MT5BQHW</t>
        </is>
      </c>
      <c r="L631" s="109" t="inlineStr">
        <is>
          <t>B09MT485FQ</t>
        </is>
      </c>
      <c r="M631" s="109" t="n">
        <v>194</v>
      </c>
      <c r="N631" s="109" t="n">
        <v>28.33</v>
      </c>
      <c r="O631" s="109" t="n">
        <v>34.95</v>
      </c>
      <c r="P631" s="109">
        <f>IF(AND(ISNUMBER(O631),ISNUMBER(N631),N(N631)&gt;0),O631/N631-1,"")</f>
        <v/>
      </c>
      <c r="Q631" s="109" t="n">
        <v>29.82333333333333</v>
      </c>
      <c r="R631" s="109">
        <f>IF(AND(ISNUMBER(N631),ISNUMBER(Q631),N(Q631)&gt;0),N631/Q631-1,"")</f>
        <v/>
      </c>
      <c r="S631" s="109" t="n">
        <v>1543</v>
      </c>
      <c r="T631" s="109" t="n">
        <v>347</v>
      </c>
      <c r="U631" s="109" t="n">
        <v>4.5</v>
      </c>
      <c r="V631" s="109" t="n">
        <v>5371</v>
      </c>
      <c r="W631" s="109" t="n"/>
      <c r="X631" s="109" t="n"/>
      <c r="Y631" s="109" t="n"/>
      <c r="Z631" s="109" t="n"/>
      <c r="AA631" s="109" t="n"/>
      <c r="AB631" s="109" t="n">
        <v>0.483405141801998</v>
      </c>
      <c r="AC631" s="109" t="inlineStr">
        <is>
          <t>US DC Linen Curtains</t>
        </is>
      </c>
      <c r="AD631" s="109">
        <f>'US DC Linen Curtains'!BC82</f>
        <v/>
      </c>
      <c r="AE631" s="109">
        <f>'US DC Linen Curtains'!BF82</f>
        <v/>
      </c>
      <c r="AF631" s="109" t="n"/>
      <c r="AG631" s="109" t="inlineStr">
        <is>
          <t>Black</t>
        </is>
      </c>
    </row>
    <row r="632">
      <c r="A632" s="109">
        <f>AND(OR(Dashboard!$C$4="All",Dashboard!$C$4=D632),OR(Dashboard!$C$5="All",Dashboard!$C$5=E632),OR(Dashboard!$C$6="All",Dashboard!$C$6=G632),OR(Dashboard!$C$7="All",Dashboard!$C$7=H632),OR(Dashboard!$C$8="All",Dashboard!$C$8=F632))</f>
        <v/>
      </c>
      <c r="B632" s="109">
        <f>IF(A632,B631+1,B631)</f>
        <v/>
      </c>
      <c r="C632" s="109" t="n">
        <v>53</v>
      </c>
      <c r="D632" s="109" t="inlineStr">
        <is>
          <t>DC Linen Curtains</t>
        </is>
      </c>
      <c r="E632" s="109" t="inlineStr">
        <is>
          <t>US</t>
        </is>
      </c>
      <c r="F632" s="109" t="inlineStr">
        <is>
          <t>Other</t>
        </is>
      </c>
      <c r="G632" s="109" t="inlineStr">
        <is>
          <t>NICETOWN</t>
        </is>
      </c>
      <c r="H632" s="109" t="inlineStr">
        <is>
          <t>Aspirational</t>
        </is>
      </c>
      <c r="I632" s="109" t="inlineStr">
        <is>
          <t>NICETOWN Natural 100% Blackout Linen Curtains 84 inch Long Burg for Living Room, 1 Pair, 52" Width Each Panel, Farmhouse Thick Completely Blackout Window Treatment Thermal Insulated Drapes</t>
        </is>
      </c>
      <c r="J632" s="109" t="inlineStr">
        <is>
          <t>https://images-na.ssl-images-amazon.com/images/I/813-ZpIkpEL.jpg</t>
        </is>
      </c>
      <c r="K632" s="109" t="inlineStr">
        <is>
          <t>B0D3XTPMX3</t>
        </is>
      </c>
      <c r="L632" s="109" t="inlineStr">
        <is>
          <t>B0B7DX7C51</t>
        </is>
      </c>
      <c r="M632" s="109" t="n">
        <v>537</v>
      </c>
      <c r="N632" s="109" t="n">
        <v>18.88</v>
      </c>
      <c r="O632" s="109" t="n">
        <v>27.29</v>
      </c>
      <c r="P632" s="109">
        <f>IF(AND(ISNUMBER(O632),ISNUMBER(N632),N(N632)&gt;0),O632/N632-1,"")</f>
        <v/>
      </c>
      <c r="Q632" s="109" t="n">
        <v>29.82333333333333</v>
      </c>
      <c r="R632" s="109">
        <f>IF(AND(ISNUMBER(N632),ISNUMBER(Q632),N(Q632)&gt;0),N632/Q632-1,"")</f>
        <v/>
      </c>
      <c r="S632" s="109" t="n">
        <v>2750</v>
      </c>
      <c r="T632" s="109" t="n">
        <v>347</v>
      </c>
      <c r="U632" s="109" t="n">
        <v>4.5</v>
      </c>
      <c r="V632" s="109" t="n">
        <v>4378</v>
      </c>
      <c r="W632" s="109" t="n"/>
      <c r="X632" s="109" t="n"/>
      <c r="Y632" s="109" t="n"/>
      <c r="Z632" s="109" t="n"/>
      <c r="AA632" s="109" t="n"/>
      <c r="AB632" s="109" t="n">
        <v>1.039507336115224</v>
      </c>
      <c r="AC632" s="109" t="inlineStr">
        <is>
          <t>US DC Linen Curtains</t>
        </is>
      </c>
      <c r="AD632" s="109">
        <f>'US DC Linen Curtains'!BC83</f>
        <v/>
      </c>
      <c r="AE632" s="109">
        <f>'US DC Linen Curtains'!BF83</f>
        <v/>
      </c>
      <c r="AF632" s="109" t="n"/>
      <c r="AG632" s="109" t="inlineStr">
        <is>
          <t>Linen</t>
        </is>
      </c>
    </row>
    <row r="633">
      <c r="A633" s="109">
        <f>AND(OR(Dashboard!$C$4="All",Dashboard!$C$4=D633),OR(Dashboard!$C$5="All",Dashboard!$C$5=E633),OR(Dashboard!$C$6="All",Dashboard!$C$6=G633),OR(Dashboard!$C$7="All",Dashboard!$C$7=H633),OR(Dashboard!$C$8="All",Dashboard!$C$8=F633))</f>
        <v/>
      </c>
      <c r="B633" s="109">
        <f>IF(A633,B632+1,B632)</f>
        <v/>
      </c>
      <c r="C633" s="109" t="n">
        <v>53</v>
      </c>
      <c r="D633" s="109" t="inlineStr">
        <is>
          <t>DC Linen Curtains</t>
        </is>
      </c>
      <c r="E633" s="109" t="inlineStr">
        <is>
          <t>US</t>
        </is>
      </c>
      <c r="F633" s="109" t="inlineStr">
        <is>
          <t>Other</t>
        </is>
      </c>
      <c r="G633" s="109" t="inlineStr">
        <is>
          <t>Yakamok</t>
        </is>
      </c>
      <c r="H633" s="109" t="inlineStr">
        <is>
          <t>Aspirational</t>
        </is>
      </c>
      <c r="I633" s="109" t="inlineStr">
        <is>
          <t>Yakamok Natural Linen Textured Curtains 84 Inches Long for Living Room</t>
        </is>
      </c>
      <c r="J633" s="109" t="inlineStr">
        <is>
          <t>https://images-na.ssl-images-amazon.com/images/I/71N3qelasGL.jpg</t>
        </is>
      </c>
      <c r="K633" s="109" t="inlineStr">
        <is>
          <t>B0CRVBZ5GJ</t>
        </is>
      </c>
      <c r="L633" s="109" t="inlineStr">
        <is>
          <t>B0CRTM5ZDN</t>
        </is>
      </c>
      <c r="M633" s="109" t="n">
        <v>428</v>
      </c>
      <c r="N633" s="109" t="n">
        <v>23.99</v>
      </c>
      <c r="O633" s="109" t="n"/>
      <c r="P633" s="109">
        <f>IF(AND(ISNUMBER(O633),ISNUMBER(N633),N(N633)&gt;0),O633/N633-1,"")</f>
        <v/>
      </c>
      <c r="Q633" s="109" t="n">
        <v>29.82333333333333</v>
      </c>
      <c r="R633" s="109">
        <f>IF(AND(ISNUMBER(N633),ISNUMBER(Q633),N(Q633)&gt;0),N633/Q633-1,"")</f>
        <v/>
      </c>
      <c r="S633" s="109" t="n">
        <v>4776</v>
      </c>
      <c r="T633" s="109" t="n">
        <v>35</v>
      </c>
      <c r="U633" s="109" t="n">
        <v>4.7</v>
      </c>
      <c r="V633" s="109" t="n">
        <v>22765</v>
      </c>
      <c r="W633" s="109" t="n"/>
      <c r="X633" s="109" t="n"/>
      <c r="Y633" s="109" t="n"/>
      <c r="Z633" s="109" t="n"/>
      <c r="AA633" s="109" t="n"/>
      <c r="AB633" s="109" t="n"/>
      <c r="AC633" s="109" t="inlineStr">
        <is>
          <t>US DC Linen Curtains</t>
        </is>
      </c>
      <c r="AD633" s="109">
        <f>'US DC Linen Curtains'!BC84</f>
        <v/>
      </c>
      <c r="AE633" s="109">
        <f>'US DC Linen Curtains'!BF84</f>
        <v/>
      </c>
      <c r="AF633" s="109" t="n"/>
      <c r="AG633" s="109" t="inlineStr">
        <is>
          <t>Linen</t>
        </is>
      </c>
    </row>
    <row r="634">
      <c r="A634" s="109">
        <f>AND(OR(Dashboard!$C$4="All",Dashboard!$C$4=D634),OR(Dashboard!$C$5="All",Dashboard!$C$5=E634),OR(Dashboard!$C$6="All",Dashboard!$C$6=G634),OR(Dashboard!$C$7="All",Dashboard!$C$7=H634),OR(Dashboard!$C$8="All",Dashboard!$C$8=F634))</f>
        <v/>
      </c>
      <c r="B634" s="109">
        <f>IF(A634,B633+1,B633)</f>
        <v/>
      </c>
      <c r="C634" s="109" t="n">
        <v>53</v>
      </c>
      <c r="D634" s="109" t="inlineStr">
        <is>
          <t>DC Linen Curtains</t>
        </is>
      </c>
      <c r="E634" s="109" t="inlineStr">
        <is>
          <t>US</t>
        </is>
      </c>
      <c r="F634" s="109" t="inlineStr">
        <is>
          <t>Other</t>
        </is>
      </c>
      <c r="G634" s="109" t="inlineStr">
        <is>
          <t>Guken</t>
        </is>
      </c>
      <c r="H634" s="109" t="inlineStr">
        <is>
          <t>Beatable</t>
        </is>
      </c>
      <c r="I634" s="109" t="inlineStr">
        <is>
          <t>Guken Cream Linen Blackout Curtains 84 Inch Length 2 Panels Set for Living Room Bedroom Back Tab Thermal Insulated 100% Black Out Drapes Room Darkening Window Curtain Ivory Natural Beige</t>
        </is>
      </c>
      <c r="J634" s="109" t="inlineStr">
        <is>
          <t>https://images-na.ssl-images-amazon.com/images/I/812ffz+BwYL.jpg</t>
        </is>
      </c>
      <c r="K634" s="109" t="inlineStr">
        <is>
          <t>B0CYLVSHZV</t>
        </is>
      </c>
      <c r="L634" s="109" t="inlineStr">
        <is>
          <t>B0CYLS2C62</t>
        </is>
      </c>
      <c r="M634" s="109" t="n">
        <v>379</v>
      </c>
      <c r="N634" s="109" t="n">
        <v>17.86</v>
      </c>
      <c r="O634" s="109" t="n">
        <v>18.8</v>
      </c>
      <c r="P634" s="109">
        <f>IF(AND(ISNUMBER(O634),ISNUMBER(N634),N(N634)&gt;0),O634/N634-1,"")</f>
        <v/>
      </c>
      <c r="Q634" s="109" t="n">
        <v>29.82333333333333</v>
      </c>
      <c r="R634" s="109">
        <f>IF(AND(ISNUMBER(N634),ISNUMBER(Q634),N(Q634)&gt;0),N634/Q634-1,"")</f>
        <v/>
      </c>
      <c r="S634" s="109" t="n">
        <v>983</v>
      </c>
      <c r="T634" s="109" t="n">
        <v>2079</v>
      </c>
      <c r="U634" s="109" t="n">
        <v>4.5</v>
      </c>
      <c r="V634" s="109" t="n">
        <v>2791</v>
      </c>
      <c r="W634" s="109" t="n"/>
      <c r="X634" s="109" t="n"/>
      <c r="Y634" s="109" t="n"/>
      <c r="Z634" s="109" t="n"/>
      <c r="AA634" s="109" t="n"/>
      <c r="AB634" s="109" t="n">
        <v>0.4432346665207638</v>
      </c>
      <c r="AC634" s="109" t="inlineStr">
        <is>
          <t>US DC Linen Curtains</t>
        </is>
      </c>
      <c r="AD634" s="109">
        <f>'US DC Linen Curtains'!BC85</f>
        <v/>
      </c>
      <c r="AE634" s="109">
        <f>'US DC Linen Curtains'!BF85</f>
        <v/>
      </c>
      <c r="AF634" s="109" t="n"/>
      <c r="AG634" s="109" t="inlineStr">
        <is>
          <t>Black</t>
        </is>
      </c>
    </row>
    <row r="635">
      <c r="A635" s="109">
        <f>AND(OR(Dashboard!$C$4="All",Dashboard!$C$4=D635),OR(Dashboard!$C$5="All",Dashboard!$C$5=E635),OR(Dashboard!$C$6="All",Dashboard!$C$6=G635),OR(Dashboard!$C$7="All",Dashboard!$C$7=H635),OR(Dashboard!$C$8="All",Dashboard!$C$8=F635))</f>
        <v/>
      </c>
      <c r="B635" s="109">
        <f>IF(A635,B634+1,B634)</f>
        <v/>
      </c>
      <c r="C635" s="109" t="n">
        <v>53</v>
      </c>
      <c r="D635" s="109" t="inlineStr">
        <is>
          <t>DC Linen Curtains</t>
        </is>
      </c>
      <c r="E635" s="109" t="inlineStr">
        <is>
          <t>US</t>
        </is>
      </c>
      <c r="F635" s="109" t="inlineStr">
        <is>
          <t>Other</t>
        </is>
      </c>
      <c r="G635" s="109" t="inlineStr">
        <is>
          <t>BGment</t>
        </is>
      </c>
      <c r="H635" s="109" t="inlineStr">
        <is>
          <t>Beatable</t>
        </is>
      </c>
      <c r="I635" s="109" t="inlineStr">
        <is>
          <t>BGment Oatmeal Linen Curtains 84 Inch Length 2 Panels Set for Living Room</t>
        </is>
      </c>
      <c r="J635" s="109" t="inlineStr">
        <is>
          <t>https://images-na.ssl-images-amazon.com/images/I/814g2JKCJuL.jpg</t>
        </is>
      </c>
      <c r="K635" s="109" t="inlineStr">
        <is>
          <t>B0CJHW1J7V</t>
        </is>
      </c>
      <c r="L635" s="109" t="inlineStr">
        <is>
          <t>B0CJHZYHGB</t>
        </is>
      </c>
      <c r="M635" s="109" t="n">
        <v>93</v>
      </c>
      <c r="N635" s="109" t="n">
        <v>21.29</v>
      </c>
      <c r="O635" s="109" t="n"/>
      <c r="P635" s="109">
        <f>IF(AND(ISNUMBER(O635),ISNUMBER(N635),N(N635)&gt;0),O635/N635-1,"")</f>
        <v/>
      </c>
      <c r="Q635" s="109" t="n">
        <v>29.82333333333333</v>
      </c>
      <c r="R635" s="109">
        <f>IF(AND(ISNUMBER(N635),ISNUMBER(Q635),N(Q635)&gt;0),N635/Q635-1,"")</f>
        <v/>
      </c>
      <c r="S635" s="109" t="n">
        <v>10367</v>
      </c>
      <c r="T635" s="109" t="n">
        <v>347</v>
      </c>
      <c r="U635" s="109" t="n">
        <v>4.6</v>
      </c>
      <c r="V635" s="109" t="n">
        <v>718</v>
      </c>
      <c r="W635" s="109" t="n"/>
      <c r="X635" s="109" t="n"/>
      <c r="Y635" s="109" t="n"/>
      <c r="Z635" s="109" t="n"/>
      <c r="AA635" s="109" t="n"/>
      <c r="AB635" s="109" t="n">
        <v>0.7805755395683452</v>
      </c>
      <c r="AC635" s="109" t="inlineStr">
        <is>
          <t>US DC Linen Curtains</t>
        </is>
      </c>
      <c r="AD635" s="109">
        <f>'US DC Linen Curtains'!BC86</f>
        <v/>
      </c>
      <c r="AE635" s="109">
        <f>'US DC Linen Curtains'!BF86</f>
        <v/>
      </c>
      <c r="AF635" s="109" t="n"/>
      <c r="AG635" s="109" t="inlineStr">
        <is>
          <t>Linen</t>
        </is>
      </c>
    </row>
    <row r="636">
      <c r="A636" s="109">
        <f>AND(OR(Dashboard!$C$4="All",Dashboard!$C$4=D636),OR(Dashboard!$C$5="All",Dashboard!$C$5=E636),OR(Dashboard!$C$6="All",Dashboard!$C$6=G636),OR(Dashboard!$C$7="All",Dashboard!$C$7=H636),OR(Dashboard!$C$8="All",Dashboard!$C$8=F636))</f>
        <v/>
      </c>
      <c r="B636" s="109">
        <f>IF(A636,B635+1,B635)</f>
        <v/>
      </c>
      <c r="C636" s="109" t="n">
        <v>53</v>
      </c>
      <c r="D636" s="109" t="inlineStr">
        <is>
          <t>DC Linen Curtains</t>
        </is>
      </c>
      <c r="E636" s="109" t="inlineStr">
        <is>
          <t>US</t>
        </is>
      </c>
      <c r="F636" s="109" t="inlineStr">
        <is>
          <t>Other</t>
        </is>
      </c>
      <c r="G636" s="109" t="inlineStr">
        <is>
          <t>Pitalk</t>
        </is>
      </c>
      <c r="H636" s="109" t="inlineStr">
        <is>
          <t>Beatable</t>
        </is>
      </c>
      <c r="I636" s="109" t="inlineStr">
        <is>
          <t>100% Blackout Curtains 84 Inch Length 2 Panels Set Neutral Boho Linen Farmhouse for Bedroom Windows Living Room Darkening Thermal Insulated Drapes Natural Cream Ivory 7ft Long Back Tab Pleated Pocket</t>
        </is>
      </c>
      <c r="J636" s="109" t="inlineStr">
        <is>
          <t>https://images-na.ssl-images-amazon.com/images/I/71v8QaOCutL.jpg</t>
        </is>
      </c>
      <c r="K636" s="109" t="inlineStr">
        <is>
          <t>B0DG84J1H5</t>
        </is>
      </c>
      <c r="L636" s="109" t="inlineStr">
        <is>
          <t>B0DG84XRDW</t>
        </is>
      </c>
      <c r="M636" s="109" t="n">
        <v>210</v>
      </c>
      <c r="N636" s="109" t="n">
        <v>23.98</v>
      </c>
      <c r="O636" s="109" t="n">
        <v>26.98</v>
      </c>
      <c r="P636" s="109">
        <f>IF(AND(ISNUMBER(O636),ISNUMBER(N636),N(N636)&gt;0),O636/N636-1,"")</f>
        <v/>
      </c>
      <c r="Q636" s="109" t="n">
        <v>29.82333333333333</v>
      </c>
      <c r="R636" s="109">
        <f>IF(AND(ISNUMBER(N636),ISNUMBER(Q636),N(Q636)&gt;0),N636/Q636-1,"")</f>
        <v/>
      </c>
      <c r="S636" s="109" t="n">
        <v>4498</v>
      </c>
      <c r="T636" s="109" t="n">
        <v>347</v>
      </c>
      <c r="U636" s="109" t="n">
        <v>4.4</v>
      </c>
      <c r="V636" s="109" t="n">
        <v>1608</v>
      </c>
      <c r="W636" s="109" t="n"/>
      <c r="X636" s="109" t="n"/>
      <c r="Y636" s="109" t="n"/>
      <c r="Z636" s="109" t="n"/>
      <c r="AA636" s="109" t="n"/>
      <c r="AB636" s="109" t="n">
        <v>1.253755431409063</v>
      </c>
      <c r="AC636" s="109" t="inlineStr">
        <is>
          <t>US DC Linen Curtains</t>
        </is>
      </c>
      <c r="AD636" s="109">
        <f>'US DC Linen Curtains'!BC87</f>
        <v/>
      </c>
      <c r="AE636" s="109">
        <f>'US DC Linen Curtains'!BF87</f>
        <v/>
      </c>
      <c r="AF636" s="109" t="n"/>
      <c r="AG636" s="109" t="inlineStr">
        <is>
          <t>Ivory</t>
        </is>
      </c>
    </row>
    <row r="637">
      <c r="A637" s="109">
        <f>AND(OR(Dashboard!$C$4="All",Dashboard!$C$4=D637),OR(Dashboard!$C$5="All",Dashboard!$C$5=E637),OR(Dashboard!$C$6="All",Dashboard!$C$6=G637),OR(Dashboard!$C$7="All",Dashboard!$C$7=H637),OR(Dashboard!$C$8="All",Dashboard!$C$8=F637))</f>
        <v/>
      </c>
      <c r="B637" s="109">
        <f>IF(A637,B636+1,B636)</f>
        <v/>
      </c>
      <c r="C637" s="109" t="n">
        <v>53</v>
      </c>
      <c r="D637" s="109" t="inlineStr">
        <is>
          <t>DC Linen Curtains</t>
        </is>
      </c>
      <c r="E637" s="109" t="inlineStr">
        <is>
          <t>US</t>
        </is>
      </c>
      <c r="F637" s="109" t="inlineStr">
        <is>
          <t>Other</t>
        </is>
      </c>
      <c r="G637" s="109" t="inlineStr">
        <is>
          <t>Topfinel</t>
        </is>
      </c>
      <c r="H637" s="109" t="inlineStr">
        <is>
          <t>Beatable</t>
        </is>
      </c>
      <c r="I637" s="109" t="inlineStr">
        <is>
          <t>Topfinel Cream Linen Blackout Curtains 84 Inch Long for Bedroom Living Room, Ivo</t>
        </is>
      </c>
      <c r="J637" s="109" t="n"/>
      <c r="K637" s="109" t="inlineStr">
        <is>
          <t>B0F6YR5VMZ</t>
        </is>
      </c>
      <c r="L637" s="109" t="inlineStr">
        <is>
          <t>B0DFWPKBG1</t>
        </is>
      </c>
      <c r="M637" s="109" t="n"/>
      <c r="N637" s="109" t="n">
        <v>28.04</v>
      </c>
      <c r="O637" s="109" t="n">
        <v>32.99</v>
      </c>
      <c r="P637" s="109">
        <f>IF(AND(ISNUMBER(O637),ISNUMBER(N637),N(N637)&gt;0),O637/N637-1,"")</f>
        <v/>
      </c>
      <c r="Q637" s="109" t="n">
        <v>29.82333333333333</v>
      </c>
      <c r="R637" s="109">
        <f>IF(AND(ISNUMBER(N637),ISNUMBER(Q637),N(Q637)&gt;0),N637/Q637-1,"")</f>
        <v/>
      </c>
      <c r="S637" s="109" t="n">
        <v>2135</v>
      </c>
      <c r="T637" s="109" t="n">
        <v>347</v>
      </c>
      <c r="U637" s="109" t="n">
        <v>4.3</v>
      </c>
      <c r="V637" s="109" t="n">
        <v>1639</v>
      </c>
      <c r="W637" s="109" t="n"/>
      <c r="X637" s="109" t="n"/>
      <c r="Y637" s="109" t="n"/>
      <c r="Z637" s="109" t="n"/>
      <c r="AA637" s="109" t="n"/>
      <c r="AB637" s="109" t="n"/>
      <c r="AC637" s="109" t="inlineStr">
        <is>
          <t>US DC Linen Curtains</t>
        </is>
      </c>
      <c r="AD637" s="109">
        <f>'US DC Linen Curtains'!BC88</f>
        <v/>
      </c>
      <c r="AE637" s="109">
        <f>'US DC Linen Curtains'!BF88</f>
        <v/>
      </c>
      <c r="AF637" s="109" t="n"/>
      <c r="AG637" s="109" t="inlineStr">
        <is>
          <t>Cream</t>
        </is>
      </c>
    </row>
    <row r="638">
      <c r="A638" s="109">
        <f>AND(OR(Dashboard!$C$4="All",Dashboard!$C$4=D638),OR(Dashboard!$C$5="All",Dashboard!$C$5=E638),OR(Dashboard!$C$6="All",Dashboard!$C$6=G638),OR(Dashboard!$C$7="All",Dashboard!$C$7=H638),OR(Dashboard!$C$8="All",Dashboard!$C$8=F638))</f>
        <v/>
      </c>
      <c r="B638" s="109">
        <f>IF(A638,B637+1,B637)</f>
        <v/>
      </c>
      <c r="C638" s="109" t="n">
        <v>53</v>
      </c>
      <c r="D638" s="109" t="inlineStr">
        <is>
          <t>DC Linen Curtains</t>
        </is>
      </c>
      <c r="E638" s="109" t="inlineStr">
        <is>
          <t>US</t>
        </is>
      </c>
      <c r="F638" s="109" t="inlineStr">
        <is>
          <t>Other</t>
        </is>
      </c>
      <c r="G638" s="109" t="inlineStr">
        <is>
          <t>YoungsTex</t>
        </is>
      </c>
      <c r="H638" s="109" t="inlineStr">
        <is>
          <t>Beatable</t>
        </is>
      </c>
      <c r="I638" s="109" t="inlineStr">
        <is>
          <t>Linen Curtains</t>
        </is>
      </c>
      <c r="J638" s="109" t="n"/>
      <c r="K638" s="109" t="inlineStr">
        <is>
          <t>B0B5684GHJ</t>
        </is>
      </c>
      <c r="L638" s="109" t="inlineStr">
        <is>
          <t>B09Q2YTRL3</t>
        </is>
      </c>
      <c r="M638" s="109" t="n"/>
      <c r="N638" s="109" t="n">
        <v>19.58</v>
      </c>
      <c r="O638" s="109" t="n"/>
      <c r="P638" s="109">
        <f>IF(AND(ISNUMBER(O638),ISNUMBER(N638),N(N638)&gt;0),O638/N638-1,"")</f>
        <v/>
      </c>
      <c r="Q638" s="109" t="n">
        <v>29.82333333333333</v>
      </c>
      <c r="R638" s="109">
        <f>IF(AND(ISNUMBER(N638),ISNUMBER(Q638),N(Q638)&gt;0),N638/Q638-1,"")</f>
        <v/>
      </c>
      <c r="S638" s="109" t="n">
        <v>5384</v>
      </c>
      <c r="T638" s="109" t="n">
        <v>208</v>
      </c>
      <c r="U638" s="109" t="n">
        <v>4.7</v>
      </c>
      <c r="V638" s="109" t="n">
        <v>2019</v>
      </c>
      <c r="W638" s="109" t="n"/>
      <c r="X638" s="109" t="n"/>
      <c r="Y638" s="109" t="n"/>
      <c r="Z638" s="109" t="n"/>
      <c r="AA638" s="109" t="n"/>
      <c r="AB638" s="109" t="n">
        <v>0.7720746590093323</v>
      </c>
      <c r="AC638" s="109" t="inlineStr">
        <is>
          <t>US DC Linen Curtains</t>
        </is>
      </c>
      <c r="AD638" s="109">
        <f>'US DC Linen Curtains'!BC89</f>
        <v/>
      </c>
      <c r="AE638" s="109">
        <f>'US DC Linen Curtains'!BF89</f>
        <v/>
      </c>
      <c r="AF638" s="109" t="n"/>
      <c r="AG638" s="109" t="inlineStr">
        <is>
          <t>Linen</t>
        </is>
      </c>
    </row>
    <row r="639">
      <c r="A639" s="109">
        <f>AND(OR(Dashboard!$C$4="All",Dashboard!$C$4=D639),OR(Dashboard!$C$5="All",Dashboard!$C$5=E639),OR(Dashboard!$C$6="All",Dashboard!$C$6=G639),OR(Dashboard!$C$7="All",Dashboard!$C$7=H639),OR(Dashboard!$C$8="All",Dashboard!$C$8=F639))</f>
        <v/>
      </c>
      <c r="B639" s="109">
        <f>IF(A639,B638+1,B638)</f>
        <v/>
      </c>
      <c r="C639" s="109" t="n">
        <v>53</v>
      </c>
      <c r="D639" s="109" t="inlineStr">
        <is>
          <t>DC Linen Curtains</t>
        </is>
      </c>
      <c r="E639" s="109" t="inlineStr">
        <is>
          <t>US</t>
        </is>
      </c>
      <c r="F639" s="109" t="inlineStr">
        <is>
          <t>Other</t>
        </is>
      </c>
      <c r="G639" s="109" t="inlineStr">
        <is>
          <t>CUCRAF</t>
        </is>
      </c>
      <c r="H639" s="109" t="inlineStr">
        <is>
          <t>Beatable</t>
        </is>
      </c>
      <c r="I639" s="109" t="inlineStr">
        <is>
          <t>CUCRAF 100% Blackout Window Curtains 84 inches Long 2 Panels Set, Faux Linen Look Thermal Insulated Grommet Drapes, Room Darkening Curtain for Bedroom Living Room(W52 x L84 Inch, Light Khaki)</t>
        </is>
      </c>
      <c r="J639" s="109" t="inlineStr">
        <is>
          <t>https://images-na.ssl-images-amazon.com/images/I/913VjImt8xL.jpg</t>
        </is>
      </c>
      <c r="K639" s="109" t="inlineStr">
        <is>
          <t>B0D7MDYKGV</t>
        </is>
      </c>
      <c r="L639" s="109" t="inlineStr">
        <is>
          <t>B08V8HD2WT</t>
        </is>
      </c>
      <c r="M639" s="109" t="n">
        <v>86</v>
      </c>
      <c r="N639" s="109" t="n">
        <v>23.99</v>
      </c>
      <c r="O639" s="109" t="n">
        <v>27.99</v>
      </c>
      <c r="P639" s="109">
        <f>IF(AND(ISNUMBER(O639),ISNUMBER(N639),N(N639)&gt;0),O639/N639-1,"")</f>
        <v/>
      </c>
      <c r="Q639" s="109" t="n">
        <v>29.82333333333333</v>
      </c>
      <c r="R639" s="109">
        <f>IF(AND(ISNUMBER(N639),ISNUMBER(Q639),N(Q639)&gt;0),N639/Q639-1,"")</f>
        <v/>
      </c>
      <c r="S639" s="109" t="n">
        <v>26182</v>
      </c>
      <c r="T639" s="109" t="n">
        <v>173</v>
      </c>
      <c r="U639" s="109" t="n">
        <v>4.7</v>
      </c>
      <c r="V639" s="109" t="n">
        <v>2808</v>
      </c>
      <c r="W639" s="109" t="n"/>
      <c r="X639" s="109" t="n"/>
      <c r="Y639" s="109" t="n"/>
      <c r="Z639" s="109" t="n"/>
      <c r="AA639" s="109" t="n"/>
      <c r="AB639" s="109" t="n">
        <v>0.6864216054013503</v>
      </c>
      <c r="AC639" s="109" t="inlineStr">
        <is>
          <t>US DC Linen Curtains</t>
        </is>
      </c>
      <c r="AD639" s="109">
        <f>'US DC Linen Curtains'!BC90</f>
        <v/>
      </c>
      <c r="AE639" s="109">
        <f>'US DC Linen Curtains'!BF90</f>
        <v/>
      </c>
      <c r="AF639" s="109" t="n"/>
      <c r="AG639" s="109" t="inlineStr">
        <is>
          <t>Light Khaki</t>
        </is>
      </c>
    </row>
    <row r="640">
      <c r="A640" s="109">
        <f>AND(OR(Dashboard!$C$4="All",Dashboard!$C$4=D640),OR(Dashboard!$C$5="All",Dashboard!$C$5=E640),OR(Dashboard!$C$6="All",Dashboard!$C$6=G640),OR(Dashboard!$C$7="All",Dashboard!$C$7=H640),OR(Dashboard!$C$8="All",Dashboard!$C$8=F640))</f>
        <v/>
      </c>
      <c r="B640" s="109">
        <f>IF(A640,B639+1,B639)</f>
        <v/>
      </c>
      <c r="C640" s="109" t="n">
        <v>53</v>
      </c>
      <c r="D640" s="109" t="inlineStr">
        <is>
          <t>DC Linen Curtains</t>
        </is>
      </c>
      <c r="E640" s="109" t="inlineStr">
        <is>
          <t>US</t>
        </is>
      </c>
      <c r="F640" s="109" t="inlineStr">
        <is>
          <t>Other</t>
        </is>
      </c>
      <c r="G640" s="109" t="inlineStr">
        <is>
          <t>Lajode</t>
        </is>
      </c>
      <c r="H640" s="109" t="inlineStr">
        <is>
          <t>Beatable</t>
        </is>
      </c>
      <c r="I640" s="109" t="inlineStr">
        <is>
          <t>Lajode Natural Linen Blackout Curtains for Bedroom - 52x84 Inch 2 Panels</t>
        </is>
      </c>
      <c r="J640" s="109" t="inlineStr">
        <is>
          <t>https://images-na.ssl-images-amazon.com/images/I/81mz6Jz1-XL.jpg</t>
        </is>
      </c>
      <c r="K640" s="109" t="inlineStr">
        <is>
          <t>B0CX3LSG5D</t>
        </is>
      </c>
      <c r="L640" s="109" t="inlineStr">
        <is>
          <t>B0CX47TFJ4</t>
        </is>
      </c>
      <c r="M640" s="109" t="n">
        <v>130</v>
      </c>
      <c r="N640" s="109" t="n">
        <v>29.94</v>
      </c>
      <c r="O640" s="109" t="n"/>
      <c r="P640" s="109">
        <f>IF(AND(ISNUMBER(O640),ISNUMBER(N640),N(N640)&gt;0),O640/N640-1,"")</f>
        <v/>
      </c>
      <c r="Q640" s="109" t="n">
        <v>29.82333333333333</v>
      </c>
      <c r="R640" s="109">
        <f>IF(AND(ISNUMBER(N640),ISNUMBER(Q640),N(Q640)&gt;0),N640/Q640-1,"")</f>
        <v/>
      </c>
      <c r="S640" s="109" t="n">
        <v>13252</v>
      </c>
      <c r="T640" s="109" t="n">
        <v>92</v>
      </c>
      <c r="U640" s="109" t="n">
        <v>4.6</v>
      </c>
      <c r="V640" s="109" t="n">
        <v>1408</v>
      </c>
      <c r="W640" s="109" t="n"/>
      <c r="X640" s="109" t="n"/>
      <c r="Y640" s="109" t="n"/>
      <c r="Z640" s="109" t="n"/>
      <c r="AA640" s="109" t="n"/>
      <c r="AB640" s="109" t="n">
        <v>1.373060211049038</v>
      </c>
      <c r="AC640" s="109" t="inlineStr">
        <is>
          <t>US DC Linen Curtains</t>
        </is>
      </c>
      <c r="AD640" s="109">
        <f>'US DC Linen Curtains'!BC91</f>
        <v/>
      </c>
      <c r="AE640" s="109">
        <f>'US DC Linen Curtains'!BF91</f>
        <v/>
      </c>
      <c r="AF640" s="109" t="n"/>
      <c r="AG640" s="109" t="inlineStr">
        <is>
          <t>Linen</t>
        </is>
      </c>
    </row>
    <row r="641">
      <c r="A641" s="109">
        <f>AND(OR(Dashboard!$C$4="All",Dashboard!$C$4=D641),OR(Dashboard!$C$5="All",Dashboard!$C$5=E641),OR(Dashboard!$C$6="All",Dashboard!$C$6=G641),OR(Dashboard!$C$7="All",Dashboard!$C$7=H641),OR(Dashboard!$C$8="All",Dashboard!$C$8=F641))</f>
        <v/>
      </c>
      <c r="B641" s="109">
        <f>IF(A641,B640+1,B640)</f>
        <v/>
      </c>
      <c r="C641" s="109" t="n">
        <v>53</v>
      </c>
      <c r="D641" s="109" t="inlineStr">
        <is>
          <t>DC Linen Curtains</t>
        </is>
      </c>
      <c r="E641" s="109" t="inlineStr">
        <is>
          <t>US</t>
        </is>
      </c>
      <c r="F641" s="109" t="inlineStr">
        <is>
          <t>Other</t>
        </is>
      </c>
      <c r="G641" s="109" t="inlineStr">
        <is>
          <t>Threadmade</t>
        </is>
      </c>
      <c r="H641" s="109" t="inlineStr">
        <is>
          <t>Beatable</t>
        </is>
      </c>
      <c r="I641" s="109" t="inlineStr">
        <is>
          <t>Threadmade Brighton Windowpane Plaid Blackout Window Curtain Panel, Linen - 52" W x 84" L</t>
        </is>
      </c>
      <c r="J641" s="109" t="inlineStr">
        <is>
          <t>https://images-na.ssl-images-amazon.com/images/I/814g0Iz3A0L.jpg</t>
        </is>
      </c>
      <c r="K641" s="109" t="inlineStr">
        <is>
          <t>B0H8T2BYZK</t>
        </is>
      </c>
      <c r="L641" s="109" t="inlineStr">
        <is>
          <t>B08N891RBV</t>
        </is>
      </c>
      <c r="M641" s="109" t="n">
        <v>32</v>
      </c>
      <c r="N641" s="109" t="n">
        <v>36.29</v>
      </c>
      <c r="O641" s="109" t="n">
        <v>44.99</v>
      </c>
      <c r="P641" s="109">
        <f>IF(AND(ISNUMBER(O641),ISNUMBER(N641),N(N641)&gt;0),O641/N641-1,"")</f>
        <v/>
      </c>
      <c r="Q641" s="109" t="n">
        <v>29.82333333333333</v>
      </c>
      <c r="R641" s="109">
        <f>IF(AND(ISNUMBER(N641),ISNUMBER(Q641),N(Q641)&gt;0),N641/Q641-1,"")</f>
        <v/>
      </c>
      <c r="S641" s="109" t="n">
        <v>16354</v>
      </c>
      <c r="T641" s="109" t="n">
        <v>92</v>
      </c>
      <c r="U641" s="109" t="n">
        <v>4.5</v>
      </c>
      <c r="V641" s="109" t="n">
        <v>2281</v>
      </c>
      <c r="W641" s="109" t="n"/>
      <c r="X641" s="109" t="n"/>
      <c r="Y641" s="109" t="n"/>
      <c r="Z641" s="109" t="n"/>
      <c r="AA641" s="109" t="n"/>
      <c r="AB641" s="109" t="n"/>
      <c r="AC641" s="109" t="inlineStr">
        <is>
          <t>US DC Linen Curtains</t>
        </is>
      </c>
      <c r="AD641" s="109">
        <f>'US DC Linen Curtains'!BC92</f>
        <v/>
      </c>
      <c r="AE641" s="109">
        <f>'US DC Linen Curtains'!BF92</f>
        <v/>
      </c>
      <c r="AF641" s="109" t="n"/>
      <c r="AG641" s="109" t="inlineStr">
        <is>
          <t>Linen</t>
        </is>
      </c>
    </row>
    <row r="642">
      <c r="A642" s="109">
        <f>AND(OR(Dashboard!$C$4="All",Dashboard!$C$4=D642),OR(Dashboard!$C$5="All",Dashboard!$C$5=E642),OR(Dashboard!$C$6="All",Dashboard!$C$6=G642),OR(Dashboard!$C$7="All",Dashboard!$C$7=H642),OR(Dashboard!$C$8="All",Dashboard!$C$8=F642))</f>
        <v/>
      </c>
      <c r="B642" s="109">
        <f>IF(A642,B641+1,B641)</f>
        <v/>
      </c>
      <c r="C642" s="109" t="n">
        <v>53</v>
      </c>
      <c r="D642" s="109" t="inlineStr">
        <is>
          <t>DC Linen Curtains</t>
        </is>
      </c>
      <c r="E642" s="109" t="inlineStr">
        <is>
          <t>US</t>
        </is>
      </c>
      <c r="F642" s="109" t="inlineStr">
        <is>
          <t>Other</t>
        </is>
      </c>
      <c r="G642" s="109" t="inlineStr">
        <is>
          <t>Joydeco</t>
        </is>
      </c>
      <c r="H642" s="109" t="inlineStr">
        <is>
          <t>Poor</t>
        </is>
      </c>
      <c r="I642" s="109" t="inlineStr">
        <is>
          <t>Joydeco Linen Curtains 96 inch Length 2 Panel Set, Light Filtering Curtain for Living Room Bedroom, 52 inch Wide Drapes with Rod Pocket Back Tab (96" Lx52 W, Ivory on Linen)</t>
        </is>
      </c>
      <c r="J642" s="109" t="inlineStr">
        <is>
          <t>https://images-na.ssl-images-amazon.com/images/I/81tA9iHmfeL.jpg</t>
        </is>
      </c>
      <c r="K642" s="109" t="inlineStr">
        <is>
          <t>B0DBM44C7Y</t>
        </is>
      </c>
      <c r="L642" s="109" t="inlineStr">
        <is>
          <t>B0BYD1BPNB</t>
        </is>
      </c>
      <c r="M642" s="109" t="n">
        <v>126</v>
      </c>
      <c r="N642" s="109" t="n">
        <v>32.28</v>
      </c>
      <c r="O642" s="109" t="n">
        <v>42.99</v>
      </c>
      <c r="P642" s="109">
        <f>IF(AND(ISNUMBER(O642),ISNUMBER(N642),N(N642)&gt;0),O642/N642-1,"")</f>
        <v/>
      </c>
      <c r="Q642" s="109" t="n">
        <v>29.82333333333333</v>
      </c>
      <c r="R642" s="109">
        <f>IF(AND(ISNUMBER(N642),ISNUMBER(Q642),N(Q642)&gt;0),N642/Q642-1,"")</f>
        <v/>
      </c>
      <c r="S642" s="109" t="n">
        <v>5349</v>
      </c>
      <c r="T642" s="109" t="n">
        <v>347</v>
      </c>
      <c r="U642" s="109" t="n">
        <v>4.7</v>
      </c>
      <c r="V642" s="109" t="n">
        <v>1430</v>
      </c>
      <c r="W642" s="109" t="n"/>
      <c r="X642" s="109" t="n"/>
      <c r="Y642" s="109" t="n"/>
      <c r="Z642" s="109" t="n"/>
      <c r="AA642" s="109" t="n"/>
      <c r="AB642" s="109" t="n"/>
      <c r="AC642" s="109" t="inlineStr">
        <is>
          <t>US DC Linen Curtains</t>
        </is>
      </c>
      <c r="AD642" s="109">
        <f>'US DC Linen Curtains'!BC93</f>
        <v/>
      </c>
      <c r="AE642" s="109">
        <f>'US DC Linen Curtains'!BF93</f>
        <v/>
      </c>
      <c r="AF642" s="109" t="n"/>
      <c r="AG642" s="109" t="inlineStr">
        <is>
          <t>Ivory on Linen</t>
        </is>
      </c>
    </row>
    <row r="643">
      <c r="A643" s="109">
        <f>AND(OR(Dashboard!$C$4="All",Dashboard!$C$4=D643),OR(Dashboard!$C$5="All",Dashboard!$C$5=E643),OR(Dashboard!$C$6="All",Dashboard!$C$6=G643),OR(Dashboard!$C$7="All",Dashboard!$C$7=H643),OR(Dashboard!$C$8="All",Dashboard!$C$8=F643))</f>
        <v/>
      </c>
      <c r="B643" s="109">
        <f>IF(A643,B642+1,B642)</f>
        <v/>
      </c>
      <c r="C643" s="109" t="n">
        <v>53</v>
      </c>
      <c r="D643" s="109" t="inlineStr">
        <is>
          <t>DC Linen Curtains</t>
        </is>
      </c>
      <c r="E643" s="109" t="inlineStr">
        <is>
          <t>US</t>
        </is>
      </c>
      <c r="F643" s="109" t="inlineStr">
        <is>
          <t>Other</t>
        </is>
      </c>
      <c r="G643" s="109" t="inlineStr">
        <is>
          <t>RYB HOME</t>
        </is>
      </c>
      <c r="H643" s="109" t="inlineStr">
        <is>
          <t>Poor</t>
        </is>
      </c>
      <c r="I643" s="109" t="inlineStr">
        <is>
          <t>RYB HOME Natural Beige 100% Blackout Curtains for Bedroom 84 Inch Long</t>
        </is>
      </c>
      <c r="J643" s="109" t="inlineStr">
        <is>
          <t>https://images-na.ssl-images-amazon.com/images/I/81dOAC5a8JL.jpg</t>
        </is>
      </c>
      <c r="K643" s="109" t="inlineStr">
        <is>
          <t>B0C7GWSQ7G</t>
        </is>
      </c>
      <c r="L643" s="109" t="inlineStr">
        <is>
          <t>B0C7GTHJP6</t>
        </is>
      </c>
      <c r="M643" s="109" t="n">
        <v>140</v>
      </c>
      <c r="N643" s="109" t="n">
        <v>21.33</v>
      </c>
      <c r="O643" s="109" t="n">
        <v>29.85</v>
      </c>
      <c r="P643" s="109">
        <f>IF(AND(ISNUMBER(O643),ISNUMBER(N643),N(N643)&gt;0),O643/N643-1,"")</f>
        <v/>
      </c>
      <c r="Q643" s="109" t="n">
        <v>29.82333333333333</v>
      </c>
      <c r="R643" s="109">
        <f>IF(AND(ISNUMBER(N643),ISNUMBER(Q643),N(Q643)&gt;0),N643/Q643-1,"")</f>
        <v/>
      </c>
      <c r="S643" s="109" t="n">
        <v>3194</v>
      </c>
      <c r="T643" s="109" t="n">
        <v>347</v>
      </c>
      <c r="U643" s="109" t="n">
        <v>4.5</v>
      </c>
      <c r="V643" s="109" t="n">
        <v>1072</v>
      </c>
      <c r="W643" s="109" t="n"/>
      <c r="X643" s="109" t="n"/>
      <c r="Y643" s="109" t="n"/>
      <c r="Z643" s="109" t="n"/>
      <c r="AA643" s="109" t="n"/>
      <c r="AB643" s="109" t="n"/>
      <c r="AC643" s="109" t="inlineStr">
        <is>
          <t>US DC Linen Curtains</t>
        </is>
      </c>
      <c r="AD643" s="109">
        <f>'US DC Linen Curtains'!BC94</f>
        <v/>
      </c>
      <c r="AE643" s="109">
        <f>'US DC Linen Curtains'!BF94</f>
        <v/>
      </c>
      <c r="AF643" s="109" t="n"/>
      <c r="AG643" s="109" t="inlineStr">
        <is>
          <t>Beige</t>
        </is>
      </c>
    </row>
    <row r="644">
      <c r="A644" s="109">
        <f>AND(OR(Dashboard!$C$4="All",Dashboard!$C$4=D644),OR(Dashboard!$C$5="All",Dashboard!$C$5=E644),OR(Dashboard!$C$6="All",Dashboard!$C$6=G644),OR(Dashboard!$C$7="All",Dashboard!$C$7=H644),OR(Dashboard!$C$8="All",Dashboard!$C$8=F644))</f>
        <v/>
      </c>
      <c r="B644" s="109">
        <f>IF(A644,B643+1,B643)</f>
        <v/>
      </c>
      <c r="C644" s="109" t="n">
        <v>53</v>
      </c>
      <c r="D644" s="109" t="inlineStr">
        <is>
          <t>DC Linen Curtains</t>
        </is>
      </c>
      <c r="E644" s="109" t="inlineStr">
        <is>
          <t>US</t>
        </is>
      </c>
      <c r="F644" s="109" t="inlineStr">
        <is>
          <t>Other</t>
        </is>
      </c>
      <c r="G644" s="109" t="inlineStr">
        <is>
          <t>Jowels</t>
        </is>
      </c>
      <c r="H644" s="109" t="inlineStr">
        <is>
          <t>Poor</t>
        </is>
      </c>
      <c r="I644" s="109" t="inlineStr">
        <is>
          <t>Jowels Natural Linen Grommet Curtains 84 Inch Long 2 Panels for Living Room</t>
        </is>
      </c>
      <c r="J644" s="109" t="inlineStr">
        <is>
          <t>https://images-na.ssl-images-amazon.com/images/I/81YrpBfe+XL.jpg</t>
        </is>
      </c>
      <c r="K644" s="109" t="inlineStr">
        <is>
          <t>B0CX1RMCK5</t>
        </is>
      </c>
      <c r="L644" s="109" t="inlineStr">
        <is>
          <t>B0CWWWFZ16</t>
        </is>
      </c>
      <c r="M644" s="109" t="n">
        <v>483</v>
      </c>
      <c r="N644" s="109" t="n">
        <v>20.99</v>
      </c>
      <c r="O644" s="109" t="n"/>
      <c r="P644" s="109">
        <f>IF(AND(ISNUMBER(O644),ISNUMBER(N644),N(N644)&gt;0),O644/N644-1,"")</f>
        <v/>
      </c>
      <c r="Q644" s="109" t="n">
        <v>29.82333333333333</v>
      </c>
      <c r="R644" s="109">
        <f>IF(AND(ISNUMBER(N644),ISNUMBER(Q644),N(Q644)&gt;0),N644/Q644-1,"")</f>
        <v/>
      </c>
      <c r="S644" s="109" t="n">
        <v>4213</v>
      </c>
      <c r="T644" s="109" t="n">
        <v>197</v>
      </c>
      <c r="U644" s="109" t="n">
        <v>4.6</v>
      </c>
      <c r="V644" s="109" t="n">
        <v>1089</v>
      </c>
      <c r="W644" s="109" t="n"/>
      <c r="X644" s="109" t="n"/>
      <c r="Y644" s="109" t="n"/>
      <c r="Z644" s="109" t="n"/>
      <c r="AA644" s="109" t="n"/>
      <c r="AB644" s="109" t="n"/>
      <c r="AC644" s="109" t="inlineStr">
        <is>
          <t>US DC Linen Curtains</t>
        </is>
      </c>
      <c r="AD644" s="109">
        <f>'US DC Linen Curtains'!BC95</f>
        <v/>
      </c>
      <c r="AE644" s="109">
        <f>'US DC Linen Curtains'!BF95</f>
        <v/>
      </c>
      <c r="AF644" s="109" t="n"/>
      <c r="AG644" s="109" t="inlineStr">
        <is>
          <t>Linen</t>
        </is>
      </c>
    </row>
    <row r="645">
      <c r="A645" s="109">
        <f>AND(OR(Dashboard!$C$4="All",Dashboard!$C$4=D645),OR(Dashboard!$C$5="All",Dashboard!$C$5=E645),OR(Dashboard!$C$6="All",Dashboard!$C$6=G645),OR(Dashboard!$C$7="All",Dashboard!$C$7=H645),OR(Dashboard!$C$8="All",Dashboard!$C$8=F645))</f>
        <v/>
      </c>
      <c r="B645" s="109">
        <f>IF(A645,B644+1,B644)</f>
        <v/>
      </c>
      <c r="C645" s="109" t="n">
        <v>53</v>
      </c>
      <c r="D645" s="109" t="inlineStr">
        <is>
          <t>DC Linen Curtains</t>
        </is>
      </c>
      <c r="E645" s="109" t="inlineStr">
        <is>
          <t>US</t>
        </is>
      </c>
      <c r="F645" s="109" t="inlineStr">
        <is>
          <t>Other</t>
        </is>
      </c>
      <c r="G645" s="109" t="inlineStr">
        <is>
          <t>Zyvola Store</t>
        </is>
      </c>
      <c r="H645" s="109" t="inlineStr">
        <is>
          <t>Poor</t>
        </is>
      </c>
      <c r="I645" s="109" t="inlineStr">
        <is>
          <t>Zyvola 100% Blackout Curtains 84 inch Length Faux Linen (W52 x L84, Beige)</t>
        </is>
      </c>
      <c r="J645" s="109" t="inlineStr">
        <is>
          <t>https://images-na.ssl-images-amazon.com/images/I/71iWOFTvsgL.jpg</t>
        </is>
      </c>
      <c r="K645" s="109" t="inlineStr">
        <is>
          <t>B0GYNL4FXW</t>
        </is>
      </c>
      <c r="L645" s="109" t="inlineStr">
        <is>
          <t>B0F538X5VQ</t>
        </is>
      </c>
      <c r="M645" s="109" t="n">
        <v>97</v>
      </c>
      <c r="N645" s="109" t="n">
        <v>23.99</v>
      </c>
      <c r="O645" s="109" t="n"/>
      <c r="P645" s="109">
        <f>IF(AND(ISNUMBER(O645),ISNUMBER(N645),N(N645)&gt;0),O645/N645-1,"")</f>
        <v/>
      </c>
      <c r="Q645" s="109" t="n">
        <v>29.82333333333333</v>
      </c>
      <c r="R645" s="109">
        <f>IF(AND(ISNUMBER(N645),ISNUMBER(Q645),N(Q645)&gt;0),N645/Q645-1,"")</f>
        <v/>
      </c>
      <c r="S645" s="109" t="n">
        <v>40931</v>
      </c>
      <c r="T645" s="109" t="n">
        <v>92</v>
      </c>
      <c r="U645" s="109" t="n">
        <v>4.8</v>
      </c>
      <c r="V645" s="109" t="n">
        <v>767</v>
      </c>
      <c r="W645" s="109" t="n"/>
      <c r="X645" s="109" t="n"/>
      <c r="Y645" s="109" t="n"/>
      <c r="Z645" s="109" t="n"/>
      <c r="AA645" s="109" t="n"/>
      <c r="AB645" s="109" t="n"/>
      <c r="AC645" s="109" t="inlineStr">
        <is>
          <t>US DC Linen Curtains</t>
        </is>
      </c>
      <c r="AD645" s="109">
        <f>'US DC Linen Curtains'!BC96</f>
        <v/>
      </c>
      <c r="AE645" s="109">
        <f>'US DC Linen Curtains'!BF96</f>
        <v/>
      </c>
      <c r="AF645" s="109" t="n"/>
      <c r="AG645" s="109" t="inlineStr">
        <is>
          <t>Beige</t>
        </is>
      </c>
    </row>
    <row r="646">
      <c r="A646" s="109">
        <f>AND(OR(Dashboard!$C$4="All",Dashboard!$C$4=D646),OR(Dashboard!$C$5="All",Dashboard!$C$5=E646),OR(Dashboard!$C$6="All",Dashboard!$C$6=G646),OR(Dashboard!$C$7="All",Dashboard!$C$7=H646),OR(Dashboard!$C$8="All",Dashboard!$C$8=F646))</f>
        <v/>
      </c>
      <c r="B646" s="109">
        <f>IF(A646,B645+1,B645)</f>
        <v/>
      </c>
      <c r="C646" s="109" t="n">
        <v>53</v>
      </c>
      <c r="D646" s="109" t="inlineStr">
        <is>
          <t>DC Linen Curtains</t>
        </is>
      </c>
      <c r="E646" s="109" t="inlineStr">
        <is>
          <t>US</t>
        </is>
      </c>
      <c r="F646" s="109" t="inlineStr">
        <is>
          <t>Other</t>
        </is>
      </c>
      <c r="G646" s="109" t="inlineStr">
        <is>
          <t>PONY DANCE</t>
        </is>
      </c>
      <c r="H646" s="109" t="inlineStr">
        <is>
          <t>Poor</t>
        </is>
      </c>
      <c r="I646" s="109" t="inlineStr">
        <is>
          <t>PONY DANCE Linen Blackout Curtains for Bedroom 84 Inches Long, 2 Panels Set</t>
        </is>
      </c>
      <c r="J646" s="109" t="inlineStr">
        <is>
          <t>https://images-na.ssl-images-amazon.com/images/I/81WQK0JB0zL.jpg</t>
        </is>
      </c>
      <c r="K646" s="109" t="inlineStr">
        <is>
          <t>B0DT64LH8Q</t>
        </is>
      </c>
      <c r="L646" s="109" t="inlineStr">
        <is>
          <t>B0DT5T2BXX</t>
        </is>
      </c>
      <c r="M646" s="109" t="n">
        <v>83</v>
      </c>
      <c r="N646" s="109" t="n">
        <v>22.97</v>
      </c>
      <c r="O646" s="109" t="n"/>
      <c r="P646" s="109">
        <f>IF(AND(ISNUMBER(O646),ISNUMBER(N646),N(N646)&gt;0),O646/N646-1,"")</f>
        <v/>
      </c>
      <c r="Q646" s="109" t="n">
        <v>29.82333333333333</v>
      </c>
      <c r="R646" s="109">
        <f>IF(AND(ISNUMBER(N646),ISNUMBER(Q646),N(Q646)&gt;0),N646/Q646-1,"")</f>
        <v/>
      </c>
      <c r="S646" s="109" t="n">
        <v>71182</v>
      </c>
      <c r="T646" s="109" t="n">
        <v>81</v>
      </c>
      <c r="U646" s="109" t="n">
        <v>4.8</v>
      </c>
      <c r="V646" s="109" t="n">
        <v>267</v>
      </c>
      <c r="W646" s="109" t="n"/>
      <c r="X646" s="109" t="n"/>
      <c r="Y646" s="109" t="n"/>
      <c r="Z646" s="109" t="n"/>
      <c r="AA646" s="109" t="n"/>
      <c r="AB646" s="109" t="n"/>
      <c r="AC646" s="109" t="inlineStr">
        <is>
          <t>US DC Linen Curtains</t>
        </is>
      </c>
      <c r="AD646" s="109">
        <f>'US DC Linen Curtains'!BC97</f>
        <v/>
      </c>
      <c r="AE646" s="109">
        <f>'US DC Linen Curtains'!BF97</f>
        <v/>
      </c>
      <c r="AF646" s="109" t="n"/>
      <c r="AG646" s="109" t="inlineStr">
        <is>
          <t>Linen</t>
        </is>
      </c>
    </row>
    <row r="647">
      <c r="A647" s="109">
        <f>AND(OR(Dashboard!$C$4="All",Dashboard!$C$4=D647),OR(Dashboard!$C$5="All",Dashboard!$C$5=E647),OR(Dashboard!$C$6="All",Dashboard!$C$6=G647),OR(Dashboard!$C$7="All",Dashboard!$C$7=H647),OR(Dashboard!$C$8="All",Dashboard!$C$8=F647))</f>
        <v/>
      </c>
      <c r="B647" s="109">
        <f>IF(A647,B646+1,B646)</f>
        <v/>
      </c>
      <c r="C647" s="109" t="n">
        <v>53</v>
      </c>
      <c r="D647" s="109" t="inlineStr">
        <is>
          <t>DC Linen Curtains</t>
        </is>
      </c>
      <c r="E647" s="109" t="inlineStr">
        <is>
          <t>US</t>
        </is>
      </c>
      <c r="F647" s="109" t="inlineStr">
        <is>
          <t>Other</t>
        </is>
      </c>
      <c r="G647" s="109" t="inlineStr">
        <is>
          <t>Zyvola</t>
        </is>
      </c>
      <c r="H647" s="109" t="inlineStr">
        <is>
          <t>Poor</t>
        </is>
      </c>
      <c r="I647" s="109" t="inlineStr">
        <is>
          <t>Linen Curtains</t>
        </is>
      </c>
      <c r="J647" s="109" t="n"/>
      <c r="K647" s="109" t="inlineStr">
        <is>
          <t>B0GMBGGXCX</t>
        </is>
      </c>
      <c r="L647" s="109" t="inlineStr">
        <is>
          <t>B0F534LNF4</t>
        </is>
      </c>
      <c r="M647" s="109" t="n"/>
      <c r="N647" s="109" t="n">
        <v>42.99</v>
      </c>
      <c r="O647" s="109" t="n"/>
      <c r="P647" s="109">
        <f>IF(AND(ISNUMBER(O647),ISNUMBER(N647),N(N647)&gt;0),O647/N647-1,"")</f>
        <v/>
      </c>
      <c r="Q647" s="109" t="n">
        <v>29.82333333333333</v>
      </c>
      <c r="R647" s="109">
        <f>IF(AND(ISNUMBER(N647),ISNUMBER(Q647),N(Q647)&gt;0),N647/Q647-1,"")</f>
        <v/>
      </c>
      <c r="S647" s="109" t="n">
        <v>5171084</v>
      </c>
      <c r="T647" s="109" t="n">
        <v>5</v>
      </c>
      <c r="U647" s="109" t="n">
        <v>4.7</v>
      </c>
      <c r="V647" s="109" t="n">
        <v>4</v>
      </c>
      <c r="W647" s="109" t="n"/>
      <c r="X647" s="109" t="n"/>
      <c r="Y647" s="109" t="n"/>
      <c r="Z647" s="109" t="n"/>
      <c r="AA647" s="109" t="n"/>
      <c r="AB647" s="109" t="n"/>
      <c r="AC647" s="109" t="inlineStr">
        <is>
          <t>US DC Linen Curtains</t>
        </is>
      </c>
      <c r="AD647" s="109">
        <f>'US DC Linen Curtains'!BC98</f>
        <v/>
      </c>
      <c r="AE647" s="109">
        <f>'US DC Linen Curtains'!BF98</f>
        <v/>
      </c>
      <c r="AF647" s="109" t="n"/>
      <c r="AG647" s="109" t="inlineStr">
        <is>
          <t>Linen</t>
        </is>
      </c>
    </row>
    <row r="648">
      <c r="A648" s="109">
        <f>AND(OR(Dashboard!$C$4="All",Dashboard!$C$4=D648),OR(Dashboard!$C$5="All",Dashboard!$C$5=E648),OR(Dashboard!$C$6="All",Dashboard!$C$6=G648),OR(Dashboard!$C$7="All",Dashboard!$C$7=H648),OR(Dashboard!$C$8="All",Dashboard!$C$8=F648))</f>
        <v/>
      </c>
      <c r="B648" s="109">
        <f>IF(A648,B647+1,B647)</f>
        <v/>
      </c>
      <c r="C648" s="109" t="n">
        <v>49</v>
      </c>
      <c r="D648" s="109" t="inlineStr">
        <is>
          <t>DC Beach Towel</t>
        </is>
      </c>
      <c r="E648" s="109" t="inlineStr">
        <is>
          <t>US</t>
        </is>
      </c>
      <c r="F648" s="109" t="inlineStr">
        <is>
          <t>Other</t>
        </is>
      </c>
      <c r="G648" s="109" t="inlineStr">
        <is>
          <t>Chakir Turkish</t>
        </is>
      </c>
      <c r="H648" s="109" t="inlineStr">
        <is>
          <t>Aspirational</t>
        </is>
      </c>
      <c r="I648" s="109" t="inlineStr">
        <is>
          <t>WETCAT Turkish Beach Towel Oversized (38"x71") 100% Turkish Cotton, Made in Turkey - Sand Free, Extra Large, Ultra Soft, Quick Drying, Compact &amp; Lightweight for Travel - Aqua</t>
        </is>
      </c>
      <c r="J648" s="109" t="inlineStr">
        <is>
          <t>https://images-na.ssl-images-amazon.com/images/I/811qaBHyr7L.jpg</t>
        </is>
      </c>
      <c r="K648" s="109" t="inlineStr">
        <is>
          <t>B0DCV7WBJM</t>
        </is>
      </c>
      <c r="L648" s="109" t="inlineStr">
        <is>
          <t>B07M67HRKS</t>
        </is>
      </c>
      <c r="M648" s="109" t="n">
        <v>38</v>
      </c>
      <c r="N648" s="109" t="n">
        <v>23.99</v>
      </c>
      <c r="O648" s="109" t="n"/>
      <c r="P648" s="109">
        <f>IF(AND(ISNUMBER(O648),ISNUMBER(N648),N(N648)&gt;0),O648/N648-1,"")</f>
        <v/>
      </c>
      <c r="Q648" s="109" t="n">
        <v>21.45</v>
      </c>
      <c r="R648" s="109">
        <f>IF(AND(ISNUMBER(N648),ISNUMBER(Q648),N(Q648)&gt;0),N648/Q648-1,"")</f>
        <v/>
      </c>
      <c r="S648" s="109" t="n">
        <v>17159</v>
      </c>
      <c r="T648" s="109" t="n">
        <v>81</v>
      </c>
      <c r="U648" s="109" t="n">
        <v>4.6</v>
      </c>
      <c r="V648" s="109" t="n">
        <v>13408</v>
      </c>
      <c r="W648" s="109" t="n"/>
      <c r="X648" s="109" t="n"/>
      <c r="Y648" s="109" t="n"/>
      <c r="Z648" s="109" t="n"/>
      <c r="AA648" s="109" t="n"/>
      <c r="AB648" s="109" t="n"/>
      <c r="AC648" s="109" t="inlineStr">
        <is>
          <t>US DC Beach Towel</t>
        </is>
      </c>
      <c r="AD648" s="109">
        <f>'US DC Beach Towel'!BC50</f>
        <v/>
      </c>
      <c r="AE648" s="109">
        <f>'US DC Beach Towel'!BF50</f>
        <v/>
      </c>
      <c r="AF648" s="109" t="n"/>
      <c r="AG648" s="109" t="inlineStr">
        <is>
          <t>Sand</t>
        </is>
      </c>
    </row>
    <row r="649">
      <c r="A649" s="109">
        <f>AND(OR(Dashboard!$C$4="All",Dashboard!$C$4=D649),OR(Dashboard!$C$5="All",Dashboard!$C$5=E649),OR(Dashboard!$C$6="All",Dashboard!$C$6=G649),OR(Dashboard!$C$7="All",Dashboard!$C$7=H649),OR(Dashboard!$C$8="All",Dashboard!$C$8=F649))</f>
        <v/>
      </c>
      <c r="B649" s="109">
        <f>IF(A649,B648+1,B648)</f>
        <v/>
      </c>
      <c r="C649" s="109" t="n">
        <v>49</v>
      </c>
      <c r="D649" s="109" t="inlineStr">
        <is>
          <t>DC Beach Towel</t>
        </is>
      </c>
      <c r="E649" s="109" t="inlineStr">
        <is>
          <t>US</t>
        </is>
      </c>
      <c r="F649" s="109" t="inlineStr">
        <is>
          <t>Other</t>
        </is>
      </c>
      <c r="G649" s="109" t="inlineStr">
        <is>
          <t>Mebien touche de la nature</t>
        </is>
      </c>
      <c r="H649" s="109" t="inlineStr">
        <is>
          <t>Aspirational</t>
        </is>
      </c>
      <c r="I649" s="109" t="inlineStr">
        <is>
          <t>Turkish Beach Towel</t>
        </is>
      </c>
      <c r="J649" s="109" t="n"/>
      <c r="K649" s="109" t="inlineStr">
        <is>
          <t>B07GFB5R1G</t>
        </is>
      </c>
      <c r="L649" s="109" t="inlineStr">
        <is>
          <t>B09WDMDJCH</t>
        </is>
      </c>
      <c r="M649" s="109" t="n"/>
      <c r="N649" s="109" t="n">
        <v>19.99</v>
      </c>
      <c r="O649" s="109" t="n">
        <v>19.99</v>
      </c>
      <c r="P649" s="109">
        <f>IF(AND(ISNUMBER(O649),ISNUMBER(N649),N(N649)&gt;0),O649/N649-1,"")</f>
        <v/>
      </c>
      <c r="Q649" s="109" t="n">
        <v>21.45</v>
      </c>
      <c r="R649" s="109">
        <f>IF(AND(ISNUMBER(N649),ISNUMBER(Q649),N(Q649)&gt;0),N649/Q649-1,"")</f>
        <v/>
      </c>
      <c r="S649" s="109" t="n">
        <v>356269</v>
      </c>
      <c r="T649" s="109" t="n">
        <v>5</v>
      </c>
      <c r="U649" s="109" t="n">
        <v>4.5</v>
      </c>
      <c r="V649" s="109" t="n">
        <v>2252</v>
      </c>
      <c r="W649" s="109" t="n"/>
      <c r="X649" s="109" t="n"/>
      <c r="Y649" s="109" t="n"/>
      <c r="Z649" s="109" t="n"/>
      <c r="AA649" s="109" t="n"/>
      <c r="AB649" s="109" t="n"/>
      <c r="AC649" s="109" t="inlineStr">
        <is>
          <t>US DC Beach Towel</t>
        </is>
      </c>
      <c r="AD649" s="109">
        <f>'US DC Beach Towel'!BC51</f>
        <v/>
      </c>
      <c r="AE649" s="109">
        <f>'US DC Beach Towel'!BF51</f>
        <v/>
      </c>
      <c r="AF649" s="109" t="n"/>
      <c r="AG649" s="109" t="n"/>
    </row>
    <row r="650">
      <c r="A650" s="109">
        <f>AND(OR(Dashboard!$C$4="All",Dashboard!$C$4=D650),OR(Dashboard!$C$5="All",Dashboard!$C$5=E650),OR(Dashboard!$C$6="All",Dashboard!$C$6=G650),OR(Dashboard!$C$7="All",Dashboard!$C$7=H650),OR(Dashboard!$C$8="All",Dashboard!$C$8=F650))</f>
        <v/>
      </c>
      <c r="B650" s="109">
        <f>IF(A650,B649+1,B649)</f>
        <v/>
      </c>
      <c r="C650" s="109" t="n">
        <v>49</v>
      </c>
      <c r="D650" s="109" t="inlineStr">
        <is>
          <t>DC Beach Towel</t>
        </is>
      </c>
      <c r="E650" s="109" t="inlineStr">
        <is>
          <t>US</t>
        </is>
      </c>
      <c r="F650" s="109" t="inlineStr">
        <is>
          <t>Other</t>
        </is>
      </c>
      <c r="G650" s="109" t="inlineStr">
        <is>
          <t>Nature Is Gift</t>
        </is>
      </c>
      <c r="H650" s="109" t="inlineStr">
        <is>
          <t>Aspirational</t>
        </is>
      </c>
      <c r="I650" s="109" t="inlineStr">
        <is>
          <t>Turkish Beach Towel</t>
        </is>
      </c>
      <c r="J650" s="109" t="n"/>
      <c r="K650" s="109" t="inlineStr">
        <is>
          <t>B00JQFVKUO</t>
        </is>
      </c>
      <c r="L650" s="109" t="inlineStr">
        <is>
          <t>B017NZZG12</t>
        </is>
      </c>
      <c r="M650" s="109" t="n"/>
      <c r="N650" s="109" t="n">
        <v>13.99</v>
      </c>
      <c r="O650" s="109" t="n">
        <v>17.99</v>
      </c>
      <c r="P650" s="109">
        <f>IF(AND(ISNUMBER(O650),ISNUMBER(N650),N(N650)&gt;0),O650/N650-1,"")</f>
        <v/>
      </c>
      <c r="Q650" s="109" t="n">
        <v>21.45</v>
      </c>
      <c r="R650" s="109">
        <f>IF(AND(ISNUMBER(N650),ISNUMBER(Q650),N(Q650)&gt;0),N650/Q650-1,"")</f>
        <v/>
      </c>
      <c r="S650" s="109" t="n">
        <v>408785</v>
      </c>
      <c r="T650" s="109" t="n">
        <v>5</v>
      </c>
      <c r="U650" s="109" t="n">
        <v>4.6</v>
      </c>
      <c r="V650" s="109" t="n">
        <v>1901</v>
      </c>
      <c r="W650" s="109" t="n"/>
      <c r="X650" s="109" t="n"/>
      <c r="Y650" s="109" t="n"/>
      <c r="Z650" s="109" t="n"/>
      <c r="AA650" s="109" t="n"/>
      <c r="AB650" s="109" t="n"/>
      <c r="AC650" s="109" t="inlineStr">
        <is>
          <t>US DC Beach Towel</t>
        </is>
      </c>
      <c r="AD650" s="109">
        <f>'US DC Beach Towel'!BC52</f>
        <v/>
      </c>
      <c r="AE650" s="109">
        <f>'US DC Beach Towel'!BF52</f>
        <v/>
      </c>
      <c r="AF650" s="109" t="n"/>
      <c r="AG650" s="109" t="n"/>
    </row>
    <row r="651">
      <c r="A651" s="109">
        <f>AND(OR(Dashboard!$C$4="All",Dashboard!$C$4=D651),OR(Dashboard!$C$5="All",Dashboard!$C$5=E651),OR(Dashboard!$C$6="All",Dashboard!$C$6=G651),OR(Dashboard!$C$7="All",Dashboard!$C$7=H651),OR(Dashboard!$C$8="All",Dashboard!$C$8=F651))</f>
        <v/>
      </c>
      <c r="B651" s="109">
        <f>IF(A651,B650+1,B650)</f>
        <v/>
      </c>
      <c r="C651" s="109" t="n">
        <v>49</v>
      </c>
      <c r="D651" s="109" t="inlineStr">
        <is>
          <t>DC Beach Towel</t>
        </is>
      </c>
      <c r="E651" s="109" t="inlineStr">
        <is>
          <t>US</t>
        </is>
      </c>
      <c r="F651" s="109" t="inlineStr">
        <is>
          <t>Other</t>
        </is>
      </c>
      <c r="G651" s="109" t="inlineStr">
        <is>
          <t>SMYRNA TURKISH COTTON</t>
        </is>
      </c>
      <c r="H651" s="109" t="inlineStr">
        <is>
          <t>Aspirational</t>
        </is>
      </c>
      <c r="I651" s="109" t="inlineStr">
        <is>
          <t>SMYRNA TURKISH COTTON Classical Series Original Turkish Beach Towel | Prewashed, 37 x 71 Inches | Peshtemal and Turkish Bath Towel for SPA, Beach, Pool, Gym and Bathroom</t>
        </is>
      </c>
      <c r="J651" s="109" t="inlineStr">
        <is>
          <t>https://images-na.ssl-images-amazon.com/images/I/61cjIHCSQJL.jpg</t>
        </is>
      </c>
      <c r="K651" s="109" t="inlineStr">
        <is>
          <t>B0D8ZW2F3C</t>
        </is>
      </c>
      <c r="L651" s="109" t="inlineStr">
        <is>
          <t>B0DQKM17ZF</t>
        </is>
      </c>
      <c r="M651" s="109" t="n">
        <v>7</v>
      </c>
      <c r="N651" s="109" t="n">
        <v>7.99</v>
      </c>
      <c r="O651" s="109" t="n"/>
      <c r="P651" s="109">
        <f>IF(AND(ISNUMBER(O651),ISNUMBER(N651),N(N651)&gt;0),O651/N651-1,"")</f>
        <v/>
      </c>
      <c r="Q651" s="109" t="n">
        <v>21.45</v>
      </c>
      <c r="R651" s="109">
        <f>IF(AND(ISNUMBER(N651),ISNUMBER(Q651),N(Q651)&gt;0),N651/Q651-1,"")</f>
        <v/>
      </c>
      <c r="S651" s="109" t="n">
        <v>1066252</v>
      </c>
      <c r="T651" s="109" t="n">
        <v>5</v>
      </c>
      <c r="U651" s="109" t="n">
        <v>4.5</v>
      </c>
      <c r="V651" s="109" t="n">
        <v>4592</v>
      </c>
      <c r="W651" s="109" t="n"/>
      <c r="X651" s="109" t="n"/>
      <c r="Y651" s="109" t="n"/>
      <c r="Z651" s="109" t="n"/>
      <c r="AA651" s="109" t="n"/>
      <c r="AB651" s="109" t="n"/>
      <c r="AC651" s="109" t="inlineStr">
        <is>
          <t>US DC Beach Towel</t>
        </is>
      </c>
      <c r="AD651" s="109">
        <f>'US DC Beach Towel'!BC53</f>
        <v/>
      </c>
      <c r="AE651" s="109">
        <f>'US DC Beach Towel'!BF53</f>
        <v/>
      </c>
      <c r="AF651" s="109" t="n"/>
      <c r="AG651" s="109" t="n"/>
    </row>
    <row r="652">
      <c r="A652" s="109">
        <f>AND(OR(Dashboard!$C$4="All",Dashboard!$C$4=D652),OR(Dashboard!$C$5="All",Dashboard!$C$5=E652),OR(Dashboard!$C$6="All",Dashboard!$C$6=G652),OR(Dashboard!$C$7="All",Dashboard!$C$7=H652),OR(Dashboard!$C$8="All",Dashboard!$C$8=F652))</f>
        <v/>
      </c>
      <c r="B652" s="109">
        <f>IF(A652,B651+1,B651)</f>
        <v/>
      </c>
      <c r="C652" s="109" t="n">
        <v>49</v>
      </c>
      <c r="D652" s="109" t="inlineStr">
        <is>
          <t>DC Beach Towel</t>
        </is>
      </c>
      <c r="E652" s="109" t="inlineStr">
        <is>
          <t>US</t>
        </is>
      </c>
      <c r="F652" s="109" t="inlineStr">
        <is>
          <t>Other</t>
        </is>
      </c>
      <c r="G652" s="109" t="inlineStr">
        <is>
          <t>Cape Comforts</t>
        </is>
      </c>
      <c r="H652" s="109" t="inlineStr">
        <is>
          <t>Beatable</t>
        </is>
      </c>
      <c r="I652" s="109" t="inlineStr">
        <is>
          <t>Turkish Beach Towel</t>
        </is>
      </c>
      <c r="J652" s="109" t="n"/>
      <c r="K652" s="109" t="inlineStr">
        <is>
          <t>B0DGJ9RS81</t>
        </is>
      </c>
      <c r="L652" s="109" t="inlineStr">
        <is>
          <t>B0CNV2LF3N</t>
        </is>
      </c>
      <c r="M652" s="109" t="n"/>
      <c r="N652" s="109" t="n">
        <v>19.99</v>
      </c>
      <c r="O652" s="109" t="n"/>
      <c r="P652" s="109">
        <f>IF(AND(ISNUMBER(O652),ISNUMBER(N652),N(N652)&gt;0),O652/N652-1,"")</f>
        <v/>
      </c>
      <c r="Q652" s="109" t="n">
        <v>21.45</v>
      </c>
      <c r="R652" s="109">
        <f>IF(AND(ISNUMBER(N652),ISNUMBER(Q652),N(Q652)&gt;0),N652/Q652-1,"")</f>
        <v/>
      </c>
      <c r="S652" s="109" t="n">
        <v>258092</v>
      </c>
      <c r="T652" s="109" t="n">
        <v>5</v>
      </c>
      <c r="U652" s="109" t="n">
        <v>4.5</v>
      </c>
      <c r="V652" s="109" t="n">
        <v>444</v>
      </c>
      <c r="W652" s="109" t="n"/>
      <c r="X652" s="109" t="n"/>
      <c r="Y652" s="109" t="n"/>
      <c r="Z652" s="109" t="n"/>
      <c r="AA652" s="109" t="n"/>
      <c r="AB652" s="109" t="n"/>
      <c r="AC652" s="109" t="inlineStr">
        <is>
          <t>US DC Beach Towel</t>
        </is>
      </c>
      <c r="AD652" s="109">
        <f>'US DC Beach Towel'!BC54</f>
        <v/>
      </c>
      <c r="AE652" s="109">
        <f>'US DC Beach Towel'!BF54</f>
        <v/>
      </c>
      <c r="AF652" s="109" t="n"/>
      <c r="AG652" s="109" t="n"/>
    </row>
    <row r="653">
      <c r="A653" s="109">
        <f>AND(OR(Dashboard!$C$4="All",Dashboard!$C$4=D653),OR(Dashboard!$C$5="All",Dashboard!$C$5=E653),OR(Dashboard!$C$6="All",Dashboard!$C$6=G653),OR(Dashboard!$C$7="All",Dashboard!$C$7=H653),OR(Dashboard!$C$8="All",Dashboard!$C$8=F653))</f>
        <v/>
      </c>
      <c r="B653" s="109">
        <f>IF(A653,B652+1,B652)</f>
        <v/>
      </c>
      <c r="C653" s="109" t="n">
        <v>49</v>
      </c>
      <c r="D653" s="109" t="inlineStr">
        <is>
          <t>DC Beach Towel</t>
        </is>
      </c>
      <c r="E653" s="109" t="inlineStr">
        <is>
          <t>US</t>
        </is>
      </c>
      <c r="F653" s="109" t="inlineStr">
        <is>
          <t>Other</t>
        </is>
      </c>
      <c r="G653" s="109" t="inlineStr">
        <is>
          <t>Casamollis</t>
        </is>
      </c>
      <c r="H653" s="109" t="inlineStr">
        <is>
          <t>Beatable</t>
        </is>
      </c>
      <c r="I653" s="109" t="inlineStr">
        <is>
          <t>Casamollis Turkish Beach Towel, Prewashed, 100% Cotton, Soft, Absorbent, Quick Dry, Sand Free Large Oversize Beach Towels for Bathroom Camping Yoga Gym Pool Travel Size 39x71 Inches (Blue)</t>
        </is>
      </c>
      <c r="J653" s="109" t="inlineStr">
        <is>
          <t>https://images-na.ssl-images-amazon.com/images/I/71YgUbWvq4L.jpg</t>
        </is>
      </c>
      <c r="K653" s="109" t="inlineStr">
        <is>
          <t>B0C37T2QLC</t>
        </is>
      </c>
      <c r="L653" s="109" t="inlineStr">
        <is>
          <t>B0BT9RNGDQ</t>
        </is>
      </c>
      <c r="M653" s="109" t="n">
        <v>1</v>
      </c>
      <c r="N653" s="109" t="n">
        <v>14.99</v>
      </c>
      <c r="O653" s="109" t="n"/>
      <c r="P653" s="109">
        <f>IF(AND(ISNUMBER(O653),ISNUMBER(N653),N(N653)&gt;0),O653/N653-1,"")</f>
        <v/>
      </c>
      <c r="Q653" s="109" t="n">
        <v>21.45</v>
      </c>
      <c r="R653" s="109">
        <f>IF(AND(ISNUMBER(N653),ISNUMBER(Q653),N(Q653)&gt;0),N653/Q653-1,"")</f>
        <v/>
      </c>
      <c r="S653" s="109" t="n">
        <v>1836471</v>
      </c>
      <c r="T653" s="109" t="n">
        <v>5</v>
      </c>
      <c r="U653" s="109" t="n">
        <v>4.4</v>
      </c>
      <c r="V653" s="109" t="n">
        <v>120</v>
      </c>
      <c r="W653" s="109" t="n"/>
      <c r="X653" s="109" t="n"/>
      <c r="Y653" s="109" t="n"/>
      <c r="Z653" s="109" t="n"/>
      <c r="AA653" s="109" t="n"/>
      <c r="AB653" s="109" t="n"/>
      <c r="AC653" s="109" t="inlineStr">
        <is>
          <t>US DC Beach Towel</t>
        </is>
      </c>
      <c r="AD653" s="109">
        <f>'US DC Beach Towel'!BC55</f>
        <v/>
      </c>
      <c r="AE653" s="109">
        <f>'US DC Beach Towel'!BF55</f>
        <v/>
      </c>
      <c r="AF653" s="109" t="n"/>
      <c r="AG653" s="109" t="inlineStr">
        <is>
          <t>Blue</t>
        </is>
      </c>
    </row>
    <row r="654">
      <c r="A654" s="109">
        <f>AND(OR(Dashboard!$C$4="All",Dashboard!$C$4=D654),OR(Dashboard!$C$5="All",Dashboard!$C$5=E654),OR(Dashboard!$C$6="All",Dashboard!$C$6=G654),OR(Dashboard!$C$7="All",Dashboard!$C$7=H654),OR(Dashboard!$C$8="All",Dashboard!$C$8=F654))</f>
        <v/>
      </c>
      <c r="B654" s="109">
        <f>IF(A654,B653+1,B653)</f>
        <v/>
      </c>
      <c r="C654" s="109" t="n">
        <v>49</v>
      </c>
      <c r="D654" s="109" t="inlineStr">
        <is>
          <t>DC Beach Towel</t>
        </is>
      </c>
      <c r="E654" s="109" t="inlineStr">
        <is>
          <t>US</t>
        </is>
      </c>
      <c r="F654" s="109" t="inlineStr">
        <is>
          <t>Other</t>
        </is>
      </c>
      <c r="G654" s="109" t="inlineStr">
        <is>
          <t>FESHKA</t>
        </is>
      </c>
      <c r="H654" s="109" t="inlineStr">
        <is>
          <t>Beatable</t>
        </is>
      </c>
      <c r="I654" s="109" t="inlineStr">
        <is>
          <t>FESHKA Sand Proof Turkish Beach Towel – Oversized, Quick Dry &amp; Lightweight Travel Towel - 100% Organic Cotton Beach Blanket - Perfect for Bath, Pool &amp; Picnic | Damask (Rust/Beige)</t>
        </is>
      </c>
      <c r="J654" s="109" t="inlineStr">
        <is>
          <t>https://images-na.ssl-images-amazon.com/images/I/91uCRX1VnEL.jpg</t>
        </is>
      </c>
      <c r="K654" s="109" t="inlineStr">
        <is>
          <t>B0CCFV2DPC</t>
        </is>
      </c>
      <c r="L654" s="109" t="inlineStr">
        <is>
          <t>B0B2KVR9RB</t>
        </is>
      </c>
      <c r="M654" s="109" t="n">
        <v>34</v>
      </c>
      <c r="N654" s="109" t="n">
        <v>14.99</v>
      </c>
      <c r="O654" s="109" t="n"/>
      <c r="P654" s="109">
        <f>IF(AND(ISNUMBER(O654),ISNUMBER(N654),N(N654)&gt;0),O654/N654-1,"")</f>
        <v/>
      </c>
      <c r="Q654" s="109" t="n">
        <v>21.45</v>
      </c>
      <c r="R654" s="109">
        <f>IF(AND(ISNUMBER(N654),ISNUMBER(Q654),N(Q654)&gt;0),N654/Q654-1,"")</f>
        <v/>
      </c>
      <c r="S654" s="109" t="n">
        <v>843146</v>
      </c>
      <c r="T654" s="109" t="n">
        <v>5</v>
      </c>
      <c r="U654" s="109" t="n">
        <v>4.4</v>
      </c>
      <c r="V654" s="109" t="n">
        <v>500</v>
      </c>
      <c r="W654" s="109" t="n"/>
      <c r="X654" s="109" t="n"/>
      <c r="Y654" s="109" t="n"/>
      <c r="Z654" s="109" t="n"/>
      <c r="AA654" s="109" t="n"/>
      <c r="AB654" s="109" t="n"/>
      <c r="AC654" s="109" t="inlineStr">
        <is>
          <t>US DC Beach Towel</t>
        </is>
      </c>
      <c r="AD654" s="109">
        <f>'US DC Beach Towel'!BC56</f>
        <v/>
      </c>
      <c r="AE654" s="109">
        <f>'US DC Beach Towel'!BF56</f>
        <v/>
      </c>
      <c r="AF654" s="109" t="n"/>
      <c r="AG654" s="109" t="inlineStr">
        <is>
          <t>Rust/Beige</t>
        </is>
      </c>
    </row>
    <row r="655">
      <c r="A655" s="109">
        <f>AND(OR(Dashboard!$C$4="All",Dashboard!$C$4=D655),OR(Dashboard!$C$5="All",Dashboard!$C$5=E655),OR(Dashboard!$C$6="All",Dashboard!$C$6=G655),OR(Dashboard!$C$7="All",Dashboard!$C$7=H655),OR(Dashboard!$C$8="All",Dashboard!$C$8=F655))</f>
        <v/>
      </c>
      <c r="B655" s="109">
        <f>IF(A655,B654+1,B654)</f>
        <v/>
      </c>
      <c r="C655" s="109" t="n">
        <v>49</v>
      </c>
      <c r="D655" s="109" t="inlineStr">
        <is>
          <t>DC Beach Towel</t>
        </is>
      </c>
      <c r="E655" s="109" t="inlineStr">
        <is>
          <t>US</t>
        </is>
      </c>
      <c r="F655" s="109" t="inlineStr">
        <is>
          <t>Other</t>
        </is>
      </c>
      <c r="G655" s="109" t="inlineStr">
        <is>
          <t>Goroly Home</t>
        </is>
      </c>
      <c r="H655" s="109" t="inlineStr">
        <is>
          <t>Beatable</t>
        </is>
      </c>
      <c r="I655" s="109" t="inlineStr">
        <is>
          <t>Goroly Home Cotton Turkish Peshtemal Beach Towel, Extra Large, Thin Quick Dry Sand Free Pool &amp; Swim Towel, Bathing Blanket, Travel Essentials, (Pista Green, 36x71 Inches)</t>
        </is>
      </c>
      <c r="J655" s="109" t="inlineStr">
        <is>
          <t>https://images-na.ssl-images-amazon.com/images/I/91Lbax4bMGL.jpg</t>
        </is>
      </c>
      <c r="K655" s="109" t="inlineStr">
        <is>
          <t>B0CX5JQN29</t>
        </is>
      </c>
      <c r="L655" s="109" t="inlineStr">
        <is>
          <t>B08WS5MYK8</t>
        </is>
      </c>
      <c r="M655" s="109" t="n">
        <v>17</v>
      </c>
      <c r="N655" s="109" t="n">
        <v>14.99</v>
      </c>
      <c r="O655" s="109" t="n"/>
      <c r="P655" s="109">
        <f>IF(AND(ISNUMBER(O655),ISNUMBER(N655),N(N655)&gt;0),O655/N655-1,"")</f>
        <v/>
      </c>
      <c r="Q655" s="109" t="n">
        <v>21.45</v>
      </c>
      <c r="R655" s="109">
        <f>IF(AND(ISNUMBER(N655),ISNUMBER(Q655),N(Q655)&gt;0),N655/Q655-1,"")</f>
        <v/>
      </c>
      <c r="S655" s="109" t="n">
        <v>2046442</v>
      </c>
      <c r="T655" s="109" t="n">
        <v>5</v>
      </c>
      <c r="U655" s="109" t="n">
        <v>4.4</v>
      </c>
      <c r="V655" s="109" t="n">
        <v>206</v>
      </c>
      <c r="W655" s="109" t="n"/>
      <c r="X655" s="109" t="n"/>
      <c r="Y655" s="109" t="n"/>
      <c r="Z655" s="109" t="n"/>
      <c r="AA655" s="109" t="n"/>
      <c r="AB655" s="109" t="n"/>
      <c r="AC655" s="109" t="inlineStr">
        <is>
          <t>US DC Beach Towel</t>
        </is>
      </c>
      <c r="AD655" s="109">
        <f>'US DC Beach Towel'!BC57</f>
        <v/>
      </c>
      <c r="AE655" s="109">
        <f>'US DC Beach Towel'!BF57</f>
        <v/>
      </c>
      <c r="AF655" s="109" t="n"/>
      <c r="AG655" s="109" t="inlineStr">
        <is>
          <t>Pista Green</t>
        </is>
      </c>
    </row>
    <row r="656">
      <c r="A656" s="109">
        <f>AND(OR(Dashboard!$C$4="All",Dashboard!$C$4=D656),OR(Dashboard!$C$5="All",Dashboard!$C$5=E656),OR(Dashboard!$C$6="All",Dashboard!$C$6=G656),OR(Dashboard!$C$7="All",Dashboard!$C$7=H656),OR(Dashboard!$C$8="All",Dashboard!$C$8=F656))</f>
        <v/>
      </c>
      <c r="B656" s="109">
        <f>IF(A656,B655+1,B655)</f>
        <v/>
      </c>
      <c r="C656" s="109" t="n">
        <v>49</v>
      </c>
      <c r="D656" s="109" t="inlineStr">
        <is>
          <t>DC Beach Towel</t>
        </is>
      </c>
      <c r="E656" s="109" t="inlineStr">
        <is>
          <t>US</t>
        </is>
      </c>
      <c r="F656" s="109" t="inlineStr">
        <is>
          <t>Other</t>
        </is>
      </c>
      <c r="G656" s="109" t="inlineStr">
        <is>
          <t>Organic Cotton Mart</t>
        </is>
      </c>
      <c r="H656" s="109" t="inlineStr">
        <is>
          <t>Beatable</t>
        </is>
      </c>
      <c r="I656" s="109" t="inlineStr">
        <is>
          <t>Turkish Beach Towel</t>
        </is>
      </c>
      <c r="J656" s="109" t="n"/>
      <c r="K656" s="109" t="inlineStr">
        <is>
          <t>B095ZRFXH5</t>
        </is>
      </c>
      <c r="L656" s="109" t="inlineStr">
        <is>
          <t>B0961CH4WH</t>
        </is>
      </c>
      <c r="M656" s="109" t="n"/>
      <c r="N656" s="109" t="n">
        <v>19.99</v>
      </c>
      <c r="O656" s="109" t="n"/>
      <c r="P656" s="109">
        <f>IF(AND(ISNUMBER(O656),ISNUMBER(N656),N(N656)&gt;0),O656/N656-1,"")</f>
        <v/>
      </c>
      <c r="Q656" s="109" t="n">
        <v>21.45</v>
      </c>
      <c r="R656" s="109">
        <f>IF(AND(ISNUMBER(N656),ISNUMBER(Q656),N(Q656)&gt;0),N656/Q656-1,"")</f>
        <v/>
      </c>
      <c r="S656" s="109" t="n">
        <v>1082549</v>
      </c>
      <c r="T656" s="109" t="n">
        <v>5</v>
      </c>
      <c r="U656" s="109" t="n">
        <v>4.4</v>
      </c>
      <c r="V656" s="109" t="n">
        <v>72</v>
      </c>
      <c r="W656" s="109" t="n"/>
      <c r="X656" s="109" t="n"/>
      <c r="Y656" s="109" t="n"/>
      <c r="Z656" s="109" t="n"/>
      <c r="AA656" s="109" t="n"/>
      <c r="AB656" s="109" t="n"/>
      <c r="AC656" s="109" t="inlineStr">
        <is>
          <t>US DC Beach Towel</t>
        </is>
      </c>
      <c r="AD656" s="109">
        <f>'US DC Beach Towel'!BC58</f>
        <v/>
      </c>
      <c r="AE656" s="109">
        <f>'US DC Beach Towel'!BF58</f>
        <v/>
      </c>
      <c r="AF656" s="109" t="n"/>
      <c r="AG656" s="109" t="n"/>
    </row>
    <row r="657">
      <c r="A657" s="109">
        <f>AND(OR(Dashboard!$C$4="All",Dashboard!$C$4=D657),OR(Dashboard!$C$5="All",Dashboard!$C$5=E657),OR(Dashboard!$C$6="All",Dashboard!$C$6=G657),OR(Dashboard!$C$7="All",Dashboard!$C$7=H657),OR(Dashboard!$C$8="All",Dashboard!$C$8=F657))</f>
        <v/>
      </c>
      <c r="B657" s="109">
        <f>IF(A657,B656+1,B656)</f>
        <v/>
      </c>
      <c r="C657" s="109" t="n">
        <v>49</v>
      </c>
      <c r="D657" s="109" t="inlineStr">
        <is>
          <t>DC Beach Towel</t>
        </is>
      </c>
      <c r="E657" s="109" t="inlineStr">
        <is>
          <t>US</t>
        </is>
      </c>
      <c r="F657" s="109" t="inlineStr">
        <is>
          <t>Other</t>
        </is>
      </c>
      <c r="G657" s="109" t="inlineStr">
        <is>
          <t>PARK&amp;OZ</t>
        </is>
      </c>
      <c r="H657" s="109" t="inlineStr">
        <is>
          <t>Beatable</t>
        </is>
      </c>
      <c r="I657" s="109" t="inlineStr">
        <is>
          <t>Turkish Beach Towel</t>
        </is>
      </c>
      <c r="J657" s="109" t="n"/>
      <c r="K657" s="109" t="inlineStr">
        <is>
          <t>B0DTSTCQF8</t>
        </is>
      </c>
      <c r="L657" s="109" t="inlineStr">
        <is>
          <t>B0BN99CBK2</t>
        </is>
      </c>
      <c r="M657" s="109" t="n"/>
      <c r="N657" s="109" t="n">
        <v>14.99</v>
      </c>
      <c r="O657" s="109" t="n"/>
      <c r="P657" s="109">
        <f>IF(AND(ISNUMBER(O657),ISNUMBER(N657),N(N657)&gt;0),O657/N657-1,"")</f>
        <v/>
      </c>
      <c r="Q657" s="109" t="n">
        <v>21.45</v>
      </c>
      <c r="R657" s="109">
        <f>IF(AND(ISNUMBER(N657),ISNUMBER(Q657),N(Q657)&gt;0),N657/Q657-1,"")</f>
        <v/>
      </c>
      <c r="S657" s="109" t="n">
        <v>491392</v>
      </c>
      <c r="T657" s="109" t="n">
        <v>5</v>
      </c>
      <c r="U657" s="109" t="n">
        <v>4.4</v>
      </c>
      <c r="V657" s="109" t="n">
        <v>290</v>
      </c>
      <c r="W657" s="109" t="n"/>
      <c r="X657" s="109" t="n"/>
      <c r="Y657" s="109" t="n"/>
      <c r="Z657" s="109" t="n"/>
      <c r="AA657" s="109" t="n"/>
      <c r="AB657" s="109" t="n"/>
      <c r="AC657" s="109" t="inlineStr">
        <is>
          <t>US DC Beach Towel</t>
        </is>
      </c>
      <c r="AD657" s="109">
        <f>'US DC Beach Towel'!BC59</f>
        <v/>
      </c>
      <c r="AE657" s="109">
        <f>'US DC Beach Towel'!BF59</f>
        <v/>
      </c>
      <c r="AF657" s="109" t="n"/>
      <c r="AG657" s="109" t="n"/>
    </row>
    <row r="658">
      <c r="A658" s="109">
        <f>AND(OR(Dashboard!$C$4="All",Dashboard!$C$4=D658),OR(Dashboard!$C$5="All",Dashboard!$C$5=E658),OR(Dashboard!$C$6="All",Dashboard!$C$6=G658),OR(Dashboard!$C$7="All",Dashboard!$C$7=H658),OR(Dashboard!$C$8="All",Dashboard!$C$8=F658))</f>
        <v/>
      </c>
      <c r="B658" s="109">
        <f>IF(A658,B657+1,B657)</f>
        <v/>
      </c>
      <c r="C658" s="109" t="n">
        <v>49</v>
      </c>
      <c r="D658" s="109" t="inlineStr">
        <is>
          <t>DC Beach Towel</t>
        </is>
      </c>
      <c r="E658" s="109" t="inlineStr">
        <is>
          <t>US</t>
        </is>
      </c>
      <c r="F658" s="109" t="inlineStr">
        <is>
          <t>Other</t>
        </is>
      </c>
      <c r="G658" s="109" t="inlineStr">
        <is>
          <t>Your Choice</t>
        </is>
      </c>
      <c r="H658" s="109" t="inlineStr">
        <is>
          <t>Beatable</t>
        </is>
      </c>
      <c r="I658" s="109" t="inlineStr">
        <is>
          <t>Your Choice Turkish Beach Towel (71x41) - 100% Cotton Turkish Towel, Sand Free Quick Dry Oversized, Lightweight Compact Travel Towel - Color Navy</t>
        </is>
      </c>
      <c r="J658" s="109" t="inlineStr">
        <is>
          <t>https://images-na.ssl-images-amazon.com/images/I/91GQPkdw4dL.jpg</t>
        </is>
      </c>
      <c r="K658" s="109" t="inlineStr">
        <is>
          <t>B0B3DGBF86</t>
        </is>
      </c>
      <c r="L658" s="109" t="inlineStr">
        <is>
          <t>B09VC8ZM91</t>
        </is>
      </c>
      <c r="M658" s="109" t="n">
        <v>1</v>
      </c>
      <c r="N658" s="109" t="n">
        <v>17.99</v>
      </c>
      <c r="O658" s="109" t="n"/>
      <c r="P658" s="109">
        <f>IF(AND(ISNUMBER(O658),ISNUMBER(N658),N(N658)&gt;0),O658/N658-1,"")</f>
        <v/>
      </c>
      <c r="Q658" s="109" t="n">
        <v>21.45</v>
      </c>
      <c r="R658" s="109">
        <f>IF(AND(ISNUMBER(N658),ISNUMBER(Q658),N(Q658)&gt;0),N658/Q658-1,"")</f>
        <v/>
      </c>
      <c r="S658" s="109" t="n">
        <v>1308648</v>
      </c>
      <c r="T658" s="109" t="n">
        <v>5</v>
      </c>
      <c r="U658" s="109" t="n">
        <v>4.5</v>
      </c>
      <c r="V658" s="109" t="n">
        <v>315</v>
      </c>
      <c r="W658" s="109" t="n"/>
      <c r="X658" s="109" t="n"/>
      <c r="Y658" s="109" t="n"/>
      <c r="Z658" s="109" t="n"/>
      <c r="AA658" s="109" t="n"/>
      <c r="AB658" s="109" t="n"/>
      <c r="AC658" s="109" t="inlineStr">
        <is>
          <t>US DC Beach Towel</t>
        </is>
      </c>
      <c r="AD658" s="109">
        <f>'US DC Beach Towel'!BC60</f>
        <v/>
      </c>
      <c r="AE658" s="109">
        <f>'US DC Beach Towel'!BF60</f>
        <v/>
      </c>
      <c r="AF658" s="109" t="n"/>
      <c r="AG658" s="109" t="inlineStr">
        <is>
          <t>Navy</t>
        </is>
      </c>
    </row>
    <row r="659">
      <c r="A659" s="109">
        <f>AND(OR(Dashboard!$C$4="All",Dashboard!$C$4=D659),OR(Dashboard!$C$5="All",Dashboard!$C$5=E659),OR(Dashboard!$C$6="All",Dashboard!$C$6=G659),OR(Dashboard!$C$7="All",Dashboard!$C$7=H659),OR(Dashboard!$C$8="All",Dashboard!$C$8=F659))</f>
        <v/>
      </c>
      <c r="B659" s="109">
        <f>IF(A659,B658+1,B658)</f>
        <v/>
      </c>
      <c r="C659" s="109" t="n">
        <v>49</v>
      </c>
      <c r="D659" s="109" t="inlineStr">
        <is>
          <t>DC Beach Towel</t>
        </is>
      </c>
      <c r="E659" s="109" t="inlineStr">
        <is>
          <t>US</t>
        </is>
      </c>
      <c r="F659" s="109" t="inlineStr">
        <is>
          <t>Other</t>
        </is>
      </c>
      <c r="G659" s="109" t="inlineStr">
        <is>
          <t>Salt Earth</t>
        </is>
      </c>
      <c r="H659" s="109" t="inlineStr">
        <is>
          <t>Untiered</t>
        </is>
      </c>
      <c r="I659" s="109" t="inlineStr">
        <is>
          <t>36"x72" Cotton Turkish Quick Dry Sand Free Beach Towel 4 Pack (Alloy) | Salt Ear</t>
        </is>
      </c>
      <c r="J659" s="109" t="n"/>
      <c r="K659" s="109" t="inlineStr">
        <is>
          <t>B0GTL61VXL</t>
        </is>
      </c>
      <c r="L659" s="109" t="inlineStr">
        <is>
          <t>B0F3X5N9F3</t>
        </is>
      </c>
      <c r="M659" s="109" t="n"/>
      <c r="N659" s="109" t="n">
        <v>24.95</v>
      </c>
      <c r="O659" s="109" t="n"/>
      <c r="P659" s="109">
        <f>IF(AND(ISNUMBER(O659),ISNUMBER(N659),N(N659)&gt;0),O659/N659-1,"")</f>
        <v/>
      </c>
      <c r="Q659" s="109" t="n">
        <v>21.45</v>
      </c>
      <c r="R659" s="109">
        <f>IF(AND(ISNUMBER(N659),ISNUMBER(Q659),N(Q659)&gt;0),N659/Q659-1,"")</f>
        <v/>
      </c>
      <c r="S659" s="109" t="n">
        <v>47829</v>
      </c>
      <c r="T659" s="109" t="n">
        <v>18</v>
      </c>
      <c r="U659" s="109" t="n">
        <v>4.4</v>
      </c>
      <c r="V659" s="109" t="n">
        <v>488</v>
      </c>
      <c r="W659" s="109" t="n"/>
      <c r="X659" s="109" t="n"/>
      <c r="Y659" s="109" t="n"/>
      <c r="Z659" s="109" t="n"/>
      <c r="AA659" s="109" t="n"/>
      <c r="AB659" s="109" t="n"/>
      <c r="AC659" s="109" t="inlineStr">
        <is>
          <t>US DC Beach Towel</t>
        </is>
      </c>
      <c r="AD659" s="109">
        <f>'US DC Beach Towel'!BC61</f>
        <v/>
      </c>
      <c r="AE659" s="109">
        <f>'US DC Beach Towel'!BF61</f>
        <v/>
      </c>
      <c r="AF659" s="109" t="n"/>
      <c r="AG659" s="109" t="inlineStr">
        <is>
          <t>Sand</t>
        </is>
      </c>
    </row>
    <row r="660">
      <c r="A660" s="109">
        <f>AND(OR(Dashboard!$C$4="All",Dashboard!$C$4=D660),OR(Dashboard!$C$5="All",Dashboard!$C$5=E660),OR(Dashboard!$C$6="All",Dashboard!$C$6=G660),OR(Dashboard!$C$7="All",Dashboard!$C$7=H660),OR(Dashboard!$C$8="All",Dashboard!$C$8=F660))</f>
        <v/>
      </c>
      <c r="B660" s="109">
        <f>IF(A660,B659+1,B659)</f>
        <v/>
      </c>
      <c r="C660" s="109" t="n">
        <v>49</v>
      </c>
      <c r="D660" s="109" t="inlineStr">
        <is>
          <t>DC Beach Towel</t>
        </is>
      </c>
      <c r="E660" s="109" t="inlineStr">
        <is>
          <t>US</t>
        </is>
      </c>
      <c r="F660" s="109" t="inlineStr">
        <is>
          <t>Other</t>
        </is>
      </c>
      <c r="G660" s="109" t="inlineStr">
        <is>
          <t>SUNSPUN LINENS</t>
        </is>
      </c>
      <c r="H660" s="109" t="inlineStr">
        <is>
          <t>Untiered</t>
        </is>
      </c>
      <c r="I660" s="109" t="inlineStr">
        <is>
          <t>SUNSPUN LINENS Turkish Beach Towel, 39x63in Extra Large Quick Dry Cotton Oversized Turkish Bath Towel &amp; Blanket for Adults (Aqua)</t>
        </is>
      </c>
      <c r="J660" s="109" t="inlineStr">
        <is>
          <t>https://images-na.ssl-images-amazon.com/images/I/81O9gYOQIhL.jpg</t>
        </is>
      </c>
      <c r="K660" s="109" t="inlineStr">
        <is>
          <t>B0CBMMBZ67</t>
        </is>
      </c>
      <c r="L660" s="109" t="inlineStr">
        <is>
          <t>B085Y7YSVZ</t>
        </is>
      </c>
      <c r="M660" s="109" t="n">
        <v>1</v>
      </c>
      <c r="N660" s="109" t="n">
        <v>14.99</v>
      </c>
      <c r="O660" s="109" t="n"/>
      <c r="P660" s="109">
        <f>IF(AND(ISNUMBER(O660),ISNUMBER(N660),N(N660)&gt;0),O660/N660-1,"")</f>
        <v/>
      </c>
      <c r="Q660" s="109" t="n">
        <v>21.45</v>
      </c>
      <c r="R660" s="109">
        <f>IF(AND(ISNUMBER(N660),ISNUMBER(Q660),N(Q660)&gt;0),N660/Q660-1,"")</f>
        <v/>
      </c>
      <c r="S660" s="109" t="n">
        <v>1938053</v>
      </c>
      <c r="T660" s="109" t="n">
        <v>5</v>
      </c>
      <c r="U660" s="109" t="n">
        <v>4.4</v>
      </c>
      <c r="V660" s="109" t="n">
        <v>745</v>
      </c>
      <c r="W660" s="109" t="n"/>
      <c r="X660" s="109" t="n"/>
      <c r="Y660" s="109" t="n"/>
      <c r="Z660" s="109" t="n"/>
      <c r="AA660" s="109" t="n"/>
      <c r="AB660" s="109" t="n"/>
      <c r="AC660" s="109" t="inlineStr">
        <is>
          <t>US DC Beach Towel</t>
        </is>
      </c>
      <c r="AD660" s="109">
        <f>'US DC Beach Towel'!BC62</f>
        <v/>
      </c>
      <c r="AE660" s="109">
        <f>'US DC Beach Towel'!BF62</f>
        <v/>
      </c>
      <c r="AF660" s="109" t="n"/>
      <c r="AG660" s="109" t="inlineStr">
        <is>
          <t>Aqua</t>
        </is>
      </c>
    </row>
    <row r="661">
      <c r="A661" s="109">
        <f>AND(OR(Dashboard!$C$4="All",Dashboard!$C$4=D661),OR(Dashboard!$C$5="All",Dashboard!$C$5=E661),OR(Dashboard!$C$6="All",Dashboard!$C$6=G661),OR(Dashboard!$C$7="All",Dashboard!$C$7=H661),OR(Dashboard!$C$8="All",Dashboard!$C$8=F661))</f>
        <v/>
      </c>
      <c r="B661" s="109">
        <f>IF(A661,B660+1,B660)</f>
        <v/>
      </c>
      <c r="C661" s="109" t="n">
        <v>58</v>
      </c>
      <c r="D661" s="109" t="inlineStr">
        <is>
          <t>DC Welcome Sign</t>
        </is>
      </c>
      <c r="E661" s="109" t="inlineStr">
        <is>
          <t>US</t>
        </is>
      </c>
      <c r="F661" s="109" t="inlineStr">
        <is>
          <t>Other</t>
        </is>
      </c>
      <c r="G661" s="109" t="inlineStr">
        <is>
          <t>PERFNIQUE</t>
        </is>
      </c>
      <c r="H661" s="109" t="inlineStr">
        <is>
          <t>Aspirational</t>
        </is>
      </c>
      <c r="I661" s="109" t="inlineStr">
        <is>
          <t>Perfnique Welcome sign for front porch standing, 47 x 7.9 Inch Wooden Leaner Sign with 10 Interchangeable Designed Icons, Seasonal Decor for Spring Easter Fall Christmas(Black)</t>
        </is>
      </c>
      <c r="J661" s="109" t="inlineStr">
        <is>
          <t>https://images-na.ssl-images-amazon.com/images/I/811UFPxkJoL.jpg</t>
        </is>
      </c>
      <c r="K661" s="109" t="inlineStr">
        <is>
          <t>B0CBV2JW6G</t>
        </is>
      </c>
      <c r="L661" s="109" t="inlineStr">
        <is>
          <t>B09P4228F4</t>
        </is>
      </c>
      <c r="M661" s="109" t="n">
        <v>4</v>
      </c>
      <c r="N661" s="109" t="n">
        <v>34.99</v>
      </c>
      <c r="O661" s="109" t="n"/>
      <c r="P661" s="109">
        <f>IF(AND(ISNUMBER(O661),ISNUMBER(N661),N(N661)&gt;0),O661/N661-1,"")</f>
        <v/>
      </c>
      <c r="Q661" s="109" t="n">
        <v>37.95</v>
      </c>
      <c r="R661" s="109">
        <f>IF(AND(ISNUMBER(N661),ISNUMBER(Q661),N(Q661)&gt;0),N661/Q661-1,"")</f>
        <v/>
      </c>
      <c r="S661" s="109" t="n">
        <v>44319</v>
      </c>
      <c r="T661" s="109" t="n">
        <v>104</v>
      </c>
      <c r="U661" s="109" t="n">
        <v>4.5</v>
      </c>
      <c r="V661" s="109" t="n">
        <v>1039</v>
      </c>
      <c r="W661" s="109" t="n"/>
      <c r="X661" s="109" t="n"/>
      <c r="Y661" s="109" t="n"/>
      <c r="Z661" s="109" t="n"/>
      <c r="AA661" s="109" t="n"/>
      <c r="AB661" s="109" t="n"/>
      <c r="AC661" s="109" t="inlineStr">
        <is>
          <t>US DC Welcome Sign</t>
        </is>
      </c>
      <c r="AD661" s="109">
        <f>'US DC Welcome Sign'!BC44</f>
        <v/>
      </c>
      <c r="AE661" s="109">
        <f>'US DC Welcome Sign'!BF44</f>
        <v/>
      </c>
      <c r="AF661" s="109" t="n"/>
      <c r="AG661" s="109" t="inlineStr">
        <is>
          <t>Black</t>
        </is>
      </c>
    </row>
    <row r="662">
      <c r="A662" s="109">
        <f>AND(OR(Dashboard!$C$4="All",Dashboard!$C$4=D662),OR(Dashboard!$C$5="All",Dashboard!$C$5=E662),OR(Dashboard!$C$6="All",Dashboard!$C$6=G662),OR(Dashboard!$C$7="All",Dashboard!$C$7=H662),OR(Dashboard!$C$8="All",Dashboard!$C$8=F662))</f>
        <v/>
      </c>
      <c r="B662" s="109">
        <f>IF(A662,B661+1,B661)</f>
        <v/>
      </c>
      <c r="C662" s="109" t="n">
        <v>58</v>
      </c>
      <c r="D662" s="109" t="inlineStr">
        <is>
          <t>DC Welcome Sign</t>
        </is>
      </c>
      <c r="E662" s="109" t="inlineStr">
        <is>
          <t>US</t>
        </is>
      </c>
      <c r="F662" s="109" t="inlineStr">
        <is>
          <t>Other</t>
        </is>
      </c>
      <c r="G662" s="109" t="inlineStr">
        <is>
          <t>MONJITA</t>
        </is>
      </c>
      <c r="H662" s="109" t="inlineStr">
        <is>
          <t>Aspirational</t>
        </is>
      </c>
      <c r="I662" s="109" t="inlineStr">
        <is>
          <t>Monjita Welcome Sign for Front Porch Standing, Interchangeable Wooden Sign with 5 Designed Double-Sided Icons for Front Door, All Seasonal Farmhouse Rustic Modern Porch Decor for Fall Harvest</t>
        </is>
      </c>
      <c r="J662" s="109" t="inlineStr">
        <is>
          <t>https://images-na.ssl-images-amazon.com/images/I/81M6KkWpSrL.jpg</t>
        </is>
      </c>
      <c r="K662" s="109" t="inlineStr">
        <is>
          <t>B0BBQDKL36</t>
        </is>
      </c>
      <c r="L662" s="109" t="inlineStr">
        <is>
          <t>B0BBQ84DMS</t>
        </is>
      </c>
      <c r="M662" s="109" t="n">
        <v>2</v>
      </c>
      <c r="N662" s="109" t="n">
        <v>33.99</v>
      </c>
      <c r="O662" s="109" t="n"/>
      <c r="P662" s="109">
        <f>IF(AND(ISNUMBER(O662),ISNUMBER(N662),N(N662)&gt;0),O662/N662-1,"")</f>
        <v/>
      </c>
      <c r="Q662" s="109" t="n">
        <v>37.95</v>
      </c>
      <c r="R662" s="109">
        <f>IF(AND(ISNUMBER(N662),ISNUMBER(Q662),N(Q662)&gt;0),N662/Q662-1,"")</f>
        <v/>
      </c>
      <c r="S662" s="109" t="n">
        <v>137133</v>
      </c>
      <c r="T662" s="109" t="n">
        <v>35</v>
      </c>
      <c r="U662" s="109" t="n">
        <v>4.5</v>
      </c>
      <c r="V662" s="109" t="n">
        <v>498</v>
      </c>
      <c r="W662" s="109" t="n"/>
      <c r="X662" s="109" t="n"/>
      <c r="Y662" s="109" t="n"/>
      <c r="Z662" s="109" t="n"/>
      <c r="AA662" s="109" t="n"/>
      <c r="AB662" s="109" t="n"/>
      <c r="AC662" s="109" t="inlineStr">
        <is>
          <t>US DC Welcome Sign</t>
        </is>
      </c>
      <c r="AD662" s="109">
        <f>'US DC Welcome Sign'!BC45</f>
        <v/>
      </c>
      <c r="AE662" s="109">
        <f>'US DC Welcome Sign'!BF45</f>
        <v/>
      </c>
      <c r="AF662" s="109" t="n"/>
      <c r="AG662" s="109" t="n"/>
    </row>
    <row r="663">
      <c r="A663" s="109">
        <f>AND(OR(Dashboard!$C$4="All",Dashboard!$C$4=D663),OR(Dashboard!$C$5="All",Dashboard!$C$5=E663),OR(Dashboard!$C$6="All",Dashboard!$C$6=G663),OR(Dashboard!$C$7="All",Dashboard!$C$7=H663),OR(Dashboard!$C$8="All",Dashboard!$C$8=F663))</f>
        <v/>
      </c>
      <c r="B663" s="109">
        <f>IF(A663,B662+1,B662)</f>
        <v/>
      </c>
      <c r="C663" s="109" t="n">
        <v>58</v>
      </c>
      <c r="D663" s="109" t="inlineStr">
        <is>
          <t>DC Welcome Sign</t>
        </is>
      </c>
      <c r="E663" s="109" t="inlineStr">
        <is>
          <t>US</t>
        </is>
      </c>
      <c r="F663" s="109" t="inlineStr">
        <is>
          <t>Other</t>
        </is>
      </c>
      <c r="G663" s="109" t="inlineStr">
        <is>
          <t>Surfapans</t>
        </is>
      </c>
      <c r="H663" s="109" t="inlineStr">
        <is>
          <t>Aspirational</t>
        </is>
      </c>
      <c r="I663" s="109" t="inlineStr">
        <is>
          <t>Surfapans Welcome Sign for Front porch Standing 45"X9" Black</t>
        </is>
      </c>
      <c r="J663" s="109" t="inlineStr">
        <is>
          <t>https://images-na.ssl-images-amazon.com/images/I/81prHHD5oqL.jpg</t>
        </is>
      </c>
      <c r="K663" s="109" t="inlineStr">
        <is>
          <t>B0GLG3DN2P</t>
        </is>
      </c>
      <c r="L663" s="109" t="inlineStr">
        <is>
          <t>B0CL5YGW86</t>
        </is>
      </c>
      <c r="M663" s="109" t="n">
        <v>8</v>
      </c>
      <c r="N663" s="109" t="n">
        <v>40.99</v>
      </c>
      <c r="O663" s="109" t="n"/>
      <c r="P663" s="109">
        <f>IF(AND(ISNUMBER(O663),ISNUMBER(N663),N(N663)&gt;0),O663/N663-1,"")</f>
        <v/>
      </c>
      <c r="Q663" s="109" t="n">
        <v>37.95</v>
      </c>
      <c r="R663" s="109">
        <f>IF(AND(ISNUMBER(N663),ISNUMBER(Q663),N(Q663)&gt;0),N663/Q663-1,"")</f>
        <v/>
      </c>
      <c r="S663" s="109" t="n">
        <v>146388</v>
      </c>
      <c r="T663" s="109" t="n">
        <v>35</v>
      </c>
      <c r="U663" s="109" t="n">
        <v>4.4</v>
      </c>
      <c r="V663" s="109" t="n">
        <v>574</v>
      </c>
      <c r="W663" s="109" t="n"/>
      <c r="X663" s="109" t="n"/>
      <c r="Y663" s="109" t="n"/>
      <c r="Z663" s="109" t="n"/>
      <c r="AA663" s="109" t="n"/>
      <c r="AB663" s="109" t="n"/>
      <c r="AC663" s="109" t="inlineStr">
        <is>
          <t>US DC Welcome Sign</t>
        </is>
      </c>
      <c r="AD663" s="109">
        <f>'US DC Welcome Sign'!BC46</f>
        <v/>
      </c>
      <c r="AE663" s="109">
        <f>'US DC Welcome Sign'!BF46</f>
        <v/>
      </c>
      <c r="AF663" s="109" t="n"/>
      <c r="AG663" s="109" t="inlineStr">
        <is>
          <t>Black</t>
        </is>
      </c>
    </row>
    <row r="664">
      <c r="A664" s="109">
        <f>AND(OR(Dashboard!$C$4="All",Dashboard!$C$4=D664),OR(Dashboard!$C$5="All",Dashboard!$C$5=E664),OR(Dashboard!$C$6="All",Dashboard!$C$6=G664),OR(Dashboard!$C$7="All",Dashboard!$C$7=H664),OR(Dashboard!$C$8="All",Dashboard!$C$8=F664))</f>
        <v/>
      </c>
      <c r="B664" s="109">
        <f>IF(A664,B663+1,B663)</f>
        <v/>
      </c>
      <c r="C664" s="109" t="n">
        <v>58</v>
      </c>
      <c r="D664" s="109" t="inlineStr">
        <is>
          <t>DC Welcome Sign</t>
        </is>
      </c>
      <c r="E664" s="109" t="inlineStr">
        <is>
          <t>US</t>
        </is>
      </c>
      <c r="F664" s="109" t="inlineStr">
        <is>
          <t>Other</t>
        </is>
      </c>
      <c r="G664" s="109" t="inlineStr">
        <is>
          <t>Seimip</t>
        </is>
      </c>
      <c r="H664" s="109" t="inlineStr">
        <is>
          <t>Beatable</t>
        </is>
      </c>
      <c r="I664" s="109" t="inlineStr">
        <is>
          <t>Front Door Welcome Sign</t>
        </is>
      </c>
      <c r="J664" s="109" t="n"/>
      <c r="K664" s="109" t="inlineStr">
        <is>
          <t>B0DK6WGD3R</t>
        </is>
      </c>
      <c r="L664" s="109" t="inlineStr">
        <is>
          <t>B0D4Q71SDC</t>
        </is>
      </c>
      <c r="M664" s="109" t="n"/>
      <c r="N664" s="109" t="n">
        <v>23.99</v>
      </c>
      <c r="O664" s="109" t="n"/>
      <c r="P664" s="109">
        <f>IF(AND(ISNUMBER(O664),ISNUMBER(N664),N(N664)&gt;0),O664/N664-1,"")</f>
        <v/>
      </c>
      <c r="Q664" s="109" t="n">
        <v>37.95</v>
      </c>
      <c r="R664" s="109">
        <f>IF(AND(ISNUMBER(N664),ISNUMBER(Q664),N(Q664)&gt;0),N664/Q664-1,"")</f>
        <v/>
      </c>
      <c r="S664" s="109" t="n">
        <v>8978</v>
      </c>
      <c r="T664" s="109" t="n">
        <v>104</v>
      </c>
      <c r="U664" s="109" t="n">
        <v>3.9</v>
      </c>
      <c r="V664" s="109" t="n">
        <v>299</v>
      </c>
      <c r="W664" s="109" t="n"/>
      <c r="X664" s="109" t="n"/>
      <c r="Y664" s="109" t="n"/>
      <c r="Z664" s="109" t="n"/>
      <c r="AA664" s="109" t="n"/>
      <c r="AB664" s="109" t="n"/>
      <c r="AC664" s="109" t="inlineStr">
        <is>
          <t>US DC Welcome Sign</t>
        </is>
      </c>
      <c r="AD664" s="109">
        <f>'US DC Welcome Sign'!BC47</f>
        <v/>
      </c>
      <c r="AE664" s="109">
        <f>'US DC Welcome Sign'!BF47</f>
        <v/>
      </c>
      <c r="AF664" s="109" t="n"/>
      <c r="AG664" s="109" t="n"/>
    </row>
    <row r="665">
      <c r="A665" s="109">
        <f>AND(OR(Dashboard!$C$4="All",Dashboard!$C$4=D665),OR(Dashboard!$C$5="All",Dashboard!$C$5=E665),OR(Dashboard!$C$6="All",Dashboard!$C$6=G665),OR(Dashboard!$C$7="All",Dashboard!$C$7=H665),OR(Dashboard!$C$8="All",Dashboard!$C$8=F665))</f>
        <v/>
      </c>
      <c r="B665" s="109">
        <f>IF(A665,B664+1,B664)</f>
        <v/>
      </c>
      <c r="C665" s="109" t="n">
        <v>58</v>
      </c>
      <c r="D665" s="109" t="inlineStr">
        <is>
          <t>DC Welcome Sign</t>
        </is>
      </c>
      <c r="E665" s="109" t="inlineStr">
        <is>
          <t>US</t>
        </is>
      </c>
      <c r="F665" s="109" t="inlineStr">
        <is>
          <t>Other</t>
        </is>
      </c>
      <c r="G665" s="109" t="inlineStr">
        <is>
          <t>DOUSUI</t>
        </is>
      </c>
      <c r="H665" s="109" t="inlineStr">
        <is>
          <t>Beatable</t>
        </is>
      </c>
      <c r="I665" s="109" t="inlineStr">
        <is>
          <t>Vertical Wood Welcome Sign for Front Porch Vertical Decorative Sign Front Door Outdoor Indoor Welcome Sign 47.2x7.8 Inch Large Farmhouse Style(white)</t>
        </is>
      </c>
      <c r="J665" s="109" t="inlineStr">
        <is>
          <t>https://images-na.ssl-images-amazon.com/images/I/71pRDih9AmL.jpg</t>
        </is>
      </c>
      <c r="K665" s="109" t="inlineStr">
        <is>
          <t>B0FSZBDYV5</t>
        </is>
      </c>
      <c r="L665" s="109" t="inlineStr">
        <is>
          <t>B0FSZ8GX57</t>
        </is>
      </c>
      <c r="M665" s="109" t="n">
        <v>3</v>
      </c>
      <c r="N665" s="109" t="n">
        <v>24.99</v>
      </c>
      <c r="O665" s="109" t="n"/>
      <c r="P665" s="109">
        <f>IF(AND(ISNUMBER(O665),ISNUMBER(N665),N(N665)&gt;0),O665/N665-1,"")</f>
        <v/>
      </c>
      <c r="Q665" s="109" t="n">
        <v>37.95</v>
      </c>
      <c r="R665" s="109">
        <f>IF(AND(ISNUMBER(N665),ISNUMBER(Q665),N(Q665)&gt;0),N665/Q665-1,"")</f>
        <v/>
      </c>
      <c r="S665" s="109" t="n">
        <v>65913</v>
      </c>
      <c r="T665" s="109" t="n">
        <v>81</v>
      </c>
      <c r="U665" s="109" t="n">
        <v>3.6</v>
      </c>
      <c r="V665" s="109" t="n">
        <v>139</v>
      </c>
      <c r="W665" s="109" t="n"/>
      <c r="X665" s="109" t="n"/>
      <c r="Y665" s="109" t="n"/>
      <c r="Z665" s="109" t="n"/>
      <c r="AA665" s="109" t="n"/>
      <c r="AB665" s="109" t="n"/>
      <c r="AC665" s="109" t="inlineStr">
        <is>
          <t>US DC Welcome Sign</t>
        </is>
      </c>
      <c r="AD665" s="109">
        <f>'US DC Welcome Sign'!BC48</f>
        <v/>
      </c>
      <c r="AE665" s="109">
        <f>'US DC Welcome Sign'!BF48</f>
        <v/>
      </c>
      <c r="AF665" s="109" t="n"/>
      <c r="AG665" s="109" t="inlineStr">
        <is>
          <t>white</t>
        </is>
      </c>
    </row>
    <row r="666">
      <c r="A666" s="109">
        <f>AND(OR(Dashboard!$C$4="All",Dashboard!$C$4=D666),OR(Dashboard!$C$5="All",Dashboard!$C$5=E666),OR(Dashboard!$C$6="All",Dashboard!$C$6=G666),OR(Dashboard!$C$7="All",Dashboard!$C$7=H666),OR(Dashboard!$C$8="All",Dashboard!$C$8=F666))</f>
        <v/>
      </c>
      <c r="B666" s="109">
        <f>IF(A666,B665+1,B665)</f>
        <v/>
      </c>
      <c r="C666" s="109" t="n">
        <v>58</v>
      </c>
      <c r="D666" s="109" t="inlineStr">
        <is>
          <t>DC Welcome Sign</t>
        </is>
      </c>
      <c r="E666" s="109" t="inlineStr">
        <is>
          <t>US</t>
        </is>
      </c>
      <c r="F666" s="109" t="inlineStr">
        <is>
          <t>Other</t>
        </is>
      </c>
      <c r="G666" s="109" t="inlineStr">
        <is>
          <t>TQianJiang</t>
        </is>
      </c>
      <c r="H666" s="109" t="inlineStr">
        <is>
          <t>Beatable</t>
        </is>
      </c>
      <c r="I666" s="109" t="inlineStr">
        <is>
          <t>Interchangeable Welcome Sign for Front Porch Standing 47"X8" Wood</t>
        </is>
      </c>
      <c r="J666" s="109" t="inlineStr">
        <is>
          <t>https://images-na.ssl-images-amazon.com/images/I/81Z4WE5vHsL.jpg</t>
        </is>
      </c>
      <c r="K666" s="109" t="inlineStr">
        <is>
          <t>B0D2XCKW3D</t>
        </is>
      </c>
      <c r="L666" s="109" t="inlineStr">
        <is>
          <t>B0D2X1FT1X</t>
        </is>
      </c>
      <c r="M666" s="109" t="n">
        <v>3</v>
      </c>
      <c r="N666" s="109" t="n">
        <v>34.99</v>
      </c>
      <c r="O666" s="109" t="n"/>
      <c r="P666" s="109">
        <f>IF(AND(ISNUMBER(O666),ISNUMBER(N666),N(N666)&gt;0),O666/N666-1,"")</f>
        <v/>
      </c>
      <c r="Q666" s="109" t="n">
        <v>37.95</v>
      </c>
      <c r="R666" s="109">
        <f>IF(AND(ISNUMBER(N666),ISNUMBER(Q666),N(Q666)&gt;0),N666/Q666-1,"")</f>
        <v/>
      </c>
      <c r="S666" s="109" t="n">
        <v>202496</v>
      </c>
      <c r="T666" s="109" t="n">
        <v>35</v>
      </c>
      <c r="U666" s="109" t="n">
        <v>3.8</v>
      </c>
      <c r="V666" s="109" t="n">
        <v>221</v>
      </c>
      <c r="W666" s="109" t="n"/>
      <c r="X666" s="109" t="n"/>
      <c r="Y666" s="109" t="n"/>
      <c r="Z666" s="109" t="n"/>
      <c r="AA666" s="109" t="n"/>
      <c r="AB666" s="109" t="n"/>
      <c r="AC666" s="109" t="inlineStr">
        <is>
          <t>US DC Welcome Sign</t>
        </is>
      </c>
      <c r="AD666" s="109">
        <f>'US DC Welcome Sign'!BC49</f>
        <v/>
      </c>
      <c r="AE666" s="109">
        <f>'US DC Welcome Sign'!BF49</f>
        <v/>
      </c>
      <c r="AF666" s="109" t="n"/>
      <c r="AG666" s="109" t="n"/>
    </row>
    <row r="667">
      <c r="A667" s="109">
        <f>AND(OR(Dashboard!$C$4="All",Dashboard!$C$4=D667),OR(Dashboard!$C$5="All",Dashboard!$C$5=E667),OR(Dashboard!$C$6="All",Dashboard!$C$6=G667),OR(Dashboard!$C$7="All",Dashboard!$C$7=H667),OR(Dashboard!$C$8="All",Dashboard!$C$8=F667))</f>
        <v/>
      </c>
      <c r="B667" s="109">
        <f>IF(A667,B666+1,B666)</f>
        <v/>
      </c>
      <c r="C667" s="109" t="n">
        <v>58</v>
      </c>
      <c r="D667" s="109" t="inlineStr">
        <is>
          <t>DC Welcome Sign</t>
        </is>
      </c>
      <c r="E667" s="109" t="inlineStr">
        <is>
          <t>US</t>
        </is>
      </c>
      <c r="F667" s="109" t="inlineStr">
        <is>
          <t>Other</t>
        </is>
      </c>
      <c r="G667" s="109" t="inlineStr">
        <is>
          <t>comurdyo</t>
        </is>
      </c>
      <c r="H667" s="109" t="inlineStr">
        <is>
          <t>Beatable</t>
        </is>
      </c>
      <c r="I667" s="109" t="inlineStr">
        <is>
          <t>comurdyo Welcome-ish Sign for Front porch Standing 45"X9" Wood Black</t>
        </is>
      </c>
      <c r="J667" s="109" t="inlineStr">
        <is>
          <t>https://images-na.ssl-images-amazon.com/images/I/81idvhxcZdL.jpg</t>
        </is>
      </c>
      <c r="K667" s="109" t="inlineStr">
        <is>
          <t>B0CLV68M42</t>
        </is>
      </c>
      <c r="L667" s="109" t="inlineStr">
        <is>
          <t>B0CLV2KQ6T</t>
        </is>
      </c>
      <c r="M667" s="109" t="n">
        <v>3</v>
      </c>
      <c r="N667" s="109" t="n">
        <v>35.69</v>
      </c>
      <c r="O667" s="109" t="n">
        <v>39.89</v>
      </c>
      <c r="P667" s="109">
        <f>IF(AND(ISNUMBER(O667),ISNUMBER(N667),N(N667)&gt;0),O667/N667-1,"")</f>
        <v/>
      </c>
      <c r="Q667" s="109" t="n">
        <v>37.95</v>
      </c>
      <c r="R667" s="109">
        <f>IF(AND(ISNUMBER(N667),ISNUMBER(Q667),N(Q667)&gt;0),N667/Q667-1,"")</f>
        <v/>
      </c>
      <c r="S667" s="109" t="n">
        <v>62615</v>
      </c>
      <c r="T667" s="109" t="n">
        <v>18</v>
      </c>
      <c r="U667" s="109" t="n">
        <v>4.2</v>
      </c>
      <c r="V667" s="109" t="n">
        <v>263</v>
      </c>
      <c r="W667" s="109" t="n"/>
      <c r="X667" s="109" t="n"/>
      <c r="Y667" s="109" t="n"/>
      <c r="Z667" s="109" t="n"/>
      <c r="AA667" s="109" t="n"/>
      <c r="AB667" s="109" t="n"/>
      <c r="AC667" s="109" t="inlineStr">
        <is>
          <t>US DC Welcome Sign</t>
        </is>
      </c>
      <c r="AD667" s="109">
        <f>'US DC Welcome Sign'!BC50</f>
        <v/>
      </c>
      <c r="AE667" s="109">
        <f>'US DC Welcome Sign'!BF50</f>
        <v/>
      </c>
      <c r="AF667" s="109" t="n"/>
      <c r="AG667" s="109" t="inlineStr">
        <is>
          <t>Black</t>
        </is>
      </c>
    </row>
    <row r="668">
      <c r="A668" s="109">
        <f>AND(OR(Dashboard!$C$4="All",Dashboard!$C$4=D668),OR(Dashboard!$C$5="All",Dashboard!$C$5=E668),OR(Dashboard!$C$6="All",Dashboard!$C$6=G668),OR(Dashboard!$C$7="All",Dashboard!$C$7=H668),OR(Dashboard!$C$8="All",Dashboard!$C$8=F668))</f>
        <v/>
      </c>
      <c r="B668" s="109">
        <f>IF(A668,B667+1,B667)</f>
        <v/>
      </c>
      <c r="C668" s="109" t="n">
        <v>58</v>
      </c>
      <c r="D668" s="109" t="inlineStr">
        <is>
          <t>DC Welcome Sign</t>
        </is>
      </c>
      <c r="E668" s="109" t="inlineStr">
        <is>
          <t>US</t>
        </is>
      </c>
      <c r="F668" s="109" t="inlineStr">
        <is>
          <t>Other</t>
        </is>
      </c>
      <c r="G668" s="109" t="inlineStr">
        <is>
          <t>LianheCy</t>
        </is>
      </c>
      <c r="H668" s="109" t="inlineStr">
        <is>
          <t>Beatable</t>
        </is>
      </c>
      <c r="I668" s="109" t="inlineStr">
        <is>
          <t>Front Door Welcome Sign</t>
        </is>
      </c>
      <c r="J668" s="109" t="n"/>
      <c r="K668" s="109" t="inlineStr">
        <is>
          <t>B0FSCRCQQR</t>
        </is>
      </c>
      <c r="L668" s="109" t="inlineStr">
        <is>
          <t>B0FSD5K63B</t>
        </is>
      </c>
      <c r="M668" s="109" t="n"/>
      <c r="N668" s="109" t="n">
        <v>24.99</v>
      </c>
      <c r="O668" s="109" t="n"/>
      <c r="P668" s="109">
        <f>IF(AND(ISNUMBER(O668),ISNUMBER(N668),N(N668)&gt;0),O668/N668-1,"")</f>
        <v/>
      </c>
      <c r="Q668" s="109" t="n">
        <v>37.95</v>
      </c>
      <c r="R668" s="109">
        <f>IF(AND(ISNUMBER(N668),ISNUMBER(Q668),N(Q668)&gt;0),N668/Q668-1,"")</f>
        <v/>
      </c>
      <c r="S668" s="109" t="n">
        <v>176481</v>
      </c>
      <c r="T668" s="109" t="n">
        <v>18</v>
      </c>
      <c r="U668" s="109" t="n">
        <v>4</v>
      </c>
      <c r="V668" s="109" t="n">
        <v>115</v>
      </c>
      <c r="W668" s="109" t="n"/>
      <c r="X668" s="109" t="n"/>
      <c r="Y668" s="109" t="n"/>
      <c r="Z668" s="109" t="n"/>
      <c r="AA668" s="109" t="n"/>
      <c r="AB668" s="109" t="n"/>
      <c r="AC668" s="109" t="inlineStr">
        <is>
          <t>US DC Welcome Sign</t>
        </is>
      </c>
      <c r="AD668" s="109">
        <f>'US DC Welcome Sign'!BC51</f>
        <v/>
      </c>
      <c r="AE668" s="109">
        <f>'US DC Welcome Sign'!BF51</f>
        <v/>
      </c>
      <c r="AF668" s="109" t="n"/>
      <c r="AG668" s="109" t="n"/>
    </row>
    <row r="669">
      <c r="A669" s="109">
        <f>AND(OR(Dashboard!$C$4="All",Dashboard!$C$4=D669),OR(Dashboard!$C$5="All",Dashboard!$C$5=E669),OR(Dashboard!$C$6="All",Dashboard!$C$6=G669),OR(Dashboard!$C$7="All",Dashboard!$C$7=H669),OR(Dashboard!$C$8="All",Dashboard!$C$8=F669))</f>
        <v/>
      </c>
      <c r="B669" s="109">
        <f>IF(A669,B668+1,B668)</f>
        <v/>
      </c>
      <c r="C669" s="109" t="n">
        <v>58</v>
      </c>
      <c r="D669" s="109" t="inlineStr">
        <is>
          <t>DC Welcome Sign</t>
        </is>
      </c>
      <c r="E669" s="109" t="inlineStr">
        <is>
          <t>US</t>
        </is>
      </c>
      <c r="F669" s="109" t="inlineStr">
        <is>
          <t>Other</t>
        </is>
      </c>
      <c r="G669" s="109" t="inlineStr">
        <is>
          <t>MODE HOME</t>
        </is>
      </c>
      <c r="H669" s="109" t="inlineStr">
        <is>
          <t>Beatable</t>
        </is>
      </c>
      <c r="I669" s="109" t="inlineStr">
        <is>
          <t>MODE HOME Large Vertical Welcome Sign for Front Door Porch, 47x10 Inch Solid Wood Farmhouse Porch Decor, 3D Raised Letters Rustic Welcome to Our Home Sign with Beads &amp; Bow, No Assembly Required, Whitewashed</t>
        </is>
      </c>
      <c r="J669" s="109" t="inlineStr">
        <is>
          <t>https://images-na.ssl-images-amazon.com/images/I/71-ZcYRNwZL.jpg</t>
        </is>
      </c>
      <c r="K669" s="109" t="inlineStr">
        <is>
          <t>B0BTW5F4LQ</t>
        </is>
      </c>
      <c r="L669" s="109" t="inlineStr">
        <is>
          <t>B0DM8RQ2MV</t>
        </is>
      </c>
      <c r="M669" s="109" t="n">
        <v>3</v>
      </c>
      <c r="N669" s="109" t="n">
        <v>43.99</v>
      </c>
      <c r="O669" s="109" t="n"/>
      <c r="P669" s="109">
        <f>IF(AND(ISNUMBER(O669),ISNUMBER(N669),N(N669)&gt;0),O669/N669-1,"")</f>
        <v/>
      </c>
      <c r="Q669" s="109" t="n">
        <v>37.95</v>
      </c>
      <c r="R669" s="109">
        <f>IF(AND(ISNUMBER(N669),ISNUMBER(Q669),N(Q669)&gt;0),N669/Q669-1,"")</f>
        <v/>
      </c>
      <c r="S669" s="109" t="n">
        <v>216901</v>
      </c>
      <c r="T669" s="109" t="n">
        <v>18</v>
      </c>
      <c r="U669" s="109" t="n">
        <v>4.4</v>
      </c>
      <c r="V669" s="109" t="n">
        <v>312</v>
      </c>
      <c r="W669" s="109" t="n"/>
      <c r="X669" s="109" t="n"/>
      <c r="Y669" s="109" t="n"/>
      <c r="Z669" s="109" t="n"/>
      <c r="AA669" s="109" t="n"/>
      <c r="AB669" s="109" t="n"/>
      <c r="AC669" s="109" t="inlineStr">
        <is>
          <t>US DC Welcome Sign</t>
        </is>
      </c>
      <c r="AD669" s="109">
        <f>'US DC Welcome Sign'!BC52</f>
        <v/>
      </c>
      <c r="AE669" s="109">
        <f>'US DC Welcome Sign'!BF52</f>
        <v/>
      </c>
      <c r="AF669" s="109" t="n"/>
      <c r="AG669" s="109" t="n"/>
    </row>
    <row r="670">
      <c r="A670" s="109">
        <f>AND(OR(Dashboard!$C$4="All",Dashboard!$C$4=D670),OR(Dashboard!$C$5="All",Dashboard!$C$5=E670),OR(Dashboard!$C$6="All",Dashboard!$C$6=G670),OR(Dashboard!$C$7="All",Dashboard!$C$7=H670),OR(Dashboard!$C$8="All",Dashboard!$C$8=F670))</f>
        <v/>
      </c>
      <c r="B670" s="109">
        <f>IF(A670,B669+1,B669)</f>
        <v/>
      </c>
      <c r="C670" s="109" t="n">
        <v>58</v>
      </c>
      <c r="D670" s="109" t="inlineStr">
        <is>
          <t>DC Welcome Sign</t>
        </is>
      </c>
      <c r="E670" s="109" t="inlineStr">
        <is>
          <t>US</t>
        </is>
      </c>
      <c r="F670" s="109" t="inlineStr">
        <is>
          <t>Other</t>
        </is>
      </c>
      <c r="G670" s="109" t="inlineStr">
        <is>
          <t>SRSZHIYUE</t>
        </is>
      </c>
      <c r="H670" s="109" t="inlineStr">
        <is>
          <t>Beatable</t>
        </is>
      </c>
      <c r="I670" s="109" t="inlineStr">
        <is>
          <t>Front Door Welcome Sign</t>
        </is>
      </c>
      <c r="J670" s="109" t="n"/>
      <c r="K670" s="109" t="inlineStr">
        <is>
          <t>B0HDS72F19</t>
        </is>
      </c>
      <c r="L670" s="109" t="inlineStr">
        <is>
          <t>B0FLPZN8VF</t>
        </is>
      </c>
      <c r="M670" s="109" t="n"/>
      <c r="N670" s="109" t="n">
        <v>40.89</v>
      </c>
      <c r="O670" s="109" t="n"/>
      <c r="P670" s="109">
        <f>IF(AND(ISNUMBER(O670),ISNUMBER(N670),N(N670)&gt;0),O670/N670-1,"")</f>
        <v/>
      </c>
      <c r="Q670" s="109" t="n">
        <v>37.95</v>
      </c>
      <c r="R670" s="109">
        <f>IF(AND(ISNUMBER(N670),ISNUMBER(Q670),N(Q670)&gt;0),N670/Q670-1,"")</f>
        <v/>
      </c>
      <c r="S670" s="109" t="n">
        <v>119925</v>
      </c>
      <c r="T670" s="109" t="n">
        <v>18</v>
      </c>
      <c r="U670" s="109" t="n">
        <v>3.9</v>
      </c>
      <c r="V670" s="109" t="n">
        <v>23</v>
      </c>
      <c r="W670" s="109" t="n"/>
      <c r="X670" s="109" t="n"/>
      <c r="Y670" s="109" t="n"/>
      <c r="Z670" s="109" t="n"/>
      <c r="AA670" s="109" t="n"/>
      <c r="AB670" s="109" t="n"/>
      <c r="AC670" s="109" t="inlineStr">
        <is>
          <t>US DC Welcome Sign</t>
        </is>
      </c>
      <c r="AD670" s="109">
        <f>'US DC Welcome Sign'!BC53</f>
        <v/>
      </c>
      <c r="AE670" s="109">
        <f>'US DC Welcome Sign'!BF53</f>
        <v/>
      </c>
      <c r="AF670" s="109" t="n"/>
      <c r="AG670" s="109" t="n"/>
    </row>
    <row r="671">
      <c r="A671" s="109">
        <f>AND(OR(Dashboard!$C$4="All",Dashboard!$C$4=D671),OR(Dashboard!$C$5="All",Dashboard!$C$5=E671),OR(Dashboard!$C$6="All",Dashboard!$C$6=G671),OR(Dashboard!$C$7="All",Dashboard!$C$7=H671),OR(Dashboard!$C$8="All",Dashboard!$C$8=F671))</f>
        <v/>
      </c>
      <c r="B671" s="109">
        <f>IF(A671,B670+1,B670)</f>
        <v/>
      </c>
      <c r="C671" s="109" t="n">
        <v>58</v>
      </c>
      <c r="D671" s="109" t="inlineStr">
        <is>
          <t>DC Welcome Sign</t>
        </is>
      </c>
      <c r="E671" s="109" t="inlineStr">
        <is>
          <t>US</t>
        </is>
      </c>
      <c r="F671" s="109" t="inlineStr">
        <is>
          <t>Other</t>
        </is>
      </c>
      <c r="G671" s="109" t="inlineStr">
        <is>
          <t>Yalikop</t>
        </is>
      </c>
      <c r="H671" s="109" t="inlineStr">
        <is>
          <t>Beatable</t>
        </is>
      </c>
      <c r="I671" s="109" t="inlineStr">
        <is>
          <t>Yalikop Interchangeable Welcome Sign for Front Porch 47 x 7.9'', Wood Color</t>
        </is>
      </c>
      <c r="J671" s="109" t="inlineStr">
        <is>
          <t>https://images-na.ssl-images-amazon.com/images/I/71pQygIBqtL.jpg</t>
        </is>
      </c>
      <c r="K671" s="109" t="inlineStr">
        <is>
          <t>B0FCS2QVKW</t>
        </is>
      </c>
      <c r="L671" s="109" t="inlineStr">
        <is>
          <t>B0FCRYV96S</t>
        </is>
      </c>
      <c r="M671" s="109" t="n">
        <v>2</v>
      </c>
      <c r="N671" s="109" t="n">
        <v>39.99</v>
      </c>
      <c r="O671" s="109" t="n"/>
      <c r="P671" s="109">
        <f>IF(AND(ISNUMBER(O671),ISNUMBER(N671),N(N671)&gt;0),O671/N671-1,"")</f>
        <v/>
      </c>
      <c r="Q671" s="109" t="n">
        <v>37.95</v>
      </c>
      <c r="R671" s="109">
        <f>IF(AND(ISNUMBER(N671),ISNUMBER(Q671),N(Q671)&gt;0),N671/Q671-1,"")</f>
        <v/>
      </c>
      <c r="S671" s="109" t="n">
        <v>245605</v>
      </c>
      <c r="T671" s="109" t="n">
        <v>18</v>
      </c>
      <c r="U671" s="109" t="n">
        <v>3.8</v>
      </c>
      <c r="V671" s="109" t="n">
        <v>51</v>
      </c>
      <c r="W671" s="109" t="n"/>
      <c r="X671" s="109" t="n"/>
      <c r="Y671" s="109" t="n"/>
      <c r="Z671" s="109" t="n"/>
      <c r="AA671" s="109" t="n"/>
      <c r="AB671" s="109" t="n"/>
      <c r="AC671" s="109" t="inlineStr">
        <is>
          <t>US DC Welcome Sign</t>
        </is>
      </c>
      <c r="AD671" s="109">
        <f>'US DC Welcome Sign'!BC54</f>
        <v/>
      </c>
      <c r="AE671" s="109">
        <f>'US DC Welcome Sign'!BF54</f>
        <v/>
      </c>
      <c r="AF671" s="109" t="n"/>
      <c r="AG671" s="109" t="n"/>
    </row>
    <row r="672">
      <c r="A672" s="109">
        <f>AND(OR(Dashboard!$C$4="All",Dashboard!$C$4=D672),OR(Dashboard!$C$5="All",Dashboard!$C$5=E672),OR(Dashboard!$C$6="All",Dashboard!$C$6=G672),OR(Dashboard!$C$7="All",Dashboard!$C$7=H672),OR(Dashboard!$C$8="All",Dashboard!$C$8=F672))</f>
        <v/>
      </c>
      <c r="B672" s="109">
        <f>IF(A672,B671+1,B671)</f>
        <v/>
      </c>
      <c r="C672" s="109" t="n">
        <v>58</v>
      </c>
      <c r="D672" s="109" t="inlineStr">
        <is>
          <t>DC Welcome Sign</t>
        </is>
      </c>
      <c r="E672" s="109" t="inlineStr">
        <is>
          <t>US</t>
        </is>
      </c>
      <c r="F672" s="109" t="inlineStr">
        <is>
          <t>Other</t>
        </is>
      </c>
      <c r="G672" s="109" t="inlineStr">
        <is>
          <t>Consevisen</t>
        </is>
      </c>
      <c r="H672" s="109" t="inlineStr">
        <is>
          <t>Beatable</t>
        </is>
      </c>
      <c r="I672" s="109" t="inlineStr">
        <is>
          <t>Consevisen Welcome Sign for Front Door Porch Standing, Interchangeable 47 x 7.9 Inch Outdoor Vertical Wooden Welcome Sign with 12 Seasonal Icons for Spring Fall Christmas Easter Farmhouse Home Decor</t>
        </is>
      </c>
      <c r="J672" s="109" t="inlineStr">
        <is>
          <t>https://images-na.ssl-images-amazon.com/images/I/8173SwtzP6L.jpg</t>
        </is>
      </c>
      <c r="K672" s="109" t="inlineStr">
        <is>
          <t>B0CKVSC1SZ</t>
        </is>
      </c>
      <c r="L672" s="109" t="inlineStr">
        <is>
          <t>B0CKVPXJ8Z</t>
        </is>
      </c>
      <c r="M672" s="109" t="n">
        <v>1</v>
      </c>
      <c r="N672" s="109" t="n">
        <v>31.99</v>
      </c>
      <c r="O672" s="109" t="n"/>
      <c r="P672" s="109">
        <f>IF(AND(ISNUMBER(O672),ISNUMBER(N672),N(N672)&gt;0),O672/N672-1,"")</f>
        <v/>
      </c>
      <c r="Q672" s="109" t="n">
        <v>37.95</v>
      </c>
      <c r="R672" s="109">
        <f>IF(AND(ISNUMBER(N672),ISNUMBER(Q672),N(Q672)&gt;0),N672/Q672-1,"")</f>
        <v/>
      </c>
      <c r="S672" s="109" t="n">
        <v>736260</v>
      </c>
      <c r="T672" s="109" t="n">
        <v>5</v>
      </c>
      <c r="U672" s="109" t="n">
        <v>3.5</v>
      </c>
      <c r="V672" s="109" t="n">
        <v>198</v>
      </c>
      <c r="W672" s="109" t="n"/>
      <c r="X672" s="109" t="n"/>
      <c r="Y672" s="109" t="n"/>
      <c r="Z672" s="109" t="n"/>
      <c r="AA672" s="109" t="n"/>
      <c r="AB672" s="109" t="n"/>
      <c r="AC672" s="109" t="inlineStr">
        <is>
          <t>US DC Welcome Sign</t>
        </is>
      </c>
      <c r="AD672" s="109">
        <f>'US DC Welcome Sign'!BC55</f>
        <v/>
      </c>
      <c r="AE672" s="109">
        <f>'US DC Welcome Sign'!BF55</f>
        <v/>
      </c>
      <c r="AF672" s="109" t="n"/>
      <c r="AG672" s="109" t="n"/>
    </row>
    <row r="673">
      <c r="A673" s="109">
        <f>AND(OR(Dashboard!$C$4="All",Dashboard!$C$4=D673),OR(Dashboard!$C$5="All",Dashboard!$C$5=E673),OR(Dashboard!$C$6="All",Dashboard!$C$6=G673),OR(Dashboard!$C$7="All",Dashboard!$C$7=H673),OR(Dashboard!$C$8="All",Dashboard!$C$8=F673))</f>
        <v/>
      </c>
      <c r="B673" s="109">
        <f>IF(A673,B672+1,B672)</f>
        <v/>
      </c>
      <c r="C673" s="109" t="n">
        <v>58</v>
      </c>
      <c r="D673" s="109" t="inlineStr">
        <is>
          <t>DC Welcome Sign</t>
        </is>
      </c>
      <c r="E673" s="109" t="inlineStr">
        <is>
          <t>US</t>
        </is>
      </c>
      <c r="F673" s="109" t="inlineStr">
        <is>
          <t>Other</t>
        </is>
      </c>
      <c r="G673" s="109" t="inlineStr">
        <is>
          <t>flowtorely</t>
        </is>
      </c>
      <c r="H673" s="109" t="inlineStr">
        <is>
          <t>Beatable</t>
        </is>
      </c>
      <c r="I673" s="109" t="inlineStr">
        <is>
          <t>Front Door Welcome Sign</t>
        </is>
      </c>
      <c r="J673" s="109" t="n"/>
      <c r="K673" s="109" t="inlineStr">
        <is>
          <t>B0GMWJVN14</t>
        </is>
      </c>
      <c r="L673" s="109" t="inlineStr">
        <is>
          <t>B0D5HJM483</t>
        </is>
      </c>
      <c r="M673" s="109" t="n"/>
      <c r="N673" s="109" t="n">
        <v>40.99</v>
      </c>
      <c r="O673" s="109" t="n"/>
      <c r="P673" s="109">
        <f>IF(AND(ISNUMBER(O673),ISNUMBER(N673),N(N673)&gt;0),O673/N673-1,"")</f>
        <v/>
      </c>
      <c r="Q673" s="109" t="n">
        <v>37.95</v>
      </c>
      <c r="R673" s="109">
        <f>IF(AND(ISNUMBER(N673),ISNUMBER(Q673),N(Q673)&gt;0),N673/Q673-1,"")</f>
        <v/>
      </c>
      <c r="S673" s="109" t="n">
        <v>203350</v>
      </c>
      <c r="T673" s="109" t="n">
        <v>5</v>
      </c>
      <c r="U673" s="109" t="n">
        <v>4.5</v>
      </c>
      <c r="V673" s="109" t="n">
        <v>557</v>
      </c>
      <c r="W673" s="109" t="n"/>
      <c r="X673" s="109" t="n"/>
      <c r="Y673" s="109" t="n"/>
      <c r="Z673" s="109" t="n"/>
      <c r="AA673" s="109" t="n"/>
      <c r="AB673" s="109" t="n"/>
      <c r="AC673" s="109" t="inlineStr">
        <is>
          <t>US DC Welcome Sign</t>
        </is>
      </c>
      <c r="AD673" s="109">
        <f>'US DC Welcome Sign'!BC56</f>
        <v/>
      </c>
      <c r="AE673" s="109">
        <f>'US DC Welcome Sign'!BF56</f>
        <v/>
      </c>
      <c r="AF673" s="109" t="n"/>
      <c r="AG673" s="109" t="n"/>
    </row>
    <row r="674">
      <c r="A674" s="109">
        <f>AND(OR(Dashboard!$C$4="All",Dashboard!$C$4=D674),OR(Dashboard!$C$5="All",Dashboard!$C$5=E674),OR(Dashboard!$C$6="All",Dashboard!$C$6=G674),OR(Dashboard!$C$7="All",Dashboard!$C$7=H674),OR(Dashboard!$C$8="All",Dashboard!$C$8=F674))</f>
        <v/>
      </c>
      <c r="B674" s="109">
        <f>IF(A674,B673+1,B673)</f>
        <v/>
      </c>
      <c r="C674" s="109" t="n">
        <v>58</v>
      </c>
      <c r="D674" s="109" t="inlineStr">
        <is>
          <t>DC Welcome Sign</t>
        </is>
      </c>
      <c r="E674" s="109" t="inlineStr">
        <is>
          <t>US</t>
        </is>
      </c>
      <c r="F674" s="109" t="inlineStr">
        <is>
          <t>Other</t>
        </is>
      </c>
      <c r="G674" s="109" t="inlineStr">
        <is>
          <t>Hentonwell</t>
        </is>
      </c>
      <c r="H674" s="109" t="inlineStr">
        <is>
          <t>Beatable</t>
        </is>
      </c>
      <c r="I674" s="109" t="inlineStr">
        <is>
          <t>Welcome Porch Sign Decor,Hanging Wooden Door Sign,Rustic Porch Standing Decorative Signs,Vertical Plaques for Front Door,Farmhouse Outdoor Indoor Welcome Sign 47.2"H（Black）</t>
        </is>
      </c>
      <c r="J674" s="109" t="inlineStr">
        <is>
          <t>https://images-na.ssl-images-amazon.com/images/I/81l+mEjvGuL.jpg</t>
        </is>
      </c>
      <c r="K674" s="109" t="inlineStr">
        <is>
          <t>B0FHWJW2GJ</t>
        </is>
      </c>
      <c r="L674" s="109" t="inlineStr">
        <is>
          <t>B0FHWKTVFW</t>
        </is>
      </c>
      <c r="M674" s="109" t="n">
        <v>1</v>
      </c>
      <c r="N674" s="109" t="n">
        <v>23.99</v>
      </c>
      <c r="O674" s="109" t="n">
        <v>26.99</v>
      </c>
      <c r="P674" s="109">
        <f>IF(AND(ISNUMBER(O674),ISNUMBER(N674),N(N674)&gt;0),O674/N674-1,"")</f>
        <v/>
      </c>
      <c r="Q674" s="109" t="n">
        <v>37.95</v>
      </c>
      <c r="R674" s="109">
        <f>IF(AND(ISNUMBER(N674),ISNUMBER(Q674),N(Q674)&gt;0),N674/Q674-1,"")</f>
        <v/>
      </c>
      <c r="S674" s="109" t="n">
        <v>854564</v>
      </c>
      <c r="T674" s="109" t="n">
        <v>5</v>
      </c>
      <c r="U674" s="109" t="n">
        <v>4</v>
      </c>
      <c r="V674" s="109" t="n">
        <v>54</v>
      </c>
      <c r="W674" s="109" t="n"/>
      <c r="X674" s="109" t="n"/>
      <c r="Y674" s="109" t="n"/>
      <c r="Z674" s="109" t="n"/>
      <c r="AA674" s="109" t="n"/>
      <c r="AB674" s="109" t="n"/>
      <c r="AC674" s="109" t="inlineStr">
        <is>
          <t>US DC Welcome Sign</t>
        </is>
      </c>
      <c r="AD674" s="109">
        <f>'US DC Welcome Sign'!BC57</f>
        <v/>
      </c>
      <c r="AE674" s="109">
        <f>'US DC Welcome Sign'!BF57</f>
        <v/>
      </c>
      <c r="AF674" s="109" t="n"/>
      <c r="AG674" s="109" t="inlineStr">
        <is>
          <t>Black</t>
        </is>
      </c>
    </row>
    <row r="675">
      <c r="A675" s="109">
        <f>AND(OR(Dashboard!$C$4="All",Dashboard!$C$4=D675),OR(Dashboard!$C$5="All",Dashboard!$C$5=E675),OR(Dashboard!$C$6="All",Dashboard!$C$6=G675),OR(Dashboard!$C$7="All",Dashboard!$C$7=H675),OR(Dashboard!$C$8="All",Dashboard!$C$8=F675))</f>
        <v/>
      </c>
      <c r="B675" s="109">
        <f>IF(A675,B674+1,B674)</f>
        <v/>
      </c>
      <c r="C675" s="109" t="n">
        <v>58</v>
      </c>
      <c r="D675" s="109" t="inlineStr">
        <is>
          <t>DC Welcome Sign</t>
        </is>
      </c>
      <c r="E675" s="109" t="inlineStr">
        <is>
          <t>US</t>
        </is>
      </c>
      <c r="F675" s="109" t="inlineStr">
        <is>
          <t>Other</t>
        </is>
      </c>
      <c r="G675" s="109" t="inlineStr">
        <is>
          <t>homuvdok</t>
        </is>
      </c>
      <c r="H675" s="109" t="inlineStr">
        <is>
          <t>Beatable</t>
        </is>
      </c>
      <c r="I675" s="109" t="inlineStr">
        <is>
          <t>Front Door Welcome Sign</t>
        </is>
      </c>
      <c r="J675" s="109" t="n"/>
      <c r="K675" s="109" t="inlineStr">
        <is>
          <t>B0G2XD3DW6</t>
        </is>
      </c>
      <c r="L675" s="109" t="inlineStr">
        <is>
          <t>B0FWC4V93F</t>
        </is>
      </c>
      <c r="M675" s="109" t="n"/>
      <c r="N675" s="109" t="n">
        <v>25.99</v>
      </c>
      <c r="O675" s="109" t="n"/>
      <c r="P675" s="109">
        <f>IF(AND(ISNUMBER(O675),ISNUMBER(N675),N(N675)&gt;0),O675/N675-1,"")</f>
        <v/>
      </c>
      <c r="Q675" s="109" t="n">
        <v>37.95</v>
      </c>
      <c r="R675" s="109">
        <f>IF(AND(ISNUMBER(N675),ISNUMBER(Q675),N(Q675)&gt;0),N675/Q675-1,"")</f>
        <v/>
      </c>
      <c r="S675" s="109" t="n">
        <v>89173</v>
      </c>
      <c r="T675" s="109" t="n">
        <v>5</v>
      </c>
      <c r="U675" s="109" t="n">
        <v>4</v>
      </c>
      <c r="V675" s="109" t="n">
        <v>129</v>
      </c>
      <c r="W675" s="109" t="n"/>
      <c r="X675" s="109" t="n"/>
      <c r="Y675" s="109" t="n"/>
      <c r="Z675" s="109" t="n"/>
      <c r="AA675" s="109" t="n"/>
      <c r="AB675" s="109" t="n"/>
      <c r="AC675" s="109" t="inlineStr">
        <is>
          <t>US DC Welcome Sign</t>
        </is>
      </c>
      <c r="AD675" s="109">
        <f>'US DC Welcome Sign'!BC58</f>
        <v/>
      </c>
      <c r="AE675" s="109">
        <f>'US DC Welcome Sign'!BF58</f>
        <v/>
      </c>
      <c r="AF675" s="109" t="n"/>
      <c r="AG675" s="109" t="n"/>
    </row>
    <row r="676">
      <c r="A676" s="109">
        <f>AND(OR(Dashboard!$C$4="All",Dashboard!$C$4=D676),OR(Dashboard!$C$5="All",Dashboard!$C$5=E676),OR(Dashboard!$C$6="All",Dashboard!$C$6=G676),OR(Dashboard!$C$7="All",Dashboard!$C$7=H676),OR(Dashboard!$C$8="All",Dashboard!$C$8=F676))</f>
        <v/>
      </c>
      <c r="B676" s="109">
        <f>IF(A676,B675+1,B675)</f>
        <v/>
      </c>
      <c r="C676" s="109" t="n">
        <v>58</v>
      </c>
      <c r="D676" s="109" t="inlineStr">
        <is>
          <t>DC Welcome Sign</t>
        </is>
      </c>
      <c r="E676" s="109" t="inlineStr">
        <is>
          <t>US</t>
        </is>
      </c>
      <c r="F676" s="109" t="inlineStr">
        <is>
          <t>Other</t>
        </is>
      </c>
      <c r="G676" s="109" t="inlineStr">
        <is>
          <t>RLWangChao</t>
        </is>
      </c>
      <c r="H676" s="109" t="inlineStr">
        <is>
          <t>Beatable</t>
        </is>
      </c>
      <c r="I676" s="109" t="inlineStr">
        <is>
          <t>Front Door Welcome Sign</t>
        </is>
      </c>
      <c r="J676" s="109" t="n"/>
      <c r="K676" s="109" t="inlineStr">
        <is>
          <t>B0D1VHD6PY</t>
        </is>
      </c>
      <c r="L676" s="109" t="inlineStr">
        <is>
          <t>B0DG2RHFFV</t>
        </is>
      </c>
      <c r="M676" s="109" t="n"/>
      <c r="N676" s="109" t="n">
        <v>25.49</v>
      </c>
      <c r="O676" s="109" t="n">
        <v>29.99</v>
      </c>
      <c r="P676" s="109">
        <f>IF(AND(ISNUMBER(O676),ISNUMBER(N676),N(N676)&gt;0),O676/N676-1,"")</f>
        <v/>
      </c>
      <c r="Q676" s="109" t="n">
        <v>37.95</v>
      </c>
      <c r="R676" s="109">
        <f>IF(AND(ISNUMBER(N676),ISNUMBER(Q676),N(Q676)&gt;0),N676/Q676-1,"")</f>
        <v/>
      </c>
      <c r="S676" s="109" t="n">
        <v>111258</v>
      </c>
      <c r="T676" s="109" t="n">
        <v>5</v>
      </c>
      <c r="U676" s="109" t="n">
        <v>3.8</v>
      </c>
      <c r="V676" s="109" t="n">
        <v>233</v>
      </c>
      <c r="W676" s="109" t="n"/>
      <c r="X676" s="109" t="n"/>
      <c r="Y676" s="109" t="n"/>
      <c r="Z676" s="109" t="n"/>
      <c r="AA676" s="109" t="n"/>
      <c r="AB676" s="109" t="n"/>
      <c r="AC676" s="109" t="inlineStr">
        <is>
          <t>US DC Welcome Sign</t>
        </is>
      </c>
      <c r="AD676" s="109">
        <f>'US DC Welcome Sign'!BC59</f>
        <v/>
      </c>
      <c r="AE676" s="109">
        <f>'US DC Welcome Sign'!BF59</f>
        <v/>
      </c>
      <c r="AF676" s="109" t="n"/>
      <c r="AG676" s="109" t="n"/>
    </row>
    <row r="677">
      <c r="A677" s="109">
        <f>AND(OR(Dashboard!$C$4="All",Dashboard!$C$4=D677),OR(Dashboard!$C$5="All",Dashboard!$C$5=E677),OR(Dashboard!$C$6="All",Dashboard!$C$6=G677),OR(Dashboard!$C$7="All",Dashboard!$C$7=H677),OR(Dashboard!$C$8="All",Dashboard!$C$8=F677))</f>
        <v/>
      </c>
      <c r="B677" s="109">
        <f>IF(A677,B676+1,B676)</f>
        <v/>
      </c>
      <c r="C677" s="109" t="n">
        <v>58</v>
      </c>
      <c r="D677" s="109" t="inlineStr">
        <is>
          <t>DC Welcome Sign</t>
        </is>
      </c>
      <c r="E677" s="109" t="inlineStr">
        <is>
          <t>US</t>
        </is>
      </c>
      <c r="F677" s="109" t="inlineStr">
        <is>
          <t>Other</t>
        </is>
      </c>
      <c r="G677" s="109" t="inlineStr">
        <is>
          <t>Dlerom</t>
        </is>
      </c>
      <c r="H677" s="109" t="inlineStr">
        <is>
          <t>Untiered</t>
        </is>
      </c>
      <c r="I677" s="109" t="inlineStr">
        <is>
          <t>Spring Summer Welcome for Front Porch Standing, Daisy Wooden Porch Sign for Front Door Decorations, Rustic Farmhouse Hanging Wall Sign for Spring Home Decor, 47.2"H</t>
        </is>
      </c>
      <c r="J677" s="109" t="inlineStr">
        <is>
          <t>https://images-na.ssl-images-amazon.com/images/I/81CvR4cjzTL.jpg</t>
        </is>
      </c>
      <c r="K677" s="109" t="inlineStr">
        <is>
          <t>B0GPNMM78R</t>
        </is>
      </c>
      <c r="L677" s="109" t="inlineStr">
        <is>
          <t>B0G82967V2</t>
        </is>
      </c>
      <c r="M677" s="109" t="n">
        <v>1</v>
      </c>
      <c r="N677" s="109" t="n">
        <v>17.99</v>
      </c>
      <c r="O677" s="109" t="n"/>
      <c r="P677" s="109">
        <f>IF(AND(ISNUMBER(O677),ISNUMBER(N677),N(N677)&gt;0),O677/N677-1,"")</f>
        <v/>
      </c>
      <c r="Q677" s="109" t="n">
        <v>37.95</v>
      </c>
      <c r="R677" s="109">
        <f>IF(AND(ISNUMBER(N677),ISNUMBER(Q677),N(Q677)&gt;0),N677/Q677-1,"")</f>
        <v/>
      </c>
      <c r="S677" s="109" t="n">
        <v>1671691</v>
      </c>
      <c r="T677" s="109" t="n">
        <v>5</v>
      </c>
      <c r="U677" s="109" t="n">
        <v>3.9</v>
      </c>
      <c r="V677" s="109" t="n">
        <v>17</v>
      </c>
      <c r="W677" s="109" t="n"/>
      <c r="X677" s="109" t="n"/>
      <c r="Y677" s="109" t="n"/>
      <c r="Z677" s="109" t="n"/>
      <c r="AA677" s="109" t="n"/>
      <c r="AB677" s="109" t="n"/>
      <c r="AC677" s="109" t="inlineStr">
        <is>
          <t>US DC Welcome Sign</t>
        </is>
      </c>
      <c r="AD677" s="109">
        <f>'US DC Welcome Sign'!BC60</f>
        <v/>
      </c>
      <c r="AE677" s="109">
        <f>'US DC Welcome Sign'!BF60</f>
        <v/>
      </c>
      <c r="AF677" s="109" t="n"/>
      <c r="AG677" s="109" t="n"/>
    </row>
    <row r="678">
      <c r="A678" s="109">
        <f>AND(OR(Dashboard!$C$4="All",Dashboard!$C$4=D678),OR(Dashboard!$C$5="All",Dashboard!$C$5=E678),OR(Dashboard!$C$6="All",Dashboard!$C$6=G678),OR(Dashboard!$C$7="All",Dashboard!$C$7=H678),OR(Dashboard!$C$8="All",Dashboard!$C$8=F678))</f>
        <v/>
      </c>
      <c r="B678" s="109">
        <f>IF(A678,B677+1,B677)</f>
        <v/>
      </c>
      <c r="C678" s="109" t="n">
        <v>33</v>
      </c>
      <c r="D678" s="109" t="inlineStr">
        <is>
          <t>DC Chair Cover</t>
        </is>
      </c>
      <c r="E678" s="109" t="inlineStr">
        <is>
          <t>US</t>
        </is>
      </c>
      <c r="F678" s="109" t="inlineStr">
        <is>
          <t>Other</t>
        </is>
      </c>
      <c r="G678" s="109" t="inlineStr">
        <is>
          <t>BIETYONE</t>
        </is>
      </c>
      <c r="H678" s="109" t="inlineStr">
        <is>
          <t>Aspirational</t>
        </is>
      </c>
      <c r="I678" s="109" t="inlineStr">
        <is>
          <t>Waterproof Chair Cover</t>
        </is>
      </c>
      <c r="J678" s="109" t="n"/>
      <c r="K678" s="109" t="inlineStr">
        <is>
          <t>B0D25V1C84</t>
        </is>
      </c>
      <c r="L678" s="109" t="inlineStr">
        <is>
          <t>B0DGGSVWZQ</t>
        </is>
      </c>
      <c r="M678" s="109" t="n"/>
      <c r="N678" s="109" t="n">
        <v>20.99</v>
      </c>
      <c r="O678" s="109" t="n"/>
      <c r="P678" s="109">
        <f>IF(AND(ISNUMBER(O678),ISNUMBER(N678),N(N678)&gt;0),O678/N678-1,"")</f>
        <v/>
      </c>
      <c r="Q678" s="109" t="n">
        <v>25.24</v>
      </c>
      <c r="R678" s="109">
        <f>IF(AND(ISNUMBER(N678),ISNUMBER(Q678),N(Q678)&gt;0),N678/Q678-1,"")</f>
        <v/>
      </c>
      <c r="S678" s="109" t="n">
        <v>11189</v>
      </c>
      <c r="T678" s="109" t="n">
        <v>347</v>
      </c>
      <c r="U678" s="109" t="n">
        <v>4.6</v>
      </c>
      <c r="V678" s="109" t="n">
        <v>1765</v>
      </c>
      <c r="W678" s="109" t="n"/>
      <c r="X678" s="109" t="n"/>
      <c r="Y678" s="109" t="n"/>
      <c r="Z678" s="109" t="n"/>
      <c r="AA678" s="109" t="n"/>
      <c r="AB678" s="109" t="n"/>
      <c r="AC678" s="109" t="inlineStr">
        <is>
          <t>US DC Chair Cover</t>
        </is>
      </c>
      <c r="AD678" s="109">
        <f>'US DC Chair Cover'!BC50</f>
        <v/>
      </c>
      <c r="AE678" s="109">
        <f>'US DC Chair Cover'!BF50</f>
        <v/>
      </c>
      <c r="AF678" s="109" t="n"/>
      <c r="AG678" s="109" t="n"/>
    </row>
    <row r="679">
      <c r="A679" s="109">
        <f>AND(OR(Dashboard!$C$4="All",Dashboard!$C$4=D679),OR(Dashboard!$C$5="All",Dashboard!$C$5=E679),OR(Dashboard!$C$6="All",Dashboard!$C$6=G679),OR(Dashboard!$C$7="All",Dashboard!$C$7=H679),OR(Dashboard!$C$8="All",Dashboard!$C$8=F679))</f>
        <v/>
      </c>
      <c r="B679" s="109">
        <f>IF(A679,B678+1,B678)</f>
        <v/>
      </c>
      <c r="C679" s="109" t="n">
        <v>33</v>
      </c>
      <c r="D679" s="109" t="inlineStr">
        <is>
          <t>DC Chair Cover</t>
        </is>
      </c>
      <c r="E679" s="109" t="inlineStr">
        <is>
          <t>US</t>
        </is>
      </c>
      <c r="F679" s="109" t="inlineStr">
        <is>
          <t>Other</t>
        </is>
      </c>
      <c r="G679" s="109" t="inlineStr">
        <is>
          <t>Fafua</t>
        </is>
      </c>
      <c r="H679" s="109" t="inlineStr">
        <is>
          <t>Aspirational</t>
        </is>
      </c>
      <c r="I679" s="109" t="inlineStr">
        <is>
          <t>Fafua Chair Covers, Stretch Dining Room Chair Covers Set of 6, Removable Washable Dining Chair Slipcovers for Home, Hotel, Banquet</t>
        </is>
      </c>
      <c r="J679" s="109" t="inlineStr">
        <is>
          <t>https://images-na.ssl-images-amazon.com/images/I/71VoH4GIgpL.jpg</t>
        </is>
      </c>
      <c r="K679" s="109" t="inlineStr">
        <is>
          <t>B0D6R57FVR</t>
        </is>
      </c>
      <c r="L679" s="109" t="inlineStr">
        <is>
          <t>B0CQ7YQJ5H</t>
        </is>
      </c>
      <c r="M679" s="109" t="n">
        <v>71</v>
      </c>
      <c r="N679" s="109" t="n">
        <v>19.88</v>
      </c>
      <c r="O679" s="109" t="n"/>
      <c r="P679" s="109">
        <f>IF(AND(ISNUMBER(O679),ISNUMBER(N679),N(N679)&gt;0),O679/N679-1,"")</f>
        <v/>
      </c>
      <c r="Q679" s="109" t="n">
        <v>25.24</v>
      </c>
      <c r="R679" s="109">
        <f>IF(AND(ISNUMBER(N679),ISNUMBER(Q679),N(Q679)&gt;0),N679/Q679-1,"")</f>
        <v/>
      </c>
      <c r="S679" s="109" t="n">
        <v>18955</v>
      </c>
      <c r="T679" s="109" t="n">
        <v>173</v>
      </c>
      <c r="U679" s="109" t="n">
        <v>4.6</v>
      </c>
      <c r="V679" s="109" t="n">
        <v>2227</v>
      </c>
      <c r="W679" s="109" t="n"/>
      <c r="X679" s="109" t="n"/>
      <c r="Y679" s="109" t="n"/>
      <c r="Z679" s="109" t="n"/>
      <c r="AA679" s="109" t="n"/>
      <c r="AB679" s="109" t="n"/>
      <c r="AC679" s="109" t="inlineStr">
        <is>
          <t>US DC Chair Cover</t>
        </is>
      </c>
      <c r="AD679" s="109">
        <f>'US DC Chair Cover'!BC51</f>
        <v/>
      </c>
      <c r="AE679" s="109">
        <f>'US DC Chair Cover'!BF51</f>
        <v/>
      </c>
      <c r="AF679" s="109" t="n"/>
      <c r="AG679" s="109" t="n"/>
    </row>
    <row r="680">
      <c r="A680" s="109">
        <f>AND(OR(Dashboard!$C$4="All",Dashboard!$C$4=D680),OR(Dashboard!$C$5="All",Dashboard!$C$5=E680),OR(Dashboard!$C$6="All",Dashboard!$C$6=G680),OR(Dashboard!$C$7="All",Dashboard!$C$7=H680),OR(Dashboard!$C$8="All",Dashboard!$C$8=F680))</f>
        <v/>
      </c>
      <c r="B680" s="109">
        <f>IF(A680,B679+1,B679)</f>
        <v/>
      </c>
      <c r="C680" s="109" t="n">
        <v>33</v>
      </c>
      <c r="D680" s="109" t="inlineStr">
        <is>
          <t>DC Chair Cover</t>
        </is>
      </c>
      <c r="E680" s="109" t="inlineStr">
        <is>
          <t>US</t>
        </is>
      </c>
      <c r="F680" s="109" t="inlineStr">
        <is>
          <t>Other</t>
        </is>
      </c>
      <c r="G680" s="109" t="inlineStr">
        <is>
          <t>Genina</t>
        </is>
      </c>
      <c r="H680" s="109" t="inlineStr">
        <is>
          <t>Aspirational</t>
        </is>
      </c>
      <c r="I680" s="109" t="inlineStr">
        <is>
          <t>Genina Waterproof Dining Chair Covers Set of 4 Parsons Chair Slipcovers</t>
        </is>
      </c>
      <c r="J680" s="109" t="inlineStr">
        <is>
          <t>https://images-na.ssl-images-amazon.com/images/I/81jPNujWT9L.jpg</t>
        </is>
      </c>
      <c r="K680" s="109" t="inlineStr">
        <is>
          <t>B0B136S1FV</t>
        </is>
      </c>
      <c r="L680" s="109" t="inlineStr">
        <is>
          <t>B0B136JQD1</t>
        </is>
      </c>
      <c r="M680" s="109" t="n">
        <v>57</v>
      </c>
      <c r="N680" s="109" t="n">
        <v>22.07</v>
      </c>
      <c r="O680" s="109" t="n"/>
      <c r="P680" s="109">
        <f>IF(AND(ISNUMBER(O680),ISNUMBER(N680),N(N680)&gt;0),O680/N680-1,"")</f>
        <v/>
      </c>
      <c r="Q680" s="109" t="n">
        <v>25.24</v>
      </c>
      <c r="R680" s="109">
        <f>IF(AND(ISNUMBER(N680),ISNUMBER(Q680),N(Q680)&gt;0),N680/Q680-1,"")</f>
        <v/>
      </c>
      <c r="S680" s="109" t="n">
        <v>15013</v>
      </c>
      <c r="T680" s="109" t="n">
        <v>173</v>
      </c>
      <c r="U680" s="109" t="n">
        <v>4.7</v>
      </c>
      <c r="V680" s="109" t="n">
        <v>2930</v>
      </c>
      <c r="W680" s="109" t="n"/>
      <c r="X680" s="109" t="n"/>
      <c r="Y680" s="109" t="n"/>
      <c r="Z680" s="109" t="n"/>
      <c r="AA680" s="109" t="n"/>
      <c r="AB680" s="109" t="n"/>
      <c r="AC680" s="109" t="inlineStr">
        <is>
          <t>US DC Chair Cover</t>
        </is>
      </c>
      <c r="AD680" s="109">
        <f>'US DC Chair Cover'!BC52</f>
        <v/>
      </c>
      <c r="AE680" s="109">
        <f>'US DC Chair Cover'!BF52</f>
        <v/>
      </c>
      <c r="AF680" s="109" t="n"/>
      <c r="AG680" s="109" t="n"/>
    </row>
    <row r="681">
      <c r="A681" s="109">
        <f>AND(OR(Dashboard!$C$4="All",Dashboard!$C$4=D681),OR(Dashboard!$C$5="All",Dashboard!$C$5=E681),OR(Dashboard!$C$6="All",Dashboard!$C$6=G681),OR(Dashboard!$C$7="All",Dashboard!$C$7=H681),OR(Dashboard!$C$8="All",Dashboard!$C$8=F681))</f>
        <v/>
      </c>
      <c r="B681" s="109">
        <f>IF(A681,B680+1,B680)</f>
        <v/>
      </c>
      <c r="C681" s="109" t="n">
        <v>33</v>
      </c>
      <c r="D681" s="109" t="inlineStr">
        <is>
          <t>DC Chair Cover</t>
        </is>
      </c>
      <c r="E681" s="109" t="inlineStr">
        <is>
          <t>US</t>
        </is>
      </c>
      <c r="F681" s="109" t="inlineStr">
        <is>
          <t>Other</t>
        </is>
      </c>
      <c r="G681" s="109" t="inlineStr">
        <is>
          <t>Artrello</t>
        </is>
      </c>
      <c r="H681" s="109" t="inlineStr">
        <is>
          <t>Aspirational</t>
        </is>
      </c>
      <c r="I681" s="109" t="inlineStr">
        <is>
          <t>Chair Covers for Dining Room - Stretch Chair Slipcovers for Decorative Seat Protector Armless Removable Washable Elastic Dinner Universal Spandex Solid Chair Slip Covers Set (autumn orange,4)</t>
        </is>
      </c>
      <c r="J681" s="109" t="inlineStr">
        <is>
          <t>https://images-na.ssl-images-amazon.com/images/I/71THLNBLXkL.jpg</t>
        </is>
      </c>
      <c r="K681" s="109" t="inlineStr">
        <is>
          <t>B0FSDPTLPL</t>
        </is>
      </c>
      <c r="L681" s="109" t="inlineStr">
        <is>
          <t>B08T761T9S</t>
        </is>
      </c>
      <c r="M681" s="109" t="n">
        <v>19</v>
      </c>
      <c r="N681" s="109" t="n">
        <v>23.99</v>
      </c>
      <c r="O681" s="109" t="n"/>
      <c r="P681" s="109">
        <f>IF(AND(ISNUMBER(O681),ISNUMBER(N681),N(N681)&gt;0),O681/N681-1,"")</f>
        <v/>
      </c>
      <c r="Q681" s="109" t="n">
        <v>25.24</v>
      </c>
      <c r="R681" s="109">
        <f>IF(AND(ISNUMBER(N681),ISNUMBER(Q681),N(Q681)&gt;0),N681/Q681-1,"")</f>
        <v/>
      </c>
      <c r="S681" s="109" t="n">
        <v>39894</v>
      </c>
      <c r="T681" s="109" t="n">
        <v>92</v>
      </c>
      <c r="U681" s="109" t="n">
        <v>4.5</v>
      </c>
      <c r="V681" s="109" t="n">
        <v>4016</v>
      </c>
      <c r="W681" s="109" t="n"/>
      <c r="X681" s="109" t="n"/>
      <c r="Y681" s="109" t="n"/>
      <c r="Z681" s="109" t="n"/>
      <c r="AA681" s="109" t="n"/>
      <c r="AB681" s="109" t="n"/>
      <c r="AC681" s="109" t="inlineStr">
        <is>
          <t>US DC Chair Cover</t>
        </is>
      </c>
      <c r="AD681" s="109">
        <f>'US DC Chair Cover'!BC53</f>
        <v/>
      </c>
      <c r="AE681" s="109">
        <f>'US DC Chair Cover'!BF53</f>
        <v/>
      </c>
      <c r="AF681" s="109" t="n"/>
      <c r="AG681" s="109" t="inlineStr">
        <is>
          <t>autumn orange</t>
        </is>
      </c>
    </row>
    <row r="682">
      <c r="A682" s="109">
        <f>AND(OR(Dashboard!$C$4="All",Dashboard!$C$4=D682),OR(Dashboard!$C$5="All",Dashboard!$C$5=E682),OR(Dashboard!$C$6="All",Dashboard!$C$6=G682),OR(Dashboard!$C$7="All",Dashboard!$C$7=H682),OR(Dashboard!$C$8="All",Dashboard!$C$8=F682))</f>
        <v/>
      </c>
      <c r="B682" s="109">
        <f>IF(A682,B681+1,B681)</f>
        <v/>
      </c>
      <c r="C682" s="109" t="n">
        <v>33</v>
      </c>
      <c r="D682" s="109" t="inlineStr">
        <is>
          <t>DC Chair Cover</t>
        </is>
      </c>
      <c r="E682" s="109" t="inlineStr">
        <is>
          <t>US</t>
        </is>
      </c>
      <c r="F682" s="109" t="inlineStr">
        <is>
          <t>Other</t>
        </is>
      </c>
      <c r="G682" s="109" t="inlineStr">
        <is>
          <t>Easy-Going</t>
        </is>
      </c>
      <c r="H682" s="109" t="inlineStr">
        <is>
          <t>Aspirational</t>
        </is>
      </c>
      <c r="I682" s="109" t="inlineStr">
        <is>
          <t>Easy-Going 100% Waterproof Dining Room Chair Covers Set of 6, Large</t>
        </is>
      </c>
      <c r="J682" s="109" t="inlineStr">
        <is>
          <t>https://images-na.ssl-images-amazon.com/images/I/81LBQiUKrSS.jpg</t>
        </is>
      </c>
      <c r="K682" s="109" t="inlineStr">
        <is>
          <t>B0D56RHFVV</t>
        </is>
      </c>
      <c r="L682" s="109" t="inlineStr">
        <is>
          <t>B08TT88SXY</t>
        </is>
      </c>
      <c r="M682" s="109" t="n">
        <v>74</v>
      </c>
      <c r="N682" s="109" t="n">
        <v>25.99</v>
      </c>
      <c r="O682" s="109" t="n"/>
      <c r="P682" s="109">
        <f>IF(AND(ISNUMBER(O682),ISNUMBER(N682),N(N682)&gt;0),O682/N682-1,"")</f>
        <v/>
      </c>
      <c r="Q682" s="109" t="n">
        <v>25.24</v>
      </c>
      <c r="R682" s="109">
        <f>IF(AND(ISNUMBER(N682),ISNUMBER(Q682),N(Q682)&gt;0),N682/Q682-1,"")</f>
        <v/>
      </c>
      <c r="S682" s="109" t="n">
        <v>25992</v>
      </c>
      <c r="T682" s="109" t="n">
        <v>92</v>
      </c>
      <c r="U682" s="109" t="n">
        <v>4.6</v>
      </c>
      <c r="V682" s="109" t="n">
        <v>4711</v>
      </c>
      <c r="W682" s="109" t="n"/>
      <c r="X682" s="109" t="n"/>
      <c r="Y682" s="109" t="n"/>
      <c r="Z682" s="109" t="n"/>
      <c r="AA682" s="109" t="n"/>
      <c r="AB682" s="109" t="n"/>
      <c r="AC682" s="109" t="inlineStr">
        <is>
          <t>US DC Chair Cover</t>
        </is>
      </c>
      <c r="AD682" s="109">
        <f>'US DC Chair Cover'!BC54</f>
        <v/>
      </c>
      <c r="AE682" s="109">
        <f>'US DC Chair Cover'!BF54</f>
        <v/>
      </c>
      <c r="AF682" s="109" t="n"/>
      <c r="AG682" s="109" t="n"/>
    </row>
    <row r="683">
      <c r="A683" s="109">
        <f>AND(OR(Dashboard!$C$4="All",Dashboard!$C$4=D683),OR(Dashboard!$C$5="All",Dashboard!$C$5=E683),OR(Dashboard!$C$6="All",Dashboard!$C$6=G683),OR(Dashboard!$C$7="All",Dashboard!$C$7=H683),OR(Dashboard!$C$8="All",Dashboard!$C$8=F683))</f>
        <v/>
      </c>
      <c r="B683" s="109">
        <f>IF(A683,B682+1,B682)</f>
        <v/>
      </c>
      <c r="C683" s="109" t="n">
        <v>33</v>
      </c>
      <c r="D683" s="109" t="inlineStr">
        <is>
          <t>DC Chair Cover</t>
        </is>
      </c>
      <c r="E683" s="109" t="inlineStr">
        <is>
          <t>US</t>
        </is>
      </c>
      <c r="F683" s="109" t="inlineStr">
        <is>
          <t>Other</t>
        </is>
      </c>
      <c r="G683" s="109" t="inlineStr">
        <is>
          <t>Genina</t>
        </is>
      </c>
      <c r="H683" s="109" t="inlineStr">
        <is>
          <t>Aspirational</t>
        </is>
      </c>
      <c r="I683" s="109" t="inlineStr">
        <is>
          <t>Waterproof Chair Cover</t>
        </is>
      </c>
      <c r="J683" s="109" t="n"/>
      <c r="K683" s="109" t="inlineStr">
        <is>
          <t>B0CD2CC5XV</t>
        </is>
      </c>
      <c r="L683" s="109" t="inlineStr">
        <is>
          <t>B095H7XNTP</t>
        </is>
      </c>
      <c r="M683" s="109" t="n"/>
      <c r="N683" s="109" t="n">
        <v>29.99</v>
      </c>
      <c r="O683" s="109" t="n"/>
      <c r="P683" s="109">
        <f>IF(AND(ISNUMBER(O683),ISNUMBER(N683),N(N683)&gt;0),O683/N683-1,"")</f>
        <v/>
      </c>
      <c r="Q683" s="109" t="n">
        <v>25.24</v>
      </c>
      <c r="R683" s="109">
        <f>IF(AND(ISNUMBER(N683),ISNUMBER(Q683),N(Q683)&gt;0),N683/Q683-1,"")</f>
        <v/>
      </c>
      <c r="S683" s="109" t="n">
        <v>36868</v>
      </c>
      <c r="T683" s="109" t="n">
        <v>92</v>
      </c>
      <c r="U683" s="109" t="n">
        <v>4.6</v>
      </c>
      <c r="V683" s="109" t="n">
        <v>2729</v>
      </c>
      <c r="W683" s="109" t="n"/>
      <c r="X683" s="109" t="n"/>
      <c r="Y683" s="109" t="n"/>
      <c r="Z683" s="109" t="n"/>
      <c r="AA683" s="109" t="n"/>
      <c r="AB683" s="109" t="n"/>
      <c r="AC683" s="109" t="inlineStr">
        <is>
          <t>US DC Chair Cover</t>
        </is>
      </c>
      <c r="AD683" s="109">
        <f>'US DC Chair Cover'!BC55</f>
        <v/>
      </c>
      <c r="AE683" s="109">
        <f>'US DC Chair Cover'!BF55</f>
        <v/>
      </c>
      <c r="AF683" s="109" t="n"/>
      <c r="AG683" s="109" t="n"/>
    </row>
    <row r="684">
      <c r="A684" s="109">
        <f>AND(OR(Dashboard!$C$4="All",Dashboard!$C$4=D684),OR(Dashboard!$C$5="All",Dashboard!$C$5=E684),OR(Dashboard!$C$6="All",Dashboard!$C$6=G684),OR(Dashboard!$C$7="All",Dashboard!$C$7=H684),OR(Dashboard!$C$8="All",Dashboard!$C$8=F684))</f>
        <v/>
      </c>
      <c r="B684" s="109">
        <f>IF(A684,B683+1,B683)</f>
        <v/>
      </c>
      <c r="C684" s="109" t="n">
        <v>33</v>
      </c>
      <c r="D684" s="109" t="inlineStr">
        <is>
          <t>DC Chair Cover</t>
        </is>
      </c>
      <c r="E684" s="109" t="inlineStr">
        <is>
          <t>US</t>
        </is>
      </c>
      <c r="F684" s="109" t="inlineStr">
        <is>
          <t>Other</t>
        </is>
      </c>
      <c r="G684" s="109" t="inlineStr">
        <is>
          <t>SearchI</t>
        </is>
      </c>
      <c r="H684" s="109" t="inlineStr">
        <is>
          <t>Aspirational</t>
        </is>
      </c>
      <c r="I684" s="109" t="inlineStr">
        <is>
          <t>Waterproof Chair Cover</t>
        </is>
      </c>
      <c r="J684" s="109" t="n"/>
      <c r="K684" s="109" t="inlineStr">
        <is>
          <t>B0DC3S5WV2</t>
        </is>
      </c>
      <c r="L684" s="109" t="inlineStr">
        <is>
          <t>B09FL11K2J</t>
        </is>
      </c>
      <c r="M684" s="109" t="n"/>
      <c r="N684" s="109" t="n">
        <v>29.99</v>
      </c>
      <c r="O684" s="109" t="n">
        <v>34.99</v>
      </c>
      <c r="P684" s="109">
        <f>IF(AND(ISNUMBER(O684),ISNUMBER(N684),N(N684)&gt;0),O684/N684-1,"")</f>
        <v/>
      </c>
      <c r="Q684" s="109" t="n">
        <v>25.24</v>
      </c>
      <c r="R684" s="109">
        <f>IF(AND(ISNUMBER(N684),ISNUMBER(Q684),N(Q684)&gt;0),N684/Q684-1,"")</f>
        <v/>
      </c>
      <c r="S684" s="109" t="n">
        <v>10321</v>
      </c>
      <c r="T684" s="109" t="n">
        <v>92</v>
      </c>
      <c r="U684" s="109" t="n">
        <v>4.6</v>
      </c>
      <c r="V684" s="109" t="n">
        <v>10643</v>
      </c>
      <c r="W684" s="109" t="n"/>
      <c r="X684" s="109" t="n"/>
      <c r="Y684" s="109" t="n"/>
      <c r="Z684" s="109" t="n"/>
      <c r="AA684" s="109" t="n"/>
      <c r="AB684" s="109" t="n"/>
      <c r="AC684" s="109" t="inlineStr">
        <is>
          <t>US DC Chair Cover</t>
        </is>
      </c>
      <c r="AD684" s="109">
        <f>'US DC Chair Cover'!BC56</f>
        <v/>
      </c>
      <c r="AE684" s="109">
        <f>'US DC Chair Cover'!BF56</f>
        <v/>
      </c>
      <c r="AF684" s="109" t="n"/>
      <c r="AG684" s="109" t="n"/>
    </row>
    <row r="685">
      <c r="A685" s="109">
        <f>AND(OR(Dashboard!$C$4="All",Dashboard!$C$4=D685),OR(Dashboard!$C$5="All",Dashboard!$C$5=E685),OR(Dashboard!$C$6="All",Dashboard!$C$6=G685),OR(Dashboard!$C$7="All",Dashboard!$C$7=H685),OR(Dashboard!$C$8="All",Dashboard!$C$8=F685))</f>
        <v/>
      </c>
      <c r="B685" s="109">
        <f>IF(A685,B684+1,B684)</f>
        <v/>
      </c>
      <c r="C685" s="109" t="n">
        <v>33</v>
      </c>
      <c r="D685" s="109" t="inlineStr">
        <is>
          <t>DC Chair Cover</t>
        </is>
      </c>
      <c r="E685" s="109" t="inlineStr">
        <is>
          <t>US</t>
        </is>
      </c>
      <c r="F685" s="109" t="inlineStr">
        <is>
          <t>Other</t>
        </is>
      </c>
      <c r="G685" s="109" t="inlineStr">
        <is>
          <t>Genina</t>
        </is>
      </c>
      <c r="H685" s="109" t="inlineStr">
        <is>
          <t>Aspirational</t>
        </is>
      </c>
      <c r="I685" s="109" t="inlineStr">
        <is>
          <t>Waterproof Dining Room Chair Covers, Stretch Parsons Chair Slipcovers</t>
        </is>
      </c>
      <c r="J685" s="109" t="inlineStr">
        <is>
          <t>https://images-na.ssl-images-amazon.com/images/I/71jOUNGjjeL.jpg</t>
        </is>
      </c>
      <c r="K685" s="109" t="inlineStr">
        <is>
          <t>B0BYZ5J2G2</t>
        </is>
      </c>
      <c r="L685" s="109" t="inlineStr">
        <is>
          <t>B0B12QRW73</t>
        </is>
      </c>
      <c r="M685" s="109" t="n">
        <v>71</v>
      </c>
      <c r="N685" s="109" t="n">
        <v>19.99</v>
      </c>
      <c r="O685" s="109" t="n">
        <v>23.99</v>
      </c>
      <c r="P685" s="109">
        <f>IF(AND(ISNUMBER(O685),ISNUMBER(N685),N(N685)&gt;0),O685/N685-1,"")</f>
        <v/>
      </c>
      <c r="Q685" s="109" t="n">
        <v>25.24</v>
      </c>
      <c r="R685" s="109">
        <f>IF(AND(ISNUMBER(N685),ISNUMBER(Q685),N(Q685)&gt;0),N685/Q685-1,"")</f>
        <v/>
      </c>
      <c r="S685" s="109" t="n">
        <v>36704</v>
      </c>
      <c r="T685" s="109" t="n">
        <v>81</v>
      </c>
      <c r="U685" s="109" t="n">
        <v>4.7</v>
      </c>
      <c r="V685" s="109" t="n">
        <v>1655</v>
      </c>
      <c r="W685" s="109" t="n"/>
      <c r="X685" s="109" t="n"/>
      <c r="Y685" s="109" t="n"/>
      <c r="Z685" s="109" t="n"/>
      <c r="AA685" s="109" t="n"/>
      <c r="AB685" s="109" t="n"/>
      <c r="AC685" s="109" t="inlineStr">
        <is>
          <t>US DC Chair Cover</t>
        </is>
      </c>
      <c r="AD685" s="109">
        <f>'US DC Chair Cover'!BC57</f>
        <v/>
      </c>
      <c r="AE685" s="109">
        <f>'US DC Chair Cover'!BF57</f>
        <v/>
      </c>
      <c r="AF685" s="109" t="n"/>
      <c r="AG685" s="109" t="n"/>
    </row>
    <row r="686">
      <c r="A686" s="109">
        <f>AND(OR(Dashboard!$C$4="All",Dashboard!$C$4=D686),OR(Dashboard!$C$5="All",Dashboard!$C$5=E686),OR(Dashboard!$C$6="All",Dashboard!$C$6=G686),OR(Dashboard!$C$7="All",Dashboard!$C$7=H686),OR(Dashboard!$C$8="All",Dashboard!$C$8=F686))</f>
        <v/>
      </c>
      <c r="B686" s="109">
        <f>IF(A686,B685+1,B685)</f>
        <v/>
      </c>
      <c r="C686" s="109" t="n">
        <v>33</v>
      </c>
      <c r="D686" s="109" t="inlineStr">
        <is>
          <t>DC Chair Cover</t>
        </is>
      </c>
      <c r="E686" s="109" t="inlineStr">
        <is>
          <t>US</t>
        </is>
      </c>
      <c r="F686" s="109" t="inlineStr">
        <is>
          <t>Other</t>
        </is>
      </c>
      <c r="G686" s="109" t="inlineStr">
        <is>
          <t>Genina</t>
        </is>
      </c>
      <c r="H686" s="109" t="inlineStr">
        <is>
          <t>Aspirational</t>
        </is>
      </c>
      <c r="I686" s="109" t="inlineStr">
        <is>
          <t>Genina Waterproof Chair Covers for Dining Room Chair Slipcovers Set of 4</t>
        </is>
      </c>
      <c r="J686" s="109" t="inlineStr">
        <is>
          <t>https://images-na.ssl-images-amazon.com/images/I/81w0LNt7hUS.jpg</t>
        </is>
      </c>
      <c r="K686" s="109" t="inlineStr">
        <is>
          <t>B0HCPK37ZX</t>
        </is>
      </c>
      <c r="L686" s="109" t="inlineStr">
        <is>
          <t>B08Z3KC7KL</t>
        </is>
      </c>
      <c r="M686" s="109" t="n">
        <v>50</v>
      </c>
      <c r="N686" s="109" t="n">
        <v>19.99</v>
      </c>
      <c r="O686" s="109" t="n"/>
      <c r="P686" s="109">
        <f>IF(AND(ISNUMBER(O686),ISNUMBER(N686),N(N686)&gt;0),O686/N686-1,"")</f>
        <v/>
      </c>
      <c r="Q686" s="109" t="n">
        <v>25.24</v>
      </c>
      <c r="R686" s="109">
        <f>IF(AND(ISNUMBER(N686),ISNUMBER(Q686),N(Q686)&gt;0),N686/Q686-1,"")</f>
        <v/>
      </c>
      <c r="S686" s="109" t="n">
        <v>28582</v>
      </c>
      <c r="T686" s="109" t="n">
        <v>81</v>
      </c>
      <c r="U686" s="109" t="n">
        <v>4.5</v>
      </c>
      <c r="V686" s="109" t="n">
        <v>1786</v>
      </c>
      <c r="W686" s="109" t="n"/>
      <c r="X686" s="109" t="n"/>
      <c r="Y686" s="109" t="n"/>
      <c r="Z686" s="109" t="n"/>
      <c r="AA686" s="109" t="n"/>
      <c r="AB686" s="109" t="n"/>
      <c r="AC686" s="109" t="inlineStr">
        <is>
          <t>US DC Chair Cover</t>
        </is>
      </c>
      <c r="AD686" s="109">
        <f>'US DC Chair Cover'!BC58</f>
        <v/>
      </c>
      <c r="AE686" s="109">
        <f>'US DC Chair Cover'!BF58</f>
        <v/>
      </c>
      <c r="AF686" s="109" t="n"/>
      <c r="AG686" s="109" t="n"/>
    </row>
    <row r="687">
      <c r="A687" s="109">
        <f>AND(OR(Dashboard!$C$4="All",Dashboard!$C$4=D687),OR(Dashboard!$C$5="All",Dashboard!$C$5=E687),OR(Dashboard!$C$6="All",Dashboard!$C$6=G687),OR(Dashboard!$C$7="All",Dashboard!$C$7=H687),OR(Dashboard!$C$8="All",Dashboard!$C$8=F687))</f>
        <v/>
      </c>
      <c r="B687" s="109">
        <f>IF(A687,B686+1,B686)</f>
        <v/>
      </c>
      <c r="C687" s="109" t="n">
        <v>33</v>
      </c>
      <c r="D687" s="109" t="inlineStr">
        <is>
          <t>DC Chair Cover</t>
        </is>
      </c>
      <c r="E687" s="109" t="inlineStr">
        <is>
          <t>US</t>
        </is>
      </c>
      <c r="F687" s="109" t="inlineStr">
        <is>
          <t>Other</t>
        </is>
      </c>
      <c r="G687" s="109" t="inlineStr">
        <is>
          <t>H.VERSAILTEX</t>
        </is>
      </c>
      <c r="H687" s="109" t="inlineStr">
        <is>
          <t>Aspirational</t>
        </is>
      </c>
      <c r="I687" s="109" t="inlineStr">
        <is>
          <t>H.VERSAILTEX Dining Chair Covers Stretch for Dining Room Set of 4 Parson Chair Slipcovers Protectors, Soft Thick Solid Velvet Fabric Washable, Taupe</t>
        </is>
      </c>
      <c r="J687" s="109" t="inlineStr">
        <is>
          <t>https://images-na.ssl-images-amazon.com/images/I/61hYlhWoWsL.jpg</t>
        </is>
      </c>
      <c r="K687" s="109" t="inlineStr">
        <is>
          <t>B093Q37D94</t>
        </is>
      </c>
      <c r="L687" s="109" t="inlineStr">
        <is>
          <t>B07TKS5LN7</t>
        </is>
      </c>
      <c r="M687" s="109" t="n">
        <v>37</v>
      </c>
      <c r="N687" s="109" t="n">
        <v>31.99</v>
      </c>
      <c r="O687" s="109" t="n"/>
      <c r="P687" s="109">
        <f>IF(AND(ISNUMBER(O687),ISNUMBER(N687),N(N687)&gt;0),O687/N687-1,"")</f>
        <v/>
      </c>
      <c r="Q687" s="109" t="n">
        <v>25.24</v>
      </c>
      <c r="R687" s="109">
        <f>IF(AND(ISNUMBER(N687),ISNUMBER(Q687),N(Q687)&gt;0),N687/Q687-1,"")</f>
        <v/>
      </c>
      <c r="S687" s="109" t="n">
        <v>16732</v>
      </c>
      <c r="T687" s="109" t="n">
        <v>81</v>
      </c>
      <c r="U687" s="109" t="n">
        <v>4.5</v>
      </c>
      <c r="V687" s="109" t="n">
        <v>5385</v>
      </c>
      <c r="W687" s="109" t="n"/>
      <c r="X687" s="109" t="n"/>
      <c r="Y687" s="109" t="n"/>
      <c r="Z687" s="109" t="n"/>
      <c r="AA687" s="109" t="n"/>
      <c r="AB687" s="109" t="n"/>
      <c r="AC687" s="109" t="inlineStr">
        <is>
          <t>US DC Chair Cover</t>
        </is>
      </c>
      <c r="AD687" s="109">
        <f>'US DC Chair Cover'!BC59</f>
        <v/>
      </c>
      <c r="AE687" s="109">
        <f>'US DC Chair Cover'!BF59</f>
        <v/>
      </c>
      <c r="AF687" s="109" t="n"/>
      <c r="AG687" s="109" t="inlineStr">
        <is>
          <t>Taupe</t>
        </is>
      </c>
    </row>
    <row r="688">
      <c r="A688" s="109">
        <f>AND(OR(Dashboard!$C$4="All",Dashboard!$C$4=D688),OR(Dashboard!$C$5="All",Dashboard!$C$5=E688),OR(Dashboard!$C$6="All",Dashboard!$C$6=G688),OR(Dashboard!$C$7="All",Dashboard!$C$7=H688),OR(Dashboard!$C$8="All",Dashboard!$C$8=F688))</f>
        <v/>
      </c>
      <c r="B688" s="109">
        <f>IF(A688,B687+1,B687)</f>
        <v/>
      </c>
      <c r="C688" s="109" t="n">
        <v>33</v>
      </c>
      <c r="D688" s="109" t="inlineStr">
        <is>
          <t>DC Chair Cover</t>
        </is>
      </c>
      <c r="E688" s="109" t="inlineStr">
        <is>
          <t>US</t>
        </is>
      </c>
      <c r="F688" s="109" t="inlineStr">
        <is>
          <t>Other</t>
        </is>
      </c>
      <c r="G688" s="109" t="inlineStr">
        <is>
          <t>Sufdari</t>
        </is>
      </c>
      <c r="H688" s="109" t="inlineStr">
        <is>
          <t>Aspirational</t>
        </is>
      </c>
      <c r="I688" s="109" t="inlineStr">
        <is>
          <t>Sufdari Dining Chair Covers,Kitchen Cover,Parsons Slipcover,Spandex Protectors for Room Stretch Chairs Cover Set of 4 -Gray</t>
        </is>
      </c>
      <c r="J688" s="109" t="inlineStr">
        <is>
          <t>https://images-na.ssl-images-amazon.com/images/I/71hMTmCUTeL.jpg</t>
        </is>
      </c>
      <c r="K688" s="109" t="inlineStr">
        <is>
          <t>B0DHVVZF9Q</t>
        </is>
      </c>
      <c r="L688" s="109" t="inlineStr">
        <is>
          <t>B09GPP8TRT</t>
        </is>
      </c>
      <c r="M688" s="109" t="n">
        <v>85</v>
      </c>
      <c r="N688" s="109" t="n">
        <v>16.99</v>
      </c>
      <c r="O688" s="109" t="n"/>
      <c r="P688" s="109">
        <f>IF(AND(ISNUMBER(O688),ISNUMBER(N688),N(N688)&gt;0),O688/N688-1,"")</f>
        <v/>
      </c>
      <c r="Q688" s="109" t="n">
        <v>25.24</v>
      </c>
      <c r="R688" s="109">
        <f>IF(AND(ISNUMBER(N688),ISNUMBER(Q688),N(Q688)&gt;0),N688/Q688-1,"")</f>
        <v/>
      </c>
      <c r="S688" s="109" t="n">
        <v>59347</v>
      </c>
      <c r="T688" s="109" t="n">
        <v>81</v>
      </c>
      <c r="U688" s="109" t="n">
        <v>4.6</v>
      </c>
      <c r="V688" s="109" t="n">
        <v>2070</v>
      </c>
      <c r="W688" s="109" t="n"/>
      <c r="X688" s="109" t="n"/>
      <c r="Y688" s="109" t="n"/>
      <c r="Z688" s="109" t="n"/>
      <c r="AA688" s="109" t="n"/>
      <c r="AB688" s="109" t="n"/>
      <c r="AC688" s="109" t="inlineStr">
        <is>
          <t>US DC Chair Cover</t>
        </is>
      </c>
      <c r="AD688" s="109">
        <f>'US DC Chair Cover'!BC60</f>
        <v/>
      </c>
      <c r="AE688" s="109">
        <f>'US DC Chair Cover'!BF60</f>
        <v/>
      </c>
      <c r="AF688" s="109" t="n"/>
      <c r="AG688" s="109" t="inlineStr">
        <is>
          <t>Gray</t>
        </is>
      </c>
    </row>
    <row r="689">
      <c r="A689" s="109">
        <f>AND(OR(Dashboard!$C$4="All",Dashboard!$C$4=D689),OR(Dashboard!$C$5="All",Dashboard!$C$5=E689),OR(Dashboard!$C$6="All",Dashboard!$C$6=G689),OR(Dashboard!$C$7="All",Dashboard!$C$7=H689),OR(Dashboard!$C$8="All",Dashboard!$C$8=F689))</f>
        <v/>
      </c>
      <c r="B689" s="109">
        <f>IF(A689,B688+1,B688)</f>
        <v/>
      </c>
      <c r="C689" s="109" t="n">
        <v>33</v>
      </c>
      <c r="D689" s="109" t="inlineStr">
        <is>
          <t>DC Chair Cover</t>
        </is>
      </c>
      <c r="E689" s="109" t="inlineStr">
        <is>
          <t>US</t>
        </is>
      </c>
      <c r="F689" s="109" t="inlineStr">
        <is>
          <t>Other</t>
        </is>
      </c>
      <c r="G689" s="109" t="inlineStr">
        <is>
          <t>YUEANG</t>
        </is>
      </c>
      <c r="H689" s="109" t="inlineStr">
        <is>
          <t>Aspirational</t>
        </is>
      </c>
      <c r="I689" s="109" t="inlineStr">
        <is>
          <t>YUEANG Dining Chair Covers Set of 6, Stretch Parsons Chair Slipcovers</t>
        </is>
      </c>
      <c r="J689" s="109" t="inlineStr">
        <is>
          <t>https://images-na.ssl-images-amazon.com/images/I/81OP4LkrvyL.jpg</t>
        </is>
      </c>
      <c r="K689" s="109" t="inlineStr">
        <is>
          <t>B0CJTP9JFK</t>
        </is>
      </c>
      <c r="L689" s="109" t="inlineStr">
        <is>
          <t>B0BYCSLWR6</t>
        </is>
      </c>
      <c r="M689" s="109" t="n">
        <v>38</v>
      </c>
      <c r="N689" s="109" t="n">
        <v>29.99</v>
      </c>
      <c r="O689" s="109" t="n"/>
      <c r="P689" s="109">
        <f>IF(AND(ISNUMBER(O689),ISNUMBER(N689),N(N689)&gt;0),O689/N689-1,"")</f>
        <v/>
      </c>
      <c r="Q689" s="109" t="n">
        <v>25.24</v>
      </c>
      <c r="R689" s="109">
        <f>IF(AND(ISNUMBER(N689),ISNUMBER(Q689),N(Q689)&gt;0),N689/Q689-1,"")</f>
        <v/>
      </c>
      <c r="S689" s="109" t="n">
        <v>33484</v>
      </c>
      <c r="T689" s="109" t="n">
        <v>81</v>
      </c>
      <c r="U689" s="109" t="n">
        <v>4.6</v>
      </c>
      <c r="V689" s="109" t="n">
        <v>1526</v>
      </c>
      <c r="W689" s="109" t="n"/>
      <c r="X689" s="109" t="n"/>
      <c r="Y689" s="109" t="n"/>
      <c r="Z689" s="109" t="n"/>
      <c r="AA689" s="109" t="n"/>
      <c r="AB689" s="109" t="n"/>
      <c r="AC689" s="109" t="inlineStr">
        <is>
          <t>US DC Chair Cover</t>
        </is>
      </c>
      <c r="AD689" s="109">
        <f>'US DC Chair Cover'!BC61</f>
        <v/>
      </c>
      <c r="AE689" s="109">
        <f>'US DC Chair Cover'!BF61</f>
        <v/>
      </c>
      <c r="AF689" s="109" t="n"/>
      <c r="AG689" s="109" t="n"/>
    </row>
    <row r="690">
      <c r="A690" s="109">
        <f>AND(OR(Dashboard!$C$4="All",Dashboard!$C$4=D690),OR(Dashboard!$C$5="All",Dashboard!$C$5=E690),OR(Dashboard!$C$6="All",Dashboard!$C$6=G690),OR(Dashboard!$C$7="All",Dashboard!$C$7=H690),OR(Dashboard!$C$8="All",Dashboard!$C$8=F690))</f>
        <v/>
      </c>
      <c r="B690" s="109">
        <f>IF(A690,B689+1,B689)</f>
        <v/>
      </c>
      <c r="C690" s="109" t="n">
        <v>33</v>
      </c>
      <c r="D690" s="109" t="inlineStr">
        <is>
          <t>DC Chair Cover</t>
        </is>
      </c>
      <c r="E690" s="109" t="inlineStr">
        <is>
          <t>US</t>
        </is>
      </c>
      <c r="F690" s="109" t="inlineStr">
        <is>
          <t>Other</t>
        </is>
      </c>
      <c r="G690" s="109" t="inlineStr">
        <is>
          <t>Howhic</t>
        </is>
      </c>
      <c r="H690" s="109" t="inlineStr">
        <is>
          <t>Aspirational</t>
        </is>
      </c>
      <c r="I690" s="109" t="inlineStr">
        <is>
          <t>Waterproof Chair Cover</t>
        </is>
      </c>
      <c r="J690" s="109" t="n"/>
      <c r="K690" s="109" t="inlineStr">
        <is>
          <t>B09645XQZT</t>
        </is>
      </c>
      <c r="L690" s="109" t="inlineStr">
        <is>
          <t>B08GCF617Q</t>
        </is>
      </c>
      <c r="M690" s="109" t="n"/>
      <c r="N690" s="109" t="n">
        <v>32.99</v>
      </c>
      <c r="O690" s="109" t="n"/>
      <c r="P690" s="109">
        <f>IF(AND(ISNUMBER(O690),ISNUMBER(N690),N(N690)&gt;0),O690/N690-1,"")</f>
        <v/>
      </c>
      <c r="Q690" s="109" t="n">
        <v>25.24</v>
      </c>
      <c r="R690" s="109">
        <f>IF(AND(ISNUMBER(N690),ISNUMBER(Q690),N(Q690)&gt;0),N690/Q690-1,"")</f>
        <v/>
      </c>
      <c r="S690" s="109" t="n">
        <v>26195</v>
      </c>
      <c r="T690" s="109" t="n">
        <v>35</v>
      </c>
      <c r="U690" s="109" t="n">
        <v>4.6</v>
      </c>
      <c r="V690" s="109" t="n">
        <v>8870</v>
      </c>
      <c r="W690" s="109" t="n"/>
      <c r="X690" s="109" t="n"/>
      <c r="Y690" s="109" t="n"/>
      <c r="Z690" s="109" t="n"/>
      <c r="AA690" s="109" t="n"/>
      <c r="AB690" s="109" t="n"/>
      <c r="AC690" s="109" t="inlineStr">
        <is>
          <t>US DC Chair Cover</t>
        </is>
      </c>
      <c r="AD690" s="109">
        <f>'US DC Chair Cover'!BC62</f>
        <v/>
      </c>
      <c r="AE690" s="109">
        <f>'US DC Chair Cover'!BF62</f>
        <v/>
      </c>
      <c r="AF690" s="109" t="n"/>
      <c r="AG690" s="109" t="n"/>
    </row>
    <row r="691">
      <c r="A691" s="109">
        <f>AND(OR(Dashboard!$C$4="All",Dashboard!$C$4=D691),OR(Dashboard!$C$5="All",Dashboard!$C$5=E691),OR(Dashboard!$C$6="All",Dashboard!$C$6=G691),OR(Dashboard!$C$7="All",Dashboard!$C$7=H691),OR(Dashboard!$C$8="All",Dashboard!$C$8=F691))</f>
        <v/>
      </c>
      <c r="B691" s="109">
        <f>IF(A691,B690+1,B690)</f>
        <v/>
      </c>
      <c r="C691" s="109" t="n">
        <v>33</v>
      </c>
      <c r="D691" s="109" t="inlineStr">
        <is>
          <t>DC Chair Cover</t>
        </is>
      </c>
      <c r="E691" s="109" t="inlineStr">
        <is>
          <t>US</t>
        </is>
      </c>
      <c r="F691" s="109" t="inlineStr">
        <is>
          <t>Other</t>
        </is>
      </c>
      <c r="G691" s="109" t="inlineStr">
        <is>
          <t>Lalluxy</t>
        </is>
      </c>
      <c r="H691" s="109" t="inlineStr">
        <is>
          <t>Aspirational</t>
        </is>
      </c>
      <c r="I691" s="109" t="inlineStr">
        <is>
          <t>Lalluxy Stretchy Washable Parson Dining Chair Covers/Slipcovers Set of 4</t>
        </is>
      </c>
      <c r="J691" s="109" t="inlineStr">
        <is>
          <t>https://images-na.ssl-images-amazon.com/images/I/81ekAED+8mL.jpg</t>
        </is>
      </c>
      <c r="K691" s="109" t="inlineStr">
        <is>
          <t>B0C53PPZMS</t>
        </is>
      </c>
      <c r="L691" s="109" t="inlineStr">
        <is>
          <t>B08FSDPZZP</t>
        </is>
      </c>
      <c r="M691" s="109" t="n">
        <v>81</v>
      </c>
      <c r="N691" s="109" t="n">
        <v>17.99</v>
      </c>
      <c r="O691" s="109" t="n"/>
      <c r="P691" s="109">
        <f>IF(AND(ISNUMBER(O691),ISNUMBER(N691),N(N691)&gt;0),O691/N691-1,"")</f>
        <v/>
      </c>
      <c r="Q691" s="109" t="n">
        <v>25.24</v>
      </c>
      <c r="R691" s="109">
        <f>IF(AND(ISNUMBER(N691),ISNUMBER(Q691),N(Q691)&gt;0),N691/Q691-1,"")</f>
        <v/>
      </c>
      <c r="S691" s="109" t="n">
        <v>59235</v>
      </c>
      <c r="T691" s="109" t="n">
        <v>18</v>
      </c>
      <c r="U691" s="109" t="n">
        <v>4.6</v>
      </c>
      <c r="V691" s="109" t="n">
        <v>3594</v>
      </c>
      <c r="W691" s="109" t="n"/>
      <c r="X691" s="109" t="n"/>
      <c r="Y691" s="109" t="n"/>
      <c r="Z691" s="109" t="n"/>
      <c r="AA691" s="109" t="n"/>
      <c r="AB691" s="109" t="n"/>
      <c r="AC691" s="109" t="inlineStr">
        <is>
          <t>US DC Chair Cover</t>
        </is>
      </c>
      <c r="AD691" s="109">
        <f>'US DC Chair Cover'!BC63</f>
        <v/>
      </c>
      <c r="AE691" s="109">
        <f>'US DC Chair Cover'!BF63</f>
        <v/>
      </c>
      <c r="AF691" s="109" t="n"/>
      <c r="AG691" s="109" t="n"/>
    </row>
    <row r="692">
      <c r="A692" s="109">
        <f>AND(OR(Dashboard!$C$4="All",Dashboard!$C$4=D692),OR(Dashboard!$C$5="All",Dashboard!$C$5=E692),OR(Dashboard!$C$6="All",Dashboard!$C$6=G692),OR(Dashboard!$C$7="All",Dashboard!$C$7=H692),OR(Dashboard!$C$8="All",Dashboard!$C$8=F692))</f>
        <v/>
      </c>
      <c r="B692" s="109">
        <f>IF(A692,B691+1,B691)</f>
        <v/>
      </c>
      <c r="C692" s="109" t="n">
        <v>33</v>
      </c>
      <c r="D692" s="109" t="inlineStr">
        <is>
          <t>DC Chair Cover</t>
        </is>
      </c>
      <c r="E692" s="109" t="inlineStr">
        <is>
          <t>US</t>
        </is>
      </c>
      <c r="F692" s="109" t="inlineStr">
        <is>
          <t>Other</t>
        </is>
      </c>
      <c r="G692" s="109" t="inlineStr">
        <is>
          <t>SearchI</t>
        </is>
      </c>
      <c r="H692" s="109" t="inlineStr">
        <is>
          <t>Aspirational</t>
        </is>
      </c>
      <c r="I692" s="109" t="inlineStr">
        <is>
          <t>Waterproof Chair Cover</t>
        </is>
      </c>
      <c r="J692" s="109" t="n"/>
      <c r="K692" s="109" t="inlineStr">
        <is>
          <t>B09GY7YG2P</t>
        </is>
      </c>
      <c r="L692" s="109" t="inlineStr">
        <is>
          <t>B081GQBPRT</t>
        </is>
      </c>
      <c r="M692" s="109" t="n"/>
      <c r="N692" s="109" t="n">
        <v>22.94</v>
      </c>
      <c r="O692" s="109" t="n">
        <v>26.99</v>
      </c>
      <c r="P692" s="109">
        <f>IF(AND(ISNUMBER(O692),ISNUMBER(N692),N(N692)&gt;0),O692/N692-1,"")</f>
        <v/>
      </c>
      <c r="Q692" s="109" t="n">
        <v>25.24</v>
      </c>
      <c r="R692" s="109">
        <f>IF(AND(ISNUMBER(N692),ISNUMBER(Q692),N(Q692)&gt;0),N692/Q692-1,"")</f>
        <v/>
      </c>
      <c r="S692" s="109" t="n">
        <v>23786</v>
      </c>
      <c r="T692" s="109" t="n">
        <v>18</v>
      </c>
      <c r="U692" s="109" t="n">
        <v>4.6</v>
      </c>
      <c r="V692" s="109" t="n">
        <v>5341</v>
      </c>
      <c r="W692" s="109" t="n"/>
      <c r="X692" s="109" t="n"/>
      <c r="Y692" s="109" t="n"/>
      <c r="Z692" s="109" t="n"/>
      <c r="AA692" s="109" t="n"/>
      <c r="AB692" s="109" t="n"/>
      <c r="AC692" s="109" t="inlineStr">
        <is>
          <t>US DC Chair Cover</t>
        </is>
      </c>
      <c r="AD692" s="109">
        <f>'US DC Chair Cover'!BC64</f>
        <v/>
      </c>
      <c r="AE692" s="109">
        <f>'US DC Chair Cover'!BF64</f>
        <v/>
      </c>
      <c r="AF692" s="109" t="n"/>
      <c r="AG692" s="109" t="n"/>
    </row>
    <row r="693">
      <c r="A693" s="109">
        <f>AND(OR(Dashboard!$C$4="All",Dashboard!$C$4=D693),OR(Dashboard!$C$5="All",Dashboard!$C$5=E693),OR(Dashboard!$C$6="All",Dashboard!$C$6=G693),OR(Dashboard!$C$7="All",Dashboard!$C$7=H693),OR(Dashboard!$C$8="All",Dashboard!$C$8=F693))</f>
        <v/>
      </c>
      <c r="B693" s="109">
        <f>IF(A693,B692+1,B692)</f>
        <v/>
      </c>
      <c r="C693" s="109" t="n">
        <v>33</v>
      </c>
      <c r="D693" s="109" t="inlineStr">
        <is>
          <t>DC Chair Cover</t>
        </is>
      </c>
      <c r="E693" s="109" t="inlineStr">
        <is>
          <t>US</t>
        </is>
      </c>
      <c r="F693" s="109" t="inlineStr">
        <is>
          <t>Other</t>
        </is>
      </c>
      <c r="G693" s="109" t="inlineStr">
        <is>
          <t>Smiry</t>
        </is>
      </c>
      <c r="H693" s="109" t="inlineStr">
        <is>
          <t>Aspirational</t>
        </is>
      </c>
      <c r="I693" s="109" t="inlineStr">
        <is>
          <t>Smiry Velvet Dining Chair Covers, Parsons Chair Slipcovers Set of 4</t>
        </is>
      </c>
      <c r="J693" s="109" t="inlineStr">
        <is>
          <t>https://images-na.ssl-images-amazon.com/images/I/51EsdapI2HL.jpg</t>
        </is>
      </c>
      <c r="K693" s="109" t="inlineStr">
        <is>
          <t>B0D4ZNRN1P</t>
        </is>
      </c>
      <c r="L693" s="109" t="inlineStr">
        <is>
          <t>B077XWCV6D</t>
        </is>
      </c>
      <c r="M693" s="109" t="n">
        <v>66</v>
      </c>
      <c r="N693" s="109" t="n">
        <v>26.99</v>
      </c>
      <c r="O693" s="109" t="n">
        <v>31.99</v>
      </c>
      <c r="P693" s="109">
        <f>IF(AND(ISNUMBER(O693),ISNUMBER(N693),N(N693)&gt;0),O693/N693-1,"")</f>
        <v/>
      </c>
      <c r="Q693" s="109" t="n">
        <v>25.24</v>
      </c>
      <c r="R693" s="109">
        <f>IF(AND(ISNUMBER(N693),ISNUMBER(Q693),N(Q693)&gt;0),N693/Q693-1,"")</f>
        <v/>
      </c>
      <c r="S693" s="109" t="n">
        <v>25653</v>
      </c>
      <c r="T693" s="109" t="n">
        <v>18</v>
      </c>
      <c r="U693" s="109" t="n">
        <v>4.6</v>
      </c>
      <c r="V693" s="109" t="n">
        <v>7521</v>
      </c>
      <c r="W693" s="109" t="n"/>
      <c r="X693" s="109" t="n"/>
      <c r="Y693" s="109" t="n"/>
      <c r="Z693" s="109" t="n"/>
      <c r="AA693" s="109" t="n"/>
      <c r="AB693" s="109" t="n"/>
      <c r="AC693" s="109" t="inlineStr">
        <is>
          <t>US DC Chair Cover</t>
        </is>
      </c>
      <c r="AD693" s="109">
        <f>'US DC Chair Cover'!BC65</f>
        <v/>
      </c>
      <c r="AE693" s="109">
        <f>'US DC Chair Cover'!BF65</f>
        <v/>
      </c>
      <c r="AF693" s="109" t="n"/>
      <c r="AG693" s="109" t="n"/>
    </row>
    <row r="694">
      <c r="A694" s="109">
        <f>AND(OR(Dashboard!$C$4="All",Dashboard!$C$4=D694),OR(Dashboard!$C$5="All",Dashboard!$C$5=E694),OR(Dashboard!$C$6="All",Dashboard!$C$6=G694),OR(Dashboard!$C$7="All",Dashboard!$C$7=H694),OR(Dashboard!$C$8="All",Dashboard!$C$8=F694))</f>
        <v/>
      </c>
      <c r="B694" s="109">
        <f>IF(A694,B693+1,B693)</f>
        <v/>
      </c>
      <c r="C694" s="109" t="n">
        <v>33</v>
      </c>
      <c r="D694" s="109" t="inlineStr">
        <is>
          <t>DC Chair Cover</t>
        </is>
      </c>
      <c r="E694" s="109" t="inlineStr">
        <is>
          <t>US</t>
        </is>
      </c>
      <c r="F694" s="109" t="inlineStr">
        <is>
          <t>Other</t>
        </is>
      </c>
      <c r="G694" s="109" t="inlineStr">
        <is>
          <t>SPRINGRICO</t>
        </is>
      </c>
      <c r="H694" s="109" t="inlineStr">
        <is>
          <t>Aspirational</t>
        </is>
      </c>
      <c r="I694" s="109" t="inlineStr">
        <is>
          <t>Waterproof Chair Cover</t>
        </is>
      </c>
      <c r="J694" s="109" t="n"/>
      <c r="K694" s="109" t="inlineStr">
        <is>
          <t>B08K7PDZ1F</t>
        </is>
      </c>
      <c r="L694" s="109" t="inlineStr">
        <is>
          <t>B08K7LPC9L</t>
        </is>
      </c>
      <c r="M694" s="109" t="n"/>
      <c r="N694" s="109" t="n">
        <v>25.49</v>
      </c>
      <c r="O694" s="109" t="n"/>
      <c r="P694" s="109">
        <f>IF(AND(ISNUMBER(O694),ISNUMBER(N694),N(N694)&gt;0),O694/N694-1,"")</f>
        <v/>
      </c>
      <c r="Q694" s="109" t="n">
        <v>25.24</v>
      </c>
      <c r="R694" s="109">
        <f>IF(AND(ISNUMBER(N694),ISNUMBER(Q694),N(Q694)&gt;0),N694/Q694-1,"")</f>
        <v/>
      </c>
      <c r="S694" s="109" t="n">
        <v>24520</v>
      </c>
      <c r="T694" s="109" t="n">
        <v>18</v>
      </c>
      <c r="U694" s="109" t="n">
        <v>4.7</v>
      </c>
      <c r="V694" s="109" t="n">
        <v>6302</v>
      </c>
      <c r="W694" s="109" t="n"/>
      <c r="X694" s="109" t="n"/>
      <c r="Y694" s="109" t="n"/>
      <c r="Z694" s="109" t="n"/>
      <c r="AA694" s="109" t="n"/>
      <c r="AB694" s="109" t="n"/>
      <c r="AC694" s="109" t="inlineStr">
        <is>
          <t>US DC Chair Cover</t>
        </is>
      </c>
      <c r="AD694" s="109">
        <f>'US DC Chair Cover'!BC66</f>
        <v/>
      </c>
      <c r="AE694" s="109">
        <f>'US DC Chair Cover'!BF66</f>
        <v/>
      </c>
      <c r="AF694" s="109" t="n"/>
      <c r="AG694" s="109" t="n"/>
    </row>
    <row r="695">
      <c r="A695" s="109">
        <f>AND(OR(Dashboard!$C$4="All",Dashboard!$C$4=D695),OR(Dashboard!$C$5="All",Dashboard!$C$5=E695),OR(Dashboard!$C$6="All",Dashboard!$C$6=G695),OR(Dashboard!$C$7="All",Dashboard!$C$7=H695),OR(Dashboard!$C$8="All",Dashboard!$C$8=F695))</f>
        <v/>
      </c>
      <c r="B695" s="109">
        <f>IF(A695,B694+1,B694)</f>
        <v/>
      </c>
      <c r="C695" s="109" t="n">
        <v>33</v>
      </c>
      <c r="D695" s="109" t="inlineStr">
        <is>
          <t>DC Chair Cover</t>
        </is>
      </c>
      <c r="E695" s="109" t="inlineStr">
        <is>
          <t>US</t>
        </is>
      </c>
      <c r="F695" s="109" t="inlineStr">
        <is>
          <t>Other</t>
        </is>
      </c>
      <c r="G695" s="109" t="inlineStr">
        <is>
          <t>NORTHERN BROTHERS</t>
        </is>
      </c>
      <c r="H695" s="109" t="inlineStr">
        <is>
          <t>Beatable</t>
        </is>
      </c>
      <c r="I695" s="109" t="inlineStr">
        <is>
          <t>Fafua Stretch Dining Room Chair Covers Set of 6, Removable Washable Chair Covers for Dining Chairs,Dining Room, Hotel, Ceremony</t>
        </is>
      </c>
      <c r="J695" s="109" t="inlineStr">
        <is>
          <t>https://images-na.ssl-images-amazon.com/images/I/71vREPERc7L.jpg</t>
        </is>
      </c>
      <c r="K695" s="109" t="inlineStr">
        <is>
          <t>B0DFY9MKGZ</t>
        </is>
      </c>
      <c r="L695" s="109" t="inlineStr">
        <is>
          <t>B0D59BMBK7</t>
        </is>
      </c>
      <c r="M695" s="109" t="n">
        <v>107</v>
      </c>
      <c r="N695" s="109" t="n">
        <v>19.1</v>
      </c>
      <c r="O695" s="109" t="n">
        <v>23.88</v>
      </c>
      <c r="P695" s="109">
        <f>IF(AND(ISNUMBER(O695),ISNUMBER(N695),N(N695)&gt;0),O695/N695-1,"")</f>
        <v/>
      </c>
      <c r="Q695" s="109" t="n">
        <v>25.24</v>
      </c>
      <c r="R695" s="109">
        <f>IF(AND(ISNUMBER(N695),ISNUMBER(Q695),N(Q695)&gt;0),N695/Q695-1,"")</f>
        <v/>
      </c>
      <c r="S695" s="109" t="n">
        <v>60827</v>
      </c>
      <c r="T695" s="109" t="n">
        <v>35</v>
      </c>
      <c r="U695" s="109" t="n">
        <v>4.6</v>
      </c>
      <c r="V695" s="109" t="n">
        <v>865</v>
      </c>
      <c r="W695" s="109" t="n"/>
      <c r="X695" s="109" t="n"/>
      <c r="Y695" s="109" t="n"/>
      <c r="Z695" s="109" t="n"/>
      <c r="AA695" s="109" t="n"/>
      <c r="AB695" s="109" t="n"/>
      <c r="AC695" s="109" t="inlineStr">
        <is>
          <t>US DC Chair Cover</t>
        </is>
      </c>
      <c r="AD695" s="109">
        <f>'US DC Chair Cover'!BC67</f>
        <v/>
      </c>
      <c r="AE695" s="109">
        <f>'US DC Chair Cover'!BF67</f>
        <v/>
      </c>
      <c r="AF695" s="109" t="n"/>
      <c r="AG695" s="109" t="n"/>
    </row>
    <row r="696">
      <c r="A696" s="109">
        <f>AND(OR(Dashboard!$C$4="All",Dashboard!$C$4=D696),OR(Dashboard!$C$5="All",Dashboard!$C$5=E696),OR(Dashboard!$C$6="All",Dashboard!$C$6=G696),OR(Dashboard!$C$7="All",Dashboard!$C$7=H696),OR(Dashboard!$C$8="All",Dashboard!$C$8=F696))</f>
        <v/>
      </c>
      <c r="B696" s="109">
        <f>IF(A696,B695+1,B695)</f>
        <v/>
      </c>
      <c r="C696" s="109" t="n">
        <v>33</v>
      </c>
      <c r="D696" s="109" t="inlineStr">
        <is>
          <t>DC Chair Cover</t>
        </is>
      </c>
      <c r="E696" s="109" t="inlineStr">
        <is>
          <t>US</t>
        </is>
      </c>
      <c r="F696" s="109" t="inlineStr">
        <is>
          <t>Other</t>
        </is>
      </c>
      <c r="G696" s="109" t="inlineStr">
        <is>
          <t>Easy-Going</t>
        </is>
      </c>
      <c r="H696" s="109" t="inlineStr">
        <is>
          <t>Beatable</t>
        </is>
      </c>
      <c r="I696" s="109" t="inlineStr">
        <is>
          <t>Waterproof Chair Cover</t>
        </is>
      </c>
      <c r="J696" s="109" t="n"/>
      <c r="K696" s="109" t="inlineStr">
        <is>
          <t>B0BNHBKDGJ</t>
        </is>
      </c>
      <c r="L696" s="109" t="inlineStr">
        <is>
          <t>B0BNHCYG6Z</t>
        </is>
      </c>
      <c r="M696" s="109" t="n"/>
      <c r="N696" s="109" t="n">
        <v>24.99</v>
      </c>
      <c r="O696" s="109" t="n"/>
      <c r="P696" s="109">
        <f>IF(AND(ISNUMBER(O696),ISNUMBER(N696),N(N696)&gt;0),O696/N696-1,"")</f>
        <v/>
      </c>
      <c r="Q696" s="109" t="n">
        <v>25.24</v>
      </c>
      <c r="R696" s="109">
        <f>IF(AND(ISNUMBER(N696),ISNUMBER(Q696),N(Q696)&gt;0),N696/Q696-1,"")</f>
        <v/>
      </c>
      <c r="S696" s="109" t="n">
        <v>48182</v>
      </c>
      <c r="T696" s="109" t="n">
        <v>18</v>
      </c>
      <c r="U696" s="109" t="n">
        <v>4.6</v>
      </c>
      <c r="V696" s="109" t="n">
        <v>1034</v>
      </c>
      <c r="W696" s="109" t="n"/>
      <c r="X696" s="109" t="n"/>
      <c r="Y696" s="109" t="n"/>
      <c r="Z696" s="109" t="n"/>
      <c r="AA696" s="109" t="n"/>
      <c r="AB696" s="109" t="n"/>
      <c r="AC696" s="109" t="inlineStr">
        <is>
          <t>US DC Chair Cover</t>
        </is>
      </c>
      <c r="AD696" s="109">
        <f>'US DC Chair Cover'!BC68</f>
        <v/>
      </c>
      <c r="AE696" s="109">
        <f>'US DC Chair Cover'!BF68</f>
        <v/>
      </c>
      <c r="AF696" s="109" t="n"/>
      <c r="AG696" s="109" t="n"/>
    </row>
    <row r="697">
      <c r="A697" s="109">
        <f>AND(OR(Dashboard!$C$4="All",Dashboard!$C$4=D697),OR(Dashboard!$C$5="All",Dashboard!$C$5=E697),OR(Dashboard!$C$6="All",Dashboard!$C$6=G697),OR(Dashboard!$C$7="All",Dashboard!$C$7=H697),OR(Dashboard!$C$8="All",Dashboard!$C$8=F697))</f>
        <v/>
      </c>
      <c r="B697" s="109">
        <f>IF(A697,B696+1,B696)</f>
        <v/>
      </c>
      <c r="C697" s="109" t="n">
        <v>33</v>
      </c>
      <c r="D697" s="109" t="inlineStr">
        <is>
          <t>DC Chair Cover</t>
        </is>
      </c>
      <c r="E697" s="109" t="inlineStr">
        <is>
          <t>US</t>
        </is>
      </c>
      <c r="F697" s="109" t="inlineStr">
        <is>
          <t>Other</t>
        </is>
      </c>
      <c r="G697" s="109" t="inlineStr">
        <is>
          <t>SPRINGRICO</t>
        </is>
      </c>
      <c r="H697" s="109" t="inlineStr">
        <is>
          <t>Beatable</t>
        </is>
      </c>
      <c r="I697" s="109" t="inlineStr">
        <is>
          <t>Waterproof Chair Cover</t>
        </is>
      </c>
      <c r="J697" s="109" t="n"/>
      <c r="K697" s="109" t="inlineStr">
        <is>
          <t>B0BLMYTK9C</t>
        </is>
      </c>
      <c r="L697" s="109" t="inlineStr">
        <is>
          <t>B0BLN1DSXW</t>
        </is>
      </c>
      <c r="M697" s="109" t="n"/>
      <c r="N697" s="109" t="n">
        <v>29.89</v>
      </c>
      <c r="O697" s="109" t="n"/>
      <c r="P697" s="109">
        <f>IF(AND(ISNUMBER(O697),ISNUMBER(N697),N(N697)&gt;0),O697/N697-1,"")</f>
        <v/>
      </c>
      <c r="Q697" s="109" t="n">
        <v>25.24</v>
      </c>
      <c r="R697" s="109">
        <f>IF(AND(ISNUMBER(N697),ISNUMBER(Q697),N(Q697)&gt;0),N697/Q697-1,"")</f>
        <v/>
      </c>
      <c r="S697" s="109" t="n">
        <v>50244</v>
      </c>
      <c r="T697" s="109" t="n">
        <v>18</v>
      </c>
      <c r="U697" s="109" t="n">
        <v>4.7</v>
      </c>
      <c r="V697" s="109" t="n">
        <v>1526</v>
      </c>
      <c r="W697" s="109" t="n"/>
      <c r="X697" s="109" t="n"/>
      <c r="Y697" s="109" t="n"/>
      <c r="Z697" s="109" t="n"/>
      <c r="AA697" s="109" t="n"/>
      <c r="AB697" s="109" t="n"/>
      <c r="AC697" s="109" t="inlineStr">
        <is>
          <t>US DC Chair Cover</t>
        </is>
      </c>
      <c r="AD697" s="109">
        <f>'US DC Chair Cover'!BC69</f>
        <v/>
      </c>
      <c r="AE697" s="109">
        <f>'US DC Chair Cover'!BF69</f>
        <v/>
      </c>
      <c r="AF697" s="109" t="n"/>
      <c r="AG697" s="109" t="n"/>
    </row>
    <row r="698">
      <c r="A698" s="109">
        <f>AND(OR(Dashboard!$C$4="All",Dashboard!$C$4=D698),OR(Dashboard!$C$5="All",Dashboard!$C$5=E698),OR(Dashboard!$C$6="All",Dashboard!$C$6=G698),OR(Dashboard!$C$7="All",Dashboard!$C$7=H698),OR(Dashboard!$C$8="All",Dashboard!$C$8=F698))</f>
        <v/>
      </c>
      <c r="B698" s="109">
        <f>IF(A698,B697+1,B697)</f>
        <v/>
      </c>
      <c r="C698" s="109" t="n">
        <v>33</v>
      </c>
      <c r="D698" s="109" t="inlineStr">
        <is>
          <t>DC Chair Cover</t>
        </is>
      </c>
      <c r="E698" s="109" t="inlineStr">
        <is>
          <t>US</t>
        </is>
      </c>
      <c r="F698" s="109" t="inlineStr">
        <is>
          <t>Other</t>
        </is>
      </c>
      <c r="G698" s="109" t="inlineStr">
        <is>
          <t>YEMYHOM</t>
        </is>
      </c>
      <c r="H698" s="109" t="inlineStr">
        <is>
          <t>Beatable</t>
        </is>
      </c>
      <c r="I698" s="109" t="inlineStr">
        <is>
          <t>Waterproof Chair Cover</t>
        </is>
      </c>
      <c r="J698" s="109" t="n"/>
      <c r="K698" s="109" t="inlineStr">
        <is>
          <t>B0DM8Y65RT</t>
        </is>
      </c>
      <c r="L698" s="109" t="inlineStr">
        <is>
          <t>B0895VM7KG</t>
        </is>
      </c>
      <c r="M698" s="109" t="n"/>
      <c r="N698" s="109" t="n">
        <v>9.99</v>
      </c>
      <c r="O698" s="109" t="n"/>
      <c r="P698" s="109">
        <f>IF(AND(ISNUMBER(O698),ISNUMBER(N698),N(N698)&gt;0),O698/N698-1,"")</f>
        <v/>
      </c>
      <c r="Q698" s="109" t="n">
        <v>25.24</v>
      </c>
      <c r="R698" s="109">
        <f>IF(AND(ISNUMBER(N698),ISNUMBER(Q698),N(Q698)&gt;0),N698/Q698-1,"")</f>
        <v/>
      </c>
      <c r="S698" s="109" t="n">
        <v>49521</v>
      </c>
      <c r="T698" s="109" t="n">
        <v>18</v>
      </c>
      <c r="U698" s="109" t="n">
        <v>4.6</v>
      </c>
      <c r="V698" s="109" t="n">
        <v>1638</v>
      </c>
      <c r="W698" s="109" t="n"/>
      <c r="X698" s="109" t="n"/>
      <c r="Y698" s="109" t="n"/>
      <c r="Z698" s="109" t="n"/>
      <c r="AA698" s="109" t="n"/>
      <c r="AB698" s="109" t="n"/>
      <c r="AC698" s="109" t="inlineStr">
        <is>
          <t>US DC Chair Cover</t>
        </is>
      </c>
      <c r="AD698" s="109">
        <f>'US DC Chair Cover'!BC70</f>
        <v/>
      </c>
      <c r="AE698" s="109">
        <f>'US DC Chair Cover'!BF70</f>
        <v/>
      </c>
      <c r="AF698" s="109" t="n"/>
      <c r="AG698" s="109" t="n"/>
    </row>
    <row r="699">
      <c r="A699" s="109">
        <f>AND(OR(Dashboard!$C$4="All",Dashboard!$C$4=D699),OR(Dashboard!$C$5="All",Dashboard!$C$5=E699),OR(Dashboard!$C$6="All",Dashboard!$C$6=G699),OR(Dashboard!$C$7="All",Dashboard!$C$7=H699),OR(Dashboard!$C$8="All",Dashboard!$C$8=F699))</f>
        <v/>
      </c>
      <c r="B699" s="109">
        <f>IF(A699,B698+1,B698)</f>
        <v/>
      </c>
      <c r="C699" s="109" t="n">
        <v>33</v>
      </c>
      <c r="D699" s="109" t="inlineStr">
        <is>
          <t>DC Chair Cover</t>
        </is>
      </c>
      <c r="E699" s="109" t="inlineStr">
        <is>
          <t>US</t>
        </is>
      </c>
      <c r="F699" s="109" t="inlineStr">
        <is>
          <t>Other</t>
        </is>
      </c>
      <c r="G699" s="109" t="inlineStr">
        <is>
          <t>FORCHEER</t>
        </is>
      </c>
      <c r="H699" s="109" t="inlineStr">
        <is>
          <t>Beatable</t>
        </is>
      </c>
      <c r="I699" s="109" t="inlineStr">
        <is>
          <t>Waterproof Chair Cover</t>
        </is>
      </c>
      <c r="J699" s="109" t="n"/>
      <c r="K699" s="109" t="inlineStr">
        <is>
          <t>B07YDFJ5K2</t>
        </is>
      </c>
      <c r="L699" s="109" t="inlineStr">
        <is>
          <t>B0DD37H251</t>
        </is>
      </c>
      <c r="M699" s="109" t="n"/>
      <c r="N699" s="109" t="n">
        <v>16.99</v>
      </c>
      <c r="O699" s="109" t="n"/>
      <c r="P699" s="109">
        <f>IF(AND(ISNUMBER(O699),ISNUMBER(N699),N(N699)&gt;0),O699/N699-1,"")</f>
        <v/>
      </c>
      <c r="Q699" s="109" t="n">
        <v>25.24</v>
      </c>
      <c r="R699" s="109">
        <f>IF(AND(ISNUMBER(N699),ISNUMBER(Q699),N(Q699)&gt;0),N699/Q699-1,"")</f>
        <v/>
      </c>
      <c r="S699" s="109" t="n">
        <v>183734</v>
      </c>
      <c r="T699" s="109" t="n">
        <v>5</v>
      </c>
      <c r="U699" s="109" t="n">
        <v>4.6</v>
      </c>
      <c r="V699" s="109" t="n">
        <v>1385</v>
      </c>
      <c r="W699" s="109" t="n"/>
      <c r="X699" s="109" t="n"/>
      <c r="Y699" s="109" t="n"/>
      <c r="Z699" s="109" t="n"/>
      <c r="AA699" s="109" t="n"/>
      <c r="AB699" s="109" t="n"/>
      <c r="AC699" s="109" t="inlineStr">
        <is>
          <t>US DC Chair Cover</t>
        </is>
      </c>
      <c r="AD699" s="109">
        <f>'US DC Chair Cover'!BC71</f>
        <v/>
      </c>
      <c r="AE699" s="109">
        <f>'US DC Chair Cover'!BF71</f>
        <v/>
      </c>
      <c r="AF699" s="109" t="n"/>
      <c r="AG699" s="109" t="n"/>
    </row>
    <row r="700">
      <c r="A700" s="109">
        <f>AND(OR(Dashboard!$C$4="All",Dashboard!$C$4=D700),OR(Dashboard!$C$5="All",Dashboard!$C$5=E700),OR(Dashboard!$C$6="All",Dashboard!$C$6=G700),OR(Dashboard!$C$7="All",Dashboard!$C$7=H700),OR(Dashboard!$C$8="All",Dashboard!$C$8=F700))</f>
        <v/>
      </c>
      <c r="B700" s="109">
        <f>IF(A700,B699+1,B699)</f>
        <v/>
      </c>
      <c r="C700" s="109" t="n">
        <v>33</v>
      </c>
      <c r="D700" s="109" t="inlineStr">
        <is>
          <t>DC Chair Cover</t>
        </is>
      </c>
      <c r="E700" s="109" t="inlineStr">
        <is>
          <t>US</t>
        </is>
      </c>
      <c r="F700" s="109" t="inlineStr">
        <is>
          <t>Other</t>
        </is>
      </c>
      <c r="G700" s="109" t="inlineStr">
        <is>
          <t>Secgo</t>
        </is>
      </c>
      <c r="H700" s="109" t="inlineStr">
        <is>
          <t>Beatable</t>
        </is>
      </c>
      <c r="I700" s="109" t="inlineStr">
        <is>
          <t>Waterproof Chair Cover</t>
        </is>
      </c>
      <c r="J700" s="109" t="n"/>
      <c r="K700" s="109" t="inlineStr">
        <is>
          <t>B0DNTT71SM</t>
        </is>
      </c>
      <c r="L700" s="109" t="inlineStr">
        <is>
          <t>B0CYSX48KJ</t>
        </is>
      </c>
      <c r="M700" s="109" t="n"/>
      <c r="N700" s="109" t="n">
        <v>9.48</v>
      </c>
      <c r="O700" s="109" t="n"/>
      <c r="P700" s="109">
        <f>IF(AND(ISNUMBER(O700),ISNUMBER(N700),N(N700)&gt;0),O700/N700-1,"")</f>
        <v/>
      </c>
      <c r="Q700" s="109" t="n">
        <v>25.24</v>
      </c>
      <c r="R700" s="109">
        <f>IF(AND(ISNUMBER(N700),ISNUMBER(Q700),N(Q700)&gt;0),N700/Q700-1,"")</f>
        <v/>
      </c>
      <c r="S700" s="109" t="n">
        <v>146727</v>
      </c>
      <c r="T700" s="109" t="n">
        <v>5</v>
      </c>
      <c r="U700" s="109" t="n">
        <v>4.6</v>
      </c>
      <c r="V700" s="109" t="n">
        <v>837</v>
      </c>
      <c r="W700" s="109" t="n"/>
      <c r="X700" s="109" t="n"/>
      <c r="Y700" s="109" t="n"/>
      <c r="Z700" s="109" t="n"/>
      <c r="AA700" s="109" t="n"/>
      <c r="AB700" s="109" t="n"/>
      <c r="AC700" s="109" t="inlineStr">
        <is>
          <t>US DC Chair Cover</t>
        </is>
      </c>
      <c r="AD700" s="109">
        <f>'US DC Chair Cover'!BC72</f>
        <v/>
      </c>
      <c r="AE700" s="109">
        <f>'US DC Chair Cover'!BF72</f>
        <v/>
      </c>
      <c r="AF700" s="109" t="n"/>
      <c r="AG700" s="109" t="n"/>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C297"/>
  <sheetViews>
    <sheetView showGridLines="0" workbookViewId="0">
      <selection activeCell="A1" sqref="A1"/>
    </sheetView>
  </sheetViews>
  <sheetFormatPr baseColWidth="8" defaultRowHeight="15"/>
  <cols>
    <col width="40" customWidth="1" min="1" max="1"/>
    <col width="50" customWidth="1" min="2" max="2"/>
    <col width="50" customWidth="1" min="3" max="3"/>
  </cols>
  <sheetData>
    <row r="1">
      <c r="A1" s="44" t="inlineStr">
        <is>
          <t>Gap</t>
        </is>
      </c>
      <c r="B1" s="44" t="inlineStr">
        <is>
          <t>Why it matters</t>
        </is>
      </c>
      <c r="C1" s="44" t="inlineStr">
        <is>
          <t>How to fill it (AGENT_PROMPTS.md)</t>
        </is>
      </c>
    </row>
    <row r="2">
      <c r="A2" s="45" t="inlineStr">
        <is>
          <t>Competitors' BFCM 2025 deal type, dates, prices, discount, BSR change</t>
        </is>
      </c>
      <c r="B2" s="45" t="inlineStr">
        <is>
          <t>Core of the lift forecast and deal-depth benchmark</t>
        </is>
      </c>
      <c r="C2" s="45" t="inlineStr">
        <is>
          <t>Prompt 1 (Keepa history) + Prompt 4 (Keepa deals)</t>
        </is>
      </c>
    </row>
    <row r="3">
      <c r="A3" s="45" t="inlineStr">
        <is>
          <t>Competitor variation detail: every child ASIN with colour, size, price and image</t>
        </is>
      </c>
      <c r="B3" s="45" t="inlineStr">
        <is>
          <t>Command Center and Data Dive hold one tracked child per competitor plus the variation count only</t>
        </is>
      </c>
      <c r="C3" s="45" t="inlineStr">
        <is>
          <t>Prompt 10 (Keepa variations)</t>
        </is>
      </c>
    </row>
    <row r="4">
      <c r="A4" s="45" t="inlineStr">
        <is>
          <t>Competitor images missing: 286 competitor rows</t>
        </is>
      </c>
      <c r="B4" s="45" t="inlineStr">
        <is>
          <t>No verified image URL in Data Dive for these ASINs</t>
        </is>
      </c>
      <c r="C4" s="45" t="inlineStr">
        <is>
          <t>Prompt 10 returns images for every child; list below</t>
        </is>
      </c>
    </row>
    <row r="5">
      <c r="A5" s="45" t="inlineStr">
        <is>
          <t>Whether the strikethrough shows today, and its label</t>
        </is>
      </c>
      <c r="B5" s="45" t="inlineStr">
        <is>
          <t>Command Center holds List Price, not whether Amazon shows it</t>
        </is>
      </c>
      <c r="C5" s="45" t="inlineStr">
        <is>
          <t>Prompt 5 (STR Panel / page check)</t>
        </is>
      </c>
    </row>
    <row r="6">
      <c r="A6" s="45" t="inlineStr">
        <is>
          <t>Canada competitor set</t>
        </is>
      </c>
      <c r="B6" s="45" t="inlineStr">
        <is>
          <t>No Amazon.ca competitor snapshots in the Command Center</t>
        </is>
      </c>
      <c r="C6" s="45" t="inlineStr">
        <is>
          <t>Prompt 9</t>
        </is>
      </c>
    </row>
    <row r="7">
      <c r="A7" s="45" t="inlineStr">
        <is>
          <t>Our BFCM 2025 deals and stock-outs</t>
        </is>
      </c>
      <c r="B7" s="45" t="inlineStr">
        <is>
          <t>To read our 2025 lift fairly</t>
        </is>
      </c>
      <c r="C7" s="45" t="inlineStr">
        <is>
          <t>Prompts 6 and 7</t>
        </is>
      </c>
    </row>
    <row r="8">
      <c r="A8" s="45" t="inlineStr">
        <is>
          <t>Our 2026 deal plan per product</t>
        </is>
      </c>
      <c r="B8" s="45" t="inlineStr">
        <is>
          <t>Undercut flags and the forecast scenario</t>
        </is>
      </c>
      <c r="C8" s="45" t="inlineStr">
        <is>
          <t>Prompt 8</t>
        </is>
      </c>
    </row>
    <row r="9">
      <c r="A9" s="45" t="inlineStr">
        <is>
          <t>Image files for the web dashboard</t>
        </is>
      </c>
      <c r="B9" s="45" t="inlineStr">
        <is>
          <t>The web dashboard cannot load images from Amazon; it needs the files</t>
        </is>
      </c>
      <c r="C9" s="45" t="inlineStr">
        <is>
          <t>Prompt 11 (download image_request.csv)</t>
        </is>
      </c>
    </row>
    <row r="11">
      <c r="A11" s="110" t="inlineStr">
        <is>
          <t>Competitor rows with no verified image</t>
        </is>
      </c>
    </row>
    <row r="12">
      <c r="A12" s="111" t="inlineStr">
        <is>
          <t>CL Cooling Sheets</t>
        </is>
      </c>
      <c r="B12" s="111" t="inlineStr">
        <is>
          <t>Bedsure</t>
        </is>
      </c>
      <c r="C12" s="111" t="inlineStr">
        <is>
          <t>B0CPDR5DDM</t>
        </is>
      </c>
    </row>
    <row r="13">
      <c r="A13" s="111" t="inlineStr">
        <is>
          <t>CL Cooling Sheets</t>
        </is>
      </c>
      <c r="B13" s="111" t="inlineStr">
        <is>
          <t>Breescape</t>
        </is>
      </c>
      <c r="C13" s="111" t="inlineStr">
        <is>
          <t>B0DSPYXPSP</t>
        </is>
      </c>
    </row>
    <row r="14">
      <c r="A14" s="111" t="inlineStr">
        <is>
          <t>CL Cooling Sheets</t>
        </is>
      </c>
      <c r="B14" s="111" t="inlineStr">
        <is>
          <t>Breescape</t>
        </is>
      </c>
      <c r="C14" s="111" t="inlineStr">
        <is>
          <t>B0DSPZJKTB</t>
        </is>
      </c>
    </row>
    <row r="15">
      <c r="A15" s="111" t="inlineStr">
        <is>
          <t>CL Cooling Sheets</t>
        </is>
      </c>
      <c r="B15" s="111" t="inlineStr">
        <is>
          <t>Breescape</t>
        </is>
      </c>
      <c r="C15" s="111" t="inlineStr">
        <is>
          <t>B0DSQ26RH3</t>
        </is>
      </c>
    </row>
    <row r="16">
      <c r="A16" s="111" t="inlineStr">
        <is>
          <t>CL Cooling Sheets</t>
        </is>
      </c>
      <c r="B16" s="111" t="inlineStr">
        <is>
          <t>Brookstone</t>
        </is>
      </c>
      <c r="C16" s="111" t="inlineStr">
        <is>
          <t>B0CTKM53QJ</t>
        </is>
      </c>
    </row>
    <row r="17">
      <c r="A17" s="111" t="inlineStr">
        <is>
          <t>CL Cooling Sheets</t>
        </is>
      </c>
      <c r="B17" s="111" t="inlineStr">
        <is>
          <t>CGK Unlimited</t>
        </is>
      </c>
      <c r="C17" s="111" t="inlineStr">
        <is>
          <t>B0FT4TC7NV</t>
        </is>
      </c>
    </row>
    <row r="18">
      <c r="A18" s="111" t="inlineStr">
        <is>
          <t>CL Cooling Sheets</t>
        </is>
      </c>
      <c r="B18" s="111" t="inlineStr">
        <is>
          <t>Comfort Spaces</t>
        </is>
      </c>
      <c r="C18" s="111" t="inlineStr">
        <is>
          <t>B09GV8SK79</t>
        </is>
      </c>
    </row>
    <row r="19">
      <c r="A19" s="111" t="inlineStr">
        <is>
          <t>CL Cooling Sheets</t>
        </is>
      </c>
      <c r="B19" s="111" t="inlineStr">
        <is>
          <t>DOWNCOOL</t>
        </is>
      </c>
      <c r="C19" s="111" t="inlineStr">
        <is>
          <t>B0F93XRVSZ</t>
        </is>
      </c>
    </row>
    <row r="20">
      <c r="A20" s="111" t="inlineStr">
        <is>
          <t>CL Cooling Sheets</t>
        </is>
      </c>
      <c r="B20" s="111" t="inlineStr">
        <is>
          <t>Elegear</t>
        </is>
      </c>
      <c r="C20" s="111" t="inlineStr">
        <is>
          <t>B0GCGXW1WT</t>
        </is>
      </c>
    </row>
    <row r="21">
      <c r="A21" s="111" t="inlineStr">
        <is>
          <t>CL Cooling Sheets</t>
        </is>
      </c>
      <c r="B21" s="111" t="inlineStr">
        <is>
          <t>OMERAI</t>
        </is>
      </c>
      <c r="C21" s="111" t="inlineStr">
        <is>
          <t>B0FX8K1CG9</t>
        </is>
      </c>
    </row>
    <row r="22">
      <c r="A22" s="111" t="inlineStr">
        <is>
          <t>CL Cooling Sheets</t>
        </is>
      </c>
      <c r="B22" s="111" t="inlineStr">
        <is>
          <t>REST</t>
        </is>
      </c>
      <c r="C22" s="111" t="inlineStr">
        <is>
          <t>B0D25LDRPS</t>
        </is>
      </c>
    </row>
    <row r="23">
      <c r="A23" s="111" t="inlineStr">
        <is>
          <t>CL Cooling Sheets</t>
        </is>
      </c>
      <c r="B23" s="111" t="inlineStr">
        <is>
          <t>REST</t>
        </is>
      </c>
      <c r="C23" s="111" t="inlineStr">
        <is>
          <t>B0D9JHBBCZ</t>
        </is>
      </c>
    </row>
    <row r="24">
      <c r="A24" s="111" t="inlineStr">
        <is>
          <t>CL Cooling Sheets</t>
        </is>
      </c>
      <c r="B24" s="111" t="inlineStr">
        <is>
          <t>SHEEX</t>
        </is>
      </c>
      <c r="C24" s="111" t="inlineStr">
        <is>
          <t>B00EWJHJU4</t>
        </is>
      </c>
    </row>
    <row r="25">
      <c r="A25" s="111" t="inlineStr">
        <is>
          <t>CL Pillowcases</t>
        </is>
      </c>
      <c r="B25" s="111" t="inlineStr">
        <is>
          <t>Avolare</t>
        </is>
      </c>
      <c r="C25" s="111" t="inlineStr">
        <is>
          <t>B08TBL21VT</t>
        </is>
      </c>
    </row>
    <row r="26">
      <c r="A26" s="111" t="inlineStr">
        <is>
          <t>CL Pillowcases</t>
        </is>
      </c>
      <c r="B26" s="111" t="inlineStr">
        <is>
          <t>Breescape</t>
        </is>
      </c>
      <c r="C26" s="111" t="inlineStr">
        <is>
          <t>B0DSQ12L6F</t>
        </is>
      </c>
    </row>
    <row r="27">
      <c r="A27" s="111" t="inlineStr">
        <is>
          <t>CL Pillowcases</t>
        </is>
      </c>
      <c r="B27" s="111" t="inlineStr">
        <is>
          <t>Coop Home Goods</t>
        </is>
      </c>
      <c r="C27" s="111" t="inlineStr">
        <is>
          <t>B08B448344</t>
        </is>
      </c>
    </row>
    <row r="28">
      <c r="A28" s="111" t="inlineStr">
        <is>
          <t>CL Pillowcases</t>
        </is>
      </c>
      <c r="B28" s="111" t="inlineStr">
        <is>
          <t>Elegear</t>
        </is>
      </c>
      <c r="C28" s="111" t="inlineStr">
        <is>
          <t>B07TMF54XC</t>
        </is>
      </c>
    </row>
    <row r="29">
      <c r="A29" s="111" t="inlineStr">
        <is>
          <t>CL Pillowcases</t>
        </is>
      </c>
      <c r="B29" s="111" t="inlineStr">
        <is>
          <t>LUXEAR</t>
        </is>
      </c>
      <c r="C29" s="111" t="inlineStr">
        <is>
          <t>B07V6SKZ7V</t>
        </is>
      </c>
    </row>
    <row r="30">
      <c r="A30" s="111" t="inlineStr">
        <is>
          <t>CL Pillowcases</t>
        </is>
      </c>
      <c r="B30" s="111" t="inlineStr">
        <is>
          <t>Marchpower</t>
        </is>
      </c>
      <c r="C30" s="111" t="inlineStr">
        <is>
          <t>B095GTMX4Y</t>
        </is>
      </c>
    </row>
    <row r="31">
      <c r="A31" s="111" t="inlineStr">
        <is>
          <t>CL Pillowcases</t>
        </is>
      </c>
      <c r="B31" s="111" t="inlineStr">
        <is>
          <t>Topcee</t>
        </is>
      </c>
      <c r="C31" s="111" t="inlineStr">
        <is>
          <t>B0BR9J5DGW</t>
        </is>
      </c>
    </row>
    <row r="32">
      <c r="A32" s="111" t="inlineStr">
        <is>
          <t>DC B4</t>
        </is>
      </c>
      <c r="B32" s="111" t="inlineStr">
        <is>
          <t>AiAngu</t>
        </is>
      </c>
      <c r="C32" s="111" t="inlineStr">
        <is>
          <t>B0GX15Y7TT</t>
        </is>
      </c>
    </row>
    <row r="33">
      <c r="A33" s="111" t="inlineStr">
        <is>
          <t>DC B4</t>
        </is>
      </c>
      <c r="B33" s="111" t="inlineStr">
        <is>
          <t>Amazon Basics</t>
        </is>
      </c>
      <c r="C33" s="111" t="inlineStr">
        <is>
          <t>B0GFHGS4DP</t>
        </is>
      </c>
    </row>
    <row r="34">
      <c r="A34" s="111" t="inlineStr">
        <is>
          <t>DC B4</t>
        </is>
      </c>
      <c r="B34" s="111" t="inlineStr">
        <is>
          <t>BAMPURE</t>
        </is>
      </c>
      <c r="C34" s="111" t="inlineStr">
        <is>
          <t>B07XC2KVM7</t>
        </is>
      </c>
    </row>
    <row r="35">
      <c r="A35" s="111" t="inlineStr">
        <is>
          <t>DC B4</t>
        </is>
      </c>
      <c r="B35" s="111" t="inlineStr">
        <is>
          <t>BC BELLA COTERIE</t>
        </is>
      </c>
      <c r="C35" s="111" t="inlineStr">
        <is>
          <t>B0G674ZDTV</t>
        </is>
      </c>
    </row>
    <row r="36">
      <c r="A36" s="111" t="inlineStr">
        <is>
          <t>DC B4</t>
        </is>
      </c>
      <c r="B36" s="111" t="inlineStr">
        <is>
          <t>BEDELITE</t>
        </is>
      </c>
      <c r="C36" s="111" t="inlineStr">
        <is>
          <t>B0GT8Z4X5D</t>
        </is>
      </c>
    </row>
    <row r="37">
      <c r="A37" s="111" t="inlineStr">
        <is>
          <t>DC B4</t>
        </is>
      </c>
      <c r="B37" s="111" t="inlineStr">
        <is>
          <t>Bamboo Bay</t>
        </is>
      </c>
      <c r="C37" s="111" t="inlineStr">
        <is>
          <t>B07TBHLZJM</t>
        </is>
      </c>
    </row>
    <row r="38">
      <c r="A38" s="111" t="inlineStr">
        <is>
          <t>DC B4</t>
        </is>
      </c>
      <c r="B38" s="111" t="inlineStr">
        <is>
          <t>Bamboo Bay</t>
        </is>
      </c>
      <c r="C38" s="111" t="inlineStr">
        <is>
          <t>B08M9QK14J</t>
        </is>
      </c>
    </row>
    <row r="39">
      <c r="A39" s="111" t="inlineStr">
        <is>
          <t>DC B4</t>
        </is>
      </c>
      <c r="B39" s="111" t="inlineStr">
        <is>
          <t>Bamtek</t>
        </is>
      </c>
      <c r="C39" s="111" t="inlineStr">
        <is>
          <t>B09TQ6ZVKZ</t>
        </is>
      </c>
    </row>
    <row r="40">
      <c r="A40" s="111" t="inlineStr">
        <is>
          <t>DC B4</t>
        </is>
      </c>
      <c r="B40" s="111" t="inlineStr">
        <is>
          <t>Brooklyn Loom</t>
        </is>
      </c>
      <c r="C40" s="111" t="inlineStr">
        <is>
          <t>B0FQ8JCH46</t>
        </is>
      </c>
    </row>
    <row r="41">
      <c r="A41" s="111" t="inlineStr">
        <is>
          <t>DC B4</t>
        </is>
      </c>
      <c r="B41" s="111" t="inlineStr">
        <is>
          <t>California Design Den</t>
        </is>
      </c>
      <c r="C41" s="111" t="inlineStr">
        <is>
          <t>B0GWHPJ9SD</t>
        </is>
      </c>
    </row>
    <row r="42">
      <c r="A42" s="111" t="inlineStr">
        <is>
          <t>DC B4</t>
        </is>
      </c>
      <c r="B42" s="111" t="inlineStr">
        <is>
          <t>Davmabcjy</t>
        </is>
      </c>
      <c r="C42" s="111" t="inlineStr">
        <is>
          <t>B0GXJYQR7H</t>
        </is>
      </c>
    </row>
    <row r="43">
      <c r="A43" s="111" t="inlineStr">
        <is>
          <t>DC B4</t>
        </is>
      </c>
      <c r="B43" s="111" t="inlineStr">
        <is>
          <t>KAKIJUMN</t>
        </is>
      </c>
      <c r="C43" s="111" t="inlineStr">
        <is>
          <t>B0H1MNZ16Z</t>
        </is>
      </c>
    </row>
    <row r="44">
      <c r="A44" s="111" t="inlineStr">
        <is>
          <t>DC B4</t>
        </is>
      </c>
      <c r="B44" s="111" t="inlineStr">
        <is>
          <t>LB Luxury Bamboo Market</t>
        </is>
      </c>
      <c r="C44" s="111" t="inlineStr">
        <is>
          <t>B0CH7N9WVC</t>
        </is>
      </c>
    </row>
    <row r="45">
      <c r="A45" s="111" t="inlineStr">
        <is>
          <t>DC B4</t>
        </is>
      </c>
      <c r="B45" s="111" t="inlineStr">
        <is>
          <t>LBRO2M</t>
        </is>
      </c>
      <c r="C45" s="111" t="inlineStr">
        <is>
          <t>B0F9FK7SMW</t>
        </is>
      </c>
    </row>
    <row r="46">
      <c r="A46" s="111" t="inlineStr">
        <is>
          <t>DC B4</t>
        </is>
      </c>
      <c r="B46" s="111" t="inlineStr">
        <is>
          <t>MRIDU</t>
        </is>
      </c>
      <c r="C46" s="111" t="inlineStr">
        <is>
          <t>B0GSXRR9DN</t>
        </is>
      </c>
    </row>
    <row r="47">
      <c r="A47" s="111" t="inlineStr">
        <is>
          <t>DC B4</t>
        </is>
      </c>
      <c r="B47" s="111" t="inlineStr">
        <is>
          <t>Pillcase</t>
        </is>
      </c>
      <c r="C47" s="111" t="inlineStr">
        <is>
          <t>B0H1BWY4MD</t>
        </is>
      </c>
    </row>
    <row r="48">
      <c r="A48" s="111" t="inlineStr">
        <is>
          <t>DC B4</t>
        </is>
      </c>
      <c r="B48" s="111" t="inlineStr">
        <is>
          <t>Pillcase</t>
        </is>
      </c>
      <c r="C48" s="111" t="inlineStr">
        <is>
          <t>B0HFZQRXXQ</t>
        </is>
      </c>
    </row>
    <row r="49">
      <c r="A49" s="111" t="inlineStr">
        <is>
          <t>DC B4</t>
        </is>
      </c>
      <c r="B49" s="111" t="inlineStr">
        <is>
          <t>Pillcase</t>
        </is>
      </c>
      <c r="C49" s="111" t="inlineStr">
        <is>
          <t>B0HJYG8V9Q</t>
        </is>
      </c>
    </row>
    <row r="50">
      <c r="A50" s="111" t="inlineStr">
        <is>
          <t>DC B4</t>
        </is>
      </c>
      <c r="B50" s="111" t="inlineStr">
        <is>
          <t>TRUE BAMBOO</t>
        </is>
      </c>
      <c r="C50" s="111" t="inlineStr">
        <is>
          <t>B0HD7R5L1D</t>
        </is>
      </c>
    </row>
    <row r="51">
      <c r="A51" s="111" t="inlineStr">
        <is>
          <t>DC B4</t>
        </is>
      </c>
      <c r="B51" s="111" t="inlineStr">
        <is>
          <t>TWK</t>
        </is>
      </c>
      <c r="C51" s="111" t="inlineStr">
        <is>
          <t>B0GW7H7RHY</t>
        </is>
      </c>
    </row>
    <row r="52">
      <c r="A52" s="111" t="inlineStr">
        <is>
          <t>DC B4</t>
        </is>
      </c>
      <c r="B52" s="111" t="inlineStr">
        <is>
          <t>TWK</t>
        </is>
      </c>
      <c r="C52" s="111" t="inlineStr">
        <is>
          <t>B0HHRR4XGX</t>
        </is>
      </c>
    </row>
    <row r="53">
      <c r="A53" s="111" t="inlineStr">
        <is>
          <t>DC B4</t>
        </is>
      </c>
      <c r="B53" s="111" t="inlineStr">
        <is>
          <t>Tafts</t>
        </is>
      </c>
      <c r="C53" s="111" t="inlineStr">
        <is>
          <t>B07YSVNCVT</t>
        </is>
      </c>
    </row>
    <row r="54">
      <c r="A54" s="111" t="inlineStr">
        <is>
          <t>DC B4</t>
        </is>
      </c>
      <c r="B54" s="111" t="inlineStr">
        <is>
          <t>Vesta</t>
        </is>
      </c>
      <c r="C54" s="111" t="inlineStr">
        <is>
          <t>B0DM214YG3</t>
        </is>
      </c>
    </row>
    <row r="55">
      <c r="A55" s="111" t="inlineStr">
        <is>
          <t>DC B6</t>
        </is>
      </c>
      <c r="B55" s="111" t="inlineStr">
        <is>
          <t>AiAngu</t>
        </is>
      </c>
      <c r="C55" s="111" t="inlineStr">
        <is>
          <t>B0GX15Y7TT</t>
        </is>
      </c>
    </row>
    <row r="56">
      <c r="A56" s="111" t="inlineStr">
        <is>
          <t>DC B6</t>
        </is>
      </c>
      <c r="B56" s="111" t="inlineStr">
        <is>
          <t>BAMPURE</t>
        </is>
      </c>
      <c r="C56" s="111" t="inlineStr">
        <is>
          <t>B07XC2KVM7</t>
        </is>
      </c>
    </row>
    <row r="57">
      <c r="A57" s="111" t="inlineStr">
        <is>
          <t>DC B6</t>
        </is>
      </c>
      <c r="B57" s="111" t="inlineStr">
        <is>
          <t>BC BELLA COTERIE</t>
        </is>
      </c>
      <c r="C57" s="111" t="inlineStr">
        <is>
          <t>B0G674ZDTV</t>
        </is>
      </c>
    </row>
    <row r="58">
      <c r="A58" s="111" t="inlineStr">
        <is>
          <t>DC B6</t>
        </is>
      </c>
      <c r="B58" s="111" t="inlineStr">
        <is>
          <t>BEDELITE</t>
        </is>
      </c>
      <c r="C58" s="111" t="inlineStr">
        <is>
          <t>B0GT8Z4X5D</t>
        </is>
      </c>
    </row>
    <row r="59">
      <c r="A59" s="111" t="inlineStr">
        <is>
          <t>DC B6</t>
        </is>
      </c>
      <c r="B59" s="111" t="inlineStr">
        <is>
          <t>Bamboo Bay</t>
        </is>
      </c>
      <c r="C59" s="111" t="inlineStr">
        <is>
          <t>B07TBHLZJM</t>
        </is>
      </c>
    </row>
    <row r="60">
      <c r="A60" s="111" t="inlineStr">
        <is>
          <t>DC B6</t>
        </is>
      </c>
      <c r="B60" s="111" t="inlineStr">
        <is>
          <t>Bamboo Bay</t>
        </is>
      </c>
      <c r="C60" s="111" t="inlineStr">
        <is>
          <t>B08M9QK14J</t>
        </is>
      </c>
    </row>
    <row r="61">
      <c r="A61" s="111" t="inlineStr">
        <is>
          <t>DC B6</t>
        </is>
      </c>
      <c r="B61" s="111" t="inlineStr">
        <is>
          <t>Bamtek</t>
        </is>
      </c>
      <c r="C61" s="111" t="inlineStr">
        <is>
          <t>B09TQ6ZVKZ</t>
        </is>
      </c>
    </row>
    <row r="62">
      <c r="A62" s="111" t="inlineStr">
        <is>
          <t>DC B6</t>
        </is>
      </c>
      <c r="B62" s="111" t="inlineStr">
        <is>
          <t>California Design Den</t>
        </is>
      </c>
      <c r="C62" s="111" t="inlineStr">
        <is>
          <t>B0GWHPJ9SD</t>
        </is>
      </c>
    </row>
    <row r="63">
      <c r="A63" s="111" t="inlineStr">
        <is>
          <t>DC B6</t>
        </is>
      </c>
      <c r="B63" s="111" t="inlineStr">
        <is>
          <t>Davmabcjy</t>
        </is>
      </c>
      <c r="C63" s="111" t="inlineStr">
        <is>
          <t>B0GXJYQR7H</t>
        </is>
      </c>
    </row>
    <row r="64">
      <c r="A64" s="111" t="inlineStr">
        <is>
          <t>DC B6</t>
        </is>
      </c>
      <c r="B64" s="111" t="inlineStr">
        <is>
          <t>LB Luxury Bamboo Market</t>
        </is>
      </c>
      <c r="C64" s="111" t="inlineStr">
        <is>
          <t>B0CH7N9WVC</t>
        </is>
      </c>
    </row>
    <row r="65">
      <c r="A65" s="111" t="inlineStr">
        <is>
          <t>DC B6</t>
        </is>
      </c>
      <c r="B65" s="111" t="inlineStr">
        <is>
          <t>LBRO2M</t>
        </is>
      </c>
      <c r="C65" s="111" t="inlineStr">
        <is>
          <t>B0F9FK7SMW</t>
        </is>
      </c>
    </row>
    <row r="66">
      <c r="A66" s="111" t="inlineStr">
        <is>
          <t>DC B6</t>
        </is>
      </c>
      <c r="B66" s="111" t="inlineStr">
        <is>
          <t>Pillcase</t>
        </is>
      </c>
      <c r="C66" s="111" t="inlineStr">
        <is>
          <t>B0H1BWY4MD</t>
        </is>
      </c>
    </row>
    <row r="67">
      <c r="A67" s="111" t="inlineStr">
        <is>
          <t>DC B6</t>
        </is>
      </c>
      <c r="B67" s="111" t="inlineStr">
        <is>
          <t>Pillcase</t>
        </is>
      </c>
      <c r="C67" s="111" t="inlineStr">
        <is>
          <t>B0HFZQRXXQ</t>
        </is>
      </c>
    </row>
    <row r="68">
      <c r="A68" s="111" t="inlineStr">
        <is>
          <t>DC B6</t>
        </is>
      </c>
      <c r="B68" s="111" t="inlineStr">
        <is>
          <t>TRUE BAMBOO</t>
        </is>
      </c>
      <c r="C68" s="111" t="inlineStr">
        <is>
          <t>B0HD7R5L1D</t>
        </is>
      </c>
    </row>
    <row r="69">
      <c r="A69" s="111" t="inlineStr">
        <is>
          <t>DC B6</t>
        </is>
      </c>
      <c r="B69" s="111" t="inlineStr">
        <is>
          <t>TWK</t>
        </is>
      </c>
      <c r="C69" s="111" t="inlineStr">
        <is>
          <t>B0GW7H7RHY</t>
        </is>
      </c>
    </row>
    <row r="70">
      <c r="A70" s="111" t="inlineStr">
        <is>
          <t>DC B6</t>
        </is>
      </c>
      <c r="B70" s="111" t="inlineStr">
        <is>
          <t>TWK</t>
        </is>
      </c>
      <c r="C70" s="111" t="inlineStr">
        <is>
          <t>B0HHRR4XGX</t>
        </is>
      </c>
    </row>
    <row r="71">
      <c r="A71" s="111" t="inlineStr">
        <is>
          <t>DC B6</t>
        </is>
      </c>
      <c r="B71" s="111" t="inlineStr">
        <is>
          <t>Tafts</t>
        </is>
      </c>
      <c r="C71" s="111" t="inlineStr">
        <is>
          <t>B07YSVNCVT</t>
        </is>
      </c>
    </row>
    <row r="72">
      <c r="A72" s="111" t="inlineStr">
        <is>
          <t>DC B6</t>
        </is>
      </c>
      <c r="B72" s="111" t="inlineStr">
        <is>
          <t>Vesta</t>
        </is>
      </c>
      <c r="C72" s="111" t="inlineStr">
        <is>
          <t>B0DM214YG3</t>
        </is>
      </c>
    </row>
    <row r="73">
      <c r="A73" s="111" t="inlineStr">
        <is>
          <t>DC Bamboo Fitted</t>
        </is>
      </c>
      <c r="B73" s="111" t="inlineStr">
        <is>
          <t>Cozy Bliss</t>
        </is>
      </c>
      <c r="C73" s="111" t="inlineStr">
        <is>
          <t>B0DMNMPVJP</t>
        </is>
      </c>
    </row>
    <row r="74">
      <c r="A74" s="111" t="inlineStr">
        <is>
          <t>DC Bamboo Fitted</t>
        </is>
      </c>
      <c r="B74" s="111" t="inlineStr">
        <is>
          <t>REST</t>
        </is>
      </c>
      <c r="C74" s="111" t="inlineStr">
        <is>
          <t>B0D4Y6RKLL</t>
        </is>
      </c>
    </row>
    <row r="75">
      <c r="A75" s="111" t="inlineStr">
        <is>
          <t>DC Beach Towel</t>
        </is>
      </c>
      <c r="B75" s="111" t="inlineStr">
        <is>
          <t>Cape Comforts</t>
        </is>
      </c>
      <c r="C75" s="111" t="inlineStr">
        <is>
          <t>B0CNV2LF3N</t>
        </is>
      </c>
    </row>
    <row r="76">
      <c r="A76" s="111" t="inlineStr">
        <is>
          <t>DC Beach Towel</t>
        </is>
      </c>
      <c r="B76" s="111" t="inlineStr">
        <is>
          <t>Mebien touche de la nature</t>
        </is>
      </c>
      <c r="C76" s="111" t="inlineStr">
        <is>
          <t>B09WDMDJCH</t>
        </is>
      </c>
    </row>
    <row r="77">
      <c r="A77" s="111" t="inlineStr">
        <is>
          <t>DC Beach Towel</t>
        </is>
      </c>
      <c r="B77" s="111" t="inlineStr">
        <is>
          <t>Nature Is Gift</t>
        </is>
      </c>
      <c r="C77" s="111" t="inlineStr">
        <is>
          <t>B017NZZG12</t>
        </is>
      </c>
    </row>
    <row r="78">
      <c r="A78" s="111" t="inlineStr">
        <is>
          <t>DC Beach Towel</t>
        </is>
      </c>
      <c r="B78" s="111" t="inlineStr">
        <is>
          <t>Organic Cotton Mart</t>
        </is>
      </c>
      <c r="C78" s="111" t="inlineStr">
        <is>
          <t>B0961CH4WH</t>
        </is>
      </c>
    </row>
    <row r="79">
      <c r="A79" s="111" t="inlineStr">
        <is>
          <t>DC Beach Towel</t>
        </is>
      </c>
      <c r="B79" s="111" t="inlineStr">
        <is>
          <t>PARK&amp;OZ</t>
        </is>
      </c>
      <c r="C79" s="111" t="inlineStr">
        <is>
          <t>B0BN99CBK2</t>
        </is>
      </c>
    </row>
    <row r="80">
      <c r="A80" s="111" t="inlineStr">
        <is>
          <t>DC Beach Towel</t>
        </is>
      </c>
      <c r="B80" s="111" t="inlineStr">
        <is>
          <t>Salt Earth</t>
        </is>
      </c>
      <c r="C80" s="111" t="inlineStr">
        <is>
          <t>B0F3X5N9F3</t>
        </is>
      </c>
    </row>
    <row r="81">
      <c r="A81" s="111" t="inlineStr">
        <is>
          <t>DC Chair Cover</t>
        </is>
      </c>
      <c r="B81" s="111" t="inlineStr">
        <is>
          <t>BIETYONE</t>
        </is>
      </c>
      <c r="C81" s="111" t="inlineStr">
        <is>
          <t>B0DGGSVWZQ</t>
        </is>
      </c>
    </row>
    <row r="82">
      <c r="A82" s="111" t="inlineStr">
        <is>
          <t>DC Chair Cover</t>
        </is>
      </c>
      <c r="B82" s="111" t="inlineStr">
        <is>
          <t>Easy-Going</t>
        </is>
      </c>
      <c r="C82" s="111" t="inlineStr">
        <is>
          <t>B0BNHCYG6Z</t>
        </is>
      </c>
    </row>
    <row r="83">
      <c r="A83" s="111" t="inlineStr">
        <is>
          <t>DC Chair Cover</t>
        </is>
      </c>
      <c r="B83" s="111" t="inlineStr">
        <is>
          <t>FORCHEER</t>
        </is>
      </c>
      <c r="C83" s="111" t="inlineStr">
        <is>
          <t>B0DD37H251</t>
        </is>
      </c>
    </row>
    <row r="84">
      <c r="A84" s="111" t="inlineStr">
        <is>
          <t>DC Chair Cover</t>
        </is>
      </c>
      <c r="B84" s="111" t="inlineStr">
        <is>
          <t>Genina</t>
        </is>
      </c>
      <c r="C84" s="111" t="inlineStr">
        <is>
          <t>B095H7XNTP</t>
        </is>
      </c>
    </row>
    <row r="85">
      <c r="A85" s="111" t="inlineStr">
        <is>
          <t>DC Chair Cover</t>
        </is>
      </c>
      <c r="B85" s="111" t="inlineStr">
        <is>
          <t>Howhic</t>
        </is>
      </c>
      <c r="C85" s="111" t="inlineStr">
        <is>
          <t>B08GCF617Q</t>
        </is>
      </c>
    </row>
    <row r="86">
      <c r="A86" s="111" t="inlineStr">
        <is>
          <t>DC Chair Cover</t>
        </is>
      </c>
      <c r="B86" s="111" t="inlineStr">
        <is>
          <t>SPRINGRICO</t>
        </is>
      </c>
      <c r="C86" s="111" t="inlineStr">
        <is>
          <t>B08K7LPC9L</t>
        </is>
      </c>
    </row>
    <row r="87">
      <c r="A87" s="111" t="inlineStr">
        <is>
          <t>DC Chair Cover</t>
        </is>
      </c>
      <c r="B87" s="111" t="inlineStr">
        <is>
          <t>SPRINGRICO</t>
        </is>
      </c>
      <c r="C87" s="111" t="inlineStr">
        <is>
          <t>B0BLN1DSXW</t>
        </is>
      </c>
    </row>
    <row r="88">
      <c r="A88" s="111" t="inlineStr">
        <is>
          <t>DC Chair Cover</t>
        </is>
      </c>
      <c r="B88" s="111" t="inlineStr">
        <is>
          <t>SearchI</t>
        </is>
      </c>
      <c r="C88" s="111" t="inlineStr">
        <is>
          <t>B081GQBPRT</t>
        </is>
      </c>
    </row>
    <row r="89">
      <c r="A89" s="111" t="inlineStr">
        <is>
          <t>DC Chair Cover</t>
        </is>
      </c>
      <c r="B89" s="111" t="inlineStr">
        <is>
          <t>SearchI</t>
        </is>
      </c>
      <c r="C89" s="111" t="inlineStr">
        <is>
          <t>B09FL11K2J</t>
        </is>
      </c>
    </row>
    <row r="90">
      <c r="A90" s="111" t="inlineStr">
        <is>
          <t>DC Chair Cover</t>
        </is>
      </c>
      <c r="B90" s="111" t="inlineStr">
        <is>
          <t>Secgo</t>
        </is>
      </c>
      <c r="C90" s="111" t="inlineStr">
        <is>
          <t>B0CYSX48KJ</t>
        </is>
      </c>
    </row>
    <row r="91">
      <c r="A91" s="111" t="inlineStr">
        <is>
          <t>DC Chair Cover</t>
        </is>
      </c>
      <c r="B91" s="111" t="inlineStr">
        <is>
          <t>YEMYHOM</t>
        </is>
      </c>
      <c r="C91" s="111" t="inlineStr">
        <is>
          <t>B0895VM7KG</t>
        </is>
      </c>
    </row>
    <row r="92">
      <c r="A92" s="111" t="inlineStr">
        <is>
          <t>DC Cooling 4pc</t>
        </is>
      </c>
      <c r="B92" s="111" t="inlineStr">
        <is>
          <t>BAMPURE</t>
        </is>
      </c>
      <c r="C92" s="111" t="inlineStr">
        <is>
          <t>B07XC2KVM7</t>
        </is>
      </c>
    </row>
    <row r="93">
      <c r="A93" s="111" t="inlineStr">
        <is>
          <t>DC Cooling 4pc</t>
        </is>
      </c>
      <c r="B93" s="111" t="inlineStr">
        <is>
          <t>BC BELLA COTERIE</t>
        </is>
      </c>
      <c r="C93" s="111" t="inlineStr">
        <is>
          <t>B0G674ZDTV</t>
        </is>
      </c>
    </row>
    <row r="94">
      <c r="A94" s="111" t="inlineStr">
        <is>
          <t>DC Cooling 4pc</t>
        </is>
      </c>
      <c r="B94" s="111" t="inlineStr">
        <is>
          <t>Bedlifes</t>
        </is>
      </c>
      <c r="C94" s="111" t="inlineStr">
        <is>
          <t>B0894QH86C</t>
        </is>
      </c>
    </row>
    <row r="95">
      <c r="A95" s="111" t="inlineStr">
        <is>
          <t>DC Cooling 4pc</t>
        </is>
      </c>
      <c r="B95" s="111" t="inlineStr">
        <is>
          <t>Bedsure</t>
        </is>
      </c>
      <c r="C95" s="111" t="inlineStr">
        <is>
          <t>B0CPDR5DDM</t>
        </is>
      </c>
    </row>
    <row r="96">
      <c r="A96" s="111" t="inlineStr">
        <is>
          <t>DC Cooling 4pc</t>
        </is>
      </c>
      <c r="B96" s="111" t="inlineStr">
        <is>
          <t>Breescape</t>
        </is>
      </c>
      <c r="C96" s="111" t="inlineStr">
        <is>
          <t>B0DSPZJKTB</t>
        </is>
      </c>
    </row>
    <row r="97">
      <c r="A97" s="111" t="inlineStr">
        <is>
          <t>DC Cooling 4pc</t>
        </is>
      </c>
      <c r="B97" s="111" t="inlineStr">
        <is>
          <t>DOWNCOOL</t>
        </is>
      </c>
      <c r="C97" s="111" t="inlineStr">
        <is>
          <t>B0F93XRVSZ</t>
        </is>
      </c>
    </row>
    <row r="98">
      <c r="A98" s="111" t="inlineStr">
        <is>
          <t>DC Cooling 4pc</t>
        </is>
      </c>
      <c r="B98" s="111" t="inlineStr">
        <is>
          <t>David's Home</t>
        </is>
      </c>
      <c r="C98" s="111" t="inlineStr">
        <is>
          <t>B0D1RBXBNG</t>
        </is>
      </c>
    </row>
    <row r="99">
      <c r="A99" s="111" t="inlineStr">
        <is>
          <t>DC Cooling 4pc</t>
        </is>
      </c>
      <c r="B99" s="111" t="inlineStr">
        <is>
          <t>Elegear</t>
        </is>
      </c>
      <c r="C99" s="111" t="inlineStr">
        <is>
          <t>B0GCGXW1WT</t>
        </is>
      </c>
    </row>
    <row r="100">
      <c r="A100" s="111" t="inlineStr">
        <is>
          <t>DC Cooling 4pc</t>
        </is>
      </c>
      <c r="B100" s="111" t="inlineStr">
        <is>
          <t>OMERAI</t>
        </is>
      </c>
      <c r="C100" s="111" t="inlineStr">
        <is>
          <t>B0FX8K1CG9</t>
        </is>
      </c>
    </row>
    <row r="101">
      <c r="A101" s="111" t="inlineStr">
        <is>
          <t>DC Cooling 4pc</t>
        </is>
      </c>
      <c r="B101" s="111" t="inlineStr">
        <is>
          <t>REST</t>
        </is>
      </c>
      <c r="C101" s="111" t="inlineStr">
        <is>
          <t>B0D25LDRPS</t>
        </is>
      </c>
    </row>
    <row r="102">
      <c r="A102" s="111" t="inlineStr">
        <is>
          <t>DC Cooling 4pc</t>
        </is>
      </c>
      <c r="B102" s="111" t="inlineStr">
        <is>
          <t>REST</t>
        </is>
      </c>
      <c r="C102" s="111" t="inlineStr">
        <is>
          <t>B0D9JHBBCZ</t>
        </is>
      </c>
    </row>
    <row r="103">
      <c r="A103" s="111" t="inlineStr">
        <is>
          <t>DC Linen Curtains</t>
        </is>
      </c>
      <c r="B103" s="111" t="inlineStr">
        <is>
          <t>Nanspring</t>
        </is>
      </c>
      <c r="C103" s="111" t="inlineStr">
        <is>
          <t>B0BWJDW3BX</t>
        </is>
      </c>
    </row>
    <row r="104">
      <c r="A104" s="111" t="inlineStr">
        <is>
          <t>DC Linen Curtains</t>
        </is>
      </c>
      <c r="B104" s="111" t="inlineStr">
        <is>
          <t>Topfinel</t>
        </is>
      </c>
      <c r="C104" s="111" t="inlineStr">
        <is>
          <t>B0DFWPKBG1</t>
        </is>
      </c>
    </row>
    <row r="105">
      <c r="A105" s="111" t="inlineStr">
        <is>
          <t>DC Linen Curtains</t>
        </is>
      </c>
      <c r="B105" s="111" t="inlineStr">
        <is>
          <t>YoungsTex</t>
        </is>
      </c>
      <c r="C105" s="111" t="inlineStr">
        <is>
          <t>B09Q2YTRL3</t>
        </is>
      </c>
    </row>
    <row r="106">
      <c r="A106" s="111" t="inlineStr">
        <is>
          <t>DC Linen Curtains</t>
        </is>
      </c>
      <c r="B106" s="111" t="inlineStr">
        <is>
          <t>Zyvola</t>
        </is>
      </c>
      <c r="C106" s="111" t="inlineStr">
        <is>
          <t>B0F534LNF4</t>
        </is>
      </c>
    </row>
    <row r="107">
      <c r="A107" s="111" t="inlineStr">
        <is>
          <t>DC S4</t>
        </is>
      </c>
      <c r="B107" s="111" t="inlineStr">
        <is>
          <t>Candoury</t>
        </is>
      </c>
      <c r="C107" s="111" t="inlineStr">
        <is>
          <t>B08JKWGXZ9</t>
        </is>
      </c>
    </row>
    <row r="108">
      <c r="A108" s="111" t="inlineStr">
        <is>
          <t>DC S4</t>
        </is>
      </c>
      <c r="B108" s="111" t="inlineStr">
        <is>
          <t>Homiest</t>
        </is>
      </c>
      <c r="C108" s="111" t="inlineStr">
        <is>
          <t>B0DYJHHJQL</t>
        </is>
      </c>
    </row>
    <row r="109">
      <c r="A109" s="111" t="inlineStr">
        <is>
          <t>DC S4</t>
        </is>
      </c>
      <c r="B109" s="111" t="inlineStr">
        <is>
          <t>HommxJF</t>
        </is>
      </c>
      <c r="C109" s="111" t="inlineStr">
        <is>
          <t>B09V52BVJB</t>
        </is>
      </c>
    </row>
    <row r="110">
      <c r="A110" s="111" t="inlineStr">
        <is>
          <t>DC S4</t>
        </is>
      </c>
      <c r="B110" s="111" t="inlineStr">
        <is>
          <t>MK Home</t>
        </is>
      </c>
      <c r="C110" s="111" t="inlineStr">
        <is>
          <t>B07FGFRZ94</t>
        </is>
      </c>
    </row>
    <row r="111">
      <c r="A111" s="111" t="inlineStr">
        <is>
          <t>DC S4</t>
        </is>
      </c>
      <c r="B111" s="111" t="inlineStr">
        <is>
          <t>Manyshofu</t>
        </is>
      </c>
      <c r="C111" s="111" t="inlineStr">
        <is>
          <t>B09S5RNLN9</t>
        </is>
      </c>
    </row>
    <row r="112">
      <c r="A112" s="111" t="inlineStr">
        <is>
          <t>DC S4</t>
        </is>
      </c>
      <c r="B112" s="111" t="inlineStr">
        <is>
          <t>Martex</t>
        </is>
      </c>
      <c r="C112" s="111" t="inlineStr">
        <is>
          <t>B07X49LFDC</t>
        </is>
      </c>
    </row>
    <row r="113">
      <c r="A113" s="111" t="inlineStr">
        <is>
          <t>DC S4</t>
        </is>
      </c>
      <c r="B113" s="111" t="inlineStr">
        <is>
          <t>VACVELT</t>
        </is>
      </c>
      <c r="C113" s="111" t="inlineStr">
        <is>
          <t>B0C1GJZB6F</t>
        </is>
      </c>
    </row>
    <row r="114">
      <c r="A114" s="111" t="inlineStr">
        <is>
          <t>DC S4</t>
        </is>
      </c>
      <c r="B114" s="111" t="inlineStr">
        <is>
          <t>Vonty</t>
        </is>
      </c>
      <c r="C114" s="111" t="inlineStr">
        <is>
          <t>B0BDDGJ38X</t>
        </is>
      </c>
    </row>
    <row r="115">
      <c r="A115" s="111" t="inlineStr">
        <is>
          <t>DC S6</t>
        </is>
      </c>
      <c r="B115" s="111" t="inlineStr">
        <is>
          <t>Candoury</t>
        </is>
      </c>
      <c r="C115" s="111" t="inlineStr">
        <is>
          <t>B08JKWGXZ9</t>
        </is>
      </c>
    </row>
    <row r="116">
      <c r="A116" s="111" t="inlineStr">
        <is>
          <t>DC S6</t>
        </is>
      </c>
      <c r="B116" s="111" t="inlineStr">
        <is>
          <t>Homiest</t>
        </is>
      </c>
      <c r="C116" s="111" t="inlineStr">
        <is>
          <t>B0DYJHHJQL</t>
        </is>
      </c>
    </row>
    <row r="117">
      <c r="A117" s="111" t="inlineStr">
        <is>
          <t>DC S6</t>
        </is>
      </c>
      <c r="B117" s="111" t="inlineStr">
        <is>
          <t>HommxJF</t>
        </is>
      </c>
      <c r="C117" s="111" t="inlineStr">
        <is>
          <t>B09V52BVJB</t>
        </is>
      </c>
    </row>
    <row r="118">
      <c r="A118" s="111" t="inlineStr">
        <is>
          <t>DC S6</t>
        </is>
      </c>
      <c r="B118" s="111" t="inlineStr">
        <is>
          <t>MK Home</t>
        </is>
      </c>
      <c r="C118" s="111" t="inlineStr">
        <is>
          <t>B07FGFRZ94</t>
        </is>
      </c>
    </row>
    <row r="119">
      <c r="A119" s="111" t="inlineStr">
        <is>
          <t>DC S6</t>
        </is>
      </c>
      <c r="B119" s="111" t="inlineStr">
        <is>
          <t>Manyshofu</t>
        </is>
      </c>
      <c r="C119" s="111" t="inlineStr">
        <is>
          <t>B09S5RNLN9</t>
        </is>
      </c>
    </row>
    <row r="120">
      <c r="A120" s="111" t="inlineStr">
        <is>
          <t>DC S6</t>
        </is>
      </c>
      <c r="B120" s="111" t="inlineStr">
        <is>
          <t>Martex</t>
        </is>
      </c>
      <c r="C120" s="111" t="inlineStr">
        <is>
          <t>B07X49LFDC</t>
        </is>
      </c>
    </row>
    <row r="121">
      <c r="A121" s="111" t="inlineStr">
        <is>
          <t>DC S6</t>
        </is>
      </c>
      <c r="B121" s="111" t="inlineStr">
        <is>
          <t>VACVELT</t>
        </is>
      </c>
      <c r="C121" s="111" t="inlineStr">
        <is>
          <t>B0C1GJZB6F</t>
        </is>
      </c>
    </row>
    <row r="122">
      <c r="A122" s="111" t="inlineStr">
        <is>
          <t>DC S6</t>
        </is>
      </c>
      <c r="B122" s="111" t="inlineStr">
        <is>
          <t>Vonty</t>
        </is>
      </c>
      <c r="C122" s="111" t="inlineStr">
        <is>
          <t>B0BDDGJ38X</t>
        </is>
      </c>
    </row>
    <row r="123">
      <c r="A123" s="111" t="inlineStr">
        <is>
          <t>DC Satin Fitted</t>
        </is>
      </c>
      <c r="B123" s="111" t="inlineStr">
        <is>
          <t>BEDELITE</t>
        </is>
      </c>
      <c r="C123" s="111" t="inlineStr">
        <is>
          <t>B0FL2BK9CR</t>
        </is>
      </c>
    </row>
    <row r="124">
      <c r="A124" s="111" t="inlineStr">
        <is>
          <t>DC Satin Fitted</t>
        </is>
      </c>
      <c r="B124" s="111" t="inlineStr">
        <is>
          <t>Bedsure</t>
        </is>
      </c>
      <c r="C124" s="111" t="inlineStr">
        <is>
          <t>B0DG2HRZKK</t>
        </is>
      </c>
    </row>
    <row r="125">
      <c r="A125" s="111" t="inlineStr">
        <is>
          <t>DC Satin Fitted</t>
        </is>
      </c>
      <c r="B125" s="111" t="inlineStr">
        <is>
          <t>JUWENIN</t>
        </is>
      </c>
      <c r="C125" s="111" t="inlineStr">
        <is>
          <t>B0B1DVKHSJ</t>
        </is>
      </c>
    </row>
    <row r="126">
      <c r="A126" s="111" t="inlineStr">
        <is>
          <t>DC Satin Fitted</t>
        </is>
      </c>
      <c r="B126" s="111" t="inlineStr">
        <is>
          <t>Lirex</t>
        </is>
      </c>
      <c r="C126" s="111" t="inlineStr">
        <is>
          <t>B0D62TQYPX</t>
        </is>
      </c>
    </row>
    <row r="127">
      <c r="A127" s="111" t="inlineStr">
        <is>
          <t>DC Satin Fitted</t>
        </is>
      </c>
      <c r="B127" s="111" t="inlineStr">
        <is>
          <t>Love's cabin</t>
        </is>
      </c>
      <c r="C127" s="111" t="inlineStr">
        <is>
          <t>B0DWSK45RC</t>
        </is>
      </c>
    </row>
    <row r="128">
      <c r="A128" s="111" t="inlineStr">
        <is>
          <t>DC Satin Fitted</t>
        </is>
      </c>
      <c r="B128" s="111" t="inlineStr">
        <is>
          <t>NSGZ</t>
        </is>
      </c>
      <c r="C128" s="111" t="inlineStr">
        <is>
          <t>B0BV1HW54C</t>
        </is>
      </c>
    </row>
    <row r="129">
      <c r="A129" s="111" t="inlineStr">
        <is>
          <t>DC Satin Fitted</t>
        </is>
      </c>
      <c r="B129" s="111" t="inlineStr">
        <is>
          <t>P Pothuiny</t>
        </is>
      </c>
      <c r="C129" s="111" t="inlineStr">
        <is>
          <t>B09W5W7VCC</t>
        </is>
      </c>
    </row>
    <row r="130">
      <c r="A130" s="111" t="inlineStr">
        <is>
          <t>DC Satin Fitted</t>
        </is>
      </c>
      <c r="B130" s="111" t="inlineStr">
        <is>
          <t>VACVELT</t>
        </is>
      </c>
      <c r="C130" s="111" t="inlineStr">
        <is>
          <t>B0F7XRNKQY</t>
        </is>
      </c>
    </row>
    <row r="131">
      <c r="A131" s="111" t="inlineStr">
        <is>
          <t>DC Silk Pillowcase</t>
        </is>
      </c>
      <c r="B131" s="111" t="inlineStr">
        <is>
          <t>ALASKA BEAR</t>
        </is>
      </c>
      <c r="C131" s="111" t="inlineStr">
        <is>
          <t>B00KDL108M</t>
        </is>
      </c>
    </row>
    <row r="132">
      <c r="A132" s="111" t="inlineStr">
        <is>
          <t>DC Silk Pillowcase</t>
        </is>
      </c>
      <c r="B132" s="111" t="inlineStr">
        <is>
          <t>BLISSFORD</t>
        </is>
      </c>
      <c r="C132" s="111" t="inlineStr">
        <is>
          <t>B01N0Z6HVO</t>
        </is>
      </c>
    </row>
    <row r="133">
      <c r="A133" s="111" t="inlineStr">
        <is>
          <t>DC Silk Pillowcase</t>
        </is>
      </c>
      <c r="B133" s="111" t="inlineStr">
        <is>
          <t>Brooklinen</t>
        </is>
      </c>
      <c r="C133" s="111" t="inlineStr">
        <is>
          <t>B09NP72NNZ</t>
        </is>
      </c>
    </row>
    <row r="134">
      <c r="A134" s="111" t="inlineStr">
        <is>
          <t>DC Silk Pillowcase</t>
        </is>
      </c>
      <c r="B134" s="111" t="inlineStr">
        <is>
          <t>Casbrove</t>
        </is>
      </c>
      <c r="C134" s="111" t="inlineStr">
        <is>
          <t>B0BXP2FQYZ</t>
        </is>
      </c>
    </row>
    <row r="135">
      <c r="A135" s="111" t="inlineStr">
        <is>
          <t>DC Silk Pillowcase</t>
        </is>
      </c>
      <c r="B135" s="111" t="inlineStr">
        <is>
          <t>Colorado Home Co</t>
        </is>
      </c>
      <c r="C135" s="111" t="inlineStr">
        <is>
          <t>B081CTM1T8</t>
        </is>
      </c>
    </row>
    <row r="136">
      <c r="A136" s="111" t="inlineStr">
        <is>
          <t>DC Silk Pillowcase</t>
        </is>
      </c>
      <c r="B136" s="111" t="inlineStr">
        <is>
          <t>DKBslik</t>
        </is>
      </c>
      <c r="C136" s="111" t="inlineStr">
        <is>
          <t>B0B8DXN3K2</t>
        </is>
      </c>
    </row>
    <row r="137">
      <c r="A137" s="111" t="inlineStr">
        <is>
          <t>DC Silk Pillowcase</t>
        </is>
      </c>
      <c r="B137" s="111" t="inlineStr">
        <is>
          <t>Fishers Finery</t>
        </is>
      </c>
      <c r="C137" s="111" t="inlineStr">
        <is>
          <t>B00FWZW55Q</t>
        </is>
      </c>
    </row>
    <row r="138">
      <c r="A138" s="111" t="inlineStr">
        <is>
          <t>DC Silk Pillowcase</t>
        </is>
      </c>
      <c r="B138" s="111" t="inlineStr">
        <is>
          <t>Fishers Finery</t>
        </is>
      </c>
      <c r="C138" s="111" t="inlineStr">
        <is>
          <t>B01M1CKVJU</t>
        </is>
      </c>
    </row>
    <row r="139">
      <c r="A139" s="111" t="inlineStr">
        <is>
          <t>DC Silk Pillowcase</t>
        </is>
      </c>
      <c r="B139" s="111" t="inlineStr">
        <is>
          <t>Gabire</t>
        </is>
      </c>
      <c r="C139" s="111" t="inlineStr">
        <is>
          <t>B0CKPKG71N</t>
        </is>
      </c>
    </row>
    <row r="140">
      <c r="A140" s="111" t="inlineStr">
        <is>
          <t>DC Silk Pillowcase</t>
        </is>
      </c>
      <c r="B140" s="111" t="inlineStr">
        <is>
          <t>INSSL</t>
        </is>
      </c>
      <c r="C140" s="111" t="inlineStr">
        <is>
          <t>B089SJQP45</t>
        </is>
      </c>
    </row>
    <row r="141">
      <c r="A141" s="111" t="inlineStr">
        <is>
          <t>DC Silk Pillowcase</t>
        </is>
      </c>
      <c r="B141" s="111" t="inlineStr">
        <is>
          <t>JOGJUE</t>
        </is>
      </c>
      <c r="C141" s="111" t="inlineStr">
        <is>
          <t>B07S2XV3TG</t>
        </is>
      </c>
    </row>
    <row r="142">
      <c r="A142" s="111" t="inlineStr">
        <is>
          <t>DC Silk Pillowcase</t>
        </is>
      </c>
      <c r="B142" s="111" t="inlineStr">
        <is>
          <t>Jocoku</t>
        </is>
      </c>
      <c r="C142" s="111" t="inlineStr">
        <is>
          <t>B07JLLJSK5</t>
        </is>
      </c>
    </row>
    <row r="143">
      <c r="A143" s="111" t="inlineStr">
        <is>
          <t>DC Silk Pillowcase</t>
        </is>
      </c>
      <c r="B143" s="111" t="inlineStr">
        <is>
          <t>Kinself</t>
        </is>
      </c>
      <c r="C143" s="111" t="inlineStr">
        <is>
          <t>B0CKLCLQ62</t>
        </is>
      </c>
    </row>
    <row r="144">
      <c r="A144" s="111" t="inlineStr">
        <is>
          <t>DC Silk Pillowcase</t>
        </is>
      </c>
      <c r="B144" s="111" t="inlineStr">
        <is>
          <t>PROMEED</t>
        </is>
      </c>
      <c r="C144" s="111" t="inlineStr">
        <is>
          <t>B0B4RH938T</t>
        </is>
      </c>
    </row>
    <row r="145">
      <c r="A145" s="111" t="inlineStr">
        <is>
          <t>DC Silk Pillowcase</t>
        </is>
      </c>
      <c r="B145" s="111" t="inlineStr">
        <is>
          <t>RENESSY</t>
        </is>
      </c>
      <c r="C145" s="111" t="inlineStr">
        <is>
          <t>B09G8P3X6L</t>
        </is>
      </c>
    </row>
    <row r="146">
      <c r="A146" s="111" t="inlineStr">
        <is>
          <t>DC Silk Pillowcase</t>
        </is>
      </c>
      <c r="B146" s="111" t="inlineStr">
        <is>
          <t>ROSEWARD</t>
        </is>
      </c>
      <c r="C146" s="111" t="inlineStr">
        <is>
          <t>B0BXBN7JMP</t>
        </is>
      </c>
    </row>
    <row r="147">
      <c r="A147" s="111" t="inlineStr">
        <is>
          <t>DC Silk Pillowcase</t>
        </is>
      </c>
      <c r="B147" s="111" t="inlineStr">
        <is>
          <t>SGMSILK</t>
        </is>
      </c>
      <c r="C147" s="111" t="inlineStr">
        <is>
          <t>B0CM9N244T</t>
        </is>
      </c>
    </row>
    <row r="148">
      <c r="A148" s="111" t="inlineStr">
        <is>
          <t>DC Silk Pillowcase</t>
        </is>
      </c>
      <c r="B148" s="111" t="inlineStr">
        <is>
          <t>SIYUAN</t>
        </is>
      </c>
      <c r="C148" s="111" t="inlineStr">
        <is>
          <t>B0BBC1GN6H</t>
        </is>
      </c>
    </row>
    <row r="149">
      <c r="A149" s="111" t="inlineStr">
        <is>
          <t>DC Silk Pillowcase</t>
        </is>
      </c>
      <c r="B149" s="111" t="inlineStr">
        <is>
          <t>Slpbaby</t>
        </is>
      </c>
      <c r="C149" s="111" t="inlineStr">
        <is>
          <t>B07TV3NVNX</t>
        </is>
      </c>
    </row>
    <row r="150">
      <c r="A150" s="111" t="inlineStr">
        <is>
          <t>DC Silk Pillowcase</t>
        </is>
      </c>
      <c r="B150" s="111" t="inlineStr">
        <is>
          <t>WLOSJ</t>
        </is>
      </c>
      <c r="C150" s="111" t="inlineStr">
        <is>
          <t>B09T6DV8BB</t>
        </is>
      </c>
    </row>
    <row r="151">
      <c r="A151" s="111" t="inlineStr">
        <is>
          <t>DC Silk Pillowcase</t>
        </is>
      </c>
      <c r="B151" s="111" t="inlineStr">
        <is>
          <t>ZIMASILK</t>
        </is>
      </c>
      <c r="C151" s="111" t="inlineStr">
        <is>
          <t>B094XT94FC</t>
        </is>
      </c>
    </row>
    <row r="152">
      <c r="A152" s="111" t="inlineStr">
        <is>
          <t>DC Silk Pillowcase</t>
        </is>
      </c>
      <c r="B152" s="111" t="inlineStr">
        <is>
          <t>ZIMASILK</t>
        </is>
      </c>
      <c r="C152" s="111" t="inlineStr">
        <is>
          <t>B09NVRZBDJ</t>
        </is>
      </c>
    </row>
    <row r="153">
      <c r="A153" s="111" t="inlineStr">
        <is>
          <t>DC Welcome Sign</t>
        </is>
      </c>
      <c r="B153" s="111" t="inlineStr">
        <is>
          <t>LianheCy</t>
        </is>
      </c>
      <c r="C153" s="111" t="inlineStr">
        <is>
          <t>B0FSD5K63B</t>
        </is>
      </c>
    </row>
    <row r="154">
      <c r="A154" s="111" t="inlineStr">
        <is>
          <t>DC Welcome Sign</t>
        </is>
      </c>
      <c r="B154" s="111" t="inlineStr">
        <is>
          <t>RLWangChao</t>
        </is>
      </c>
      <c r="C154" s="111" t="inlineStr">
        <is>
          <t>B0DG2RHFFV</t>
        </is>
      </c>
    </row>
    <row r="155">
      <c r="A155" s="111" t="inlineStr">
        <is>
          <t>DC Welcome Sign</t>
        </is>
      </c>
      <c r="B155" s="111" t="inlineStr">
        <is>
          <t>SRSZHIYUE</t>
        </is>
      </c>
      <c r="C155" s="111" t="inlineStr">
        <is>
          <t>B0FLPZN8VF</t>
        </is>
      </c>
    </row>
    <row r="156">
      <c r="A156" s="111" t="inlineStr">
        <is>
          <t>DC Welcome Sign</t>
        </is>
      </c>
      <c r="B156" s="111" t="inlineStr">
        <is>
          <t>Seimip</t>
        </is>
      </c>
      <c r="C156" s="111" t="inlineStr">
        <is>
          <t>B0D4Q71SDC</t>
        </is>
      </c>
    </row>
    <row r="157">
      <c r="A157" s="111" t="inlineStr">
        <is>
          <t>DC Welcome Sign</t>
        </is>
      </c>
      <c r="B157" s="111" t="inlineStr">
        <is>
          <t>flowtorely</t>
        </is>
      </c>
      <c r="C157" s="111" t="inlineStr">
        <is>
          <t>B0D5HJM483</t>
        </is>
      </c>
    </row>
    <row r="158">
      <c r="A158" s="111" t="inlineStr">
        <is>
          <t>DC Welcome Sign</t>
        </is>
      </c>
      <c r="B158" s="111" t="inlineStr">
        <is>
          <t>homuvdok</t>
        </is>
      </c>
      <c r="C158" s="111" t="inlineStr">
        <is>
          <t>B0FWC4V93F</t>
        </is>
      </c>
    </row>
    <row r="159">
      <c r="A159" s="111" t="inlineStr">
        <is>
          <t>SL B4</t>
        </is>
      </c>
      <c r="B159" s="111" t="inlineStr">
        <is>
          <t>AiAngu</t>
        </is>
      </c>
      <c r="C159" s="111" t="inlineStr">
        <is>
          <t>B0GX15Y7TT</t>
        </is>
      </c>
    </row>
    <row r="160">
      <c r="A160" s="111" t="inlineStr">
        <is>
          <t>SL B4</t>
        </is>
      </c>
      <c r="B160" s="111" t="inlineStr">
        <is>
          <t>Bamboo Bay</t>
        </is>
      </c>
      <c r="C160" s="111" t="inlineStr">
        <is>
          <t>B07TBHLZJM</t>
        </is>
      </c>
    </row>
    <row r="161">
      <c r="A161" s="111" t="inlineStr">
        <is>
          <t>SL B4</t>
        </is>
      </c>
      <c r="B161" s="111" t="inlineStr">
        <is>
          <t>Bamtek</t>
        </is>
      </c>
      <c r="C161" s="111" t="inlineStr">
        <is>
          <t>B09TQ6ZVKZ</t>
        </is>
      </c>
    </row>
    <row r="162">
      <c r="A162" s="111" t="inlineStr">
        <is>
          <t>SL B4</t>
        </is>
      </c>
      <c r="B162" s="111" t="inlineStr">
        <is>
          <t>LB Luxury Bamboo Market</t>
        </is>
      </c>
      <c r="C162" s="111" t="inlineStr">
        <is>
          <t>B0CH7N9WVC</t>
        </is>
      </c>
    </row>
    <row r="163">
      <c r="A163" s="111" t="inlineStr">
        <is>
          <t>SL B4</t>
        </is>
      </c>
      <c r="B163" s="111" t="inlineStr">
        <is>
          <t>LBRO2M</t>
        </is>
      </c>
      <c r="C163" s="111" t="inlineStr">
        <is>
          <t>B0F9FK7SMW</t>
        </is>
      </c>
    </row>
    <row r="164">
      <c r="A164" s="111" t="inlineStr">
        <is>
          <t>SL B4</t>
        </is>
      </c>
      <c r="B164" s="111" t="inlineStr">
        <is>
          <t>TWK</t>
        </is>
      </c>
      <c r="C164" s="111" t="inlineStr">
        <is>
          <t>B0GW7H7RHY</t>
        </is>
      </c>
    </row>
    <row r="165">
      <c r="A165" s="111" t="inlineStr">
        <is>
          <t>SL B4</t>
        </is>
      </c>
      <c r="B165" s="111" t="inlineStr">
        <is>
          <t>Vesta</t>
        </is>
      </c>
      <c r="C165" s="111" t="inlineStr">
        <is>
          <t>B0DM214YG3</t>
        </is>
      </c>
    </row>
    <row r="166">
      <c r="A166" s="111" t="inlineStr">
        <is>
          <t>SL B6</t>
        </is>
      </c>
      <c r="B166" s="111" t="inlineStr">
        <is>
          <t>AiAngu</t>
        </is>
      </c>
      <c r="C166" s="111" t="inlineStr">
        <is>
          <t>B0GX15Y7TT</t>
        </is>
      </c>
    </row>
    <row r="167">
      <c r="A167" s="111" t="inlineStr">
        <is>
          <t>SL B6</t>
        </is>
      </c>
      <c r="B167" s="111" t="inlineStr">
        <is>
          <t>BAMPURE</t>
        </is>
      </c>
      <c r="C167" s="111" t="inlineStr">
        <is>
          <t>B07XC2KVM7</t>
        </is>
      </c>
    </row>
    <row r="168">
      <c r="A168" s="111" t="inlineStr">
        <is>
          <t>SL B6</t>
        </is>
      </c>
      <c r="B168" s="111" t="inlineStr">
        <is>
          <t>BC BELLA COTERIE</t>
        </is>
      </c>
      <c r="C168" s="111" t="inlineStr">
        <is>
          <t>B0G674ZDTV</t>
        </is>
      </c>
    </row>
    <row r="169">
      <c r="A169" s="111" t="inlineStr">
        <is>
          <t>SL B6</t>
        </is>
      </c>
      <c r="B169" s="111" t="inlineStr">
        <is>
          <t>Bamboo Bay</t>
        </is>
      </c>
      <c r="C169" s="111" t="inlineStr">
        <is>
          <t>B07TBHLZJM</t>
        </is>
      </c>
    </row>
    <row r="170">
      <c r="A170" s="111" t="inlineStr">
        <is>
          <t>SL B6</t>
        </is>
      </c>
      <c r="B170" s="111" t="inlineStr">
        <is>
          <t>Bamtek</t>
        </is>
      </c>
      <c r="C170" s="111" t="inlineStr">
        <is>
          <t>B09TQ6ZVKZ</t>
        </is>
      </c>
    </row>
    <row r="171">
      <c r="A171" s="111" t="inlineStr">
        <is>
          <t>SL B6</t>
        </is>
      </c>
      <c r="B171" s="111" t="inlineStr">
        <is>
          <t>LB Luxury Bamboo Market</t>
        </is>
      </c>
      <c r="C171" s="111" t="inlineStr">
        <is>
          <t>B0CH7N9WVC</t>
        </is>
      </c>
    </row>
    <row r="172">
      <c r="A172" s="111" t="inlineStr">
        <is>
          <t>SL B6</t>
        </is>
      </c>
      <c r="B172" s="111" t="inlineStr">
        <is>
          <t>LBRO2M</t>
        </is>
      </c>
      <c r="C172" s="111" t="inlineStr">
        <is>
          <t>B0F9FK7SMW</t>
        </is>
      </c>
    </row>
    <row r="173">
      <c r="A173" s="111" t="inlineStr">
        <is>
          <t>SL B6</t>
        </is>
      </c>
      <c r="B173" s="111" t="inlineStr">
        <is>
          <t>TWK</t>
        </is>
      </c>
      <c r="C173" s="111" t="inlineStr">
        <is>
          <t>B0GW7H7RHY</t>
        </is>
      </c>
    </row>
    <row r="174">
      <c r="A174" s="111" t="inlineStr">
        <is>
          <t>SL B6</t>
        </is>
      </c>
      <c r="B174" s="111" t="inlineStr">
        <is>
          <t>Vesta</t>
        </is>
      </c>
      <c r="C174" s="111" t="inlineStr">
        <is>
          <t>B0DM214YG3</t>
        </is>
      </c>
    </row>
    <row r="175">
      <c r="A175" s="111" t="inlineStr">
        <is>
          <t>SL Bamboo Pillowcase</t>
        </is>
      </c>
      <c r="B175" s="111" t="inlineStr"/>
      <c r="C175" s="111" t="inlineStr">
        <is>
          <t>B0CRR369GQ</t>
        </is>
      </c>
    </row>
    <row r="176">
      <c r="A176" s="111" t="inlineStr">
        <is>
          <t>SL Bamboo Pillowcase</t>
        </is>
      </c>
      <c r="B176" s="111" t="inlineStr">
        <is>
          <t>BEDELITE</t>
        </is>
      </c>
      <c r="C176" s="111" t="inlineStr">
        <is>
          <t>B08GWQY7B3</t>
        </is>
      </c>
    </row>
    <row r="177">
      <c r="A177" s="111" t="inlineStr">
        <is>
          <t>SL Bamboo Pillowcase</t>
        </is>
      </c>
      <c r="B177" s="111" t="inlineStr">
        <is>
          <t>ELIBABA</t>
        </is>
      </c>
      <c r="C177" s="111" t="inlineStr">
        <is>
          <t>B0CQK3KHHH</t>
        </is>
      </c>
    </row>
    <row r="178">
      <c r="A178" s="111" t="inlineStr">
        <is>
          <t>SL Bamboo Pillowcase</t>
        </is>
      </c>
      <c r="B178" s="111" t="inlineStr">
        <is>
          <t>Shunjie.Home</t>
        </is>
      </c>
      <c r="C178" s="111" t="inlineStr">
        <is>
          <t>B0C2BNK3JD</t>
        </is>
      </c>
    </row>
    <row r="179">
      <c r="A179" s="111" t="inlineStr">
        <is>
          <t>SL Bamboo Pillowcase</t>
        </is>
      </c>
      <c r="B179" s="111" t="inlineStr">
        <is>
          <t>WISHSMILE</t>
        </is>
      </c>
      <c r="C179" s="111" t="inlineStr">
        <is>
          <t>B09BL2SMVG</t>
        </is>
      </c>
    </row>
    <row r="180">
      <c r="A180" s="111" t="inlineStr">
        <is>
          <t>SL Cooling 4pc</t>
        </is>
      </c>
      <c r="B180" s="111" t="inlineStr">
        <is>
          <t>BEDELITE</t>
        </is>
      </c>
      <c r="C180" s="111" t="inlineStr">
        <is>
          <t>B0GT8Z4X5D</t>
        </is>
      </c>
    </row>
    <row r="181">
      <c r="A181" s="111" t="inlineStr">
        <is>
          <t>SL Cooling 4pc</t>
        </is>
      </c>
      <c r="B181" s="111" t="inlineStr">
        <is>
          <t>Bedsure</t>
        </is>
      </c>
      <c r="C181" s="111" t="inlineStr">
        <is>
          <t>B0CPDR5DDM</t>
        </is>
      </c>
    </row>
    <row r="182">
      <c r="A182" s="111" t="inlineStr">
        <is>
          <t>SL Cooling 4pc</t>
        </is>
      </c>
      <c r="B182" s="111" t="inlineStr">
        <is>
          <t>Breescape</t>
        </is>
      </c>
      <c r="C182" s="111" t="inlineStr">
        <is>
          <t>B0DSPZJKTB</t>
        </is>
      </c>
    </row>
    <row r="183">
      <c r="A183" s="111" t="inlineStr">
        <is>
          <t>SL Cooling 4pc</t>
        </is>
      </c>
      <c r="B183" s="111" t="inlineStr">
        <is>
          <t>Brookstone</t>
        </is>
      </c>
      <c r="C183" s="111" t="inlineStr">
        <is>
          <t>B0CTKM53QJ</t>
        </is>
      </c>
    </row>
    <row r="184">
      <c r="A184" s="111" t="inlineStr">
        <is>
          <t>SL Cooling 4pc</t>
        </is>
      </c>
      <c r="B184" s="111" t="inlineStr">
        <is>
          <t>CGK Unlimited</t>
        </is>
      </c>
      <c r="C184" s="111" t="inlineStr">
        <is>
          <t>B0FT4TC7NV</t>
        </is>
      </c>
    </row>
    <row r="185">
      <c r="A185" s="111" t="inlineStr">
        <is>
          <t>SL Cooling 4pc</t>
        </is>
      </c>
      <c r="B185" s="111" t="inlineStr">
        <is>
          <t>California Design Den</t>
        </is>
      </c>
      <c r="C185" s="111" t="inlineStr">
        <is>
          <t>B0GWHPJ9SD</t>
        </is>
      </c>
    </row>
    <row r="186">
      <c r="A186" s="111" t="inlineStr">
        <is>
          <t>SL Cooling 4pc</t>
        </is>
      </c>
      <c r="B186" s="111" t="inlineStr">
        <is>
          <t>Comfort Spaces</t>
        </is>
      </c>
      <c r="C186" s="111" t="inlineStr">
        <is>
          <t>B09GV8SK79</t>
        </is>
      </c>
    </row>
    <row r="187">
      <c r="A187" s="111" t="inlineStr">
        <is>
          <t>SL Cooling 4pc</t>
        </is>
      </c>
      <c r="B187" s="111" t="inlineStr">
        <is>
          <t>DOWNCOOL</t>
        </is>
      </c>
      <c r="C187" s="111" t="inlineStr">
        <is>
          <t>B0F93XRVSZ</t>
        </is>
      </c>
    </row>
    <row r="188">
      <c r="A188" s="111" t="inlineStr">
        <is>
          <t>SL Cooling 4pc</t>
        </is>
      </c>
      <c r="B188" s="111" t="inlineStr">
        <is>
          <t>David's Home</t>
        </is>
      </c>
      <c r="C188" s="111" t="inlineStr">
        <is>
          <t>B0D1RBXBNG</t>
        </is>
      </c>
    </row>
    <row r="189">
      <c r="A189" s="111" t="inlineStr">
        <is>
          <t>SL Cooling 4pc</t>
        </is>
      </c>
      <c r="B189" s="111" t="inlineStr">
        <is>
          <t>Davmabcjy</t>
        </is>
      </c>
      <c r="C189" s="111" t="inlineStr">
        <is>
          <t>B0GXJYQR7H</t>
        </is>
      </c>
    </row>
    <row r="190">
      <c r="A190" s="111" t="inlineStr">
        <is>
          <t>SL Cooling 4pc</t>
        </is>
      </c>
      <c r="B190" s="111" t="inlineStr">
        <is>
          <t>Elegear</t>
        </is>
      </c>
      <c r="C190" s="111" t="inlineStr">
        <is>
          <t>B0GCGXW1WT</t>
        </is>
      </c>
    </row>
    <row r="191">
      <c r="A191" s="111" t="inlineStr">
        <is>
          <t>SL Cooling 4pc</t>
        </is>
      </c>
      <c r="B191" s="111" t="inlineStr">
        <is>
          <t>OMERAI</t>
        </is>
      </c>
      <c r="C191" s="111" t="inlineStr">
        <is>
          <t>B0FX8K1CG9</t>
        </is>
      </c>
    </row>
    <row r="192">
      <c r="A192" s="111" t="inlineStr">
        <is>
          <t>SL Cooling 4pc</t>
        </is>
      </c>
      <c r="B192" s="111" t="inlineStr">
        <is>
          <t>Pillcase</t>
        </is>
      </c>
      <c r="C192" s="111" t="inlineStr">
        <is>
          <t>B0H1BWY4MD</t>
        </is>
      </c>
    </row>
    <row r="193">
      <c r="A193" s="111" t="inlineStr">
        <is>
          <t>SL Cooling 4pc</t>
        </is>
      </c>
      <c r="B193" s="111" t="inlineStr">
        <is>
          <t>Pillcase</t>
        </is>
      </c>
      <c r="C193" s="111" t="inlineStr">
        <is>
          <t>B0HFZQRXXQ</t>
        </is>
      </c>
    </row>
    <row r="194">
      <c r="A194" s="111" t="inlineStr">
        <is>
          <t>SL Cooling 4pc</t>
        </is>
      </c>
      <c r="B194" s="111" t="inlineStr">
        <is>
          <t>Pillcase</t>
        </is>
      </c>
      <c r="C194" s="111" t="inlineStr">
        <is>
          <t>B0HJYG8V9Q</t>
        </is>
      </c>
    </row>
    <row r="195">
      <c r="A195" s="111" t="inlineStr">
        <is>
          <t>SL Cooling 4pc</t>
        </is>
      </c>
      <c r="B195" s="111" t="inlineStr">
        <is>
          <t>REST</t>
        </is>
      </c>
      <c r="C195" s="111" t="inlineStr">
        <is>
          <t>B0D25LDRPS</t>
        </is>
      </c>
    </row>
    <row r="196">
      <c r="A196" s="111" t="inlineStr">
        <is>
          <t>SL Cooling 4pc</t>
        </is>
      </c>
      <c r="B196" s="111" t="inlineStr">
        <is>
          <t>REST</t>
        </is>
      </c>
      <c r="C196" s="111" t="inlineStr">
        <is>
          <t>B0D9JHBBCZ</t>
        </is>
      </c>
    </row>
    <row r="197">
      <c r="A197" s="111" t="inlineStr">
        <is>
          <t>SL Cooling 4pc</t>
        </is>
      </c>
      <c r="B197" s="111" t="inlineStr">
        <is>
          <t>SHEEX</t>
        </is>
      </c>
      <c r="C197" s="111" t="inlineStr">
        <is>
          <t>B00EWJHJU4</t>
        </is>
      </c>
    </row>
    <row r="198">
      <c r="A198" s="111" t="inlineStr">
        <is>
          <t>SL Cooling 4pc</t>
        </is>
      </c>
      <c r="B198" s="111" t="inlineStr">
        <is>
          <t>TRUE BAMBOO</t>
        </is>
      </c>
      <c r="C198" s="111" t="inlineStr">
        <is>
          <t>B0HD7R5L1D</t>
        </is>
      </c>
    </row>
    <row r="199">
      <c r="A199" s="111" t="inlineStr">
        <is>
          <t>SL Cooling 6pc</t>
        </is>
      </c>
      <c r="B199" s="111" t="inlineStr">
        <is>
          <t>Bedsure</t>
        </is>
      </c>
      <c r="C199" s="111" t="inlineStr">
        <is>
          <t>B0CPDR5DDM</t>
        </is>
      </c>
    </row>
    <row r="200">
      <c r="A200" s="111" t="inlineStr">
        <is>
          <t>SL Cooling 6pc</t>
        </is>
      </c>
      <c r="B200" s="111" t="inlineStr">
        <is>
          <t>Breescape</t>
        </is>
      </c>
      <c r="C200" s="111" t="inlineStr">
        <is>
          <t>B0DSPZJKTB</t>
        </is>
      </c>
    </row>
    <row r="201">
      <c r="A201" s="111" t="inlineStr">
        <is>
          <t>SL Cooling 6pc</t>
        </is>
      </c>
      <c r="B201" s="111" t="inlineStr">
        <is>
          <t>DOWNCOOL</t>
        </is>
      </c>
      <c r="C201" s="111" t="inlineStr">
        <is>
          <t>B0F93XRVSZ</t>
        </is>
      </c>
    </row>
    <row r="202">
      <c r="A202" s="111" t="inlineStr">
        <is>
          <t>SL Cooling 6pc</t>
        </is>
      </c>
      <c r="B202" s="111" t="inlineStr">
        <is>
          <t>David's Home</t>
        </is>
      </c>
      <c r="C202" s="111" t="inlineStr">
        <is>
          <t>B0D1RBXBNG</t>
        </is>
      </c>
    </row>
    <row r="203">
      <c r="A203" s="111" t="inlineStr">
        <is>
          <t>SL Cooling 6pc</t>
        </is>
      </c>
      <c r="B203" s="111" t="inlineStr">
        <is>
          <t>OMERAI</t>
        </is>
      </c>
      <c r="C203" s="111" t="inlineStr">
        <is>
          <t>B0FX8K1CG9</t>
        </is>
      </c>
    </row>
    <row r="204">
      <c r="A204" s="111" t="inlineStr">
        <is>
          <t>SL Cooling 6pc</t>
        </is>
      </c>
      <c r="B204" s="111" t="inlineStr">
        <is>
          <t>REST</t>
        </is>
      </c>
      <c r="C204" s="111" t="inlineStr">
        <is>
          <t>B0D9JHBBCZ</t>
        </is>
      </c>
    </row>
    <row r="205">
      <c r="A205" s="111" t="inlineStr">
        <is>
          <t>SL Cooling Comforter</t>
        </is>
      </c>
      <c r="B205" s="111" t="inlineStr">
        <is>
          <t>Bedsure</t>
        </is>
      </c>
      <c r="C205" s="111" t="inlineStr">
        <is>
          <t>B0BN5TKJ8D</t>
        </is>
      </c>
    </row>
    <row r="206">
      <c r="A206" s="111" t="inlineStr">
        <is>
          <t>SL Cooling Comforter</t>
        </is>
      </c>
      <c r="B206" s="111" t="inlineStr">
        <is>
          <t>Bedsure</t>
        </is>
      </c>
      <c r="C206" s="111" t="inlineStr">
        <is>
          <t>B0DFW11ZMW</t>
        </is>
      </c>
    </row>
    <row r="207">
      <c r="A207" s="111" t="inlineStr">
        <is>
          <t>SL Cooling Comforter</t>
        </is>
      </c>
      <c r="B207" s="111" t="inlineStr">
        <is>
          <t>Bedsure</t>
        </is>
      </c>
      <c r="C207" s="111" t="inlineStr">
        <is>
          <t>B0G3W85TSH</t>
        </is>
      </c>
    </row>
    <row r="208">
      <c r="A208" s="111" t="inlineStr">
        <is>
          <t>SL Cooling Comforter</t>
        </is>
      </c>
      <c r="B208" s="111" t="inlineStr">
        <is>
          <t>Bedtter</t>
        </is>
      </c>
      <c r="C208" s="111" t="inlineStr">
        <is>
          <t>B0F7GKNYTQ</t>
        </is>
      </c>
    </row>
    <row r="209">
      <c r="A209" s="111" t="inlineStr">
        <is>
          <t>SL Cooling Comforter</t>
        </is>
      </c>
      <c r="B209" s="111" t="inlineStr">
        <is>
          <t>Breescape</t>
        </is>
      </c>
      <c r="C209" s="111" t="inlineStr">
        <is>
          <t>B0DSPZQ9JG</t>
        </is>
      </c>
    </row>
    <row r="210">
      <c r="A210" s="111" t="inlineStr">
        <is>
          <t>SL Cooling Comforter</t>
        </is>
      </c>
      <c r="B210" s="111" t="inlineStr">
        <is>
          <t>Cozy Bliss</t>
        </is>
      </c>
      <c r="C210" s="111" t="inlineStr">
        <is>
          <t>B0BVQMB99W</t>
        </is>
      </c>
    </row>
    <row r="211">
      <c r="A211" s="111" t="inlineStr">
        <is>
          <t>SL Cooling Comforter</t>
        </is>
      </c>
      <c r="B211" s="111" t="inlineStr">
        <is>
          <t>Cozy Bliss</t>
        </is>
      </c>
      <c r="C211" s="111" t="inlineStr">
        <is>
          <t>B0DMCWVMVH</t>
        </is>
      </c>
    </row>
    <row r="212">
      <c r="A212" s="111" t="inlineStr">
        <is>
          <t>SL Cooling Comforter</t>
        </is>
      </c>
      <c r="B212" s="111" t="inlineStr">
        <is>
          <t>DOWNCOOL</t>
        </is>
      </c>
      <c r="C212" s="111" t="inlineStr">
        <is>
          <t>B0G7YZWPHK</t>
        </is>
      </c>
    </row>
    <row r="213">
      <c r="A213" s="111" t="inlineStr">
        <is>
          <t>SL Cooling Comforter</t>
        </is>
      </c>
      <c r="B213" s="111" t="inlineStr">
        <is>
          <t>EASELAND</t>
        </is>
      </c>
      <c r="C213" s="111" t="inlineStr">
        <is>
          <t>B0BQ6YY21S</t>
        </is>
      </c>
    </row>
    <row r="214">
      <c r="A214" s="111" t="inlineStr">
        <is>
          <t>SL Cooling Comforter</t>
        </is>
      </c>
      <c r="B214" s="111" t="inlineStr">
        <is>
          <t>Elegear</t>
        </is>
      </c>
      <c r="C214" s="111" t="inlineStr">
        <is>
          <t>B094C72SZ4</t>
        </is>
      </c>
    </row>
    <row r="215">
      <c r="A215" s="111" t="inlineStr">
        <is>
          <t>SL Cooling Comforter</t>
        </is>
      </c>
      <c r="B215" s="111" t="inlineStr">
        <is>
          <t>Gehtmnl</t>
        </is>
      </c>
      <c r="C215" s="111" t="inlineStr">
        <is>
          <t>B0GKHZKQ9W</t>
        </is>
      </c>
    </row>
    <row r="216">
      <c r="A216" s="111" t="inlineStr">
        <is>
          <t>SL Cooling Comforter</t>
        </is>
      </c>
      <c r="B216" s="111" t="inlineStr">
        <is>
          <t>HOMFINE</t>
        </is>
      </c>
      <c r="C216" s="111" t="inlineStr">
        <is>
          <t>B0C3RB67HV</t>
        </is>
      </c>
    </row>
    <row r="217">
      <c r="A217" s="111" t="inlineStr">
        <is>
          <t>SL Cooling Comforter</t>
        </is>
      </c>
      <c r="B217" s="111" t="inlineStr">
        <is>
          <t>MASVIS</t>
        </is>
      </c>
      <c r="C217" s="111" t="inlineStr">
        <is>
          <t>B0GBV12MKL</t>
        </is>
      </c>
    </row>
    <row r="218">
      <c r="A218" s="111" t="inlineStr">
        <is>
          <t>SL Cooling Comforter</t>
        </is>
      </c>
      <c r="B218" s="111" t="inlineStr">
        <is>
          <t>REST</t>
        </is>
      </c>
      <c r="C218" s="111" t="inlineStr">
        <is>
          <t>B0B5TG8ZVW</t>
        </is>
      </c>
    </row>
    <row r="219">
      <c r="A219" s="111" t="inlineStr">
        <is>
          <t>SL Cooling Comforter</t>
        </is>
      </c>
      <c r="B219" s="111" t="inlineStr">
        <is>
          <t>Vine Voice</t>
        </is>
      </c>
      <c r="C219" s="111" t="inlineStr">
        <is>
          <t>B0GK9776YF</t>
        </is>
      </c>
    </row>
    <row r="220">
      <c r="A220" s="111" t="inlineStr">
        <is>
          <t>SL Cooling Comforter</t>
        </is>
      </c>
      <c r="B220" s="111" t="inlineStr">
        <is>
          <t>Wolliwa</t>
        </is>
      </c>
      <c r="C220" s="111" t="inlineStr">
        <is>
          <t>B0DYNVCJG9</t>
        </is>
      </c>
    </row>
    <row r="221">
      <c r="A221" s="111" t="inlineStr">
        <is>
          <t>SL Cooling Comforter</t>
        </is>
      </c>
      <c r="B221" s="111" t="inlineStr">
        <is>
          <t>bedsmile</t>
        </is>
      </c>
      <c r="C221" s="111" t="inlineStr">
        <is>
          <t>B0DWNFHNXL</t>
        </is>
      </c>
    </row>
    <row r="222">
      <c r="A222" s="111" t="inlineStr">
        <is>
          <t>SL Cooling Comforter</t>
        </is>
      </c>
      <c r="B222" s="111" t="inlineStr">
        <is>
          <t>jiaao</t>
        </is>
      </c>
      <c r="C222" s="111" t="inlineStr">
        <is>
          <t>B0GR4L84HS</t>
        </is>
      </c>
    </row>
    <row r="223">
      <c r="A223" s="111" t="inlineStr">
        <is>
          <t>SL Cooling Fitted</t>
        </is>
      </c>
      <c r="B223" s="111" t="inlineStr">
        <is>
          <t>Bedsure</t>
        </is>
      </c>
      <c r="C223" s="111" t="inlineStr">
        <is>
          <t>B0FQPCYCVQ</t>
        </is>
      </c>
    </row>
    <row r="224">
      <c r="A224" s="111" t="inlineStr">
        <is>
          <t>SL Cooling Fitted</t>
        </is>
      </c>
      <c r="B224" s="111" t="inlineStr">
        <is>
          <t>Cozy Bliss</t>
        </is>
      </c>
      <c r="C224" s="111" t="inlineStr">
        <is>
          <t>B0DMNMPVJP</t>
        </is>
      </c>
    </row>
    <row r="225">
      <c r="A225" s="111" t="inlineStr">
        <is>
          <t>SL Cooling Fitted</t>
        </is>
      </c>
      <c r="B225" s="111" t="inlineStr">
        <is>
          <t>OMERAI</t>
        </is>
      </c>
      <c r="C225" s="111" t="inlineStr">
        <is>
          <t>B0FX8K1CG9</t>
        </is>
      </c>
    </row>
    <row r="226">
      <c r="A226" s="111" t="inlineStr">
        <is>
          <t>SL Cooling Fitted</t>
        </is>
      </c>
      <c r="B226" s="111" t="inlineStr">
        <is>
          <t>REST</t>
        </is>
      </c>
      <c r="C226" s="111" t="inlineStr">
        <is>
          <t>B0D4Y6RKLL</t>
        </is>
      </c>
    </row>
    <row r="227">
      <c r="A227" s="111" t="inlineStr">
        <is>
          <t>SL Cooling Fitted</t>
        </is>
      </c>
      <c r="B227" s="111" t="inlineStr">
        <is>
          <t>REST</t>
        </is>
      </c>
      <c r="C227" s="111" t="inlineStr">
        <is>
          <t>B0D9JHBBCZ</t>
        </is>
      </c>
    </row>
    <row r="228">
      <c r="A228" s="111" t="inlineStr">
        <is>
          <t>SL Cooling Pillowcase</t>
        </is>
      </c>
      <c r="B228" s="111" t="inlineStr">
        <is>
          <t>Avolare</t>
        </is>
      </c>
      <c r="C228" s="111" t="inlineStr">
        <is>
          <t>B08TBL21VT</t>
        </is>
      </c>
    </row>
    <row r="229">
      <c r="A229" s="111" t="inlineStr">
        <is>
          <t>SL Cooling Pillowcase</t>
        </is>
      </c>
      <c r="B229" s="111" t="inlineStr">
        <is>
          <t>Breescape</t>
        </is>
      </c>
      <c r="C229" s="111" t="inlineStr">
        <is>
          <t>B0DSQ12L6F</t>
        </is>
      </c>
    </row>
    <row r="230">
      <c r="A230" s="111" t="inlineStr">
        <is>
          <t>SL Cooling Pillowcase</t>
        </is>
      </c>
      <c r="B230" s="111" t="inlineStr">
        <is>
          <t>Coop Home Goods</t>
        </is>
      </c>
      <c r="C230" s="111" t="inlineStr">
        <is>
          <t>B08B448344</t>
        </is>
      </c>
    </row>
    <row r="231">
      <c r="A231" s="111" t="inlineStr">
        <is>
          <t>SL Cooling Pillowcase</t>
        </is>
      </c>
      <c r="B231" s="111" t="inlineStr">
        <is>
          <t>Coop Home Goods</t>
        </is>
      </c>
      <c r="C231" s="111" t="inlineStr">
        <is>
          <t>B0GKDH5DJ9</t>
        </is>
      </c>
    </row>
    <row r="232">
      <c r="A232" s="111" t="inlineStr">
        <is>
          <t>SL Cooling Pillowcase</t>
        </is>
      </c>
      <c r="B232" s="111" t="inlineStr">
        <is>
          <t>Cozy Bliss</t>
        </is>
      </c>
      <c r="C232" s="111" t="inlineStr">
        <is>
          <t>B0CH8B5HZB</t>
        </is>
      </c>
    </row>
    <row r="233">
      <c r="A233" s="111" t="inlineStr">
        <is>
          <t>SL Cooling Pillowcase</t>
        </is>
      </c>
      <c r="B233" s="111" t="inlineStr">
        <is>
          <t>ELIBABA</t>
        </is>
      </c>
      <c r="C233" s="111" t="inlineStr">
        <is>
          <t>B0CQK3KHHH</t>
        </is>
      </c>
    </row>
    <row r="234">
      <c r="A234" s="111" t="inlineStr">
        <is>
          <t>SL Cooling Pillowcase</t>
        </is>
      </c>
      <c r="B234" s="111" t="inlineStr">
        <is>
          <t>Elegear</t>
        </is>
      </c>
      <c r="C234" s="111" t="inlineStr">
        <is>
          <t>B07TMF54XC</t>
        </is>
      </c>
    </row>
    <row r="235">
      <c r="A235" s="111" t="inlineStr">
        <is>
          <t>SL Cooling Pillowcase</t>
        </is>
      </c>
      <c r="B235" s="111" t="inlineStr">
        <is>
          <t>LUXEAR</t>
        </is>
      </c>
      <c r="C235" s="111" t="inlineStr">
        <is>
          <t>B07V6SKZ7V</t>
        </is>
      </c>
    </row>
    <row r="236">
      <c r="A236" s="111" t="inlineStr">
        <is>
          <t>SL Cooling Pillowcase</t>
        </is>
      </c>
      <c r="B236" s="111" t="inlineStr">
        <is>
          <t>Marchpower</t>
        </is>
      </c>
      <c r="C236" s="111" t="inlineStr">
        <is>
          <t>B095GTMX4Y</t>
        </is>
      </c>
    </row>
    <row r="237">
      <c r="A237" s="111" t="inlineStr">
        <is>
          <t>SL Cooling Pillowcase</t>
        </is>
      </c>
      <c r="B237" s="111" t="inlineStr">
        <is>
          <t>Topcee</t>
        </is>
      </c>
      <c r="C237" s="111" t="inlineStr">
        <is>
          <t>B0BR9J5DGW</t>
        </is>
      </c>
    </row>
    <row r="238">
      <c r="A238" s="111" t="inlineStr">
        <is>
          <t>SL Cooling Pillowcase</t>
        </is>
      </c>
      <c r="B238" s="111" t="inlineStr">
        <is>
          <t>WISHSMILE</t>
        </is>
      </c>
      <c r="C238" s="111" t="inlineStr">
        <is>
          <t>B09BL2SMVG</t>
        </is>
      </c>
    </row>
    <row r="239">
      <c r="A239" s="111" t="inlineStr">
        <is>
          <t>SL Mask Contoured</t>
        </is>
      </c>
      <c r="B239" s="111" t="inlineStr">
        <is>
          <t>BLISSY</t>
        </is>
      </c>
      <c r="C239" s="111" t="inlineStr">
        <is>
          <t>B0BFDGC7CC</t>
        </is>
      </c>
    </row>
    <row r="240">
      <c r="A240" s="111" t="inlineStr">
        <is>
          <t>SL Mask Contoured</t>
        </is>
      </c>
      <c r="B240" s="111" t="inlineStr">
        <is>
          <t>BLISSY</t>
        </is>
      </c>
      <c r="C240" s="111" t="inlineStr">
        <is>
          <t>B0G49VVD1Z</t>
        </is>
      </c>
    </row>
    <row r="241">
      <c r="A241" s="111" t="inlineStr">
        <is>
          <t>SL Mask Contoured</t>
        </is>
      </c>
      <c r="B241" s="111" t="inlineStr">
        <is>
          <t>BLSSNZ</t>
        </is>
      </c>
      <c r="C241" s="111" t="inlineStr">
        <is>
          <t>B0C1YYKVDQ</t>
        </is>
      </c>
    </row>
    <row r="242">
      <c r="A242" s="111" t="inlineStr">
        <is>
          <t>SL Mask Contoured</t>
        </is>
      </c>
      <c r="B242" s="111" t="inlineStr">
        <is>
          <t>Back Bay Audio</t>
        </is>
      </c>
      <c r="C242" s="111" t="inlineStr">
        <is>
          <t>B0DMFYTLQR</t>
        </is>
      </c>
    </row>
    <row r="243">
      <c r="A243" s="111" t="inlineStr">
        <is>
          <t>SL Mask Contoured</t>
        </is>
      </c>
      <c r="B243" s="111" t="inlineStr">
        <is>
          <t>DROWSY</t>
        </is>
      </c>
      <c r="C243" s="111" t="inlineStr">
        <is>
          <t>B08NHHDLT6</t>
        </is>
      </c>
    </row>
    <row r="244">
      <c r="A244" s="111" t="inlineStr">
        <is>
          <t>SL Mask Contoured</t>
        </is>
      </c>
      <c r="B244" s="111" t="inlineStr">
        <is>
          <t>FengXinZi Store</t>
        </is>
      </c>
      <c r="C244" s="111" t="inlineStr">
        <is>
          <t>B09YRX2F83</t>
        </is>
      </c>
    </row>
    <row r="245">
      <c r="A245" s="111" t="inlineStr">
        <is>
          <t>SL Mask Contoured</t>
        </is>
      </c>
      <c r="B245" s="111" t="inlineStr">
        <is>
          <t>Jersey Slumber</t>
        </is>
      </c>
      <c r="C245" s="111" t="inlineStr">
        <is>
          <t>B014VYD7NW</t>
        </is>
      </c>
    </row>
    <row r="246">
      <c r="A246" s="111" t="inlineStr">
        <is>
          <t>SL Mask Contoured</t>
        </is>
      </c>
      <c r="B246" s="111" t="inlineStr">
        <is>
          <t>Kitsch</t>
        </is>
      </c>
      <c r="C246" s="111" t="inlineStr">
        <is>
          <t>B09GYPT47K</t>
        </is>
      </c>
    </row>
    <row r="247">
      <c r="A247" s="111" t="inlineStr">
        <is>
          <t>SL Mask Contoured</t>
        </is>
      </c>
      <c r="B247" s="111" t="inlineStr">
        <is>
          <t>LULUSILK</t>
        </is>
      </c>
      <c r="C247" s="111" t="inlineStr">
        <is>
          <t>B074TBYWGS</t>
        </is>
      </c>
    </row>
    <row r="248">
      <c r="A248" s="111" t="inlineStr">
        <is>
          <t>SL Mask Contoured</t>
        </is>
      </c>
      <c r="B248" s="111" t="inlineStr">
        <is>
          <t>LitBear</t>
        </is>
      </c>
      <c r="C248" s="111" t="inlineStr">
        <is>
          <t>B09H7FZ5JM</t>
        </is>
      </c>
    </row>
    <row r="249">
      <c r="A249" s="111" t="inlineStr">
        <is>
          <t>SL Mask Contoured</t>
        </is>
      </c>
      <c r="B249" s="111" t="inlineStr">
        <is>
          <t>LitBear</t>
        </is>
      </c>
      <c r="C249" s="111" t="inlineStr">
        <is>
          <t>B0BN559GVG</t>
        </is>
      </c>
    </row>
    <row r="250">
      <c r="A250" s="111" t="inlineStr">
        <is>
          <t>SL Mask Contoured</t>
        </is>
      </c>
      <c r="B250" s="111" t="inlineStr">
        <is>
          <t>LitBear</t>
        </is>
      </c>
      <c r="C250" s="111" t="inlineStr">
        <is>
          <t>B0FDB7XXSL</t>
        </is>
      </c>
    </row>
    <row r="251">
      <c r="A251" s="111" t="inlineStr">
        <is>
          <t>SL Mask Contoured</t>
        </is>
      </c>
      <c r="B251" s="111" t="inlineStr">
        <is>
          <t>MZOO</t>
        </is>
      </c>
      <c r="C251" s="111" t="inlineStr">
        <is>
          <t>B07KC5DWCC</t>
        </is>
      </c>
    </row>
    <row r="252">
      <c r="A252" s="111" t="inlineStr">
        <is>
          <t>SL Mask Contoured</t>
        </is>
      </c>
      <c r="B252" s="111" t="inlineStr">
        <is>
          <t>Manta Sleep</t>
        </is>
      </c>
      <c r="C252" s="111" t="inlineStr">
        <is>
          <t>B0D8M5MDCS</t>
        </is>
      </c>
    </row>
    <row r="253">
      <c r="A253" s="111" t="inlineStr">
        <is>
          <t>SL Mask Contoured</t>
        </is>
      </c>
      <c r="B253" s="111" t="inlineStr">
        <is>
          <t>OLESILK</t>
        </is>
      </c>
      <c r="C253" s="111" t="inlineStr">
        <is>
          <t>B07C7Y8QSW</t>
        </is>
      </c>
    </row>
    <row r="254">
      <c r="A254" s="111" t="inlineStr">
        <is>
          <t>SL Mask Contoured</t>
        </is>
      </c>
      <c r="B254" s="111" t="inlineStr">
        <is>
          <t>SLIP</t>
        </is>
      </c>
      <c r="C254" s="111" t="inlineStr">
        <is>
          <t>B09CLHKX26</t>
        </is>
      </c>
    </row>
    <row r="255">
      <c r="A255" s="111" t="inlineStr">
        <is>
          <t>SL Mask Contoured</t>
        </is>
      </c>
      <c r="B255" s="111" t="inlineStr">
        <is>
          <t>TheSleepGuard</t>
        </is>
      </c>
      <c r="C255" s="111" t="inlineStr">
        <is>
          <t>B0CJMHPKKC</t>
        </is>
      </c>
    </row>
    <row r="256">
      <c r="A256" s="111" t="inlineStr">
        <is>
          <t>SL Mask Contoured</t>
        </is>
      </c>
      <c r="B256" s="111" t="inlineStr">
        <is>
          <t>Umisleep Store</t>
        </is>
      </c>
      <c r="C256" s="111" t="inlineStr">
        <is>
          <t>B0F7R9NPSW</t>
        </is>
      </c>
    </row>
    <row r="257">
      <c r="A257" s="111" t="inlineStr">
        <is>
          <t>SL Mask Contoured</t>
        </is>
      </c>
      <c r="B257" s="111" t="inlineStr">
        <is>
          <t>YFONG</t>
        </is>
      </c>
      <c r="C257" s="111" t="inlineStr">
        <is>
          <t>B09C5PD9VD</t>
        </is>
      </c>
    </row>
    <row r="258">
      <c r="A258" s="111" t="inlineStr">
        <is>
          <t>SL Mask Contoured</t>
        </is>
      </c>
      <c r="B258" s="111" t="inlineStr">
        <is>
          <t>ZIMASILK</t>
        </is>
      </c>
      <c r="C258" s="111" t="inlineStr">
        <is>
          <t>B0BZRCV4BM</t>
        </is>
      </c>
    </row>
    <row r="259">
      <c r="A259" s="111" t="inlineStr">
        <is>
          <t>SL Mask Contoured</t>
        </is>
      </c>
      <c r="B259" s="111" t="inlineStr">
        <is>
          <t>ZIMASILK</t>
        </is>
      </c>
      <c r="C259" s="111" t="inlineStr">
        <is>
          <t>B0CZPYKHQW</t>
        </is>
      </c>
    </row>
    <row r="260">
      <c r="A260" s="111" t="inlineStr">
        <is>
          <t>SL Mask Contoured</t>
        </is>
      </c>
      <c r="B260" s="111" t="inlineStr">
        <is>
          <t>ZIMASILK</t>
        </is>
      </c>
      <c r="C260" s="111" t="inlineStr">
        <is>
          <t>B0DSYXFT4M</t>
        </is>
      </c>
    </row>
    <row r="261">
      <c r="A261" s="111" t="inlineStr">
        <is>
          <t>SL Mask Contoured</t>
        </is>
      </c>
      <c r="B261" s="111" t="inlineStr">
        <is>
          <t>spacepower</t>
        </is>
      </c>
      <c r="C261" s="111" t="inlineStr">
        <is>
          <t>B07J41LJJZ</t>
        </is>
      </c>
    </row>
    <row r="262">
      <c r="A262" s="111" t="inlineStr">
        <is>
          <t>SL Mask Velcro</t>
        </is>
      </c>
      <c r="B262" s="111" t="inlineStr">
        <is>
          <t>BLISSY</t>
        </is>
      </c>
      <c r="C262" s="111" t="inlineStr">
        <is>
          <t>B0BFDGC7CC</t>
        </is>
      </c>
    </row>
    <row r="263">
      <c r="A263" s="111" t="inlineStr">
        <is>
          <t>SL Mask Velcro</t>
        </is>
      </c>
      <c r="B263" s="111" t="inlineStr">
        <is>
          <t>DROWSY</t>
        </is>
      </c>
      <c r="C263" s="111" t="inlineStr">
        <is>
          <t>B08NHHDLT6</t>
        </is>
      </c>
    </row>
    <row r="264">
      <c r="A264" s="111" t="inlineStr">
        <is>
          <t>SL Mask Velcro</t>
        </is>
      </c>
      <c r="B264" s="111" t="inlineStr">
        <is>
          <t>Jersey Slumber</t>
        </is>
      </c>
      <c r="C264" s="111" t="inlineStr">
        <is>
          <t>B014VYD7NW</t>
        </is>
      </c>
    </row>
    <row r="265">
      <c r="A265" s="111" t="inlineStr">
        <is>
          <t>SL Mask Velcro</t>
        </is>
      </c>
      <c r="B265" s="111" t="inlineStr">
        <is>
          <t>Kitsch</t>
        </is>
      </c>
      <c r="C265" s="111" t="inlineStr">
        <is>
          <t>B09GYPT47K</t>
        </is>
      </c>
    </row>
    <row r="266">
      <c r="A266" s="111" t="inlineStr">
        <is>
          <t>SL Mask Velcro</t>
        </is>
      </c>
      <c r="B266" s="111" t="inlineStr">
        <is>
          <t>LULUSILK</t>
        </is>
      </c>
      <c r="C266" s="111" t="inlineStr">
        <is>
          <t>B074TBYWGS</t>
        </is>
      </c>
    </row>
    <row r="267">
      <c r="A267" s="111" t="inlineStr">
        <is>
          <t>SL Mask Velcro</t>
        </is>
      </c>
      <c r="B267" s="111" t="inlineStr">
        <is>
          <t>LitBear</t>
        </is>
      </c>
      <c r="C267" s="111" t="inlineStr">
        <is>
          <t>B09H7FZ5JM</t>
        </is>
      </c>
    </row>
    <row r="268">
      <c r="A268" s="111" t="inlineStr">
        <is>
          <t>SL Mask Velcro</t>
        </is>
      </c>
      <c r="B268" s="111" t="inlineStr">
        <is>
          <t>LitBear</t>
        </is>
      </c>
      <c r="C268" s="111" t="inlineStr">
        <is>
          <t>B0BN559GVG</t>
        </is>
      </c>
    </row>
    <row r="269">
      <c r="A269" s="111" t="inlineStr">
        <is>
          <t>SL Mask Velcro</t>
        </is>
      </c>
      <c r="B269" s="111" t="inlineStr">
        <is>
          <t>OLESILK</t>
        </is>
      </c>
      <c r="C269" s="111" t="inlineStr">
        <is>
          <t>B07C7Y8QSW</t>
        </is>
      </c>
    </row>
    <row r="270">
      <c r="A270" s="111" t="inlineStr">
        <is>
          <t>SL Mask Velcro</t>
        </is>
      </c>
      <c r="B270" s="111" t="inlineStr">
        <is>
          <t>Umisleep Store</t>
        </is>
      </c>
      <c r="C270" s="111" t="inlineStr">
        <is>
          <t>B0F7R9NPSW</t>
        </is>
      </c>
    </row>
    <row r="271">
      <c r="A271" s="111" t="inlineStr">
        <is>
          <t>SL Mask Velcro</t>
        </is>
      </c>
      <c r="B271" s="111" t="inlineStr">
        <is>
          <t>YFONG</t>
        </is>
      </c>
      <c r="C271" s="111" t="inlineStr">
        <is>
          <t>B0D4PKVNWB</t>
        </is>
      </c>
    </row>
    <row r="272">
      <c r="A272" s="111" t="inlineStr">
        <is>
          <t>SL Mask Velcro</t>
        </is>
      </c>
      <c r="B272" s="111" t="inlineStr">
        <is>
          <t>spacepower</t>
        </is>
      </c>
      <c r="C272" s="111" t="inlineStr">
        <is>
          <t>B07J41LJJZ</t>
        </is>
      </c>
    </row>
    <row r="273">
      <c r="A273" s="111" t="inlineStr">
        <is>
          <t>SL Quilt Set</t>
        </is>
      </c>
      <c r="B273" s="111" t="inlineStr">
        <is>
          <t>Anibedding</t>
        </is>
      </c>
      <c r="C273" s="111" t="inlineStr">
        <is>
          <t>B0F8N6XCJ5</t>
        </is>
      </c>
    </row>
    <row r="274">
      <c r="A274" s="111" t="inlineStr">
        <is>
          <t>SL Quilt Set</t>
        </is>
      </c>
      <c r="B274" s="111" t="inlineStr">
        <is>
          <t>Bedsure</t>
        </is>
      </c>
      <c r="C274" s="111" t="inlineStr">
        <is>
          <t>B0FH51CVXT</t>
        </is>
      </c>
    </row>
    <row r="275">
      <c r="A275" s="111" t="inlineStr">
        <is>
          <t>SL Quilt Set</t>
        </is>
      </c>
      <c r="B275" s="111" t="inlineStr">
        <is>
          <t>DJY</t>
        </is>
      </c>
      <c r="C275" s="111" t="inlineStr">
        <is>
          <t>B0DHCG7VDK</t>
        </is>
      </c>
    </row>
    <row r="276">
      <c r="A276" s="111" t="inlineStr">
        <is>
          <t>SL Quilt Set</t>
        </is>
      </c>
      <c r="B276" s="111" t="inlineStr">
        <is>
          <t>Hansleep</t>
        </is>
      </c>
      <c r="C276" s="111" t="inlineStr">
        <is>
          <t>B089VT34WN</t>
        </is>
      </c>
    </row>
    <row r="277">
      <c r="A277" s="111" t="inlineStr">
        <is>
          <t>SL Quilt Set</t>
        </is>
      </c>
      <c r="B277" s="111" t="inlineStr">
        <is>
          <t>Joyreap</t>
        </is>
      </c>
      <c r="C277" s="111" t="inlineStr">
        <is>
          <t>B0D1KHV9TM</t>
        </is>
      </c>
    </row>
    <row r="278">
      <c r="A278" s="111" t="inlineStr">
        <is>
          <t>SL Quilt Set</t>
        </is>
      </c>
      <c r="B278" s="111" t="inlineStr">
        <is>
          <t>Wake In Cloud</t>
        </is>
      </c>
      <c r="C278" s="111" t="inlineStr">
        <is>
          <t>B0CRPTW9GV</t>
        </is>
      </c>
    </row>
    <row r="279">
      <c r="A279" s="111" t="inlineStr">
        <is>
          <t>SL Quilt Set</t>
        </is>
      </c>
      <c r="B279" s="111" t="inlineStr">
        <is>
          <t>Ycosy</t>
        </is>
      </c>
      <c r="C279" s="111" t="inlineStr">
        <is>
          <t>B0FC6F4RYY</t>
        </is>
      </c>
    </row>
    <row r="280">
      <c r="A280" s="111" t="inlineStr">
        <is>
          <t>SL Satin 6pc</t>
        </is>
      </c>
      <c r="B280" s="111" t="inlineStr">
        <is>
          <t>Candoury</t>
        </is>
      </c>
      <c r="C280" s="111" t="inlineStr">
        <is>
          <t>B08JKWGXZ9</t>
        </is>
      </c>
    </row>
    <row r="281">
      <c r="A281" s="111" t="inlineStr">
        <is>
          <t>SL Satin 6pc</t>
        </is>
      </c>
      <c r="B281" s="111" t="inlineStr">
        <is>
          <t>Homiest</t>
        </is>
      </c>
      <c r="C281" s="111" t="inlineStr">
        <is>
          <t>B0DYJHHJQL</t>
        </is>
      </c>
    </row>
    <row r="282">
      <c r="A282" s="111" t="inlineStr">
        <is>
          <t>SL Satin 6pc</t>
        </is>
      </c>
      <c r="B282" s="111" t="inlineStr">
        <is>
          <t>HommxJF</t>
        </is>
      </c>
      <c r="C282" s="111" t="inlineStr">
        <is>
          <t>B09V52BVJB</t>
        </is>
      </c>
    </row>
    <row r="283">
      <c r="A283" s="111" t="inlineStr">
        <is>
          <t>SL Satin 6pc</t>
        </is>
      </c>
      <c r="B283" s="111" t="inlineStr">
        <is>
          <t>MK Home</t>
        </is>
      </c>
      <c r="C283" s="111" t="inlineStr">
        <is>
          <t>B07FGFRZ94</t>
        </is>
      </c>
    </row>
    <row r="284">
      <c r="A284" s="111" t="inlineStr">
        <is>
          <t>SL Satin 6pc</t>
        </is>
      </c>
      <c r="B284" s="111" t="inlineStr">
        <is>
          <t>Manyshofu</t>
        </is>
      </c>
      <c r="C284" s="111" t="inlineStr">
        <is>
          <t>B09S5RNLN9</t>
        </is>
      </c>
    </row>
    <row r="285">
      <c r="A285" s="111" t="inlineStr">
        <is>
          <t>SL Satin 6pc</t>
        </is>
      </c>
      <c r="B285" s="111" t="inlineStr">
        <is>
          <t>Martex</t>
        </is>
      </c>
      <c r="C285" s="111" t="inlineStr">
        <is>
          <t>B07X49LFDC</t>
        </is>
      </c>
    </row>
    <row r="286">
      <c r="A286" s="111" t="inlineStr">
        <is>
          <t>SL Satin 6pc</t>
        </is>
      </c>
      <c r="B286" s="111" t="inlineStr">
        <is>
          <t>VACVELT</t>
        </is>
      </c>
      <c r="C286" s="111" t="inlineStr">
        <is>
          <t>B0C1GJZB6F</t>
        </is>
      </c>
    </row>
    <row r="287">
      <c r="A287" s="111" t="inlineStr">
        <is>
          <t>SL Satin 6pc</t>
        </is>
      </c>
      <c r="B287" s="111" t="inlineStr">
        <is>
          <t>VACVELT</t>
        </is>
      </c>
      <c r="C287" s="111" t="inlineStr">
        <is>
          <t>B0F7XRNKQY</t>
        </is>
      </c>
    </row>
    <row r="288">
      <c r="A288" s="111" t="inlineStr">
        <is>
          <t>SL Satin 6pc</t>
        </is>
      </c>
      <c r="B288" s="111" t="inlineStr">
        <is>
          <t>Vonty</t>
        </is>
      </c>
      <c r="C288" s="111" t="inlineStr">
        <is>
          <t>B0BDDGJ38X</t>
        </is>
      </c>
    </row>
    <row r="289">
      <c r="A289" s="111" t="inlineStr">
        <is>
          <t>SSS4</t>
        </is>
      </c>
      <c r="B289" s="111" t="inlineStr">
        <is>
          <t>Candoury</t>
        </is>
      </c>
      <c r="C289" s="111" t="inlineStr">
        <is>
          <t>B08JKWGXZ9</t>
        </is>
      </c>
    </row>
    <row r="290">
      <c r="A290" s="111" t="inlineStr">
        <is>
          <t>SSS4</t>
        </is>
      </c>
      <c r="B290" s="111" t="inlineStr">
        <is>
          <t>Homiest</t>
        </is>
      </c>
      <c r="C290" s="111" t="inlineStr">
        <is>
          <t>B0DYJHHJQL</t>
        </is>
      </c>
    </row>
    <row r="291">
      <c r="A291" s="111" t="inlineStr">
        <is>
          <t>SSS4</t>
        </is>
      </c>
      <c r="B291" s="111" t="inlineStr">
        <is>
          <t>HommxJF</t>
        </is>
      </c>
      <c r="C291" s="111" t="inlineStr">
        <is>
          <t>B09V52BVJB</t>
        </is>
      </c>
    </row>
    <row r="292">
      <c r="A292" s="111" t="inlineStr">
        <is>
          <t>SSS4</t>
        </is>
      </c>
      <c r="B292" s="111" t="inlineStr">
        <is>
          <t>MK Home</t>
        </is>
      </c>
      <c r="C292" s="111" t="inlineStr">
        <is>
          <t>B07FGFRZ94</t>
        </is>
      </c>
    </row>
    <row r="293">
      <c r="A293" s="111" t="inlineStr">
        <is>
          <t>SSS4</t>
        </is>
      </c>
      <c r="B293" s="111" t="inlineStr">
        <is>
          <t>Manyshofu</t>
        </is>
      </c>
      <c r="C293" s="111" t="inlineStr">
        <is>
          <t>B09S5RNLN9</t>
        </is>
      </c>
    </row>
    <row r="294">
      <c r="A294" s="111" t="inlineStr">
        <is>
          <t>SSS4</t>
        </is>
      </c>
      <c r="B294" s="111" t="inlineStr">
        <is>
          <t>Martex</t>
        </is>
      </c>
      <c r="C294" s="111" t="inlineStr">
        <is>
          <t>B07X49LFDC</t>
        </is>
      </c>
    </row>
    <row r="295">
      <c r="A295" s="111" t="inlineStr">
        <is>
          <t>SSS4</t>
        </is>
      </c>
      <c r="B295" s="111" t="inlineStr">
        <is>
          <t>VACVELT</t>
        </is>
      </c>
      <c r="C295" s="111" t="inlineStr">
        <is>
          <t>B0C1GJZB6F</t>
        </is>
      </c>
    </row>
    <row r="296">
      <c r="A296" s="111" t="inlineStr">
        <is>
          <t>SSS4</t>
        </is>
      </c>
      <c r="B296" s="111" t="inlineStr">
        <is>
          <t>VACVELT</t>
        </is>
      </c>
      <c r="C296" s="111" t="inlineStr">
        <is>
          <t>B0F7XRNKQY</t>
        </is>
      </c>
    </row>
    <row r="297">
      <c r="A297" s="111" t="inlineStr">
        <is>
          <t>SSS4</t>
        </is>
      </c>
      <c r="B297" s="111" t="inlineStr">
        <is>
          <t>Vonty</t>
        </is>
      </c>
      <c r="C297" s="111" t="inlineStr">
        <is>
          <t>B0BDDGJ38X</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P244"/>
  <sheetViews>
    <sheetView workbookViewId="0">
      <selection activeCell="A1" sqref="A1"/>
    </sheetView>
  </sheetViews>
  <sheetFormatPr baseColWidth="8" defaultRowHeight="15"/>
  <sheetData>
    <row r="1">
      <c r="A1" t="inlineStr">
        <is>
          <t>All</t>
        </is>
      </c>
      <c r="B1" t="inlineStr">
        <is>
          <t>All</t>
        </is>
      </c>
      <c r="C1" t="inlineStr">
        <is>
          <t>All</t>
        </is>
      </c>
      <c r="D1" t="inlineStr">
        <is>
          <t>All</t>
        </is>
      </c>
      <c r="E1" t="inlineStr">
        <is>
          <t>All</t>
        </is>
      </c>
      <c r="G1" t="inlineStr">
        <is>
          <t>short</t>
        </is>
      </c>
    </row>
    <row r="2">
      <c r="A2" t="inlineStr">
        <is>
          <t>DC B4</t>
        </is>
      </c>
      <c r="B2" t="inlineStr">
        <is>
          <t>US</t>
        </is>
      </c>
      <c r="C2" t="inlineStr">
        <is>
          <t>100% Blackout Shield</t>
        </is>
      </c>
      <c r="D2" t="inlineStr">
        <is>
          <t>Aspirational</t>
        </is>
      </c>
      <c r="E2" t="inlineStr">
        <is>
          <t>Bamboo</t>
        </is>
      </c>
      <c r="G2" t="inlineStr">
        <is>
          <t>DC B4</t>
        </is>
      </c>
      <c r="H2" t="inlineStr">
        <is>
          <t>US DC B4</t>
        </is>
      </c>
      <c r="I2" t="inlineStr">
        <is>
          <t>DECOLURE 100% Viscose from Bamboo Sheets King Size | 4 Pc Cooling Bed Set</t>
        </is>
      </c>
      <c r="J2" t="inlineStr">
        <is>
          <t>https://m.media-amazon.com/images/I/81E9bvs4TYL._AC_SL1500_.jpg</t>
        </is>
      </c>
      <c r="K2" t="inlineStr">
        <is>
          <t>Decolure</t>
        </is>
      </c>
      <c r="L2" t="inlineStr">
        <is>
          <t>B0HJCSXJQ6</t>
        </is>
      </c>
      <c r="M2" t="n">
        <v>81</v>
      </c>
      <c r="N2" t="n">
        <v>94.98999999999999</v>
      </c>
      <c r="O2" t="n">
        <v>4.254998421726247</v>
      </c>
      <c r="P2" t="inlineStr">
        <is>
          <t>B08KQHRDDG</t>
        </is>
      </c>
    </row>
    <row r="3">
      <c r="A3" t="inlineStr">
        <is>
          <t>DC B6</t>
        </is>
      </c>
      <c r="B3" t="inlineStr">
        <is>
          <t>CA</t>
        </is>
      </c>
      <c r="C3" t="inlineStr">
        <is>
          <t>ACCURATEX</t>
        </is>
      </c>
      <c r="D3" t="inlineStr">
        <is>
          <t>Beatable</t>
        </is>
      </c>
      <c r="E3" t="inlineStr">
        <is>
          <t>Satin</t>
        </is>
      </c>
      <c r="G3" t="inlineStr">
        <is>
          <t>DC B6</t>
        </is>
      </c>
      <c r="H3" t="inlineStr">
        <is>
          <t>US DC B6</t>
        </is>
      </c>
      <c r="I3" t="inlineStr">
        <is>
          <t>DECOLURE 100% Viscose from Bamboo Sheets King Size | 6 Pc Cooling Bed Set</t>
        </is>
      </c>
      <c r="J3" t="inlineStr">
        <is>
          <t>https://m.media-amazon.com/images/I/81fJLSDJpFL._AC_SL1500_.jpg</t>
        </is>
      </c>
      <c r="K3" t="inlineStr">
        <is>
          <t>Decolure</t>
        </is>
      </c>
      <c r="L3" t="inlineStr">
        <is>
          <t>B0H6335KNV</t>
        </is>
      </c>
      <c r="M3" t="n">
        <v>86</v>
      </c>
      <c r="N3" t="n">
        <v>99.98999999999999</v>
      </c>
      <c r="O3" t="n">
        <v>2.488302390613161</v>
      </c>
      <c r="P3" t="inlineStr">
        <is>
          <t>B0CQ2XQF9N</t>
        </is>
      </c>
    </row>
    <row r="4">
      <c r="A4" t="inlineStr">
        <is>
          <t>SL B6</t>
        </is>
      </c>
      <c r="C4" t="inlineStr">
        <is>
          <t>Adubor</t>
        </is>
      </c>
      <c r="D4" t="inlineStr">
        <is>
          <t>Poor</t>
        </is>
      </c>
      <c r="E4" t="inlineStr">
        <is>
          <t>Silk</t>
        </is>
      </c>
      <c r="G4" t="inlineStr">
        <is>
          <t>SL B6</t>
        </is>
      </c>
      <c r="H4" t="inlineStr">
        <is>
          <t>US SL B6</t>
        </is>
      </c>
      <c r="I4" t="inlineStr">
        <is>
          <t>SLEEP SANCTUARY 100% Viscose Derived from Bamboo Sheets King Size, 6 Pc Set | Cooling BamBliss Comfort for Hot Sleepers | Cloud Soft | Deep 17" Pocket w Corner Straps | Luxury Bed Set | Taupe</t>
        </is>
      </c>
      <c r="J4" t="inlineStr">
        <is>
          <t>https://m.media-amazon.com/images/I/81rHI1QN6jL._AC_SL1500_.jpg</t>
        </is>
      </c>
      <c r="K4" t="inlineStr">
        <is>
          <t>Sleephoria</t>
        </is>
      </c>
      <c r="L4" t="inlineStr">
        <is>
          <t>B0HBWXDWJ5</t>
        </is>
      </c>
      <c r="M4" t="n">
        <v>78</v>
      </c>
      <c r="N4" t="n">
        <v>69.98999999999999</v>
      </c>
      <c r="O4" t="n">
        <v>1.201290037023195</v>
      </c>
      <c r="P4" t="inlineStr">
        <is>
          <t>B0DDTYDHVB</t>
        </is>
      </c>
    </row>
    <row r="5">
      <c r="A5" t="inlineStr">
        <is>
          <t>SL B4</t>
        </is>
      </c>
      <c r="C5" t="inlineStr">
        <is>
          <t>AiAngu</t>
        </is>
      </c>
      <c r="D5" t="inlineStr">
        <is>
          <t>Untiered</t>
        </is>
      </c>
      <c r="E5" t="inlineStr">
        <is>
          <t>Cooling</t>
        </is>
      </c>
      <c r="G5" t="inlineStr">
        <is>
          <t>SL B4</t>
        </is>
      </c>
      <c r="H5" t="inlineStr">
        <is>
          <t>US SL B4</t>
        </is>
      </c>
      <c r="I5" t="inlineStr">
        <is>
          <t>SLEEP SANCTUARY 100% Viscose Derived from Bamboo Sheets Twin Size, 4 Pc Set</t>
        </is>
      </c>
      <c r="J5" t="inlineStr">
        <is>
          <t>https://m.media-amazon.com/images/I/81ukKa0CsPL._AC_SL1500_.jpg</t>
        </is>
      </c>
      <c r="K5" t="inlineStr">
        <is>
          <t>Sleephoria</t>
        </is>
      </c>
      <c r="L5" t="inlineStr">
        <is>
          <t>B0F54RNQPT</t>
        </is>
      </c>
      <c r="M5" t="n">
        <v>84</v>
      </c>
      <c r="N5" t="n">
        <v>61.99</v>
      </c>
      <c r="P5" t="inlineStr">
        <is>
          <t>B0DDTY5RQX</t>
        </is>
      </c>
    </row>
    <row r="6">
      <c r="A6" t="inlineStr">
        <is>
          <t>DC Bamboo Fitted</t>
        </is>
      </c>
      <c r="C6" t="inlineStr">
        <is>
          <t>akkialla</t>
        </is>
      </c>
      <c r="E6" t="inlineStr">
        <is>
          <t>Other</t>
        </is>
      </c>
      <c r="G6" t="inlineStr">
        <is>
          <t>DC Bamboo Fitted</t>
        </is>
      </c>
      <c r="H6" t="inlineStr">
        <is>
          <t>US DC Bamboo Fitted</t>
        </is>
      </c>
      <c r="I6" t="inlineStr">
        <is>
          <t>DECOLURE 100% Viscose Derived from Bamboo Fitted Sheet | King Size Fitted Sheet Only | Ultra Soft Cooling Sheets for Hot Sleepers, 17" Deep Pocket w/Corner Straps, Breathable, Oeko-Tex (Burgundy)</t>
        </is>
      </c>
      <c r="J6" t="inlineStr">
        <is>
          <t>https://m.media-amazon.com/images/I/81pO8+MuzxL._AC_SL1500_.jpg</t>
        </is>
      </c>
      <c r="K6" t="inlineStr">
        <is>
          <t>Decolure</t>
        </is>
      </c>
      <c r="L6" t="inlineStr">
        <is>
          <t>B0H8596KK1</t>
        </is>
      </c>
      <c r="M6" t="n">
        <v>22</v>
      </c>
      <c r="N6" t="n">
        <v>39.95</v>
      </c>
      <c r="P6" t="inlineStr">
        <is>
          <t>B0FX2RGLBW</t>
        </is>
      </c>
    </row>
    <row r="7">
      <c r="A7" t="inlineStr">
        <is>
          <t>SL Bamboo Pillowcase</t>
        </is>
      </c>
      <c r="C7" t="inlineStr">
        <is>
          <t>ALASKA BEAR</t>
        </is>
      </c>
      <c r="G7" t="inlineStr">
        <is>
          <t>SL Bamboo Pillowcase</t>
        </is>
      </c>
      <c r="H7" t="inlineStr">
        <is>
          <t>US SL Bamboo Pillowcase</t>
        </is>
      </c>
      <c r="I7" t="inlineStr">
        <is>
          <t>SLEEPHORIA 100% Viscose Dervied from Bamboo Pillowcase King Size 2-Pieces (Black)</t>
        </is>
      </c>
      <c r="K7" t="inlineStr">
        <is>
          <t>Sleephoria</t>
        </is>
      </c>
      <c r="L7" t="inlineStr">
        <is>
          <t>B0FX2RDXXR</t>
        </is>
      </c>
      <c r="M7" t="n">
        <v>54</v>
      </c>
    </row>
    <row r="8">
      <c r="A8" t="inlineStr">
        <is>
          <t>DC S4</t>
        </is>
      </c>
      <c r="C8" t="inlineStr">
        <is>
          <t>Amazon Basics</t>
        </is>
      </c>
      <c r="G8" t="inlineStr">
        <is>
          <t>DC S4</t>
        </is>
      </c>
      <c r="H8" t="inlineStr">
        <is>
          <t>US DC S4</t>
        </is>
      </c>
      <c r="I8" t="inlineStr">
        <is>
          <t>DECOLURE Satin Sheets Queen Size | Softer Than Silk | Luxury 4 Pc Bed Set</t>
        </is>
      </c>
      <c r="J8" t="inlineStr">
        <is>
          <t>https://m.media-amazon.com/images/I/81s3ROxMWEL._AC_SL1500_.jpg</t>
        </is>
      </c>
      <c r="K8" t="inlineStr">
        <is>
          <t>Decolure</t>
        </is>
      </c>
      <c r="L8" t="inlineStr">
        <is>
          <t>B0H631FLT8</t>
        </is>
      </c>
      <c r="M8" t="n">
        <v>118</v>
      </c>
      <c r="N8" t="n">
        <v>29.95</v>
      </c>
      <c r="O8" t="n">
        <v>2.637148735359062</v>
      </c>
      <c r="P8" t="inlineStr">
        <is>
          <t>B0839MKJMV</t>
        </is>
      </c>
    </row>
    <row r="9">
      <c r="A9" t="inlineStr">
        <is>
          <t>DC S6</t>
        </is>
      </c>
      <c r="C9" t="inlineStr">
        <is>
          <t>Andency</t>
        </is>
      </c>
      <c r="G9" t="inlineStr">
        <is>
          <t>DC S6</t>
        </is>
      </c>
      <c r="H9" t="inlineStr">
        <is>
          <t>US DC S6</t>
        </is>
      </c>
      <c r="I9" t="inlineStr">
        <is>
          <t>DECOLURE Satin Sheets King Size | Softer Than Silk | Luxury 6 Pc Bed Set</t>
        </is>
      </c>
      <c r="J9" t="inlineStr">
        <is>
          <t>https://m.media-amazon.com/images/I/81C4Dr0ylML._AC_SL1500_.jpg</t>
        </is>
      </c>
      <c r="K9" t="inlineStr">
        <is>
          <t>Decolure</t>
        </is>
      </c>
      <c r="L9" t="inlineStr">
        <is>
          <t>B0HDTF4MN2</t>
        </is>
      </c>
      <c r="M9" t="n">
        <v>118</v>
      </c>
      <c r="N9" t="n">
        <v>33.95</v>
      </c>
      <c r="O9" t="n">
        <v>3.076042012896364</v>
      </c>
      <c r="P9" t="inlineStr">
        <is>
          <t>B0C7FXXS6R</t>
        </is>
      </c>
    </row>
    <row r="10">
      <c r="A10" t="inlineStr">
        <is>
          <t>SSS4</t>
        </is>
      </c>
      <c r="C10" t="inlineStr">
        <is>
          <t>Anibedding</t>
        </is>
      </c>
      <c r="G10" t="inlineStr">
        <is>
          <t>SSS4</t>
        </is>
      </c>
      <c r="H10" t="inlineStr">
        <is>
          <t>US SSS4</t>
        </is>
      </c>
      <c r="I10" t="inlineStr">
        <is>
          <t>SLEEP SANCTUARY Satin Sheets Queen Size – 4 Piece Luxury Silky Bed Set, Softer Than Silk, 15" Deep Pocket, Cooling &amp; Wrinkle-Free, Moisture-Wicking &amp; Breathable for Hair &amp; Skin (Navy Blue)</t>
        </is>
      </c>
      <c r="J10" t="inlineStr">
        <is>
          <t>https://m.media-amazon.com/images/I/81GoZ+gTjbL._AC_SL1500_.jpg</t>
        </is>
      </c>
      <c r="K10" t="inlineStr">
        <is>
          <t>Sleephoria</t>
        </is>
      </c>
      <c r="L10" t="inlineStr">
        <is>
          <t>B0HFWXSCFP</t>
        </is>
      </c>
      <c r="M10" t="n">
        <v>116</v>
      </c>
      <c r="N10" t="n">
        <v>33.95</v>
      </c>
      <c r="O10" t="n">
        <v>2.589722433600953</v>
      </c>
      <c r="P10" t="inlineStr">
        <is>
          <t>B0DDRH9RD7</t>
        </is>
      </c>
    </row>
    <row r="11">
      <c r="A11" t="inlineStr">
        <is>
          <t>SL Satin 6pc</t>
        </is>
      </c>
      <c r="C11" t="inlineStr">
        <is>
          <t>Artrello</t>
        </is>
      </c>
      <c r="G11" t="inlineStr">
        <is>
          <t>SL Satin 6pc</t>
        </is>
      </c>
      <c r="H11" t="inlineStr">
        <is>
          <t>US SL Satin 6pc</t>
        </is>
      </c>
      <c r="I11" t="inlineStr">
        <is>
          <t>SLEEPHORIA Satin Bed Sheets - 6 Piece Luxury Silky Full Size Bedding Set - Softer Than Silk, Wrinkle-Free with 15” Deep Pocket Fitted Sheet, Perfect for Hair &amp; Skin, Gifts for Women (Baby Blue)</t>
        </is>
      </c>
      <c r="K11" t="inlineStr">
        <is>
          <t>Sleephoria</t>
        </is>
      </c>
      <c r="L11" t="inlineStr">
        <is>
          <t>B0H41WN38B</t>
        </is>
      </c>
      <c r="M11" t="n">
        <v>116</v>
      </c>
    </row>
    <row r="12">
      <c r="A12" t="inlineStr">
        <is>
          <t>DC Satin Fitted</t>
        </is>
      </c>
      <c r="C12" t="inlineStr">
        <is>
          <t>ATreebay</t>
        </is>
      </c>
      <c r="G12" t="inlineStr">
        <is>
          <t>DC Satin Fitted</t>
        </is>
      </c>
      <c r="H12" t="inlineStr">
        <is>
          <t>US DC Satin Fitted</t>
        </is>
      </c>
      <c r="I12" t="inlineStr">
        <is>
          <t>DECOLURE Satin Fitted Sheet Queen Size | Softer Than Silk | Luxury 1 Pc Set</t>
        </is>
      </c>
      <c r="J12" t="inlineStr">
        <is>
          <t>https://m.media-amazon.com/images/I/71APUp+JE3L._AC_SL1500_.jpg</t>
        </is>
      </c>
      <c r="K12" t="inlineStr">
        <is>
          <t>Decolure</t>
        </is>
      </c>
      <c r="L12" t="inlineStr">
        <is>
          <t>B0DZ17NCJ4</t>
        </is>
      </c>
      <c r="M12" t="n">
        <v>68</v>
      </c>
      <c r="N12" t="n">
        <v>21.95</v>
      </c>
      <c r="O12" t="n">
        <v>2.469333719911087</v>
      </c>
      <c r="P12" t="inlineStr">
        <is>
          <t>B0DBW1PNJ8</t>
        </is>
      </c>
    </row>
    <row r="13">
      <c r="A13" t="inlineStr">
        <is>
          <t>DC Silk Pillowcase</t>
        </is>
      </c>
      <c r="C13" t="inlineStr">
        <is>
          <t>Avolare</t>
        </is>
      </c>
      <c r="G13" t="inlineStr">
        <is>
          <t>DC Silk Pillowcase</t>
        </is>
      </c>
      <c r="H13" t="inlineStr">
        <is>
          <t>US DC Silk Pillowcase</t>
        </is>
      </c>
      <c r="I13" t="inlineStr">
        <is>
          <t>DECOLURE 100% Pure Mulberry Silk Pillow Case Standard Size – Highest Grade 30 Momme 6A+, Luxuriously Soft &amp; Cooling Silk Pillowcase for Hair &amp; Skin, Hypoallergenic, Breathable, Hidden Zipper (White)</t>
        </is>
      </c>
      <c r="J13" t="inlineStr">
        <is>
          <t>https://images-na.ssl-images-amazon.com/images/I/81Rbj21EicL.jpg</t>
        </is>
      </c>
      <c r="K13" t="inlineStr">
        <is>
          <t>Decolure</t>
        </is>
      </c>
      <c r="L13" t="inlineStr">
        <is>
          <t>B0DQQQWYPT</t>
        </is>
      </c>
      <c r="M13" t="n">
        <v>18</v>
      </c>
      <c r="N13" t="n">
        <v>44.95</v>
      </c>
      <c r="O13" t="n">
        <v>1.352847893136792</v>
      </c>
      <c r="P13" t="inlineStr">
        <is>
          <t>B0DBR5SY67</t>
        </is>
      </c>
    </row>
    <row r="14">
      <c r="A14" t="inlineStr">
        <is>
          <t>SL Mask Contoured</t>
        </is>
      </c>
      <c r="C14" t="inlineStr">
        <is>
          <t>Back Bay Audio</t>
        </is>
      </c>
      <c r="G14" t="inlineStr">
        <is>
          <t>SL Mask Contoured</t>
        </is>
      </c>
      <c r="H14" t="inlineStr">
        <is>
          <t>US SL Mask Contoured</t>
        </is>
      </c>
      <c r="I14" t="inlineStr">
        <is>
          <t>SLEEP SANCTUARY 100% Pure Mulberry Silk Sleep Mask - 22 Momme Light Blocking 3D Contour Silk Eye Mask for Sleeping - Secure Fit for Side Sleepers, Women &amp; Men - Cloud Soft (Peacock Blue)</t>
        </is>
      </c>
      <c r="J14" t="inlineStr">
        <is>
          <t>https://images-na.ssl-images-amazon.com/images/I/71JEybynRcL.jpg</t>
        </is>
      </c>
      <c r="K14" t="inlineStr">
        <is>
          <t>Sleephoria</t>
        </is>
      </c>
      <c r="L14" t="inlineStr">
        <is>
          <t>B0GDML4FK7</t>
        </is>
      </c>
      <c r="M14" t="n">
        <v>4</v>
      </c>
      <c r="N14" t="n">
        <v>25.95</v>
      </c>
      <c r="O14" t="n">
        <v>3.666666666666667</v>
      </c>
      <c r="P14" t="inlineStr">
        <is>
          <t>B0F4XRFWGR</t>
        </is>
      </c>
    </row>
    <row r="15">
      <c r="A15" t="inlineStr">
        <is>
          <t>SL Mask Velcro</t>
        </is>
      </c>
      <c r="C15" t="inlineStr">
        <is>
          <t>Bambaw</t>
        </is>
      </c>
      <c r="G15" t="inlineStr">
        <is>
          <t>SL Mask Velcro</t>
        </is>
      </c>
      <c r="H15" t="inlineStr">
        <is>
          <t>US SL Mask Velcro</t>
        </is>
      </c>
      <c r="I15" t="inlineStr">
        <is>
          <t>SLEEP SANCTUARY 100% Pure Mulberry Silk Sleep Mask - 22 Momme Light Blocking Hook &amp; Loop Silk Eye Mask for Sleeping - Secure Fit for Side Sleepers, Women &amp; Men - Cloud Soft (Black)</t>
        </is>
      </c>
      <c r="J15" t="inlineStr">
        <is>
          <t>https://images-na.ssl-images-amazon.com/images/I/61Z2DkWXasL.jpg</t>
        </is>
      </c>
      <c r="K15" t="inlineStr">
        <is>
          <t>Sleephoria</t>
        </is>
      </c>
      <c r="L15" t="inlineStr">
        <is>
          <t>B0GDMSK15Z</t>
        </is>
      </c>
      <c r="M15" t="n">
        <v>4</v>
      </c>
      <c r="N15" t="n">
        <v>17.99</v>
      </c>
      <c r="O15" t="n">
        <v>1</v>
      </c>
      <c r="P15" t="inlineStr">
        <is>
          <t>B0F4XQ7L8Q</t>
        </is>
      </c>
    </row>
    <row r="16">
      <c r="A16" t="inlineStr">
        <is>
          <t>DC Cooling 4pc</t>
        </is>
      </c>
      <c r="C16" t="inlineStr">
        <is>
          <t>Bamboo Bay</t>
        </is>
      </c>
      <c r="G16" t="inlineStr">
        <is>
          <t>DC Cooling 4pc</t>
        </is>
      </c>
      <c r="H16" t="inlineStr">
        <is>
          <t>US DC Cooling 4pc</t>
        </is>
      </c>
      <c r="I16" t="inlineStr">
        <is>
          <t>DECOLURE Cooling Sheets Queen Set 4pcs - Luxurious &amp; Ultra-Soft Cooling Bed Sheets Queen Size for Hot Sleepers - Comfortable Bamboo Viscose Microfiber Queen Bed Sheets Set Cooling (Navy)</t>
        </is>
      </c>
      <c r="J16" t="inlineStr">
        <is>
          <t>https://m.media-amazon.com/images/I/81+QctNV9NL._AC_SL1500_.jpg</t>
        </is>
      </c>
      <c r="K16" t="inlineStr">
        <is>
          <t>Decolure</t>
        </is>
      </c>
      <c r="L16" t="inlineStr">
        <is>
          <t>B0HLLHYGLQ</t>
        </is>
      </c>
      <c r="M16" t="n">
        <v>61</v>
      </c>
      <c r="N16" t="n">
        <v>37.95</v>
      </c>
      <c r="O16" t="n">
        <v>1.628391436777328</v>
      </c>
      <c r="P16" t="inlineStr">
        <is>
          <t>B0C9LS5H2T</t>
        </is>
      </c>
    </row>
    <row r="17">
      <c r="A17" t="inlineStr">
        <is>
          <t>SL Cooling 4pc</t>
        </is>
      </c>
      <c r="C17" t="inlineStr">
        <is>
          <t>BAMPURE</t>
        </is>
      </c>
      <c r="G17" t="inlineStr">
        <is>
          <t>SL Cooling 4pc</t>
        </is>
      </c>
      <c r="H17" t="inlineStr">
        <is>
          <t>US SL Cooling 4pc</t>
        </is>
      </c>
      <c r="I17" t="inlineStr">
        <is>
          <t>SLEEPHORIA Cooling Sheets - BreezeWeave 4 PC King Size Cooling Bed Sheets for Hot Sleepers &amp; Deep, Cool Rest - Cloud Soft, Silky Smooth, 16 in Deep Pocket, Ultra Durable (Light Grey)</t>
        </is>
      </c>
      <c r="J17" t="inlineStr">
        <is>
          <t>https://m.media-amazon.com/images/I/71IsX4lcKOL._AC_SL1500_.jpg</t>
        </is>
      </c>
      <c r="K17" t="inlineStr">
        <is>
          <t>Sleephoria</t>
        </is>
      </c>
      <c r="L17" t="inlineStr">
        <is>
          <t>B0H8PNVWP1</t>
        </is>
      </c>
      <c r="M17" t="n">
        <v>61</v>
      </c>
      <c r="N17" t="n">
        <v>84.98999999999999</v>
      </c>
      <c r="O17" t="n">
        <v>1.158552710930541</v>
      </c>
      <c r="P17" t="inlineStr">
        <is>
          <t>B0F7LZQNHM</t>
        </is>
      </c>
    </row>
    <row r="18">
      <c r="A18" t="inlineStr">
        <is>
          <t>SL Cooling 6pc</t>
        </is>
      </c>
      <c r="C18" t="inlineStr">
        <is>
          <t>Bamtek</t>
        </is>
      </c>
      <c r="G18" t="inlineStr">
        <is>
          <t>SL Cooling 6pc</t>
        </is>
      </c>
      <c r="H18" t="inlineStr">
        <is>
          <t>US SL Cooling 6pc</t>
        </is>
      </c>
      <c r="I18" t="inlineStr">
        <is>
          <t>SLEEPHORIA Cooling Sheets - BreezeWeave 6 PC California King Size Cooling Bed Sheets for Hot Sleepers &amp; Deep, Cool Rest - Cloud Soft, Silky Smooth, 16 in Deep Pocket, Ultra Durable (Beige)</t>
        </is>
      </c>
      <c r="K18" t="inlineStr">
        <is>
          <t>Sleephoria</t>
        </is>
      </c>
      <c r="L18" t="inlineStr">
        <is>
          <t>B0H7JVGTZW</t>
        </is>
      </c>
      <c r="M18" t="n">
        <v>60</v>
      </c>
    </row>
    <row r="19">
      <c r="A19" t="inlineStr">
        <is>
          <t>CL Cooling Sheets</t>
        </is>
      </c>
      <c r="C19" t="inlineStr">
        <is>
          <t>Bare Home</t>
        </is>
      </c>
      <c r="G19" t="inlineStr">
        <is>
          <t>CL Cooling Sheets</t>
        </is>
      </c>
      <c r="H19" t="inlineStr">
        <is>
          <t>US CL Cooling Sheets</t>
        </is>
      </c>
      <c r="I19" t="inlineStr">
        <is>
          <t>COOLINENS Cooling Sheets - BreezeWeave 4 PC California King Size Cooling Bed Sheets for Hot Sleepers &amp; Deep, Cool Rest - Cloud Soft, Silky Smooth, 16 in Deep Pocket, Ultra Durable (Beige)</t>
        </is>
      </c>
      <c r="J19" t="inlineStr">
        <is>
          <t>https://m.media-amazon.com/images/I/81GLNCr7elL.jpg</t>
        </is>
      </c>
      <c r="K19" t="inlineStr">
        <is>
          <t>CooLinens</t>
        </is>
      </c>
      <c r="L19" t="inlineStr">
        <is>
          <t>B0H6K5RPX6</t>
        </is>
      </c>
      <c r="M19" t="n">
        <v>60</v>
      </c>
    </row>
    <row r="20">
      <c r="A20" t="inlineStr">
        <is>
          <t>CL Pillowcases</t>
        </is>
      </c>
      <c r="C20" t="inlineStr">
        <is>
          <t>BC BELLA COTERIE</t>
        </is>
      </c>
      <c r="G20" t="inlineStr">
        <is>
          <t>CL Pillowcases</t>
        </is>
      </c>
      <c r="H20" t="inlineStr">
        <is>
          <t>US CL Pillowcases</t>
        </is>
      </c>
      <c r="I20" t="inlineStr">
        <is>
          <t>COOLINENS Cooling Pillow Cases Queen Size | Set of 2 for Hot Sleepers</t>
        </is>
      </c>
      <c r="J20" t="inlineStr">
        <is>
          <t>https://m.media-amazon.com/images/I/71xw+HPSbYL._AC_SL1500_.jpg</t>
        </is>
      </c>
      <c r="K20" t="inlineStr">
        <is>
          <t>CooLinens</t>
        </is>
      </c>
      <c r="L20" t="inlineStr">
        <is>
          <t>B0HLSNQNCK</t>
        </is>
      </c>
      <c r="M20" t="n">
        <v>12</v>
      </c>
      <c r="N20" t="n">
        <v>19.99</v>
      </c>
      <c r="P20" t="inlineStr">
        <is>
          <t>B0H5WWMPNN</t>
        </is>
      </c>
    </row>
    <row r="21">
      <c r="A21" t="inlineStr">
        <is>
          <t>SL Cooling Pillowcase</t>
        </is>
      </c>
      <c r="C21" t="inlineStr">
        <is>
          <t>Beatrice Home Fashions</t>
        </is>
      </c>
      <c r="G21" t="inlineStr">
        <is>
          <t>SL Cooling Pillowcase</t>
        </is>
      </c>
      <c r="H21" t="inlineStr">
        <is>
          <t>US SL Cooling Pillowcase</t>
        </is>
      </c>
      <c r="I21" t="inlineStr">
        <is>
          <t>SLEEPHORIA Cooling Pillow Cases - BreezeWeave Queen Size Set of 2 Pillowcases for Hot Sleepers &amp; Cool, Deep Rest - Cloud Soft, Silky Smooth, Ultra Durable, Easy Care, Hidden Zipper (Blue)</t>
        </is>
      </c>
      <c r="J21" t="inlineStr">
        <is>
          <t>https://images-na.ssl-images-amazon.com/images/I/71Y1j274VYL.jpg</t>
        </is>
      </c>
      <c r="K21" t="inlineStr">
        <is>
          <t>Sleephoria</t>
        </is>
      </c>
      <c r="L21" t="inlineStr">
        <is>
          <t>B0FTSVDG77</t>
        </is>
      </c>
      <c r="M21" t="n">
        <v>12</v>
      </c>
      <c r="N21" t="n">
        <v>21.99</v>
      </c>
      <c r="O21" t="n">
        <v>0.7673585255948454</v>
      </c>
      <c r="P21" t="inlineStr">
        <is>
          <t>B0F7LJS3N2</t>
        </is>
      </c>
    </row>
    <row r="22">
      <c r="A22" t="inlineStr">
        <is>
          <t>SL Cooling Comforter</t>
        </is>
      </c>
      <c r="C22" t="inlineStr">
        <is>
          <t>BEDELITE</t>
        </is>
      </c>
      <c r="G22" t="inlineStr">
        <is>
          <t>SL Cooling Comforter</t>
        </is>
      </c>
      <c r="H22" t="inlineStr">
        <is>
          <t>US SL Cooling Comforter</t>
        </is>
      </c>
      <c r="I22" t="inlineStr">
        <is>
          <t>SLEEPHORIA Cooling Comforter - BreezeWeave Cooling Blanket King Size for Hot Sleepers &amp; Deep Rest - Cloud Soft, Breathable, Ultra Durable, Easy Care, Reversible - 108 x 90 in (Light Grey &amp; Dark Grey)</t>
        </is>
      </c>
      <c r="J22" t="inlineStr">
        <is>
          <t>https://images-na.ssl-images-amazon.com/images/I/81srgWQ0iXL.jpg</t>
        </is>
      </c>
      <c r="K22" t="inlineStr">
        <is>
          <t>Sleephoria</t>
        </is>
      </c>
      <c r="L22" t="inlineStr">
        <is>
          <t>B0FTG1NNKG</t>
        </is>
      </c>
      <c r="M22" t="n">
        <v>20</v>
      </c>
      <c r="N22" t="n">
        <v>79.98999999999999</v>
      </c>
      <c r="O22" t="n">
        <v>3.393762896244322</v>
      </c>
      <c r="P22" t="inlineStr">
        <is>
          <t>B0F7M4Q2HQ</t>
        </is>
      </c>
    </row>
    <row r="23">
      <c r="A23" t="inlineStr">
        <is>
          <t>SL Cooling Fitted</t>
        </is>
      </c>
      <c r="C23" t="inlineStr">
        <is>
          <t>Bedlifes</t>
        </is>
      </c>
      <c r="G23" t="inlineStr">
        <is>
          <t>SL Cooling Fitted</t>
        </is>
      </c>
      <c r="H23" t="inlineStr">
        <is>
          <t>US SL Cooling Fitted</t>
        </is>
      </c>
      <c r="I23" t="inlineStr">
        <is>
          <t>SLEEPHORIA Cooling Fitted Sheet King Size - 1 PC BreezeWeave Cooling Sheets for Hot Sleepers &amp; Cool Rest w/ 16 in Deep Pocket - Corner Straps, Cloud Soft, Ultra Durable - 73 x 77 in (White)</t>
        </is>
      </c>
      <c r="J23" t="inlineStr">
        <is>
          <t>https://m.media-amazon.com/images/I/81G7yE5OfqL._AC_SL1500_.jpg</t>
        </is>
      </c>
      <c r="K23" t="inlineStr">
        <is>
          <t>Sleephoria</t>
        </is>
      </c>
      <c r="L23" t="inlineStr">
        <is>
          <t>B0GR6GBJYC</t>
        </is>
      </c>
      <c r="M23" t="n">
        <v>65</v>
      </c>
      <c r="N23" t="n">
        <v>39.99</v>
      </c>
      <c r="O23" t="n">
        <v>0.9827610124981451</v>
      </c>
      <c r="P23" t="inlineStr">
        <is>
          <t>B0F7M3YQ5R</t>
        </is>
      </c>
    </row>
    <row r="24">
      <c r="A24" t="inlineStr">
        <is>
          <t>SL Quilt Set</t>
        </is>
      </c>
      <c r="C24" t="inlineStr">
        <is>
          <t>bedsmile</t>
        </is>
      </c>
      <c r="G24" t="inlineStr">
        <is>
          <t>SL Quilt Set</t>
        </is>
      </c>
      <c r="H24" t="inlineStr">
        <is>
          <t>US SL Quilt Set</t>
        </is>
      </c>
      <c r="I24" t="inlineStr">
        <is>
          <t>SLEEPHORIA Queen Quilt Bedding Set | Lightweight Summer Bedspread 3 Pc</t>
        </is>
      </c>
      <c r="J24" t="inlineStr">
        <is>
          <t>https://images-na.ssl-images-amazon.com/images/I/81RVSwrWFUL.jpg</t>
        </is>
      </c>
      <c r="K24" t="inlineStr">
        <is>
          <t>Sleephoria</t>
        </is>
      </c>
      <c r="L24" t="inlineStr">
        <is>
          <t>B0GZW9QWJM</t>
        </is>
      </c>
      <c r="M24" t="n">
        <v>21</v>
      </c>
      <c r="N24" t="n">
        <v>41.99</v>
      </c>
      <c r="P24" t="inlineStr">
        <is>
          <t>B0FGZDR11L</t>
        </is>
      </c>
    </row>
    <row r="25">
      <c r="A25" t="inlineStr">
        <is>
          <t>DC Linen Curtains</t>
        </is>
      </c>
      <c r="C25" t="inlineStr">
        <is>
          <t>Bedsure</t>
        </is>
      </c>
      <c r="G25" t="inlineStr">
        <is>
          <t>DC Linen Curtains</t>
        </is>
      </c>
      <c r="H25" t="inlineStr">
        <is>
          <t>US DC Linen Curtains</t>
        </is>
      </c>
      <c r="I25" t="inlineStr">
        <is>
          <t>DECOLURE 100% Blackout Linen Curtains 108 Inches Long | Ivory</t>
        </is>
      </c>
      <c r="J25" t="inlineStr">
        <is>
          <t>https://images-na.ssl-images-amazon.com/images/I/81sMgyPyWQL.jpg</t>
        </is>
      </c>
      <c r="K25" t="inlineStr">
        <is>
          <t>Decolure</t>
        </is>
      </c>
      <c r="L25" t="inlineStr">
        <is>
          <t>B0H2Z62MJZ</t>
        </is>
      </c>
      <c r="M25" t="n">
        <v>42</v>
      </c>
      <c r="N25" t="n">
        <v>34.99</v>
      </c>
      <c r="P25" t="inlineStr">
        <is>
          <t>B0F63C8HL2</t>
        </is>
      </c>
    </row>
    <row r="26">
      <c r="A26" t="inlineStr">
        <is>
          <t>DC Beach Towel</t>
        </is>
      </c>
      <c r="C26" t="inlineStr">
        <is>
          <t>Bedtter</t>
        </is>
      </c>
      <c r="G26" t="inlineStr">
        <is>
          <t>DC Beach Towel</t>
        </is>
      </c>
      <c r="H26" t="inlineStr">
        <is>
          <t>US DC Beach Towel</t>
        </is>
      </c>
      <c r="I26" t="inlineStr">
        <is>
          <t>DECOLURE Turkish Beach Towel Oversized 39x73 Inch - 100% Turkish Cotton, Quick Dry and Sand Free Beach Towels for Travel - Lightweight, Absorbent &amp; Soft Peshtemal Towel - (Gray Wave)</t>
        </is>
      </c>
      <c r="J26" t="inlineStr">
        <is>
          <t>https://images-na.ssl-images-amazon.com/images/I/81ZamyVE0yL.jpg</t>
        </is>
      </c>
      <c r="K26" t="inlineStr">
        <is>
          <t>Decolure</t>
        </is>
      </c>
      <c r="L26" t="inlineStr">
        <is>
          <t>B0GZVXL6DZ</t>
        </is>
      </c>
      <c r="M26" t="n">
        <v>14</v>
      </c>
      <c r="N26" t="n">
        <v>21.45</v>
      </c>
      <c r="P26" t="inlineStr">
        <is>
          <t>B0DQ92K585</t>
        </is>
      </c>
    </row>
    <row r="27">
      <c r="A27" t="inlineStr">
        <is>
          <t>DC Welcome Sign</t>
        </is>
      </c>
      <c r="C27" t="inlineStr">
        <is>
          <t>BGment</t>
        </is>
      </c>
      <c r="G27" t="inlineStr">
        <is>
          <t>DC Welcome Sign</t>
        </is>
      </c>
      <c r="H27" t="inlineStr">
        <is>
          <t>US DC Welcome Sign</t>
        </is>
      </c>
      <c r="I27" t="inlineStr">
        <is>
          <t>DECOLURE Welcome Sign for Front Porch - Tall Solid Wood Porch Door Sign with 10 Magnetic Seasonal &amp; Holiday Pieces, Rustic Farmhouse Outdoor Decor for Year Round Welcoming Entryway (Porch Brown)</t>
        </is>
      </c>
      <c r="J27" t="inlineStr">
        <is>
          <t>https://images-na.ssl-images-amazon.com/images/I/71PaUaKaW9L.jpg</t>
        </is>
      </c>
      <c r="K27" t="inlineStr">
        <is>
          <t>Decolure</t>
        </is>
      </c>
      <c r="L27" t="inlineStr">
        <is>
          <t>B0H1N61MK6</t>
        </is>
      </c>
      <c r="M27" t="n">
        <v>7</v>
      </c>
      <c r="N27" t="n">
        <v>64.95</v>
      </c>
      <c r="P27" t="inlineStr">
        <is>
          <t>B0DQ84FD76</t>
        </is>
      </c>
    </row>
    <row r="28">
      <c r="A28" t="inlineStr">
        <is>
          <t>DC Chair Cover</t>
        </is>
      </c>
      <c r="C28" t="inlineStr">
        <is>
          <t>BIETYONE</t>
        </is>
      </c>
      <c r="G28" t="inlineStr">
        <is>
          <t>DC Chair Cover</t>
        </is>
      </c>
      <c r="H28" t="inlineStr">
        <is>
          <t>US DC Chair Cover</t>
        </is>
      </c>
      <c r="I28" t="inlineStr">
        <is>
          <t>Waterproof Dining Chair Covers Set of 6 - 3 Layers Thick Fabric Parsons Chair Slip Covers - Jacquard Kitchen Chair Covers &amp; Stretch Protectors Dining Room, Restaurant - Removable Washable (Chocolate)</t>
        </is>
      </c>
      <c r="J28" t="inlineStr">
        <is>
          <t>https://images-na.ssl-images-amazon.com/images/I/814u78HU6WL.jpg</t>
        </is>
      </c>
      <c r="K28" t="inlineStr">
        <is>
          <t>Decolure</t>
        </is>
      </c>
      <c r="L28" t="inlineStr">
        <is>
          <t>B0FB6DM5X9</t>
        </is>
      </c>
      <c r="M28" t="n">
        <v>12</v>
      </c>
      <c r="N28" t="n">
        <v>39.99</v>
      </c>
      <c r="O28" t="n">
        <v>0.6578754953716566</v>
      </c>
      <c r="P28" t="inlineStr">
        <is>
          <t>B0CY63VCW1</t>
        </is>
      </c>
    </row>
    <row r="29">
      <c r="C29" t="inlineStr">
        <is>
          <t>BLISSFORD</t>
        </is>
      </c>
    </row>
    <row r="30">
      <c r="C30" t="inlineStr">
        <is>
          <t>BLISSY</t>
        </is>
      </c>
    </row>
    <row r="31">
      <c r="C31" t="inlineStr">
        <is>
          <t>BLSSNZ</t>
        </is>
      </c>
    </row>
    <row r="32">
      <c r="C32" t="inlineStr">
        <is>
          <t>Breescape</t>
        </is>
      </c>
    </row>
    <row r="33">
      <c r="C33" t="inlineStr">
        <is>
          <t>Brooklinen</t>
        </is>
      </c>
    </row>
    <row r="34">
      <c r="C34" t="inlineStr">
        <is>
          <t>Brooklyn Loom</t>
        </is>
      </c>
    </row>
    <row r="35">
      <c r="C35" t="inlineStr">
        <is>
          <t>Brookstone</t>
        </is>
      </c>
    </row>
    <row r="36">
      <c r="C36" t="inlineStr">
        <is>
          <t>California Design Den</t>
        </is>
      </c>
    </row>
    <row r="37">
      <c r="C37" t="inlineStr">
        <is>
          <t>Candoury</t>
        </is>
      </c>
    </row>
    <row r="38">
      <c r="C38" t="inlineStr">
        <is>
          <t>Cape Comforts</t>
        </is>
      </c>
    </row>
    <row r="39">
      <c r="C39" t="inlineStr">
        <is>
          <t>Cariloha</t>
        </is>
      </c>
    </row>
    <row r="40">
      <c r="C40" t="inlineStr">
        <is>
          <t>CAROMIO</t>
        </is>
      </c>
    </row>
    <row r="41">
      <c r="C41" t="inlineStr">
        <is>
          <t>Casamollis</t>
        </is>
      </c>
    </row>
    <row r="42">
      <c r="C42" t="inlineStr">
        <is>
          <t>Casbrove</t>
        </is>
      </c>
    </row>
    <row r="43">
      <c r="C43" t="inlineStr">
        <is>
          <t>CGK Unlimited</t>
        </is>
      </c>
    </row>
    <row r="44">
      <c r="C44" t="inlineStr">
        <is>
          <t>Chakir Turkish</t>
        </is>
      </c>
    </row>
    <row r="45">
      <c r="C45" t="inlineStr">
        <is>
          <t>CHOSHOME</t>
        </is>
      </c>
    </row>
    <row r="46">
      <c r="C46" t="inlineStr">
        <is>
          <t>Cobedzy</t>
        </is>
      </c>
    </row>
    <row r="47">
      <c r="C47" t="inlineStr">
        <is>
          <t>Colorado Home Co</t>
        </is>
      </c>
    </row>
    <row r="48">
      <c r="C48" t="inlineStr">
        <is>
          <t>Comfort Spaces</t>
        </is>
      </c>
    </row>
    <row r="49">
      <c r="C49" t="inlineStr">
        <is>
          <t>comurdyo</t>
        </is>
      </c>
    </row>
    <row r="50">
      <c r="C50" t="inlineStr">
        <is>
          <t>Consevisen</t>
        </is>
      </c>
    </row>
    <row r="51">
      <c r="C51" t="inlineStr">
        <is>
          <t>Coop Home Goods</t>
        </is>
      </c>
    </row>
    <row r="52">
      <c r="C52" t="inlineStr">
        <is>
          <t>Cosy House Collection</t>
        </is>
      </c>
    </row>
    <row r="53">
      <c r="C53" t="inlineStr">
        <is>
          <t>Cozy Bliss</t>
        </is>
      </c>
    </row>
    <row r="54">
      <c r="C54" t="inlineStr">
        <is>
          <t>Cozy Earth</t>
        </is>
      </c>
    </row>
    <row r="55">
      <c r="C55" t="inlineStr">
        <is>
          <t>CozyLux</t>
        </is>
      </c>
    </row>
    <row r="56">
      <c r="C56" t="inlineStr">
        <is>
          <t>CUCRAF</t>
        </is>
      </c>
    </row>
    <row r="57">
      <c r="C57" t="inlineStr">
        <is>
          <t>David's Home</t>
        </is>
      </c>
    </row>
    <row r="58">
      <c r="C58" t="inlineStr">
        <is>
          <t>Davmabcjy</t>
        </is>
      </c>
    </row>
    <row r="59">
      <c r="C59" t="inlineStr">
        <is>
          <t>Degrees of Comfort</t>
        </is>
      </c>
    </row>
    <row r="60">
      <c r="C60" t="inlineStr">
        <is>
          <t>DJY</t>
        </is>
      </c>
    </row>
    <row r="61">
      <c r="C61" t="inlineStr">
        <is>
          <t>DKBslik</t>
        </is>
      </c>
    </row>
    <row r="62">
      <c r="C62" t="inlineStr">
        <is>
          <t>Dlerom</t>
        </is>
      </c>
    </row>
    <row r="63">
      <c r="C63" t="inlineStr">
        <is>
          <t>DOUSUI</t>
        </is>
      </c>
    </row>
    <row r="64">
      <c r="C64" t="inlineStr">
        <is>
          <t>DOWNCOOL</t>
        </is>
      </c>
    </row>
    <row r="65">
      <c r="C65" t="inlineStr">
        <is>
          <t>DOZ by SIJO</t>
        </is>
      </c>
    </row>
    <row r="66">
      <c r="C66" t="inlineStr">
        <is>
          <t>DREAMCARE</t>
        </is>
      </c>
    </row>
    <row r="67">
      <c r="C67" t="inlineStr">
        <is>
          <t>DROWSY</t>
        </is>
      </c>
    </row>
    <row r="68">
      <c r="C68" t="inlineStr">
        <is>
          <t>EASELAND</t>
        </is>
      </c>
    </row>
    <row r="69">
      <c r="C69" t="inlineStr">
        <is>
          <t>Easy-Going</t>
        </is>
      </c>
    </row>
    <row r="70">
      <c r="C70" t="inlineStr">
        <is>
          <t>Elegear</t>
        </is>
      </c>
    </row>
    <row r="71">
      <c r="C71" t="inlineStr">
        <is>
          <t>ELIBABA</t>
        </is>
      </c>
    </row>
    <row r="72">
      <c r="C72" t="inlineStr">
        <is>
          <t>EverGrace</t>
        </is>
      </c>
    </row>
    <row r="73">
      <c r="C73" t="inlineStr">
        <is>
          <t>Exclusivo Mezcla</t>
        </is>
      </c>
    </row>
    <row r="74">
      <c r="C74" t="inlineStr">
        <is>
          <t>Fafua</t>
        </is>
      </c>
    </row>
    <row r="75">
      <c r="C75" t="inlineStr">
        <is>
          <t>FengXinZi Store</t>
        </is>
      </c>
    </row>
    <row r="76">
      <c r="C76" t="inlineStr">
        <is>
          <t>FESHKA</t>
        </is>
      </c>
    </row>
    <row r="77">
      <c r="C77" t="inlineStr">
        <is>
          <t>Fishers Finery</t>
        </is>
      </c>
    </row>
    <row r="78">
      <c r="C78" t="inlineStr">
        <is>
          <t>Fittia</t>
        </is>
      </c>
    </row>
    <row r="79">
      <c r="C79" t="inlineStr">
        <is>
          <t>FLCA</t>
        </is>
      </c>
    </row>
    <row r="80">
      <c r="C80" t="inlineStr">
        <is>
          <t>flowtorely</t>
        </is>
      </c>
    </row>
    <row r="81">
      <c r="C81" t="inlineStr">
        <is>
          <t>FLYMME</t>
        </is>
      </c>
    </row>
    <row r="82">
      <c r="C82" t="inlineStr">
        <is>
          <t>FORCHEER</t>
        </is>
      </c>
    </row>
    <row r="83">
      <c r="C83" t="inlineStr">
        <is>
          <t>FreshCulture</t>
        </is>
      </c>
    </row>
    <row r="84">
      <c r="C84" t="inlineStr">
        <is>
          <t>Gabire</t>
        </is>
      </c>
    </row>
    <row r="85">
      <c r="C85" t="inlineStr">
        <is>
          <t>Gehtmnl</t>
        </is>
      </c>
    </row>
    <row r="86">
      <c r="C86" t="inlineStr">
        <is>
          <t>Genina</t>
        </is>
      </c>
    </row>
    <row r="87">
      <c r="C87" t="inlineStr">
        <is>
          <t>GOKOTTA</t>
        </is>
      </c>
    </row>
    <row r="88">
      <c r="C88" t="inlineStr">
        <is>
          <t>GOLAL</t>
        </is>
      </c>
    </row>
    <row r="89">
      <c r="C89" t="inlineStr">
        <is>
          <t>Goroly Home</t>
        </is>
      </c>
    </row>
    <row r="90">
      <c r="C90" t="inlineStr">
        <is>
          <t>Guken</t>
        </is>
      </c>
    </row>
    <row r="91">
      <c r="C91" t="inlineStr">
        <is>
          <t>H.VERSAILTEX</t>
        </is>
      </c>
    </row>
    <row r="92">
      <c r="C92" t="inlineStr">
        <is>
          <t>Hansleep</t>
        </is>
      </c>
    </row>
    <row r="93">
      <c r="C93" t="inlineStr">
        <is>
          <t>HENGWEITEXT</t>
        </is>
      </c>
    </row>
    <row r="94">
      <c r="C94" t="inlineStr">
        <is>
          <t>Hentonwell</t>
        </is>
      </c>
    </row>
    <row r="95">
      <c r="C95" t="inlineStr">
        <is>
          <t>HOMFINE</t>
        </is>
      </c>
    </row>
    <row r="96">
      <c r="C96" t="inlineStr">
        <is>
          <t>Homiest</t>
        </is>
      </c>
    </row>
    <row r="97">
      <c r="C97" t="inlineStr">
        <is>
          <t>HommxJF</t>
        </is>
      </c>
    </row>
    <row r="98">
      <c r="C98" t="inlineStr">
        <is>
          <t>homuvdok</t>
        </is>
      </c>
    </row>
    <row r="99">
      <c r="C99" t="inlineStr">
        <is>
          <t>Horbaunal</t>
        </is>
      </c>
    </row>
    <row r="100">
      <c r="C100" t="inlineStr">
        <is>
          <t>HORIMOTE HOME</t>
        </is>
      </c>
    </row>
    <row r="101">
      <c r="C101" t="inlineStr">
        <is>
          <t>HOT SLEEPER SHEETS</t>
        </is>
      </c>
    </row>
    <row r="102">
      <c r="C102" t="inlineStr">
        <is>
          <t>Hotel Sheets Direct</t>
        </is>
      </c>
    </row>
    <row r="103">
      <c r="C103" t="inlineStr">
        <is>
          <t>Howhic</t>
        </is>
      </c>
    </row>
    <row r="104">
      <c r="C104" t="inlineStr">
        <is>
          <t>iCooBreeze</t>
        </is>
      </c>
    </row>
    <row r="105">
      <c r="C105" t="inlineStr">
        <is>
          <t>INFIIXSO</t>
        </is>
      </c>
    </row>
    <row r="106">
      <c r="C106" t="inlineStr">
        <is>
          <t>INOVADAY</t>
        </is>
      </c>
    </row>
    <row r="107">
      <c r="C107" t="inlineStr">
        <is>
          <t>INSSL</t>
        </is>
      </c>
    </row>
    <row r="108">
      <c r="C108" t="inlineStr">
        <is>
          <t>J JIMOO</t>
        </is>
      </c>
    </row>
    <row r="109">
      <c r="C109" t="inlineStr">
        <is>
          <t>Jersey Slumber</t>
        </is>
      </c>
    </row>
    <row r="110">
      <c r="C110" t="inlineStr">
        <is>
          <t>jiaao</t>
        </is>
      </c>
    </row>
    <row r="111">
      <c r="C111" t="inlineStr">
        <is>
          <t>Jocoku</t>
        </is>
      </c>
    </row>
    <row r="112">
      <c r="C112" t="inlineStr">
        <is>
          <t>JOGJUE</t>
        </is>
      </c>
    </row>
    <row r="113">
      <c r="C113" t="inlineStr">
        <is>
          <t>Jowels</t>
        </is>
      </c>
    </row>
    <row r="114">
      <c r="C114" t="inlineStr">
        <is>
          <t>Joydeco</t>
        </is>
      </c>
    </row>
    <row r="115">
      <c r="C115" t="inlineStr">
        <is>
          <t>Joyreap</t>
        </is>
      </c>
    </row>
    <row r="116">
      <c r="C116" t="inlineStr">
        <is>
          <t>JSD</t>
        </is>
      </c>
    </row>
    <row r="117">
      <c r="C117" t="inlineStr">
        <is>
          <t>JUWENIN</t>
        </is>
      </c>
    </row>
    <row r="118">
      <c r="C118" t="inlineStr">
        <is>
          <t>KAKIJUMN</t>
        </is>
      </c>
    </row>
    <row r="119">
      <c r="C119" t="inlineStr">
        <is>
          <t>KARISSA MAE</t>
        </is>
      </c>
    </row>
    <row r="120">
      <c r="C120" t="inlineStr">
        <is>
          <t>Kickoff Home</t>
        </is>
      </c>
    </row>
    <row r="121">
      <c r="C121" t="inlineStr">
        <is>
          <t>Kinself</t>
        </is>
      </c>
    </row>
    <row r="122">
      <c r="C122" t="inlineStr">
        <is>
          <t>Kitsch</t>
        </is>
      </c>
    </row>
    <row r="123">
      <c r="C123" t="inlineStr">
        <is>
          <t>KRIMANO</t>
        </is>
      </c>
    </row>
    <row r="124">
      <c r="C124" t="inlineStr">
        <is>
          <t>Lajode</t>
        </is>
      </c>
    </row>
    <row r="125">
      <c r="C125" t="inlineStr">
        <is>
          <t>Lalluxy</t>
        </is>
      </c>
    </row>
    <row r="126">
      <c r="C126" t="inlineStr">
        <is>
          <t>Lanest Housing</t>
        </is>
      </c>
    </row>
    <row r="127">
      <c r="C127" t="inlineStr">
        <is>
          <t>Laura Ashley</t>
        </is>
      </c>
    </row>
    <row r="128">
      <c r="C128" t="inlineStr">
        <is>
          <t>LB Luxury Bamboo Market</t>
        </is>
      </c>
    </row>
    <row r="129">
      <c r="C129" t="inlineStr">
        <is>
          <t>LBRO2M</t>
        </is>
      </c>
    </row>
    <row r="130">
      <c r="C130" t="inlineStr">
        <is>
          <t>LianheCy</t>
        </is>
      </c>
    </row>
    <row r="131">
      <c r="C131" t="inlineStr">
        <is>
          <t>LIFCOM</t>
        </is>
      </c>
    </row>
    <row r="132">
      <c r="C132" t="inlineStr">
        <is>
          <t>Lirex</t>
        </is>
      </c>
    </row>
    <row r="133">
      <c r="C133" t="inlineStr">
        <is>
          <t>LitBear</t>
        </is>
      </c>
    </row>
    <row r="134">
      <c r="C134" t="inlineStr">
        <is>
          <t>Love's cabin</t>
        </is>
      </c>
    </row>
    <row r="135">
      <c r="C135" t="inlineStr">
        <is>
          <t>LULUSILK</t>
        </is>
      </c>
    </row>
    <row r="136">
      <c r="C136" t="inlineStr">
        <is>
          <t>Luxbedding</t>
        </is>
      </c>
    </row>
    <row r="137">
      <c r="C137" t="inlineStr">
        <is>
          <t>LUXEAR</t>
        </is>
      </c>
    </row>
    <row r="138">
      <c r="C138" t="inlineStr">
        <is>
          <t>Luxudecor</t>
        </is>
      </c>
    </row>
    <row r="139">
      <c r="C139" t="inlineStr">
        <is>
          <t>Madison Park</t>
        </is>
      </c>
    </row>
    <row r="140">
      <c r="C140" t="inlineStr">
        <is>
          <t>Manta Sleep</t>
        </is>
      </c>
    </row>
    <row r="141">
      <c r="C141" t="inlineStr">
        <is>
          <t>Manyshofu</t>
        </is>
      </c>
    </row>
    <row r="142">
      <c r="C142" t="inlineStr">
        <is>
          <t>Maple&amp;Stone</t>
        </is>
      </c>
    </row>
    <row r="143">
      <c r="C143" t="inlineStr">
        <is>
          <t>Marchpower</t>
        </is>
      </c>
    </row>
    <row r="144">
      <c r="C144" t="inlineStr">
        <is>
          <t>Martex</t>
        </is>
      </c>
    </row>
    <row r="145">
      <c r="C145" t="inlineStr">
        <is>
          <t>MASVIS</t>
        </is>
      </c>
    </row>
    <row r="146">
      <c r="C146" t="inlineStr">
        <is>
          <t>MCO</t>
        </is>
      </c>
    </row>
    <row r="147">
      <c r="C147" t="inlineStr">
        <is>
          <t>Mebien touche de la nature</t>
        </is>
      </c>
    </row>
    <row r="148">
      <c r="C148" t="inlineStr">
        <is>
          <t>MIULEE</t>
        </is>
      </c>
    </row>
    <row r="149">
      <c r="C149" t="inlineStr">
        <is>
          <t>MK Home</t>
        </is>
      </c>
    </row>
    <row r="150">
      <c r="C150" t="inlineStr">
        <is>
          <t>MODE HOME</t>
        </is>
      </c>
    </row>
    <row r="151">
      <c r="C151" t="inlineStr">
        <is>
          <t>MONJITA</t>
        </is>
      </c>
    </row>
    <row r="152">
      <c r="C152" t="inlineStr">
        <is>
          <t>MR&amp;HM</t>
        </is>
      </c>
    </row>
    <row r="153">
      <c r="C153" t="inlineStr">
        <is>
          <t>MRIDU</t>
        </is>
      </c>
    </row>
    <row r="154">
      <c r="C154" t="inlineStr">
        <is>
          <t>Mybedsoul</t>
        </is>
      </c>
    </row>
    <row r="155">
      <c r="C155" t="inlineStr">
        <is>
          <t>MZOO</t>
        </is>
      </c>
    </row>
    <row r="156">
      <c r="C156" t="inlineStr">
        <is>
          <t>Nanspring</t>
        </is>
      </c>
    </row>
    <row r="157">
      <c r="C157" t="inlineStr">
        <is>
          <t>Nature Is Gift</t>
        </is>
      </c>
    </row>
    <row r="158">
      <c r="C158" t="inlineStr">
        <is>
          <t>Niagara Sleep Solution</t>
        </is>
      </c>
    </row>
    <row r="159">
      <c r="C159" t="inlineStr">
        <is>
          <t>NICETOWN</t>
        </is>
      </c>
    </row>
    <row r="160">
      <c r="C160" t="inlineStr">
        <is>
          <t>NORTHERN BROTHERS</t>
        </is>
      </c>
    </row>
    <row r="161">
      <c r="C161" t="inlineStr">
        <is>
          <t>NSGZ</t>
        </is>
      </c>
    </row>
    <row r="162">
      <c r="C162" t="inlineStr">
        <is>
          <t>OLESILK</t>
        </is>
      </c>
    </row>
    <row r="163">
      <c r="C163" t="inlineStr">
        <is>
          <t>OMERAI</t>
        </is>
      </c>
    </row>
    <row r="164">
      <c r="C164" t="inlineStr">
        <is>
          <t>Organic Cotton Mart</t>
        </is>
      </c>
    </row>
    <row r="165">
      <c r="C165" t="inlineStr">
        <is>
          <t>P Pothuiny</t>
        </is>
      </c>
    </row>
    <row r="166">
      <c r="C166" t="inlineStr">
        <is>
          <t>PARK&amp;OZ</t>
        </is>
      </c>
    </row>
    <row r="167">
      <c r="C167" t="inlineStr">
        <is>
          <t>PERFNIQUE</t>
        </is>
      </c>
    </row>
    <row r="168">
      <c r="C168" t="inlineStr">
        <is>
          <t>Pillcase</t>
        </is>
      </c>
    </row>
    <row r="169">
      <c r="C169" t="inlineStr">
        <is>
          <t>Pitalk</t>
        </is>
      </c>
    </row>
    <row r="170">
      <c r="C170" t="inlineStr">
        <is>
          <t>PONY DANCE</t>
        </is>
      </c>
    </row>
    <row r="171">
      <c r="C171" t="inlineStr">
        <is>
          <t>PROMEED</t>
        </is>
      </c>
    </row>
    <row r="172">
      <c r="C172" t="inlineStr">
        <is>
          <t>Pure Bamboo</t>
        </is>
      </c>
    </row>
    <row r="173">
      <c r="C173" t="inlineStr">
        <is>
          <t>Pure Bedding</t>
        </is>
      </c>
    </row>
    <row r="174">
      <c r="C174" t="inlineStr">
        <is>
          <t>QUTOOL</t>
        </is>
      </c>
    </row>
    <row r="175">
      <c r="C175" t="inlineStr">
        <is>
          <t>Ravmix</t>
        </is>
      </c>
    </row>
    <row r="176">
      <c r="C176" t="inlineStr">
        <is>
          <t>RENESSY</t>
        </is>
      </c>
    </row>
    <row r="177">
      <c r="C177" t="inlineStr">
        <is>
          <t>REST</t>
        </is>
      </c>
    </row>
    <row r="178">
      <c r="C178" t="inlineStr">
        <is>
          <t>Rifens</t>
        </is>
      </c>
    </row>
    <row r="179">
      <c r="C179" t="inlineStr">
        <is>
          <t>RLWangChao</t>
        </is>
      </c>
    </row>
    <row r="180">
      <c r="C180" t="inlineStr">
        <is>
          <t>ROSEWARD</t>
        </is>
      </c>
    </row>
    <row r="181">
      <c r="C181" t="inlineStr">
        <is>
          <t>RYB HOME</t>
        </is>
      </c>
    </row>
    <row r="182">
      <c r="C182" t="inlineStr">
        <is>
          <t>Salt Earth</t>
        </is>
      </c>
    </row>
    <row r="183">
      <c r="C183" t="inlineStr">
        <is>
          <t>Sasttie</t>
        </is>
      </c>
    </row>
    <row r="184">
      <c r="C184" t="inlineStr">
        <is>
          <t>SearchI</t>
        </is>
      </c>
    </row>
    <row r="185">
      <c r="C185" t="inlineStr">
        <is>
          <t>Secgo</t>
        </is>
      </c>
    </row>
    <row r="186">
      <c r="C186" t="inlineStr">
        <is>
          <t>SECZIPE</t>
        </is>
      </c>
    </row>
    <row r="187">
      <c r="C187" t="inlineStr">
        <is>
          <t>Seimip</t>
        </is>
      </c>
    </row>
    <row r="188">
      <c r="C188" t="inlineStr">
        <is>
          <t>Serta</t>
        </is>
      </c>
    </row>
    <row r="189">
      <c r="C189" t="inlineStr">
        <is>
          <t>SGMSILK</t>
        </is>
      </c>
    </row>
    <row r="190">
      <c r="C190" t="inlineStr">
        <is>
          <t>SHEEX</t>
        </is>
      </c>
    </row>
    <row r="191">
      <c r="C191" t="inlineStr">
        <is>
          <t>Shilucheng</t>
        </is>
      </c>
    </row>
    <row r="192">
      <c r="C192" t="inlineStr">
        <is>
          <t>Shunjie.Home</t>
        </is>
      </c>
    </row>
    <row r="193">
      <c r="C193" t="inlineStr">
        <is>
          <t>SiinvdaBZX</t>
        </is>
      </c>
    </row>
    <row r="194">
      <c r="C194" t="inlineStr">
        <is>
          <t>SIYUAN</t>
        </is>
      </c>
    </row>
    <row r="195">
      <c r="C195" t="inlineStr">
        <is>
          <t>SLIP</t>
        </is>
      </c>
    </row>
    <row r="196">
      <c r="C196" t="inlineStr">
        <is>
          <t>Slpbaby</t>
        </is>
      </c>
    </row>
    <row r="197">
      <c r="C197" t="inlineStr">
        <is>
          <t>Smiry</t>
        </is>
      </c>
    </row>
    <row r="198">
      <c r="C198" t="inlineStr">
        <is>
          <t>SMYRNA TURKISH COTTON</t>
        </is>
      </c>
    </row>
    <row r="199">
      <c r="C199" t="inlineStr">
        <is>
          <t>SONORO KATE</t>
        </is>
      </c>
    </row>
    <row r="200">
      <c r="C200" t="inlineStr">
        <is>
          <t>spacepower</t>
        </is>
      </c>
    </row>
    <row r="201">
      <c r="C201" t="inlineStr">
        <is>
          <t>SPRINGRICO</t>
        </is>
      </c>
    </row>
    <row r="202">
      <c r="C202" t="inlineStr">
        <is>
          <t>SRSZHIYUE</t>
        </is>
      </c>
    </row>
    <row r="203">
      <c r="C203" t="inlineStr">
        <is>
          <t>Suatien</t>
        </is>
      </c>
    </row>
    <row r="204">
      <c r="C204" t="inlineStr">
        <is>
          <t>Sufdari</t>
        </is>
      </c>
    </row>
    <row r="205">
      <c r="C205" t="inlineStr">
        <is>
          <t>SUNSPUN LINENS</t>
        </is>
      </c>
    </row>
    <row r="206">
      <c r="C206" t="inlineStr">
        <is>
          <t>Surfapans</t>
        </is>
      </c>
    </row>
    <row r="207">
      <c r="C207" t="inlineStr">
        <is>
          <t>Sweave</t>
        </is>
      </c>
    </row>
    <row r="208">
      <c r="C208" t="inlineStr">
        <is>
          <t>Tafts</t>
        </is>
      </c>
    </row>
    <row r="209">
      <c r="C209" t="inlineStr">
        <is>
          <t>TheSleepGuard</t>
        </is>
      </c>
    </row>
    <row r="210">
      <c r="C210" t="inlineStr">
        <is>
          <t>Threadmade</t>
        </is>
      </c>
    </row>
    <row r="211">
      <c r="C211" t="inlineStr">
        <is>
          <t>Topcee</t>
        </is>
      </c>
    </row>
    <row r="212">
      <c r="C212" t="inlineStr">
        <is>
          <t>Topfinel</t>
        </is>
      </c>
    </row>
    <row r="213">
      <c r="C213" t="inlineStr">
        <is>
          <t>TQianJiang</t>
        </is>
      </c>
    </row>
    <row r="214">
      <c r="C214" t="inlineStr">
        <is>
          <t>TREELY</t>
        </is>
      </c>
    </row>
    <row r="215">
      <c r="C215" t="inlineStr">
        <is>
          <t>TRUE BAMBOO</t>
        </is>
      </c>
    </row>
    <row r="216">
      <c r="C216" t="inlineStr">
        <is>
          <t>TWK</t>
        </is>
      </c>
    </row>
    <row r="217">
      <c r="C217" t="inlineStr">
        <is>
          <t>Tyrot</t>
        </is>
      </c>
    </row>
    <row r="218">
      <c r="C218" t="inlineStr">
        <is>
          <t>Umisleep Store</t>
        </is>
      </c>
    </row>
    <row r="219">
      <c r="C219" t="inlineStr">
        <is>
          <t>uxcell</t>
        </is>
      </c>
    </row>
    <row r="220">
      <c r="C220" t="inlineStr">
        <is>
          <t>VACVELT</t>
        </is>
      </c>
    </row>
    <row r="221">
      <c r="C221" t="inlineStr">
        <is>
          <t>Vesta</t>
        </is>
      </c>
    </row>
    <row r="222">
      <c r="C222" t="inlineStr">
        <is>
          <t>Vine Voice</t>
        </is>
      </c>
    </row>
    <row r="223">
      <c r="C223" t="inlineStr">
        <is>
          <t>Viviland</t>
        </is>
      </c>
    </row>
    <row r="224">
      <c r="C224" t="inlineStr">
        <is>
          <t>Vonty</t>
        </is>
      </c>
    </row>
    <row r="225">
      <c r="C225" t="inlineStr">
        <is>
          <t>Wake In Cloud</t>
        </is>
      </c>
    </row>
    <row r="226">
      <c r="C226" t="inlineStr">
        <is>
          <t>WDCOZY</t>
        </is>
      </c>
    </row>
    <row r="227">
      <c r="C227" t="inlineStr">
        <is>
          <t>WISHSMILE</t>
        </is>
      </c>
    </row>
    <row r="228">
      <c r="C228" t="inlineStr">
        <is>
          <t>WLOSJ</t>
        </is>
      </c>
    </row>
    <row r="229">
      <c r="C229" t="inlineStr">
        <is>
          <t>Wolliwa</t>
        </is>
      </c>
    </row>
    <row r="230">
      <c r="C230" t="inlineStr">
        <is>
          <t>WRENSONGE</t>
        </is>
      </c>
    </row>
    <row r="231">
      <c r="C231" t="inlineStr">
        <is>
          <t>Yakamok</t>
        </is>
      </c>
    </row>
    <row r="232">
      <c r="C232" t="inlineStr">
        <is>
          <t>Yalikop</t>
        </is>
      </c>
    </row>
    <row r="233">
      <c r="C233" t="inlineStr">
        <is>
          <t>YASMENG</t>
        </is>
      </c>
    </row>
    <row r="234">
      <c r="C234" t="inlineStr">
        <is>
          <t>Ycosy</t>
        </is>
      </c>
    </row>
    <row r="235">
      <c r="C235" t="inlineStr">
        <is>
          <t>YEMYHOM</t>
        </is>
      </c>
    </row>
    <row r="236">
      <c r="C236" t="inlineStr">
        <is>
          <t>YFONG</t>
        </is>
      </c>
    </row>
    <row r="237">
      <c r="C237" t="inlineStr">
        <is>
          <t>YoungsTex</t>
        </is>
      </c>
    </row>
    <row r="238">
      <c r="C238" t="inlineStr">
        <is>
          <t>Your Choice</t>
        </is>
      </c>
    </row>
    <row r="239">
      <c r="C239" t="inlineStr">
        <is>
          <t>YUEANG</t>
        </is>
      </c>
    </row>
    <row r="240">
      <c r="C240" t="inlineStr">
        <is>
          <t>Zaizaihome</t>
        </is>
      </c>
    </row>
    <row r="241">
      <c r="C241" t="inlineStr">
        <is>
          <t>Zenssia</t>
        </is>
      </c>
    </row>
    <row r="242">
      <c r="C242" t="inlineStr">
        <is>
          <t>ZIMASILK</t>
        </is>
      </c>
    </row>
    <row r="243">
      <c r="C243" t="inlineStr">
        <is>
          <t>Zyvola</t>
        </is>
      </c>
    </row>
    <row r="244">
      <c r="C244" t="inlineStr">
        <is>
          <t>Zyvola Store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2026-10-14T12:00:28Z</dcterms:created>
  <dcterms:modified xmlns:dcterms="http://purl.org/dc/terms/" xmlns:xsi="http://www.w3.org/2001/XMLSchema-instance" xsi:type="dcterms:W3CDTF">2026-10-14T12:00:35Z</dcterms:modified>
</cp:coreProperties>
</file>